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drawings/drawing32.xml" ContentType="application/vnd.openxmlformats-officedocument.drawing+xml"/>
  <Override PartName="/xl/drawings/drawing1.xml" ContentType="application/vnd.openxmlformats-officedocument.drawing+xml"/>
  <Override PartName="/xl/drawings/drawing31.xml" ContentType="application/vnd.openxmlformats-officedocument.drawing+xml"/>
  <Override PartName="/xl/drawings/drawing2.xml" ContentType="application/vnd.openxmlformats-officedocument.drawing+xml"/>
  <Override PartName="/xl/drawings/drawing30.xml" ContentType="application/vnd.openxmlformats-officedocument.drawing+xml"/>
  <Override PartName="/xl/drawings/drawing3.xml" ContentType="application/vnd.openxmlformats-officedocument.drawing+xml"/>
  <Override PartName="/xl/drawings/drawing37.xml" ContentType="application/vnd.openxmlformats-officedocument.drawing+xml"/>
  <Override PartName="/xl/drawings/drawing4.xml" ContentType="application/vnd.openxmlformats-officedocument.drawing+xml"/>
  <Override PartName="/xl/drawings/drawing36.xml" ContentType="application/vnd.openxmlformats-officedocument.drawing+xml"/>
  <Override PartName="/xl/drawings/drawing5.xml" ContentType="application/vnd.openxmlformats-officedocument.drawing+xml"/>
  <Override PartName="/xl/drawings/drawing35.xml" ContentType="application/vnd.openxmlformats-officedocument.drawing+xml"/>
  <Override PartName="/xl/drawings/drawing6.xml" ContentType="application/vnd.openxmlformats-officedocument.drawing+xml"/>
  <Override PartName="/xl/drawings/drawing34.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3.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styles.xml" ContentType="application/vnd.openxmlformats-officedocument.spreadsheetml.styles+xml"/>
  <Override PartName="/xl/charts/colors12.xml" ContentType="application/vnd.ms-office.chartcolorstyle+xml"/>
  <Override PartName="/xl/charts/colors3.xml" ContentType="application/vnd.ms-office.chartcolorstyle+xml"/>
  <Override PartName="/xl/charts/style2.xml" ContentType="application/vnd.ms-office.chartstyle+xml"/>
  <Override PartName="/xl/charts/chart1.xml" ContentType="application/vnd.openxmlformats-officedocument.drawingml.chart+xml"/>
  <Override PartName="/xl/charts/chart2.xml" ContentType="application/vnd.openxmlformats-officedocument.drawingml.chart+xml"/>
  <Override PartName="/xl/charts/colors11.xml" ContentType="application/vnd.ms-office.chartcolorstyle+xml"/>
  <Override PartName="/xl/charts/style1.xml" ContentType="application/vnd.ms-office.chartstyle+xml"/>
  <Override PartName="/xl/charts/chart3.xml" ContentType="application/vnd.openxmlformats-officedocument.drawingml.chart+xml"/>
  <Override PartName="/xl/charts/colors10.xml" ContentType="application/vnd.ms-office.chartcolorstyle+xml"/>
  <Override PartName="/xl/charts/colors1.xml" ContentType="application/vnd.ms-office.chartcolorstyle+xml"/>
  <Override PartName="/xl/charts/colors13.xml" ContentType="application/vnd.ms-office.chartcolorstyle+xml"/>
  <Override PartName="/xl/charts/colors2.xml" ContentType="application/vnd.ms-office.chartcolorstyle+xml"/>
  <Override PartName="/xl/charts/style3.xml" ContentType="application/vnd.ms-office.chartstyle+xml"/>
  <Override PartName="/xl/charts/chart4.xml" ContentType="application/vnd.openxmlformats-officedocument.drawingml.chart+xml"/>
  <Override PartName="/xl/charts/colors14.xml" ContentType="application/vnd.ms-office.chartcolorstyle+xml"/>
  <Override PartName="/xl/charts/colors5.xml" ContentType="application/vnd.ms-office.chartcolorstyle+xml"/>
  <Override PartName="/xl/charts/style4.xml" ContentType="application/vnd.ms-office.chartstyle+xml"/>
  <Override PartName="/xl/charts/style5.xml" ContentType="application/vnd.ms-office.chartstyle+xml"/>
  <Override PartName="/xl/charts/colors4.xml" ContentType="application/vnd.ms-office.chartcolorstyle+xml"/>
  <Override PartName="/xl/charts/chart5.xml" ContentType="application/vnd.openxmlformats-officedocument.drawingml.chart+xml"/>
  <Override PartName="/xl/charts/chart6.xml" ContentType="application/vnd.openxmlformats-officedocument.drawingml.chart+xml"/>
  <Override PartName="/xl/charts/colors7.xml" ContentType="application/vnd.ms-office.chartcolorstyle+xml"/>
  <Override PartName="/xl/charts/style6.xml" ContentType="application/vnd.ms-office.chartstyle+xml"/>
  <Override PartName="/xl/charts/style7.xml" ContentType="application/vnd.ms-office.chartstyle+xml"/>
  <Override PartName="/xl/charts/colors6.xml" ContentType="application/vnd.ms-office.chartcolorstyle+xml"/>
  <Override PartName="/xl/charts/chart7.xml" ContentType="application/vnd.openxmlformats-officedocument.drawingml.chart+xml"/>
  <Override PartName="/xl/charts/chart8.xml" ContentType="application/vnd.openxmlformats-officedocument.drawingml.chart+xml"/>
  <Override PartName="/xl/charts/colors9.xml" ContentType="application/vnd.ms-office.chartcolorstyle+xml"/>
  <Override PartName="/xl/charts/style8.xml" ContentType="application/vnd.ms-office.chartstyle+xml"/>
  <Override PartName="/xl/charts/style9.xml" ContentType="application/vnd.ms-office.chartstyle+xml"/>
  <Override PartName="/xl/charts/colors8.xml" ContentType="application/vnd.ms-office.chartcolorstyle+xml"/>
  <Override PartName="/xl/charts/chart9.xml" ContentType="application/vnd.openxmlformats-officedocument.drawingml.chart+xml"/>
  <Override PartName="/xl/charts/style11.xml" ContentType="application/vnd.ms-office.chartstyle+xml"/>
  <Override PartName="/xl/charts/chart10.xml" ContentType="application/vnd.openxmlformats-officedocument.drawingml.chart+xml"/>
  <Override PartName="/xl/charts/style10.xml" ContentType="application/vnd.ms-office.chartstyle+xml"/>
  <Override PartName="/xl/charts/style12.xml" ContentType="application/vnd.ms-office.chartstyle+xml"/>
  <Override PartName="/xl/charts/chart11.xml" ContentType="application/vnd.openxmlformats-officedocument.drawingml.chart+xml"/>
  <Override PartName="/xl/charts/style13.xml" ContentType="application/vnd.ms-office.chartstyle+xml"/>
  <Override PartName="/xl/charts/chart12.xml" ContentType="application/vnd.openxmlformats-officedocument.drawingml.chart+xml"/>
  <Override PartName="/xl/charts/style14.xml" ContentType="application/vnd.ms-office.chartstyle+xml"/>
  <Override PartName="/xl/charts/chart13.xml" ContentType="application/vnd.openxmlformats-officedocument.drawingml.chart+xml"/>
  <Override PartName="/xl/charts/chart14.xml" ContentType="application/vnd.openxmlformats-officedocument.drawingml.chart+xml"/>
  <Override PartName="/xl/workbook.xml" ContentType="application/vnd.openxmlformats-officedocument.spreadsheetml.sheet.main+xml"/>
  <Override PartName="/xl/theme/theme1.xml" ContentType="application/vnd.openxmlformats-officedocument.theme+xml"/>
  <Override PartName="/xl/media/image2.gif" ContentType="image/gif"/>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7"/>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sumo" sheetId="1" state="visible" r:id="rId3"/>
    <sheet name="Gráfico Total PT e PF" sheetId="2" state="visible" r:id="rId4"/>
    <sheet name="Gráfico PFs de Baixa Toxicidade" sheetId="3" state="visible" r:id="rId5"/>
    <sheet name="Gráfico Total de Registros" sheetId="4" state="visible" r:id="rId6"/>
    <sheet name="Gráficos Classificações ANVISA" sheetId="5" state="visible" r:id="rId7"/>
    <sheet name="Gráfico Classificações IBAMA" sheetId="6" state="visible" r:id="rId8"/>
    <sheet name="Gráfico Fitorg" sheetId="7" state="visible" r:id="rId9"/>
    <sheet name="Gráfico Total de PFs" sheetId="8" state="visible" r:id="rId10"/>
    <sheet name="Gráfico Total de PTs" sheetId="9" state="visible" r:id="rId11"/>
    <sheet name="Gráfico - Registros Aprovados p" sheetId="10" state="visible" r:id="rId12"/>
    <sheet name="Gráfico Tempo Médio" sheetId="11" state="visible" r:id="rId13"/>
    <sheet name="Tabela Geral 2020 e Outros" sheetId="12" state="visible" r:id="rId14"/>
    <sheet name="2026 PF" sheetId="13" state="visible" r:id="rId15"/>
    <sheet name="2026 PT" sheetId="14" state="visible" r:id="rId16"/>
    <sheet name="2025" sheetId="15" state="visible" r:id="rId17"/>
    <sheet name="2024" sheetId="16" state="visible" r:id="rId18"/>
    <sheet name="2023" sheetId="17" state="visible" r:id="rId19"/>
    <sheet name="2022" sheetId="18" state="visible" r:id="rId20"/>
    <sheet name="2021" sheetId="19" state="visible" r:id="rId21"/>
    <sheet name="2020" sheetId="20" state="visible" r:id="rId22"/>
    <sheet name="2019" sheetId="21" state="visible" r:id="rId23"/>
    <sheet name="2018" sheetId="22" state="visible" r:id="rId24"/>
    <sheet name="2017" sheetId="23" state="visible" r:id="rId25"/>
    <sheet name="2016" sheetId="24" state="visible" r:id="rId26"/>
    <sheet name="2015" sheetId="25" state="visible" r:id="rId27"/>
    <sheet name="2014" sheetId="26" state="visible" r:id="rId28"/>
    <sheet name="2013" sheetId="27" state="visible" r:id="rId29"/>
    <sheet name="2012" sheetId="28" state="visible" r:id="rId30"/>
    <sheet name="2011" sheetId="29" state="visible" r:id="rId31"/>
    <sheet name="2010" sheetId="30" state="visible" r:id="rId32"/>
    <sheet name="2009" sheetId="31" state="visible" r:id="rId33"/>
    <sheet name="2008" sheetId="32" state="visible" r:id="rId34"/>
    <sheet name="2007" sheetId="33" state="visible" r:id="rId35"/>
    <sheet name="2006" sheetId="34" state="visible" r:id="rId36"/>
    <sheet name="2005" sheetId="35" state="visible" r:id="rId37"/>
    <sheet name="2004" sheetId="36" state="visible" r:id="rId38"/>
    <sheet name="2003" sheetId="37" state="visible" r:id="rId39"/>
    <sheet name="2002" sheetId="38" state="visible" r:id="rId40"/>
    <sheet name="2001" sheetId="39" state="visible" r:id="rId41"/>
    <sheet name="2000" sheetId="40" state="visible" r:id="rId42"/>
  </sheets>
  <definedNames>
    <definedName function="false" hidden="true" localSheetId="39" name="_xlnm._FilterDatabase" vbProcedure="false">'2000'!$A$1:$M$92</definedName>
    <definedName function="false" hidden="true" localSheetId="38" name="_xlnm._FilterDatabase" vbProcedure="false">'2001'!$A$1:$M$92</definedName>
    <definedName function="false" hidden="true" localSheetId="37" name="_xlnm._FilterDatabase" vbProcedure="false">'2002'!$A$1:$M$92</definedName>
    <definedName function="false" hidden="true" localSheetId="36" name="_xlnm._FilterDatabase" vbProcedure="false">'2003'!$A$1:$M$92</definedName>
    <definedName function="false" hidden="true" localSheetId="35" name="_xlnm._FilterDatabase" vbProcedure="false">'2004'!$A$1:$M$92</definedName>
    <definedName function="false" hidden="true" localSheetId="34" name="_xlnm._FilterDatabase" vbProcedure="false">'2005'!$A$1:$M$93</definedName>
    <definedName function="false" hidden="true" localSheetId="33" name="_xlnm._FilterDatabase" vbProcedure="false">'2006'!$A$1:$M$111</definedName>
    <definedName function="false" hidden="true" localSheetId="32" name="_xlnm._FilterDatabase" vbProcedure="false">'2007'!$A$1:$M$204</definedName>
    <definedName function="false" hidden="true" localSheetId="31" name="_xlnm._FilterDatabase" vbProcedure="false">'2008'!$A$1:$M$199</definedName>
    <definedName function="false" hidden="true" localSheetId="30" name="_xlnm._FilterDatabase" vbProcedure="false">'2009'!$A$1:$I$139</definedName>
    <definedName function="false" hidden="true" localSheetId="29" name="_xlnm._FilterDatabase" vbProcedure="false">'2010'!$A$1:$I$106</definedName>
    <definedName function="false" hidden="true" localSheetId="28" name="_xlnm._FilterDatabase" vbProcedure="false">'2011'!$A$1:$M$149</definedName>
    <definedName function="false" hidden="true" localSheetId="27" name="_xlnm._FilterDatabase" vbProcedure="false">'2012'!$A$1:$M$169</definedName>
    <definedName function="false" hidden="true" localSheetId="26" name="_xlnm._FilterDatabase" vbProcedure="false">'2013'!$A$1:$M$1</definedName>
    <definedName function="false" hidden="true" localSheetId="25" name="_xlnm._FilterDatabase" vbProcedure="false">'2014'!$A$1:$M$151</definedName>
    <definedName function="false" hidden="true" localSheetId="24" name="_xlnm._FilterDatabase" vbProcedure="false">'2015'!$A$1:$M$140</definedName>
    <definedName function="false" hidden="true" localSheetId="23" name="_xlnm._FilterDatabase" vbProcedure="false">'2016'!$A$1:$L$280</definedName>
    <definedName function="false" hidden="true" localSheetId="22" name="_xlnm._FilterDatabase" vbProcedure="false">'2017'!$A$1:$L$406</definedName>
    <definedName function="false" hidden="true" localSheetId="21" name="_xlnm._FilterDatabase" vbProcedure="false">'2018'!$A$1:$L$453</definedName>
    <definedName function="false" hidden="true" localSheetId="20" name="_xlnm._FilterDatabase" vbProcedure="false">'2019'!$A$1:$L$493</definedName>
    <definedName function="false" hidden="true" localSheetId="19" name="_xlnm._FilterDatabase" vbProcedure="false">'2020'!$A$1:$M$495</definedName>
    <definedName function="false" hidden="true" localSheetId="18" name="_xlnm._FilterDatabase" vbProcedure="false">'2021'!$A$1:$M$564</definedName>
    <definedName function="false" hidden="true" localSheetId="17" name="_xlnm._FilterDatabase" vbProcedure="false">'2022'!$A$1:$M$653</definedName>
    <definedName function="false" hidden="true" localSheetId="16" name="_xlnm._FilterDatabase" vbProcedure="false">'2023'!$A$1:$M$660</definedName>
    <definedName function="false" hidden="true" localSheetId="15" name="_xlnm._FilterDatabase" vbProcedure="false">'2024'!$A$1:$M$664</definedName>
    <definedName function="false" hidden="true" localSheetId="14" name="_xlnm._FilterDatabase" vbProcedure="false">'2025'!$A$1:$M$913</definedName>
    <definedName function="false" hidden="true" localSheetId="12" name="_xlnm._FilterDatabase" vbProcedure="false">'2026 PF'!$A$1:$Z$1001</definedName>
    <definedName function="false" hidden="true" localSheetId="13" name="_xlnm._FilterDatabase" vbProcedure="false">'2026 PT'!$A$1:$M$365</definedName>
    <definedName function="false" hidden="false" name="_Hlk63864045" vbProcedure="false">#ref!</definedName>
    <definedName function="false" hidden="false" localSheetId="12" name="Z_7B996136_A29B_4E90_9D2B_A2C214369ABB_.wvu.FilterData" vbProcedure="false">'2026 PF'!$G$1:$G$1002</definedName>
    <definedName function="false" hidden="false" localSheetId="12" name="_Hlk63864045" vbProcedure="false">'2026 PF'!$F$65</definedName>
    <definedName function="false" hidden="false" localSheetId="13" name="Z_033DF13A_5A78_4C49_810B_105048099F7F_.wvu.FilterData" vbProcedure="false">'2026 PT'!$A$1:$M$353</definedName>
    <definedName function="false" hidden="false" localSheetId="13" name="Z_0CF6881F_4732_4B6D_B425_FD247DC3B855_.wvu.FilterData" vbProcedure="false">'2026 PT'!$A$1:$M$353</definedName>
    <definedName function="false" hidden="false" localSheetId="13" name="Z_12584F94_00E2_47F7_9968_DCF0CFBB877B_.wvu.FilterData" vbProcedure="false">'2026 PT'!$A$1:$M$353</definedName>
    <definedName function="false" hidden="false" localSheetId="13" name="Z_12A26691_D759_4306_8CAD_0DFADEEBC377_.wvu.FilterData" vbProcedure="false">'2026 PT'!$A$1:$M$354</definedName>
    <definedName function="false" hidden="false" localSheetId="13" name="Z_14EC3040_CBE8_4EBF_95C7_3D6C79556AEA_.wvu.FilterData" vbProcedure="false">'2026 PT'!$A$1:$M$353</definedName>
    <definedName function="false" hidden="false" localSheetId="13" name="Z_171A2F25_A5CA_4794_B23A_CBD63482EFAD_.wvu.FilterData" vbProcedure="false">'2026 PT'!$A$1:$M$353</definedName>
    <definedName function="false" hidden="false" localSheetId="13" name="Z_1F8548CF_9727_44A9_891C_36DFDEE4D844_.wvu.FilterData" vbProcedure="false">'2026 PT'!$A$1:$M$354</definedName>
    <definedName function="false" hidden="false" localSheetId="13" name="Z_1FB86397_E13D_4826_A4DD_9CF77B62946A_.wvu.FilterData" vbProcedure="false">'2026 PT'!$A$1:$M$353</definedName>
    <definedName function="false" hidden="false" localSheetId="13" name="Z_2D5BEE50_72DC_4606_B5C1_039E12C9B938_.wvu.FilterData" vbProcedure="false">'2026 PT'!$A$1:$M$354</definedName>
    <definedName function="false" hidden="false" localSheetId="13" name="Z_37D8B59B_D629_4BE9_9E74_EA4E5C1420C5_.wvu.FilterData" vbProcedure="false">'2026 PT'!$A$1:$M$353</definedName>
    <definedName function="false" hidden="false" localSheetId="13" name="Z_3EA02BA7_D22A_4C20_8845_46FF59C2901B_.wvu.FilterData" vbProcedure="false">'2026 PT'!$B$352:$B$353</definedName>
    <definedName function="false" hidden="false" localSheetId="13" name="Z_3FDDBB7F_BB50_45E9_9004_732F2ABCCB6B_.wvu.FilterData" vbProcedure="false">'2026 PT'!$A$1:$M$353</definedName>
    <definedName function="false" hidden="false" localSheetId="13" name="Z_416C3207_6D3A_4920_917B_9CEEB29713DF_.wvu.FilterData" vbProcedure="false">'2026 PT'!$A$1:$M$353</definedName>
    <definedName function="false" hidden="false" localSheetId="13" name="Z_4B012276_3DA9_4236_AA63_B8BBA9E9CF74_.wvu.FilterData" vbProcedure="false">'2026 PT'!$A$1:$M$353</definedName>
    <definedName function="false" hidden="false" localSheetId="13" name="Z_4C749B58_F93D_4418_AD02_E1F964A7BDE0_.wvu.FilterData" vbProcedure="false">'2026 PT'!$A$1:$M$353</definedName>
    <definedName function="false" hidden="false" localSheetId="13" name="Z_553DD909_B87C_473F_9EBF_D0F6FFC7F859_.wvu.FilterData" vbProcedure="false">'2026 PT'!$A$1:$M$353</definedName>
    <definedName function="false" hidden="false" localSheetId="13" name="Z_5793B7CA_0666_418D_868F_9DFE931BCB66_.wvu.FilterData" vbProcedure="false">'2026 PT'!$A$1:$M$353</definedName>
    <definedName function="false" hidden="false" localSheetId="13" name="Z_6309E969_2B5B_41DA_84B7_D387F35A22C0_.wvu.FilterData" vbProcedure="false">'2026 PT'!$A$1:$M$353</definedName>
    <definedName function="false" hidden="false" localSheetId="13" name="Z_6B2E54F1_2C08_40AE_AD01_07E6F488B0DC_.wvu.FilterData" vbProcedure="false">'2026 PT'!$A$1:$M$353</definedName>
    <definedName function="false" hidden="false" localSheetId="13" name="Z_7895FB5F_CB9B_46EA_ADFE_B04B80C73ECB_.wvu.FilterData" vbProcedure="false">'2026 PT'!$A$1:$M$354</definedName>
    <definedName function="false" hidden="false" localSheetId="13" name="Z_7B996136_A29B_4E90_9D2B_A2C214369ABB_.wvu.FilterData" vbProcedure="false">'2026 PT'!$B$535</definedName>
    <definedName function="false" hidden="false" localSheetId="13" name="Z_8540139B_118F_4651_9CF5_B14D9129E2CD_.wvu.FilterData" vbProcedure="false">'2026 PT'!$A$1:$M$353</definedName>
    <definedName function="false" hidden="false" localSheetId="13" name="Z_8A523524_C0A0_4DDA_9D1D_439370948522_.wvu.FilterData" vbProcedure="false">'2026 PT'!$A$1:$M$354</definedName>
    <definedName function="false" hidden="false" localSheetId="13" name="Z_91F7DF6F_CCB2_4765_A964_473DB3B7C542_.wvu.FilterData" vbProcedure="false">'2026 PT'!$A$1:$M$353</definedName>
    <definedName function="false" hidden="false" localSheetId="13" name="Z_9A40EACC_81E3_4530_AFF4_69CC63A69DD2_.wvu.FilterData" vbProcedure="false">'2026 PT'!$A$1:$M$353</definedName>
    <definedName function="false" hidden="false" localSheetId="13" name="Z_9DF3EED8_439F_450C_A959_11EAAF1844A5_.wvu.FilterData" vbProcedure="false">'2026 PT'!$A$1:$M$353</definedName>
    <definedName function="false" hidden="false" localSheetId="13" name="Z_A7C18A0D_085F_4DBE_861D_232C32ACD924_.wvu.FilterData" vbProcedure="false">'2026 PT'!$A$1:$M$353</definedName>
    <definedName function="false" hidden="false" localSheetId="13" name="Z_AC616951_7C4F_4934_9AC5_4C5AE54EBB49_.wvu.FilterData" vbProcedure="false">'2026 PT'!$A$1:$M$353</definedName>
    <definedName function="false" hidden="false" localSheetId="13" name="Z_AFCADD96_BC83_449F_A467_32B7A2A06670_.wvu.FilterData" vbProcedure="false">'2026 PT'!$A$1:$M$354</definedName>
    <definedName function="false" hidden="false" localSheetId="13" name="Z_B3236616_531C_4623_964E_AE702017D24F_.wvu.FilterData" vbProcedure="false">'2026 PT'!$D$157:$D$173</definedName>
    <definedName function="false" hidden="false" localSheetId="13" name="Z_B3ECEF88_7181_47CC_A2D6_E65CF12D22C6_.wvu.FilterData" vbProcedure="false">'2026 PT'!$A$1:$M$354</definedName>
    <definedName function="false" hidden="false" localSheetId="13" name="Z_B427A64D_C52C_47FE_AFB6_EC41E15283AE_.wvu.FilterData" vbProcedure="false">'2026 PT'!$A$1:$M$353</definedName>
    <definedName function="false" hidden="false" localSheetId="13" name="Z_B4E8DF56_EF8B_4220_B88E_F6FBE8FF477C_.wvu.FilterData" vbProcedure="false">'2026 PT'!$A$1:$M$353</definedName>
    <definedName function="false" hidden="false" localSheetId="13" name="Z_B7B00A8D_566E_4364_95D9_734E2C570178_.wvu.FilterData" vbProcedure="false">'2026 PT'!$A$1:$M$353</definedName>
    <definedName function="false" hidden="false" localSheetId="13" name="Z_BFB7E6B0_2BAE_400E_B570_9C437BAC1103_.wvu.FilterData" vbProcedure="false">'2026 PT'!$A$1:$M$353</definedName>
    <definedName function="false" hidden="false" localSheetId="13" name="Z_C0D0958A_7DC2_4269_8C29_16D463EF1513_.wvu.FilterData" vbProcedure="false">'2026 PT'!$A$1:$M$353</definedName>
    <definedName function="false" hidden="false" localSheetId="13" name="Z_C10A6738_783E_4793_8A1C_A5F61F54F142_.wvu.FilterData" vbProcedure="false">'2026 PT'!$A$1:$M$354</definedName>
    <definedName function="false" hidden="false" localSheetId="13" name="Z_C27BEDBF_87E0_4B96_8A75_8DCEDC99CBE2_.wvu.FilterData" vbProcedure="false">'2026 PT'!$A$1:$M$353</definedName>
    <definedName function="false" hidden="false" localSheetId="13" name="Z_D58F31DF_7792_4C8B_B4C4_BB2BC7C5CC09_.wvu.FilterData" vbProcedure="false">'2026 PT'!$A$1:$M$354</definedName>
    <definedName function="false" hidden="false" localSheetId="13" name="Z_D981C747_E7C5_4DBF_9D71_E168D18857AD_.wvu.FilterData" vbProcedure="false">'2026 PT'!$A$1:$M$353</definedName>
    <definedName function="false" hidden="false" localSheetId="13" name="Z_DA70BE12_D429_4B0B_AC3B_3065EBDD873B_.wvu.FilterData" vbProcedure="false">'2026 PT'!$A$1:$M$353</definedName>
    <definedName function="false" hidden="false" localSheetId="13" name="Z_DC172A25_9F20_4816_933E_A9B3ED61EA69_.wvu.FilterData" vbProcedure="false">'2026 PT'!$A$1:$M$353</definedName>
    <definedName function="false" hidden="false" localSheetId="13" name="Z_DE30ED47_2C7E_47E6_BCB3_5F4D31EAE54D_.wvu.FilterData" vbProcedure="false">'2026 PT'!$A$1:$M$353</definedName>
    <definedName function="false" hidden="false" localSheetId="13" name="Z_E5360315_FBD0_472E_9740_9C27A4F325ED_.wvu.FilterData" vbProcedure="false">'2026 PT'!$A$1:$M$353</definedName>
    <definedName function="false" hidden="false" localSheetId="13" name="Z_F7CD2EC9_4E9F_4FC5_A54B_1D4FC29A378F_.wvu.FilterData" vbProcedure="false">'2026 PT'!$A$1:$M$354</definedName>
    <definedName function="false" hidden="false" localSheetId="13" name="Z_FC420C39_AEFB_4ADE_8D73_B51EA6A7CE19_.wvu.FilterData" vbProcedure="false">'2026 PT'!$A$1:$M$354</definedName>
    <definedName function="false" hidden="false" localSheetId="14" name="Z_7B996136_A29B_4E90_9D2B_A2C214369ABB_.wvu.FilterData" vbProcedure="false">'2025'!$A$1:$M$98</definedName>
    <definedName function="false" hidden="false" localSheetId="15" name="Z_7B996136_A29B_4E90_9D2B_A2C214369ABB_.wvu.FilterData" vbProcedure="false">'2024'!$A$1:$M$98</definedName>
    <definedName function="false" hidden="false" localSheetId="16" name="Z_7B996136_A29B_4E90_9D2B_A2C214369ABB_.wvu.FilterData" vbProcedure="false">'2023'!$A$1:$M$653</definedName>
    <definedName function="false" hidden="false" localSheetId="17" name="Z_7B996136_A29B_4E90_9D2B_A2C214369ABB_.wvu.FilterData" vbProcedure="false">'2022'!$A$1:$M$653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<sst xmlns="http://schemas.openxmlformats.org/spreadsheetml/2006/main" count="60611" uniqueCount="20646">
  <si>
    <t xml:space="preserve">Ministério da Agricultura e Pecuária - MAPA</t>
  </si>
  <si>
    <t xml:space="preserve">Secretaria de Defesa Agropecuária - SDA </t>
  </si>
  <si>
    <t xml:space="preserve">Departamento de Sanidade Vegetal e Insumos Agrícolas - DSV</t>
  </si>
  <si>
    <t xml:space="preserve">Coordenação-Geral de Agrotóxicos e Afins - CGAA</t>
  </si>
  <si>
    <t xml:space="preserve">Resumo de Registro de Agrotóxicos, Componentes e Afins</t>
  </si>
  <si>
    <t xml:space="preserve">Produto Técnico - PT</t>
  </si>
  <si>
    <t xml:space="preserve">Produto Técnico a Base de Ingrediente Ativo Novo - PTN</t>
  </si>
  <si>
    <t xml:space="preserve">Produto Técnico Equivalente - PTE</t>
  </si>
  <si>
    <t xml:space="preserve">Pré-Mistura</t>
  </si>
  <si>
    <t xml:space="preserve">Total Produtos Técnicos (PT + PTN + PTE + Pré-Mistura)</t>
  </si>
  <si>
    <t xml:space="preserve">Produto Formulado - PF</t>
  </si>
  <si>
    <t xml:space="preserve">Produto Formulado a Base de Ingrediente Ativo Novo - PFN</t>
  </si>
  <si>
    <t xml:space="preserve">Produto Formulado com Base em Produto Técnico Equivalente - PF/PTE</t>
  </si>
  <si>
    <t xml:space="preserve">Produto Formulado de Baixo Risco - Bio</t>
  </si>
  <si>
    <t xml:space="preserve">Produto Formulado para a Agricultura Orgânica - Bio/Org</t>
  </si>
  <si>
    <t xml:space="preserve">Total de Produtos Formulados de Baixo Risco (Bio + Bio/Org)</t>
  </si>
  <si>
    <t xml:space="preserve">Total de Produtos Formulados Químicos  (PF + PFN + PF/PTE)</t>
  </si>
  <si>
    <t xml:space="preserve">Total de Produtos Formulados (PF + PFN + PF/PTE + Bio + Bio/Org)</t>
  </si>
  <si>
    <t xml:space="preserve">Total Geral de Registros</t>
  </si>
  <si>
    <t xml:space="preserve">Legenda</t>
  </si>
  <si>
    <r>
      <rPr>
        <b val="true"/>
        <sz val="10"/>
        <color rgb="FF274E13"/>
        <rFont val="Arial"/>
        <family val="2"/>
        <charset val="1"/>
      </rPr>
      <t xml:space="preserve">PT</t>
    </r>
    <r>
      <rPr>
        <sz val="10"/>
        <color rgb="FF274E13"/>
        <rFont val="Arial"/>
        <family val="2"/>
        <charset val="1"/>
      </rPr>
      <t xml:space="preserve"> - Produto Técnico</t>
    </r>
  </si>
  <si>
    <r>
      <rPr>
        <b val="true"/>
        <sz val="10"/>
        <color rgb="FF274E13"/>
        <rFont val="Arial"/>
        <family val="2"/>
        <charset val="1"/>
      </rPr>
      <t xml:space="preserve">PF</t>
    </r>
    <r>
      <rPr>
        <sz val="10"/>
        <color rgb="FF274E13"/>
        <rFont val="Arial"/>
        <family val="2"/>
        <charset val="1"/>
      </rPr>
      <t xml:space="preserve"> - Produto Formulado</t>
    </r>
  </si>
  <si>
    <r>
      <rPr>
        <b val="true"/>
        <sz val="10"/>
        <color rgb="FF274E13"/>
        <rFont val="Arial"/>
        <family val="2"/>
        <charset val="1"/>
      </rPr>
      <t xml:space="preserve">PFN</t>
    </r>
    <r>
      <rPr>
        <sz val="10"/>
        <color rgb="FF274E13"/>
        <rFont val="Arial"/>
        <family val="2"/>
        <charset val="1"/>
      </rPr>
      <t xml:space="preserve"> - Produto Formulado a Base de Ingrediente Ativo Novo</t>
    </r>
  </si>
  <si>
    <r>
      <rPr>
        <b val="true"/>
        <sz val="10"/>
        <color rgb="FF274E13"/>
        <rFont val="Arial"/>
        <family val="2"/>
        <charset val="1"/>
      </rPr>
      <t xml:space="preserve">PF/PTE</t>
    </r>
    <r>
      <rPr>
        <sz val="10"/>
        <color rgb="FF274E13"/>
        <rFont val="Arial"/>
        <family val="2"/>
        <charset val="1"/>
      </rPr>
      <t xml:space="preserve"> - Produto Formulado com Base em Produto Técnico Equivalente</t>
    </r>
  </si>
  <si>
    <r>
      <rPr>
        <b val="true"/>
        <sz val="10"/>
        <color rgb="FF274E13"/>
        <rFont val="Arial"/>
        <family val="2"/>
        <charset val="1"/>
      </rPr>
      <t xml:space="preserve">PTN</t>
    </r>
    <r>
      <rPr>
        <sz val="10"/>
        <color rgb="FF274E13"/>
        <rFont val="Arial"/>
        <family val="2"/>
        <charset val="1"/>
      </rPr>
      <t xml:space="preserve"> - Produto Técnico a Base de Ingrediente Ativo Novo</t>
    </r>
  </si>
  <si>
    <r>
      <rPr>
        <b val="true"/>
        <sz val="10"/>
        <color rgb="FF274E13"/>
        <rFont val="Arial"/>
        <family val="0"/>
        <charset val="1"/>
      </rPr>
      <t xml:space="preserve">Bio/Org</t>
    </r>
    <r>
      <rPr>
        <sz val="10"/>
        <color rgb="FF274E13"/>
        <rFont val="Arial"/>
        <family val="0"/>
        <charset val="1"/>
      </rPr>
      <t xml:space="preserve"> - Produto Formulado Biológico, Microbiológico, Bioquímico, Extrato Vegetal, Regulador de Crescimento ou Semioquímico, para a Agricultura Orgânica</t>
    </r>
  </si>
  <si>
    <r>
      <rPr>
        <b val="true"/>
        <sz val="10"/>
        <color rgb="FF274E13"/>
        <rFont val="Arial"/>
        <family val="2"/>
        <charset val="1"/>
      </rPr>
      <t xml:space="preserve">PTE</t>
    </r>
    <r>
      <rPr>
        <sz val="10"/>
        <color rgb="FF274E13"/>
        <rFont val="Arial"/>
        <family val="2"/>
        <charset val="1"/>
      </rPr>
      <t xml:space="preserve"> - Produto Técnico Equivalente</t>
    </r>
  </si>
  <si>
    <r>
      <rPr>
        <b val="true"/>
        <sz val="10"/>
        <color rgb="FF274E13"/>
        <rFont val="Arial"/>
        <family val="2"/>
        <charset val="1"/>
      </rPr>
      <t xml:space="preserve">Bio</t>
    </r>
    <r>
      <rPr>
        <sz val="10"/>
        <color rgb="FF274E13"/>
        <rFont val="Arial"/>
        <family val="2"/>
        <charset val="1"/>
      </rPr>
      <t xml:space="preserve"> - Produto Formulado Biológico, Microbiológico, Bioquímico, Extrato Vegetal, Regulador de Crescimento ou Semioquímico; de Baixo Risco</t>
    </r>
  </si>
  <si>
    <t xml:space="preserve">Critérios:</t>
  </si>
  <si>
    <r>
      <rPr>
        <b val="true"/>
        <sz val="12"/>
        <color rgb="FF274E13"/>
        <rFont val="Arial"/>
        <family val="2"/>
        <charset val="1"/>
      </rPr>
      <t xml:space="preserve">PF/PTE</t>
    </r>
    <r>
      <rPr>
        <sz val="12"/>
        <color rgb="FF274E13"/>
        <rFont val="Arial"/>
        <family val="2"/>
        <charset val="1"/>
      </rPr>
      <t xml:space="preserve"> - São considerados Produtos Formulados a Base em Produto Técnco Equivalente os produtos que contenham apenas produtos técnicos registrados por comparação a produtos já registrados.</t>
    </r>
  </si>
  <si>
    <r>
      <rPr>
        <b val="true"/>
        <sz val="12"/>
        <color rgb="FF274E13"/>
        <rFont val="Arial"/>
        <family val="2"/>
        <charset val="1"/>
      </rPr>
      <t xml:space="preserve">PFN</t>
    </r>
    <r>
      <rPr>
        <sz val="12"/>
        <color rgb="FF274E13"/>
        <rFont val="Arial"/>
        <family val="2"/>
        <charset val="1"/>
      </rPr>
      <t xml:space="preserve"> - São considerados Produto Formulado a Base de Ingrediente Ativo Novo os produtos a base de ao menos uma nova substância, registrados no mesmo ano do PTN - Produto Técnico a Base de Ingrediente Ativo Novo ou no ano subsequente.</t>
    </r>
  </si>
  <si>
    <r>
      <rPr>
        <b val="true"/>
        <sz val="12"/>
        <color rgb="FF274E13"/>
        <rFont val="Arial"/>
        <family val="2"/>
        <charset val="1"/>
      </rPr>
      <t xml:space="preserve">Bio</t>
    </r>
    <r>
      <rPr>
        <sz val="12"/>
        <color rgb="FF274E13"/>
        <rFont val="Arial"/>
        <family val="2"/>
        <charset val="1"/>
      </rPr>
      <t xml:space="preserve"> - O registro de Produto Formulado Biológico, Microbiológico, Bioquímico, Extrato Vegetal, Regulador de Crescimento ou Semioquímico com classificações Classe IV - Produto Pouco Perigoso ao Meio Ambiente, conforme avaliação do IBAMA, e Categoria 5 - Produto Improvável de Causar Dano Agudo ou Não Classificado - Produto Não Classificado, pela ANVISA.</t>
    </r>
  </si>
  <si>
    <t xml:space="preserve">Observações:</t>
  </si>
  <si>
    <r>
      <rPr>
        <b val="true"/>
        <sz val="12"/>
        <color rgb="FF274E13"/>
        <rFont val="Arial"/>
        <family val="2"/>
        <charset val="1"/>
      </rPr>
      <t xml:space="preserve">PTE e PF/PTE</t>
    </r>
    <r>
      <rPr>
        <sz val="12"/>
        <color rgb="FF274E13"/>
        <rFont val="Arial"/>
        <family val="2"/>
        <charset val="1"/>
      </rPr>
      <t xml:space="preserve"> - O registro de Produto Técnico Equivalente e Produto Formulado com Base em Produto Técncio Equivalente se iniciou a partir da previsão legal disposta no Decreto n.</t>
    </r>
    <r>
      <rPr>
        <sz val="12"/>
        <color rgb="FF274E13"/>
        <rFont val="Calibri"/>
        <family val="2"/>
        <charset val="1"/>
      </rPr>
      <t xml:space="preserve">°</t>
    </r>
    <r>
      <rPr>
        <sz val="12"/>
        <color rgb="FF274E13"/>
        <rFont val="Arial"/>
        <family val="2"/>
        <charset val="1"/>
      </rPr>
      <t xml:space="preserve"> 5981, de 06 de dezembro de 2006.</t>
    </r>
  </si>
  <si>
    <r>
      <rPr>
        <b val="true"/>
        <sz val="12"/>
        <color rgb="FF274E13"/>
        <rFont val="Arial"/>
        <family val="2"/>
        <charset val="1"/>
      </rPr>
      <t xml:space="preserve">Bio/Org</t>
    </r>
    <r>
      <rPr>
        <sz val="12"/>
        <color rgb="FF274E13"/>
        <rFont val="Arial"/>
        <family val="2"/>
        <charset val="1"/>
      </rPr>
      <t xml:space="preserve"> - O registro de Produto Formulado Biológico, Microbiológico, Bioquímico, Extrato Vegetal, Regulador de Crescimento ou Semioquímico, para a Agricultura Orgânica se iniciou a partir da previsão legal disposta no Decreto n.° 6913, de 23 de julho de 2009.</t>
    </r>
  </si>
  <si>
    <t xml:space="preserve">=</t>
  </si>
  <si>
    <t xml:space="preserve">Classificação Toxicolóxica - ANVISA - Consolidado</t>
  </si>
  <si>
    <t xml:space="preserve">2025
Número de Registros Aprovados por Ano de Submissão</t>
  </si>
  <si>
    <t xml:space="preserve">Classificação</t>
  </si>
  <si>
    <t xml:space="preserve">Ano de Submissão</t>
  </si>
  <si>
    <t xml:space="preserve">Numero de Registros Aprovados</t>
  </si>
  <si>
    <t xml:space="preserve">% do ano</t>
  </si>
  <si>
    <t xml:space="preserve">I - Extremamente tóxico</t>
  </si>
  <si>
    <t xml:space="preserve">Categoria 1 - Produto Extremamente Tóxico</t>
  </si>
  <si>
    <t xml:space="preserve">Categoria 2 - Produto Altamente Tóxico</t>
  </si>
  <si>
    <t xml:space="preserve">II - Altamente tóxico</t>
  </si>
  <si>
    <t xml:space="preserve">Categoria 3 - Produto Moderadamente Tóxico</t>
  </si>
  <si>
    <t xml:space="preserve">III - Medianamente tóxico</t>
  </si>
  <si>
    <t xml:space="preserve">Categoria 4 - Produto Pouco Tóxico</t>
  </si>
  <si>
    <t xml:space="preserve">Categoria 5 - Produto Improvável de Causar Dano Agudo</t>
  </si>
  <si>
    <t xml:space="preserve">IV - Pouco tóxico</t>
  </si>
  <si>
    <t xml:space="preserve">Não classificado - Produto não classificado</t>
  </si>
  <si>
    <t xml:space="preserve">Não determinada devido à natureza do produto (Inimigos Naturais)</t>
  </si>
  <si>
    <t xml:space="preserve">O perfil toxicológico foi considerado equivalente ao produto técnico de referência</t>
  </si>
  <si>
    <t xml:space="preserve">Total</t>
  </si>
  <si>
    <t xml:space="preserve">Classificação de Periculosidade Ambiental - IBAMA - Consolidado</t>
  </si>
  <si>
    <t xml:space="preserve">Todos</t>
  </si>
  <si>
    <t xml:space="preserve">I - Produto altamente perigoso ao meio ambiente</t>
  </si>
  <si>
    <t xml:space="preserve">II - Produto muito perigoso ao meio ambiente</t>
  </si>
  <si>
    <t xml:space="preserve">Meses de Deferimento de Registros de Agrotóxicos - 2025</t>
  </si>
  <si>
    <t xml:space="preserve">III - Produto perigoso ao meio ambiente</t>
  </si>
  <si>
    <t xml:space="preserve">IV - Produto pouco perigoso ao meio ambiente</t>
  </si>
  <si>
    <t xml:space="preserve">Mês de Deferimento</t>
  </si>
  <si>
    <t xml:space="preserve">Janeiro</t>
  </si>
  <si>
    <t xml:space="preserve">Fevereiro</t>
  </si>
  <si>
    <t xml:space="preserve">Tempo de Tramitação Médio dos Registros de Agrotóxicos e Afins (Em Meses)</t>
  </si>
  <si>
    <t xml:space="preserve">Março</t>
  </si>
  <si>
    <t xml:space="preserve">Abril</t>
  </si>
  <si>
    <t xml:space="preserve">Maio</t>
  </si>
  <si>
    <t xml:space="preserve">Tipo de Processo</t>
  </si>
  <si>
    <t xml:space="preserve">Junho</t>
  </si>
  <si>
    <r>
      <rPr>
        <b val="true"/>
        <sz val="11"/>
        <color rgb="FF274E13"/>
        <rFont val="Arial"/>
        <family val="2"/>
        <charset val="1"/>
      </rPr>
      <t xml:space="preserve">PT</t>
    </r>
    <r>
      <rPr>
        <sz val="11"/>
        <color rgb="FF274E13"/>
        <rFont val="Arial"/>
        <family val="2"/>
        <charset val="1"/>
      </rPr>
      <t xml:space="preserve"> - Produto Técnico</t>
    </r>
  </si>
  <si>
    <t xml:space="preserve">Julho</t>
  </si>
  <si>
    <r>
      <rPr>
        <b val="true"/>
        <sz val="11"/>
        <color rgb="FF274E13"/>
        <rFont val="Arial"/>
        <family val="2"/>
        <charset val="1"/>
      </rPr>
      <t xml:space="preserve">PTN</t>
    </r>
    <r>
      <rPr>
        <sz val="11"/>
        <color rgb="FF274E13"/>
        <rFont val="Arial"/>
        <family val="2"/>
        <charset val="1"/>
      </rPr>
      <t xml:space="preserve"> - Produto Técnico a Base de Ingrediente Ativo Novo</t>
    </r>
  </si>
  <si>
    <t xml:space="preserve">Agosto</t>
  </si>
  <si>
    <r>
      <rPr>
        <b val="true"/>
        <sz val="11"/>
        <color rgb="FF274E13"/>
        <rFont val="Arial"/>
        <family val="2"/>
        <charset val="1"/>
      </rPr>
      <t xml:space="preserve">PTE</t>
    </r>
    <r>
      <rPr>
        <sz val="11"/>
        <color rgb="FF274E13"/>
        <rFont val="Arial"/>
        <family val="2"/>
        <charset val="1"/>
      </rPr>
      <t xml:space="preserve"> - Produto Técnico Equivalente</t>
    </r>
  </si>
  <si>
    <t xml:space="preserve">Setembro</t>
  </si>
  <si>
    <r>
      <rPr>
        <b val="true"/>
        <sz val="11"/>
        <color rgb="FF274E13"/>
        <rFont val="Arial"/>
        <family val="2"/>
        <charset val="1"/>
      </rPr>
      <t xml:space="preserve">Pré-Mistura</t>
    </r>
    <r>
      <rPr>
        <sz val="11"/>
        <color rgb="FF274E13"/>
        <rFont val="Arial"/>
        <family val="2"/>
        <charset val="1"/>
      </rPr>
      <t xml:space="preserve"> - Produto Pré-mistura</t>
    </r>
  </si>
  <si>
    <t xml:space="preserve">Outubro</t>
  </si>
  <si>
    <r>
      <rPr>
        <b val="true"/>
        <sz val="11"/>
        <color rgb="FF274E13"/>
        <rFont val="Arial"/>
        <family val="2"/>
        <charset val="1"/>
      </rPr>
      <t xml:space="preserve">PF </t>
    </r>
    <r>
      <rPr>
        <sz val="11"/>
        <color rgb="FF274E13"/>
        <rFont val="Arial"/>
        <family val="2"/>
        <charset val="1"/>
      </rPr>
      <t xml:space="preserve">- Produto Formulado</t>
    </r>
  </si>
  <si>
    <t xml:space="preserve">Novembro</t>
  </si>
  <si>
    <r>
      <rPr>
        <b val="true"/>
        <sz val="11"/>
        <color rgb="FF274E13"/>
        <rFont val="Arial"/>
        <family val="2"/>
        <charset val="1"/>
      </rPr>
      <t xml:space="preserve">PFN </t>
    </r>
    <r>
      <rPr>
        <sz val="11"/>
        <color rgb="FF274E13"/>
        <rFont val="Arial"/>
        <family val="2"/>
        <charset val="1"/>
      </rPr>
      <t xml:space="preserve">- Produto Formulado a Base de Ingrediente Ativo Novo</t>
    </r>
  </si>
  <si>
    <t xml:space="preserve">Dezembro</t>
  </si>
  <si>
    <r>
      <rPr>
        <b val="true"/>
        <sz val="11"/>
        <color rgb="FF274E13"/>
        <rFont val="Arial"/>
        <family val="2"/>
        <charset val="1"/>
      </rPr>
      <t xml:space="preserve">PF/PTE</t>
    </r>
    <r>
      <rPr>
        <sz val="11"/>
        <color rgb="FF274E13"/>
        <rFont val="Arial"/>
        <family val="2"/>
        <charset val="1"/>
      </rPr>
      <t xml:space="preserve"> - Produto Formulado a Base de Produto Técnico Equivalente</t>
    </r>
  </si>
  <si>
    <r>
      <rPr>
        <b val="true"/>
        <sz val="11"/>
        <color rgb="FF274E13"/>
        <rFont val="Arial"/>
        <family val="2"/>
        <charset val="1"/>
      </rPr>
      <t xml:space="preserve">Bio </t>
    </r>
    <r>
      <rPr>
        <sz val="11"/>
        <color rgb="FF274E13"/>
        <rFont val="Arial"/>
        <family val="2"/>
        <charset val="1"/>
      </rPr>
      <t xml:space="preserve">- Produto Formulado Biológico, Microbiológico, Bioquímico, Extrato Vegetal, Regulador de Crescimento ou Semioquímico; de Baixo Risco</t>
    </r>
  </si>
  <si>
    <r>
      <rPr>
        <b val="true"/>
        <sz val="11"/>
        <color rgb="FF274E13"/>
        <rFont val="Arial"/>
        <family val="2"/>
        <charset val="1"/>
      </rPr>
      <t xml:space="preserve">Bio/Org</t>
    </r>
    <r>
      <rPr>
        <sz val="11"/>
        <color rgb="FF274E13"/>
        <rFont val="Arial"/>
        <family val="2"/>
        <charset val="1"/>
      </rPr>
      <t xml:space="preserve"> - Produto Formulado Biológico, Microbiológico, Bioquímico, Extrato Vegetal, Regulador de Crescimento ou Semioquímico, para a Agricultura Orgânica</t>
    </r>
  </si>
  <si>
    <t xml:space="preserve">Tempo Médio Geral</t>
  </si>
  <si>
    <t xml:space="preserve">Registros Aprovados por Ano de Protocolo</t>
  </si>
  <si>
    <t xml:space="preserve">Total de Produtos Aprovados por Ano de Protocolo</t>
  </si>
  <si>
    <t xml:space="preserve">Ano de Protocolo</t>
  </si>
  <si>
    <t xml:space="preserve">Ano de Registro dos Agrotóxicos, Componentes e Afins</t>
  </si>
  <si>
    <t xml:space="preserve">Total de Registros 2000 a 2025</t>
  </si>
  <si>
    <t xml:space="preserve">Nº Registro</t>
  </si>
  <si>
    <t xml:space="preserve">Processo N°</t>
  </si>
  <si>
    <t xml:space="preserve">Data de Protocolo</t>
  </si>
  <si>
    <t xml:space="preserve">Marca comercial</t>
  </si>
  <si>
    <t xml:space="preserve">Ingrediente Ativo</t>
  </si>
  <si>
    <t xml:space="preserve">Tipo</t>
  </si>
  <si>
    <t xml:space="preserve">Empresa</t>
  </si>
  <si>
    <t xml:space="preserve">Data de Aprovação</t>
  </si>
  <si>
    <t xml:space="preserve">Mês</t>
  </si>
  <si>
    <t xml:space="preserve">Classificação Toxicológica - ANVISA</t>
  </si>
  <si>
    <t xml:space="preserve">Classificação de Periculosidade Ambiental - IBAMA</t>
  </si>
  <si>
    <t xml:space="preserve">Tempo Total de Tramitação (Dias)</t>
  </si>
  <si>
    <t xml:space="preserve">Ano 2026 - PF</t>
  </si>
  <si>
    <t xml:space="preserve">21000.006747/2019-60</t>
  </si>
  <si>
    <t xml:space="preserve">GLUCCI</t>
  </si>
  <si>
    <t xml:space="preserve">Glufosinato - Sal de amônio</t>
  </si>
  <si>
    <t xml:space="preserve">PF|PTE</t>
  </si>
  <si>
    <t xml:space="preserve">AllierBrasil </t>
  </si>
  <si>
    <t xml:space="preserve"> PF</t>
  </si>
  <si>
    <t xml:space="preserve">21000.038812/2018-35</t>
  </si>
  <si>
    <t xml:space="preserve">FLUTRIAFOL CCAB 500 SC</t>
  </si>
  <si>
    <t xml:space="preserve">Flutriafol</t>
  </si>
  <si>
    <t xml:space="preserve">CCAB </t>
  </si>
  <si>
    <t xml:space="preserve">PFN</t>
  </si>
  <si>
    <t xml:space="preserve">21000.089386/2023-65</t>
  </si>
  <si>
    <r>
      <rPr>
        <sz val="11"/>
        <color rgb="FF274E13"/>
        <rFont val="Arial"/>
        <family val="0"/>
        <charset val="1"/>
      </rPr>
      <t xml:space="preserve"> </t>
    </r>
    <r>
      <rPr>
        <sz val="11"/>
        <color rgb="FF000000"/>
        <rFont val="Arial"/>
        <family val="0"/>
        <charset val="1"/>
      </rPr>
      <t xml:space="preserve">KARATE DUO ; KARATE DUO EC</t>
    </r>
  </si>
  <si>
    <t xml:space="preserve">Bifentrina; Lambda-cialotrina</t>
  </si>
  <si>
    <t xml:space="preserve">Syngenta</t>
  </si>
  <si>
    <t xml:space="preserve"> PF/PTE</t>
  </si>
  <si>
    <t xml:space="preserve">21000.055035/2017-11</t>
  </si>
  <si>
    <t xml:space="preserve">DICAMBA 480 G/L SL WYNCA</t>
  </si>
  <si>
    <t xml:space="preserve">Dicamba</t>
  </si>
  <si>
    <t xml:space="preserve"> Proregistros</t>
  </si>
  <si>
    <t xml:space="preserve">Bio</t>
  </si>
  <si>
    <t xml:space="preserve">21000.023465/2021-41</t>
  </si>
  <si>
    <t xml:space="preserve"> PETREN</t>
  </si>
  <si>
    <t xml:space="preserve">Diclosulam</t>
  </si>
  <si>
    <t xml:space="preserve">ALTA</t>
  </si>
  <si>
    <t xml:space="preserve">Bio/Org</t>
  </si>
  <si>
    <t xml:space="preserve">21016.000488/2022-90</t>
  </si>
  <si>
    <t xml:space="preserve"> XIVANA PRIME</t>
  </si>
  <si>
    <t xml:space="preserve">Fluoxapiprolim</t>
  </si>
  <si>
    <t xml:space="preserve">Bayer</t>
  </si>
  <si>
    <t xml:space="preserve">PFI</t>
  </si>
  <si>
    <t xml:space="preserve">21016.000198/2025-99</t>
  </si>
  <si>
    <t xml:space="preserve">CLETHODIM R 240 EC B2</t>
  </si>
  <si>
    <t xml:space="preserve">Cletodim</t>
  </si>
  <si>
    <t xml:space="preserve">Perterra</t>
  </si>
  <si>
    <t xml:space="preserve">Total de Registros</t>
  </si>
  <si>
    <t xml:space="preserve">21016.000076/2025-01</t>
  </si>
  <si>
    <t xml:space="preserve">GLIFOSATO 720 WG B2</t>
  </si>
  <si>
    <t xml:space="preserve">Glifosato- Sal de amônio</t>
  </si>
  <si>
    <t xml:space="preserve">PF</t>
  </si>
  <si>
    <t xml:space="preserve">Perterra(i)</t>
  </si>
  <si>
    <t xml:space="preserve">21016.000925/2025-18</t>
  </si>
  <si>
    <t xml:space="preserve">KBR-T1H57OD1</t>
  </si>
  <si>
    <t xml:space="preserve">Trichoderma asperelloides, isolado ESALQ 1306</t>
  </si>
  <si>
    <t xml:space="preserve">Koppert</t>
  </si>
  <si>
    <t xml:space="preserve">IV - Produto pouco perigoso ao meio ambiente			</t>
  </si>
  <si>
    <t xml:space="preserve">LEGENDA</t>
  </si>
  <si>
    <t xml:space="preserve">21016.000082/2025-50</t>
  </si>
  <si>
    <t xml:space="preserve">GLUFOSINATO 200 SL B2</t>
  </si>
  <si>
    <t xml:space="preserve">Glufosinato- Sal de amônio</t>
  </si>
  <si>
    <t xml:space="preserve">21016.000088/2025-27</t>
  </si>
  <si>
    <t xml:space="preserve">S- METOLACLOR 960 EC B2</t>
  </si>
  <si>
    <t xml:space="preserve">S-Metolacloro</t>
  </si>
  <si>
    <t xml:space="preserve">21016.000193/2025-66</t>
  </si>
  <si>
    <t xml:space="preserve">TRIFLOXY + PROTHIO B2</t>
  </si>
  <si>
    <t xml:space="preserve"> Trifloxistrobina; Protioconazol</t>
  </si>
  <si>
    <r>
      <rPr>
        <b val="true"/>
        <sz val="10"/>
        <color rgb="FF274E13"/>
        <rFont val="Arial"/>
        <family val="2"/>
        <charset val="1"/>
      </rPr>
      <t xml:space="preserve">PFN - </t>
    </r>
    <r>
      <rPr>
        <sz val="10"/>
        <color rgb="FF274E13"/>
        <rFont val="Arial"/>
        <family val="2"/>
        <charset val="1"/>
      </rPr>
      <t xml:space="preserve">Produto Formulado a Base de Ingrediente Ativo Novo</t>
    </r>
  </si>
  <si>
    <t xml:space="preserve">21016.000162/2025-13</t>
  </si>
  <si>
    <t xml:space="preserve">ACETA+BIF B2</t>
  </si>
  <si>
    <t xml:space="preserve">Acetamiprido; Bifentrina</t>
  </si>
  <si>
    <r>
      <rPr>
        <b val="true"/>
        <sz val="10"/>
        <color rgb="FF274E13"/>
        <rFont val="Arial"/>
        <family val="2"/>
        <charset val="1"/>
      </rPr>
      <t xml:space="preserve">PF/PTE</t>
    </r>
    <r>
      <rPr>
        <sz val="10"/>
        <color rgb="FF274E13"/>
        <rFont val="Arial"/>
        <family val="2"/>
        <charset val="1"/>
      </rPr>
      <t xml:space="preserve"> - Produto Formulado a Base de Produto Técnico Equivalente</t>
    </r>
  </si>
  <si>
    <t xml:space="preserve">21016.000171/2025-04</t>
  </si>
  <si>
    <t xml:space="preserve">CLOROTALONIL C 720 SC B2</t>
  </si>
  <si>
    <t xml:space="preserve">Clorotalonil</t>
  </si>
  <si>
    <r>
      <rPr>
        <b val="true"/>
        <sz val="10"/>
        <color rgb="FF274E13"/>
        <rFont val="Arial"/>
        <family val="0"/>
        <charset val="1"/>
      </rPr>
      <t xml:space="preserve">PFI -</t>
    </r>
    <r>
      <rPr>
        <sz val="10"/>
        <color rgb="FF274E13"/>
        <rFont val="Arial"/>
        <family val="0"/>
        <charset val="1"/>
      </rPr>
      <t xml:space="preserve"> Produto Formulado Idêntico</t>
    </r>
  </si>
  <si>
    <t xml:space="preserve">21016.000170/2025-51</t>
  </si>
  <si>
    <t xml:space="preserve">TRICLOPIR 667 EC B2</t>
  </si>
  <si>
    <t xml:space="preserve">Triclopir-Butotílico</t>
  </si>
  <si>
    <r>
      <rPr>
        <b val="true"/>
        <sz val="10"/>
        <color rgb="FF274E13"/>
        <rFont val="Arial"/>
        <family val="0"/>
        <charset val="1"/>
      </rPr>
      <t xml:space="preserve">Bio</t>
    </r>
    <r>
      <rPr>
        <sz val="10"/>
        <color rgb="FF274E13"/>
        <rFont val="Arial"/>
        <family val="0"/>
        <charset val="1"/>
      </rPr>
      <t xml:space="preserve"> - Produto Formulado Biológico, Microbiológico, Bioquímico, Extrato Vegetal, Regulador de Crescimento ou Semioquímico; de Baixo Risco</t>
    </r>
    <r>
      <rPr>
        <b val="true"/>
        <sz val="10"/>
        <color rgb="FF274E13"/>
        <rFont val="Arial"/>
        <family val="0"/>
        <charset val="1"/>
      </rPr>
      <t xml:space="preserve">	</t>
    </r>
    <r>
      <rPr>
        <sz val="10"/>
        <color rgb="FF274E13"/>
        <rFont val="Arial"/>
        <family val="0"/>
        <charset val="1"/>
      </rPr>
      <t xml:space="preserve">						</t>
    </r>
  </si>
  <si>
    <t xml:space="preserve">21016.000209/2025-31</t>
  </si>
  <si>
    <t xml:space="preserve">LUFENURON 50 EC B2</t>
  </si>
  <si>
    <t xml:space="preserve">Lufenurom</t>
  </si>
  <si>
    <r>
      <rPr>
        <b val="true"/>
        <sz val="10"/>
        <color rgb="FF274E13"/>
        <rFont val="Arial"/>
        <family val="2"/>
        <charset val="1"/>
      </rPr>
      <t xml:space="preserve">Bio/Org</t>
    </r>
    <r>
      <rPr>
        <sz val="10"/>
        <color rgb="FF274E13"/>
        <rFont val="Arial"/>
        <family val="2"/>
        <charset val="1"/>
      </rPr>
      <t xml:space="preserve"> - Produto Formulado Biológico, Microbiológico, Bioquímico, Extrato Vegetal, Regulador de Crescimento ou Semioquímico, para a Agricultura Orgânica</t>
    </r>
  </si>
  <si>
    <t xml:space="preserve">21016.000194/2025-19</t>
  </si>
  <si>
    <t xml:space="preserve">ATRAZINA 900 WG B2</t>
  </si>
  <si>
    <t xml:space="preserve">Atrazina</t>
  </si>
  <si>
    <t xml:space="preserve">21000.026240/2018-41</t>
  </si>
  <si>
    <t xml:space="preserve">KANKAN EC MAX</t>
  </si>
  <si>
    <t xml:space="preserve">Haloxifope-P-Metílico</t>
  </si>
  <si>
    <t xml:space="preserve">Cropchem</t>
  </si>
  <si>
    <t xml:space="preserve">Número de Registros Aprovados por Ano de Submissão</t>
  </si>
  <si>
    <t xml:space="preserve">21000.009965/2021-71</t>
  </si>
  <si>
    <t xml:space="preserve">DOMANI</t>
  </si>
  <si>
    <t xml:space="preserve">Cletodim; Haloxifope-P-Metílico</t>
  </si>
  <si>
    <t xml:space="preserve">21016.001294/2021-21</t>
  </si>
  <si>
    <t xml:space="preserve">CLORANTRANILIPROLE NORTOX</t>
  </si>
  <si>
    <t xml:space="preserve">Clorantraniliprole</t>
  </si>
  <si>
    <t xml:space="preserve">Nortox</t>
  </si>
  <si>
    <t xml:space="preserve">21016.000638/2023-46</t>
  </si>
  <si>
    <t xml:space="preserve">BUDA</t>
  </si>
  <si>
    <t xml:space="preserve"> Imazetapir; Fluroxipir-meptílico</t>
  </si>
  <si>
    <t xml:space="preserve">CHD'S </t>
  </si>
  <si>
    <t xml:space="preserve">21016.000827/2025-81</t>
  </si>
  <si>
    <t xml:space="preserve"> IN-24-40</t>
  </si>
  <si>
    <t xml:space="preserve">Trichoderma harzianum, isolado IB 19/17</t>
  </si>
  <si>
    <t xml:space="preserve">Inflora</t>
  </si>
  <si>
    <t xml:space="preserve">21016.000826/2025-36</t>
  </si>
  <si>
    <t xml:space="preserve">IN-24-35</t>
  </si>
  <si>
    <t xml:space="preserve">Trichoderma viride, isolado IBLF 1275; Trichoderma viride, isolado IBLF 1276; Trichoderma harzianum, isolado IBLF 1278; Trichoderma harzianum, isolado IBLF 1282</t>
  </si>
  <si>
    <t xml:space="preserve"> Inflora</t>
  </si>
  <si>
    <t xml:space="preserve">21000.046174/2023-93</t>
  </si>
  <si>
    <t xml:space="preserve">LISOR</t>
  </si>
  <si>
    <t xml:space="preserve">Fluazinam</t>
  </si>
  <si>
    <t xml:space="preserve">Tecnomyl</t>
  </si>
  <si>
    <t xml:space="preserve">21000.046014/2020-00</t>
  </si>
  <si>
    <t xml:space="preserve">TEBUCONAZOLE 750 WG PERTERRA</t>
  </si>
  <si>
    <t xml:space="preserve">Tebuconazol</t>
  </si>
  <si>
    <t xml:space="preserve">21016.002966/2021-15</t>
  </si>
  <si>
    <t xml:space="preserve">DAVERO</t>
  </si>
  <si>
    <t xml:space="preserve">Picloram; 2,4-D</t>
  </si>
  <si>
    <t xml:space="preserve">21000.013676/2021-76</t>
  </si>
  <si>
    <t xml:space="preserve">ASAFAT SG 7</t>
  </si>
  <si>
    <t xml:space="preserve"> Acefato</t>
  </si>
  <si>
    <t xml:space="preserve">21000.013673/2021-32</t>
  </si>
  <si>
    <t xml:space="preserve">ASAFAT SG 6</t>
  </si>
  <si>
    <t xml:space="preserve">21000.055271/2016-48</t>
  </si>
  <si>
    <t xml:space="preserve">DECCOZIL 500 EC</t>
  </si>
  <si>
    <t xml:space="preserve">Imazalil</t>
  </si>
  <si>
    <t xml:space="preserve">UPL</t>
  </si>
  <si>
    <t xml:space="preserve">21016.010063/2021-16</t>
  </si>
  <si>
    <t xml:space="preserve">NAVOLI; NAVOLI II; NAVOLI III</t>
  </si>
  <si>
    <t xml:space="preserve"> Saflufenacil</t>
  </si>
  <si>
    <t xml:space="preserve"> Cropchem</t>
  </si>
  <si>
    <t xml:space="preserve">21000.087022/2019-64</t>
  </si>
  <si>
    <t xml:space="preserve">MOL PUNCH 250 CS  </t>
  </si>
  <si>
    <t xml:space="preserve">Lambda-cialotrina </t>
  </si>
  <si>
    <t xml:space="preserve">Meghmani </t>
  </si>
  <si>
    <t xml:space="preserve">21000.070604/2020-45</t>
  </si>
  <si>
    <t xml:space="preserve">BUCCULA</t>
  </si>
  <si>
    <t xml:space="preserve">Lufenurom; Piriproxifem</t>
  </si>
  <si>
    <t xml:space="preserve">Partner</t>
  </si>
  <si>
    <t xml:space="preserve">21000.022191/2021-73</t>
  </si>
  <si>
    <t xml:space="preserve">FOMESAFEM SL ALBAUGH 01</t>
  </si>
  <si>
    <t xml:space="preserve">Fomesafem</t>
  </si>
  <si>
    <t xml:space="preserve"> Albaugh</t>
  </si>
  <si>
    <t xml:space="preserve">21016.002373/2022-30</t>
  </si>
  <si>
    <t xml:space="preserve"> ILUSTRE DUO</t>
  </si>
  <si>
    <t xml:space="preserve">Protioconazol; Trifloxistrobina</t>
  </si>
  <si>
    <t xml:space="preserve">Albaugh</t>
  </si>
  <si>
    <t xml:space="preserve">21000.005953/2021-77</t>
  </si>
  <si>
    <t xml:space="preserve">VENCER DUO</t>
  </si>
  <si>
    <t xml:space="preserve"> Protioconazol; Picoxistrobina</t>
  </si>
  <si>
    <t xml:space="preserve">21000.091203/2019-95</t>
  </si>
  <si>
    <t xml:space="preserve"> 2,4-D + PICLORAM 304 SL YONON</t>
  </si>
  <si>
    <t xml:space="preserve"> Picloram; 2,4-D, Sal de Triisopropanolamina</t>
  </si>
  <si>
    <t xml:space="preserve">Yonon</t>
  </si>
  <si>
    <t xml:space="preserve">21000.040788/2019-85</t>
  </si>
  <si>
    <t xml:space="preserve"> WEEDAR FULL</t>
  </si>
  <si>
    <t xml:space="preserve">2,4-D, Sal de monometilamina; 2,4-d, Sal de dimetilamina</t>
  </si>
  <si>
    <t xml:space="preserve">Sumitomo</t>
  </si>
  <si>
    <t xml:space="preserve">21016.007129/2023-44</t>
  </si>
  <si>
    <t xml:space="preserve">BIOHAKKA</t>
  </si>
  <si>
    <t xml:space="preserve"> Extrato de Ocimum gratíssimum</t>
  </si>
  <si>
    <t xml:space="preserve">21000.023543/2021-16</t>
  </si>
  <si>
    <t xml:space="preserve">OPTERASEED</t>
  </si>
  <si>
    <t xml:space="preserve">21016.006186/2021-44</t>
  </si>
  <si>
    <t xml:space="preserve">PROTIOCONAZOL SY 480 SC</t>
  </si>
  <si>
    <t xml:space="preserve">Protioconazole</t>
  </si>
  <si>
    <t xml:space="preserve">Lemma</t>
  </si>
  <si>
    <t xml:space="preserve">21016.001103/2022-10</t>
  </si>
  <si>
    <t xml:space="preserve">ADM.03504.I.1.B</t>
  </si>
  <si>
    <t xml:space="preserve">Acefato; Bifentrina</t>
  </si>
  <si>
    <t xml:space="preserve">Adama</t>
  </si>
  <si>
    <t xml:space="preserve">21016.008174/2021-54</t>
  </si>
  <si>
    <t xml:space="preserve">GRUMA 04 SC</t>
  </si>
  <si>
    <t xml:space="preserve">Mancozebe; Difenoconazol</t>
  </si>
  <si>
    <t xml:space="preserve"> Indofil </t>
  </si>
  <si>
    <t xml:space="preserve">Meses de Deferimento de Registros de Agrotóxicos</t>
  </si>
  <si>
    <t xml:space="preserve">21016.005266/2021-82</t>
  </si>
  <si>
    <t xml:space="preserve"> RIKALI SC</t>
  </si>
  <si>
    <t xml:space="preserve"> Isopirazam; Ciproconazol</t>
  </si>
  <si>
    <t xml:space="preserve">21000.024805/2024-02</t>
  </si>
  <si>
    <t xml:space="preserve"> ERRADICUR MAX</t>
  </si>
  <si>
    <t xml:space="preserve">21016.000847/2025-51</t>
  </si>
  <si>
    <t xml:space="preserve">METATOP  </t>
  </si>
  <si>
    <r>
      <rPr>
        <i val="true"/>
        <sz val="11"/>
        <color rgb="FF274E13"/>
        <rFont val="Arial"/>
        <family val="0"/>
        <charset val="1"/>
      </rPr>
      <t xml:space="preserve">Metarhizium anisopliae</t>
    </r>
    <r>
      <rPr>
        <sz val="11"/>
        <color rgb="FF274E13"/>
        <rFont val="Arial"/>
        <family val="0"/>
        <charset val="1"/>
      </rPr>
      <t xml:space="preserve">, isolado IBCB 425</t>
    </r>
  </si>
  <si>
    <t xml:space="preserve">Agribiol</t>
  </si>
  <si>
    <t xml:space="preserve">21016.005092/2021-58</t>
  </si>
  <si>
    <t xml:space="preserve">ROUNDUP TRANSORB TOP</t>
  </si>
  <si>
    <t xml:space="preserve">Glifosato- Sal de Potássio</t>
  </si>
  <si>
    <t xml:space="preserve">Monsanto</t>
  </si>
  <si>
    <t xml:space="preserve">21000.027960/2025-53</t>
  </si>
  <si>
    <t xml:space="preserve">AGRITÉSIA</t>
  </si>
  <si>
    <t xml:space="preserve">Cotesia flavipes</t>
  </si>
  <si>
    <t xml:space="preserve">RL</t>
  </si>
  <si>
    <t xml:space="preserve">Não Classificado - Produto Não Classificado</t>
  </si>
  <si>
    <t xml:space="preserve">21016.001709/2025-90</t>
  </si>
  <si>
    <t xml:space="preserve">DOUBLECombat</t>
  </si>
  <si>
    <r>
      <rPr>
        <i val="true"/>
        <sz val="11"/>
        <color rgb="FF274E13"/>
        <rFont val="Arial"/>
        <family val="0"/>
        <charset val="1"/>
      </rPr>
      <t xml:space="preserve">Beauveria bassiana</t>
    </r>
    <r>
      <rPr>
        <sz val="11"/>
        <color rgb="FF274E13"/>
        <rFont val="Arial"/>
        <family val="0"/>
        <charset val="1"/>
      </rPr>
      <t xml:space="preserve">, isolado IBCB 66 + </t>
    </r>
    <r>
      <rPr>
        <i val="true"/>
        <sz val="11"/>
        <color rgb="FF274E13"/>
        <rFont val="Arial"/>
        <family val="0"/>
        <charset val="1"/>
      </rPr>
      <t xml:space="preserve">Metarhizium anisopliae</t>
    </r>
    <r>
      <rPr>
        <sz val="11"/>
        <color rgb="FF274E13"/>
        <rFont val="Arial"/>
        <family val="0"/>
        <charset val="1"/>
      </rPr>
      <t xml:space="preserve">, isolado IBCB 425</t>
    </r>
  </si>
  <si>
    <t xml:space="preserve">Viva</t>
  </si>
  <si>
    <t xml:space="preserve">21016.003063/2025-85</t>
  </si>
  <si>
    <t xml:space="preserve">BELLACOTESIA CONTROLE BIOLÓGICO</t>
  </si>
  <si>
    <t xml:space="preserve">BELLACOTESIA</t>
  </si>
  <si>
    <t xml:space="preserve">21000.019972/2020-08</t>
  </si>
  <si>
    <t xml:space="preserve">BOUNDARY</t>
  </si>
  <si>
    <t xml:space="preserve">METRIBUZIM + S-METOLACLORO</t>
  </si>
  <si>
    <t xml:space="preserve">21000.078965/2021-11</t>
  </si>
  <si>
    <t xml:space="preserve">VICTRATO FLEX</t>
  </si>
  <si>
    <t xml:space="preserve">Ciclobutrifluram</t>
  </si>
  <si>
    <t xml:space="preserve">21016.003701/2025-68</t>
  </si>
  <si>
    <t xml:space="preserve">FOX XPRO CLONE B</t>
  </si>
  <si>
    <t xml:space="preserve">BIXAFEM + PROTIOCONAZOL + TRIFLOXISTROBINA</t>
  </si>
  <si>
    <t xml:space="preserve">21016.007302/2025-76</t>
  </si>
  <si>
    <t xml:space="preserve">PROTIOCONAZOL + TRIFLOXISTROBINA ALTA 325 SC</t>
  </si>
  <si>
    <t xml:space="preserve">PROTIOCONAZOL + TRIFLOXISTROBINA</t>
  </si>
  <si>
    <t xml:space="preserve">Alta</t>
  </si>
  <si>
    <t xml:space="preserve">21016.006816/2025-12</t>
  </si>
  <si>
    <t xml:space="preserve">NKF 144</t>
  </si>
  <si>
    <t xml:space="preserve">Terbutilazina + Mesotriona</t>
  </si>
  <si>
    <t xml:space="preserve">Oxon(i)</t>
  </si>
  <si>
    <t xml:space="preserve">21000.038939/2018-54</t>
  </si>
  <si>
    <t xml:space="preserve">ATRAZINA 900 WG EAGROW</t>
  </si>
  <si>
    <t xml:space="preserve">ATRAZINA</t>
  </si>
  <si>
    <t xml:space="preserve">BIORISK</t>
  </si>
  <si>
    <t xml:space="preserve">21016.001458/2025-43</t>
  </si>
  <si>
    <t xml:space="preserve">DUETTUS</t>
  </si>
  <si>
    <r>
      <rPr>
        <i val="true"/>
        <sz val="11"/>
        <color rgb="FF274E13"/>
        <rFont val="Arial"/>
        <family val="0"/>
        <charset val="1"/>
      </rPr>
      <t xml:space="preserve">Beauveria bassiana</t>
    </r>
    <r>
      <rPr>
        <sz val="11"/>
        <color rgb="FF274E13"/>
        <rFont val="Arial"/>
        <family val="0"/>
        <charset val="1"/>
      </rPr>
      <t xml:space="preserve">, isolado IBCB 66 + </t>
    </r>
    <r>
      <rPr>
        <i val="true"/>
        <sz val="11"/>
        <color rgb="FF274E13"/>
        <rFont val="Arial"/>
        <family val="0"/>
        <charset val="1"/>
      </rPr>
      <t xml:space="preserve">Metarhizium anisopliae</t>
    </r>
    <r>
      <rPr>
        <sz val="11"/>
        <color rgb="FF274E13"/>
        <rFont val="Arial"/>
        <family val="0"/>
        <charset val="1"/>
      </rPr>
      <t xml:space="preserve">, isolado IBCB 425</t>
    </r>
  </si>
  <si>
    <t xml:space="preserve">NOOA</t>
  </si>
  <si>
    <t xml:space="preserve">21016.005662/2024-52</t>
  </si>
  <si>
    <t xml:space="preserve">CRISOCARE; CRISOFORT; ECOCRISO</t>
  </si>
  <si>
    <t xml:space="preserve">Chrysoperla externa</t>
  </si>
  <si>
    <t xml:space="preserve">BC</t>
  </si>
  <si>
    <t xml:space="preserve">21016.003556/2025-15</t>
  </si>
  <si>
    <t xml:space="preserve">AGTRICH</t>
  </si>
  <si>
    <r>
      <rPr>
        <i val="true"/>
        <sz val="11"/>
        <color rgb="FF274E13"/>
        <rFont val="Arial"/>
        <family val="0"/>
        <charset val="1"/>
      </rPr>
      <t xml:space="preserve">Trichoderma harzianum</t>
    </r>
    <r>
      <rPr>
        <sz val="11"/>
        <color rgb="FF274E13"/>
        <rFont val="Arial"/>
        <family val="0"/>
        <charset val="1"/>
      </rPr>
      <t xml:space="preserve">, isolado IB 19/17</t>
    </r>
  </si>
  <si>
    <t xml:space="preserve">NAVE</t>
  </si>
  <si>
    <t xml:space="preserve">21000.052573/2017-45</t>
  </si>
  <si>
    <t xml:space="preserve">TIDIL</t>
  </si>
  <si>
    <t xml:space="preserve">Tidiazurom</t>
  </si>
  <si>
    <t xml:space="preserve">SOLOESTE</t>
  </si>
  <si>
    <t xml:space="preserve">Classificação Toxicolóxica - ANVISA</t>
  </si>
  <si>
    <t xml:space="preserve">21000.085287/2019-28</t>
  </si>
  <si>
    <t xml:space="preserve">LIMUKILL EW</t>
  </si>
  <si>
    <t xml:space="preserve">Bifentrina; Espirodiclofeno</t>
  </si>
  <si>
    <t xml:space="preserve">21000.076118/2019-05</t>
  </si>
  <si>
    <t xml:space="preserve">CLETODIM H NORTOX</t>
  </si>
  <si>
    <t xml:space="preserve">Cletodim; Haloxifope-P metílico</t>
  </si>
  <si>
    <t xml:space="preserve">Nortox  </t>
  </si>
  <si>
    <t xml:space="preserve">Número de Produtos</t>
  </si>
  <si>
    <t xml:space="preserve">21000.027120/2018-61</t>
  </si>
  <si>
    <t xml:space="preserve">SULFENTRAZONE NORTOX</t>
  </si>
  <si>
    <t xml:space="preserve">Sulfentrazona</t>
  </si>
  <si>
    <t xml:space="preserve">21000.068483/2020-71</t>
  </si>
  <si>
    <t xml:space="preserve">ROAD FOUR AMINE 806 SL</t>
  </si>
  <si>
    <t xml:space="preserve">2,4-D Sal de dimetilamina</t>
  </si>
  <si>
    <t xml:space="preserve">Ouro Fino</t>
  </si>
  <si>
    <t xml:space="preserve">21000.007136/2020-72</t>
  </si>
  <si>
    <t xml:space="preserve">GLUFOSINATO 200 SL CCAB</t>
  </si>
  <si>
    <t xml:space="preserve">Glufosinato, Sal de amônio</t>
  </si>
  <si>
    <t xml:space="preserve">CCAB</t>
  </si>
  <si>
    <t xml:space="preserve">21016.000499/2023-51</t>
  </si>
  <si>
    <t xml:space="preserve">APSML</t>
  </si>
  <si>
    <t xml:space="preserve">Piriproxifem; Acetamiprido</t>
  </si>
  <si>
    <t xml:space="preserve"> Syncrom</t>
  </si>
  <si>
    <t xml:space="preserve">21000.053728/2022-28</t>
  </si>
  <si>
    <t xml:space="preserve">AZOXYSTROBIN + DIFENOCONAZOLE SC LIMIN</t>
  </si>
  <si>
    <t xml:space="preserve">Azoxistrobina; Difenoconazol</t>
  </si>
  <si>
    <t xml:space="preserve">Proregistros </t>
  </si>
  <si>
    <t xml:space="preserve">21000.126600/2022-91</t>
  </si>
  <si>
    <t xml:space="preserve"> FAVORITO 600 FS</t>
  </si>
  <si>
    <t xml:space="preserve">Imidacloprido</t>
  </si>
  <si>
    <t xml:space="preserve"> Tecnomyl </t>
  </si>
  <si>
    <t xml:space="preserve">21016.002799/2024-55</t>
  </si>
  <si>
    <t xml:space="preserve">GLUFIM</t>
  </si>
  <si>
    <t xml:space="preserve">Somax</t>
  </si>
  <si>
    <t xml:space="preserve">21016.001839/2022-80</t>
  </si>
  <si>
    <t xml:space="preserve">TECORLA, VANTACOR BR, TECORLA BR</t>
  </si>
  <si>
    <t xml:space="preserve"> Clorantraniliprole</t>
  </si>
  <si>
    <t xml:space="preserve">FMC</t>
  </si>
  <si>
    <t xml:space="preserve">21016.000845/2025-62</t>
  </si>
  <si>
    <t xml:space="preserve">BOVEBIOL</t>
  </si>
  <si>
    <t xml:space="preserve">Beauveria bassiana, isolado IBCB 66</t>
  </si>
  <si>
    <t xml:space="preserve">21000.034069/2019-25</t>
  </si>
  <si>
    <t xml:space="preserve">SHLEM 480 SC</t>
  </si>
  <si>
    <t xml:space="preserve">Diflubenzurom</t>
  </si>
  <si>
    <t xml:space="preserve">21016.000267/2022-11</t>
  </si>
  <si>
    <t xml:space="preserve">ARLEQUIN; ARLEQUIN 240 SC; METOXIFENOZIDA OXON 240 SC; METOXIFENOZIDA OXON 240 SC I; METOXIFENOZIDA OXON 240 SC II; METOXIFENOZIDA OXON 240 SC III</t>
  </si>
  <si>
    <t xml:space="preserve">Metoxifenozida</t>
  </si>
  <si>
    <t xml:space="preserve">Oxon </t>
  </si>
  <si>
    <t xml:space="preserve">21016.000843/2025-73</t>
  </si>
  <si>
    <t xml:space="preserve">ACCURATE PLUS</t>
  </si>
  <si>
    <t xml:space="preserve">Bacillus thuringiensis var. Kurstaki, isolado HD-1 (S1450)</t>
  </si>
  <si>
    <t xml:space="preserve">Agribiol-Biológicos </t>
  </si>
  <si>
    <t xml:space="preserve">21016.002306/2025-68</t>
  </si>
  <si>
    <t xml:space="preserve">CERA TRAP</t>
  </si>
  <si>
    <t xml:space="preserve"> Proteína hidrolisada de mucosa intestina de suínos</t>
  </si>
  <si>
    <t xml:space="preserve">Bio Controle</t>
  </si>
  <si>
    <t xml:space="preserve">21016.001012/2023-57</t>
  </si>
  <si>
    <t xml:space="preserve">MEGAMORE</t>
  </si>
  <si>
    <t xml:space="preserve">Meghmani</t>
  </si>
  <si>
    <t xml:space="preserve">21016.005628/2024-88</t>
  </si>
  <si>
    <t xml:space="preserve">NOBIC</t>
  </si>
  <si>
    <t xml:space="preserve">Catolaccus grandis</t>
  </si>
  <si>
    <t xml:space="preserve">Topbio</t>
  </si>
  <si>
    <t xml:space="preserve">21000.072132/2019-21</t>
  </si>
  <si>
    <t xml:space="preserve">TRIFLOXISTROBINA NORTOX</t>
  </si>
  <si>
    <t xml:space="preserve">Trifloxistrobina</t>
  </si>
  <si>
    <t xml:space="preserve"> Nortox</t>
  </si>
  <si>
    <t xml:space="preserve">21016.008143/2021-01</t>
  </si>
  <si>
    <t xml:space="preserve">ZIRCON</t>
  </si>
  <si>
    <t xml:space="preserve">Clorantraniliprole; Bifentrina</t>
  </si>
  <si>
    <t xml:space="preserve">21016.005948/2023-57</t>
  </si>
  <si>
    <t xml:space="preserve">HOMERO</t>
  </si>
  <si>
    <t xml:space="preserve">Clotianidina</t>
  </si>
  <si>
    <t xml:space="preserve">CHD'S</t>
  </si>
  <si>
    <t xml:space="preserve">21016.000763/2025-18</t>
  </si>
  <si>
    <t xml:space="preserve">FOX XPRO CLONE A</t>
  </si>
  <si>
    <t xml:space="preserve">Bixafem; Protioconazol; Trifloxistrobina</t>
  </si>
  <si>
    <t xml:space="preserve">Bayer </t>
  </si>
  <si>
    <t xml:space="preserve">21016.002248/2024-91</t>
  </si>
  <si>
    <t xml:space="preserve">REDXODUS (TU-F1)</t>
  </si>
  <si>
    <t xml:space="preserve">Óleo essencial de Eucalyptus globulus (Marcador Eucalyptol) + Geraniol</t>
  </si>
  <si>
    <t xml:space="preserve">KIMITEC</t>
  </si>
  <si>
    <t xml:space="preserve">21016.001699/2025-92</t>
  </si>
  <si>
    <t xml:space="preserve">TrichoCombat SC</t>
  </si>
  <si>
    <r>
      <rPr>
        <i val="true"/>
        <sz val="11"/>
        <color rgb="FF274E13"/>
        <rFont val="Arial"/>
        <family val="0"/>
        <charset val="1"/>
      </rPr>
      <t xml:space="preserve">Trichoderma harzianum</t>
    </r>
    <r>
      <rPr>
        <sz val="11"/>
        <color rgb="FF274E13"/>
        <rFont val="Arial"/>
        <family val="0"/>
        <charset val="1"/>
      </rPr>
      <t xml:space="preserve">, isolado IB19/17</t>
    </r>
  </si>
  <si>
    <t xml:space="preserve">VIVA</t>
  </si>
  <si>
    <t xml:space="preserve">21016.000946/2025-33</t>
  </si>
  <si>
    <t xml:space="preserve">DERMAOURO</t>
  </si>
  <si>
    <t xml:space="preserve">VALEOURO</t>
  </si>
  <si>
    <t xml:space="preserve">Tempo de Tramitação dos Registros de Agrotóxicos e Afins</t>
  </si>
  <si>
    <t xml:space="preserve">21016.008158/2024-12</t>
  </si>
  <si>
    <t xml:space="preserve"> GAIA CONTROL NEEM</t>
  </si>
  <si>
    <t xml:space="preserve">Óleo de Neem (Azadirachta indica)</t>
  </si>
  <si>
    <t xml:space="preserve">GAIA</t>
  </si>
  <si>
    <t xml:space="preserve">21016.000946/2026-14</t>
  </si>
  <si>
    <t xml:space="preserve">AVARAAN INDOFIL</t>
  </si>
  <si>
    <t xml:space="preserve">Indofil(i)</t>
  </si>
  <si>
    <t xml:space="preserve">Tempo Médio de Tramitação (Em Dias)</t>
  </si>
  <si>
    <t xml:space="preserve">21016.000915/2026-63</t>
  </si>
  <si>
    <t xml:space="preserve">NIVARAAN INDOFIL</t>
  </si>
  <si>
    <t xml:space="preserve">Mancozebe; Difenoconazol; Protioconazol</t>
  </si>
  <si>
    <t xml:space="preserve">21000.023987/2021-43</t>
  </si>
  <si>
    <t xml:space="preserve">ONVIVIS PRO</t>
  </si>
  <si>
    <t xml:space="preserve">21000.023988/2021-98</t>
  </si>
  <si>
    <t xml:space="preserve">PERZAVO PRO</t>
  </si>
  <si>
    <t xml:space="preserve">PF/PTE</t>
  </si>
  <si>
    <t xml:space="preserve">21000.023810/2021-47</t>
  </si>
  <si>
    <t xml:space="preserve">PERZAVO</t>
  </si>
  <si>
    <t xml:space="preserve">21016.000765/2026-98</t>
  </si>
  <si>
    <t xml:space="preserve">MANCOZEB INDOFIL 445 SC</t>
  </si>
  <si>
    <t xml:space="preserve">Mancozebe</t>
  </si>
  <si>
    <t xml:space="preserve">21000.043282/2019-28</t>
  </si>
  <si>
    <t xml:space="preserve">ACETAMIPRID 200 SP PROVENTIS</t>
  </si>
  <si>
    <t xml:space="preserve">Acetamiprido</t>
  </si>
  <si>
    <t xml:space="preserve"> Proventis</t>
  </si>
  <si>
    <t xml:space="preserve">21000.023809/2021-12</t>
  </si>
  <si>
    <t xml:space="preserve">ONVIVIS</t>
  </si>
  <si>
    <t xml:space="preserve">Syngenta </t>
  </si>
  <si>
    <t xml:space="preserve">21016.000944/2026-25</t>
  </si>
  <si>
    <t xml:space="preserve">GRUMA 07 INDOFIL SC</t>
  </si>
  <si>
    <t xml:space="preserve">Mancozebe; Picoxistrobina; Protioconazol</t>
  </si>
  <si>
    <t xml:space="preserve">21000.087930/2021-72</t>
  </si>
  <si>
    <t xml:space="preserve">ATRIVO, DIQUAT 200 SL TECNOMYL, DIQUAT 200 SL TECNOMYL I, DIQUAT 200 SL TECNOMYL II, DIQUAT 200 SL TECNOMYL III</t>
  </si>
  <si>
    <t xml:space="preserve">Dibrometo de Diquate</t>
  </si>
  <si>
    <t xml:space="preserve">Tecnomyl </t>
  </si>
  <si>
    <t xml:space="preserve">21016.003588/2024-30</t>
  </si>
  <si>
    <t xml:space="preserve">ISFU; BPT-06</t>
  </si>
  <si>
    <t xml:space="preserve">Cordyceps javanica, CBMAI 2831</t>
  </si>
  <si>
    <t xml:space="preserve">B Plant</t>
  </si>
  <si>
    <t xml:space="preserve">21000.075288/2022-60</t>
  </si>
  <si>
    <t xml:space="preserve">MAGMA</t>
  </si>
  <si>
    <t xml:space="preserve">Flumioxazina</t>
  </si>
  <si>
    <t xml:space="preserve">21016.000086/2023-76</t>
  </si>
  <si>
    <t xml:space="preserve">CATEROLE PLUS, METOXIDE, INDOXINE, FENZOTIN</t>
  </si>
  <si>
    <t xml:space="preserve">Indoxacarbe; Metoxifenozida</t>
  </si>
  <si>
    <t xml:space="preserve">Rainbow</t>
  </si>
  <si>
    <t xml:space="preserve">21000.031454/2020-54</t>
  </si>
  <si>
    <t xml:space="preserve">SAFENCIL</t>
  </si>
  <si>
    <t xml:space="preserve">Saflufenacil </t>
  </si>
  <si>
    <t xml:space="preserve">21000.094278/2019-28</t>
  </si>
  <si>
    <t xml:space="preserve">DOTHIURON</t>
  </si>
  <si>
    <t xml:space="preserve">Diafentiurom</t>
  </si>
  <si>
    <t xml:space="preserve">21000.089040/2019-81</t>
  </si>
  <si>
    <t xml:space="preserve">MASIPRO</t>
  </si>
  <si>
    <t xml:space="preserve">21000.015782/2019-70</t>
  </si>
  <si>
    <t xml:space="preserve">ESFORÇO XTRA</t>
  </si>
  <si>
    <t xml:space="preserve">Ciprodinil; Fludioxonil</t>
  </si>
  <si>
    <t xml:space="preserve">21000.032775/2016-90</t>
  </si>
  <si>
    <t xml:space="preserve">AGILICA</t>
  </si>
  <si>
    <t xml:space="preserve">Carfentrazona-Etílica</t>
  </si>
  <si>
    <t xml:space="preserve">21000.077470/2019-50</t>
  </si>
  <si>
    <t xml:space="preserve">QUICKER</t>
  </si>
  <si>
    <t xml:space="preserve">Etefom</t>
  </si>
  <si>
    <t xml:space="preserve">21000.044914/2019-71</t>
  </si>
  <si>
    <t xml:space="preserve">IMARADO</t>
  </si>
  <si>
    <t xml:space="preserve">Imazapique; Imazapir</t>
  </si>
  <si>
    <t xml:space="preserve">21000.068081/2019-33</t>
  </si>
  <si>
    <t xml:space="preserve">ESIFON</t>
  </si>
  <si>
    <t xml:space="preserve">21000.086254/2019-03</t>
  </si>
  <si>
    <t xml:space="preserve">LASTROLE</t>
  </si>
  <si>
    <t xml:space="preserve">Lambda-cialotrina; Clorantraliniprole</t>
  </si>
  <si>
    <t xml:space="preserve">21016.004995/2024-64</t>
  </si>
  <si>
    <t xml:space="preserve">TACÓN</t>
  </si>
  <si>
    <t xml:space="preserve">21016.004560/2024-10</t>
  </si>
  <si>
    <t xml:space="preserve">FLOWZIN</t>
  </si>
  <si>
    <t xml:space="preserve">21016.010227/2021-05</t>
  </si>
  <si>
    <t xml:space="preserve">ETEFOM C NORTOX</t>
  </si>
  <si>
    <t xml:space="preserve">Etefom; Ciclanilida</t>
  </si>
  <si>
    <t xml:space="preserve">21016.006451/2024-37</t>
  </si>
  <si>
    <t xml:space="preserve">DECCAPTOR</t>
  </si>
  <si>
    <t xml:space="preserve">Somax </t>
  </si>
  <si>
    <t xml:space="preserve">21000.108265/2021-68</t>
  </si>
  <si>
    <t xml:space="preserve">ACCIPITER</t>
  </si>
  <si>
    <t xml:space="preserve">Bifentrina</t>
  </si>
  <si>
    <t xml:space="preserve">21016.007225/2023-92</t>
  </si>
  <si>
    <t xml:space="preserve">FLUROXYPYR 200 EC LIER</t>
  </si>
  <si>
    <t xml:space="preserve">Fluroxipir-meptílico</t>
  </si>
  <si>
    <t xml:space="preserve">Proregistros</t>
  </si>
  <si>
    <t xml:space="preserve">21000.076770/2020-55</t>
  </si>
  <si>
    <t xml:space="preserve">MANCOZEB 75% WG LIMIN</t>
  </si>
  <si>
    <t xml:space="preserve"> Biorisk</t>
  </si>
  <si>
    <t xml:space="preserve">21016.000461/2022-05</t>
  </si>
  <si>
    <t xml:space="preserve">ROFEN FULL</t>
  </si>
  <si>
    <t xml:space="preserve">21000.007847/2015-80</t>
  </si>
  <si>
    <t xml:space="preserve">ANTÜ 50 EC</t>
  </si>
  <si>
    <t xml:space="preserve"> Lufenurom</t>
  </si>
  <si>
    <t xml:space="preserve">Biorisk</t>
  </si>
  <si>
    <t xml:space="preserve">21016.009506/2021-18</t>
  </si>
  <si>
    <t xml:space="preserve">RIKOLTO PRO</t>
  </si>
  <si>
    <t xml:space="preserve">Acetamiprido; Piriproxifem</t>
  </si>
  <si>
    <t xml:space="preserve">Ascenza</t>
  </si>
  <si>
    <t xml:space="preserve">21000.013563/2024-13</t>
  </si>
  <si>
    <t xml:space="preserve"> INVENCIS  TOP</t>
  </si>
  <si>
    <t xml:space="preserve"> Isocicloseram; Clorfenapir</t>
  </si>
  <si>
    <t xml:space="preserve">21016.000604/2024-32</t>
  </si>
  <si>
    <t xml:space="preserve">GLUFO ZS</t>
  </si>
  <si>
    <t xml:space="preserve">Zhongshan</t>
  </si>
  <si>
    <t xml:space="preserve">21000.078955/2021-85</t>
  </si>
  <si>
    <t xml:space="preserve">ORIAM</t>
  </si>
  <si>
    <t xml:space="preserve">21000.018411/2018-69</t>
  </si>
  <si>
    <t xml:space="preserve">MIL FH 0329/05</t>
  </si>
  <si>
    <t xml:space="preserve">Clomazona</t>
  </si>
  <si>
    <t xml:space="preserve"> Adama</t>
  </si>
  <si>
    <t xml:space="preserve">21000.080254/2019-91</t>
  </si>
  <si>
    <t xml:space="preserve">ATREUS</t>
  </si>
  <si>
    <t xml:space="preserve">Etiprole; Novalurom</t>
  </si>
  <si>
    <t xml:space="preserve">21016.003173/2024-66</t>
  </si>
  <si>
    <t xml:space="preserve">GLUFOSINATE-AMMONIUM 200 G/L EA SL</t>
  </si>
  <si>
    <t xml:space="preserve">Syncrom</t>
  </si>
  <si>
    <t xml:space="preserve">21000.039887/2022-10</t>
  </si>
  <si>
    <t xml:space="preserve"> ELIPSE; ACETAMIPRIDO 250 + BIFENTRINA 250 WG TECNOMYL; ACETAMIPRIDO 250 + BIFENTRINA 250 WG TECNOMYL I; ACETAMIPRIDO 250 + BIFENTRINA 250 WG TECNOMYL II; ACETAMIPRIDO 250 + BIFENTRINA 250 WG TECNOMYL III</t>
  </si>
  <si>
    <t xml:space="preserve">21016.007083/2021-00</t>
  </si>
  <si>
    <t xml:space="preserve">ESTEEM 320 SC</t>
  </si>
  <si>
    <t xml:space="preserve">Azoxistrobina; Tebuconazol</t>
  </si>
  <si>
    <t xml:space="preserve">21016.005386/2024-22</t>
  </si>
  <si>
    <t xml:space="preserve">MEGAZOMBIE</t>
  </si>
  <si>
    <t xml:space="preserve">Profenofós; Lambda-cialotrina</t>
  </si>
  <si>
    <t xml:space="preserve">21000.051768/2024-05</t>
  </si>
  <si>
    <t xml:space="preserve">TRIPOLE; VAKIL</t>
  </si>
  <si>
    <t xml:space="preserve">Trifloxistrobina; Protioconazol</t>
  </si>
  <si>
    <t xml:space="preserve">GSP Agroquímica </t>
  </si>
  <si>
    <t xml:space="preserve">21016.002418/2022-76</t>
  </si>
  <si>
    <t xml:space="preserve">PLANITY EVO</t>
  </si>
  <si>
    <t xml:space="preserve">Impirfluxam; Difenoconazole; Picoxistrobina</t>
  </si>
  <si>
    <t xml:space="preserve">21000.107602/2022-81</t>
  </si>
  <si>
    <t xml:space="preserve"> KINGSUN</t>
  </si>
  <si>
    <t xml:space="preserve">Mancozebe; Ciproconazol; Picoxistrobina</t>
  </si>
  <si>
    <t xml:space="preserve"> CHD'S</t>
  </si>
  <si>
    <t xml:space="preserve">21000.081521/2021-62</t>
  </si>
  <si>
    <t xml:space="preserve">BENEVIA BR</t>
  </si>
  <si>
    <t xml:space="preserve">Ciantraniliprole</t>
  </si>
  <si>
    <t xml:space="preserve">21000.034367/2019-15</t>
  </si>
  <si>
    <t xml:space="preserve">METRIBUZIN CHD’S</t>
  </si>
  <si>
    <t xml:space="preserve">Metribuzim</t>
  </si>
  <si>
    <t xml:space="preserve">CHDS</t>
  </si>
  <si>
    <t xml:space="preserve">21016.006978/2022-08</t>
  </si>
  <si>
    <t xml:space="preserve">TEBUFORCE 430 SC</t>
  </si>
  <si>
    <t xml:space="preserve">Agrobeats</t>
  </si>
  <si>
    <t xml:space="preserve">21016.004441/2024-67</t>
  </si>
  <si>
    <t xml:space="preserve">PYKILL</t>
  </si>
  <si>
    <t xml:space="preserve">Picoxistrobina; Tebuconazol</t>
  </si>
  <si>
    <t xml:space="preserve">21016.001462/2023-40</t>
  </si>
  <si>
    <t xml:space="preserve">BITAXAM</t>
  </si>
  <si>
    <t xml:space="preserve">Bifentrina; Imidacloprido</t>
  </si>
  <si>
    <t xml:space="preserve">SM Agrocare</t>
  </si>
  <si>
    <t xml:space="preserve">21000.020814/2022-54</t>
  </si>
  <si>
    <t xml:space="preserve">TUNDRA</t>
  </si>
  <si>
    <t xml:space="preserve"> Ascenza</t>
  </si>
  <si>
    <t xml:space="preserve">21000.089233/2023-18</t>
  </si>
  <si>
    <t xml:space="preserve">SEGURIS</t>
  </si>
  <si>
    <t xml:space="preserve"> Isopirazam; Protioconazol</t>
  </si>
  <si>
    <t xml:space="preserve">21000.079259/2021-96</t>
  </si>
  <si>
    <t xml:space="preserve">TERXAVO</t>
  </si>
  <si>
    <t xml:space="preserve"> Syngenta</t>
  </si>
  <si>
    <t xml:space="preserve">21000.078986/2021-36</t>
  </si>
  <si>
    <t xml:space="preserve">VALNIVIO</t>
  </si>
  <si>
    <t xml:space="preserve"> Ciclobutrifluram</t>
  </si>
  <si>
    <t xml:space="preserve">21000.051629/2020-40</t>
  </si>
  <si>
    <t xml:space="preserve">BALTIC BR</t>
  </si>
  <si>
    <t xml:space="preserve">Amicarbazona; Isoxaflutol</t>
  </si>
  <si>
    <t xml:space="preserve">Adama </t>
  </si>
  <si>
    <t xml:space="preserve">21000.064019/2019-72</t>
  </si>
  <si>
    <t xml:space="preserve">TRIVOR BR</t>
  </si>
  <si>
    <t xml:space="preserve">21000.026585/2019-86</t>
  </si>
  <si>
    <t xml:space="preserve">MIL FO 0738/14</t>
  </si>
  <si>
    <t xml:space="preserve">21016.008984/2024-53</t>
  </si>
  <si>
    <t xml:space="preserve">TOPGRAIN</t>
  </si>
  <si>
    <t xml:space="preserve">Ácido abscísico</t>
  </si>
  <si>
    <t xml:space="preserve">21000.023077/2018-65</t>
  </si>
  <si>
    <t xml:space="preserve">DURDEM 300 SC</t>
  </si>
  <si>
    <t xml:space="preserve">Teflubenzurom</t>
  </si>
  <si>
    <t xml:space="preserve">21016.001111/2025-09</t>
  </si>
  <si>
    <t xml:space="preserve">GLÁDIOS</t>
  </si>
  <si>
    <t xml:space="preserve">Paecilomyces lilacinus CCT 8068</t>
  </si>
  <si>
    <t xml:space="preserve">Companhia Nitro </t>
  </si>
  <si>
    <t xml:space="preserve">21016.004262/2025-19</t>
  </si>
  <si>
    <t xml:space="preserve"> CICLO COMBAT</t>
  </si>
  <si>
    <t xml:space="preserve">Beauveria bassiana, isolado IBCB 66; Metharizium anisopliae, isolado IBCB 425</t>
  </si>
  <si>
    <t xml:space="preserve"> MS Bio</t>
  </si>
  <si>
    <t xml:space="preserve">21016.007377/2024-76</t>
  </si>
  <si>
    <t xml:space="preserve"> AGMACRO</t>
  </si>
  <si>
    <t xml:space="preserve"> Phytoseiulus macropilis</t>
  </si>
  <si>
    <t xml:space="preserve">Agcontrol</t>
  </si>
  <si>
    <t xml:space="preserve">21016.003765/2024-88</t>
  </si>
  <si>
    <t xml:space="preserve"> TETRA-MAX</t>
  </si>
  <si>
    <t xml:space="preserve">Tetrastichus howardi </t>
  </si>
  <si>
    <t xml:space="preserve">Valentto</t>
  </si>
  <si>
    <t xml:space="preserve">21016.009328/2024-78</t>
  </si>
  <si>
    <t xml:space="preserve">BTP 170-21A</t>
  </si>
  <si>
    <t xml:space="preserve">Extrato de Melaleuca alternifolia</t>
  </si>
  <si>
    <t xml:space="preserve">21016.006692/2023-03</t>
  </si>
  <si>
    <t xml:space="preserve">BIOTHREE</t>
  </si>
  <si>
    <t xml:space="preserve">Bacillus subtilis cepa CCT 0480; Bacillus amyloliquefaciens cepa CCT 7690; Bacillus licheniformis cepa CCT 0535</t>
  </si>
  <si>
    <t xml:space="preserve">Vital</t>
  </si>
  <si>
    <t xml:space="preserve">21000.009833/2023-19</t>
  </si>
  <si>
    <t xml:space="preserve">FLOXCON SC</t>
  </si>
  <si>
    <t xml:space="preserve">Trifloxistrobina; Tebuconazol</t>
  </si>
  <si>
    <t xml:space="preserve">CAC</t>
  </si>
  <si>
    <t xml:space="preserve">21016.003114/2025-79</t>
  </si>
  <si>
    <t xml:space="preserve"> SUPRESS-H</t>
  </si>
  <si>
    <t xml:space="preserve">Trichoderma harzianum, isolado IB19/17</t>
  </si>
  <si>
    <t xml:space="preserve">21000.031532/2025-25</t>
  </si>
  <si>
    <t xml:space="preserve">NEO TACKLER</t>
  </si>
  <si>
    <t xml:space="preserve">UPL </t>
  </si>
  <si>
    <t xml:space="preserve">21016.005653/2024-61</t>
  </si>
  <si>
    <t xml:space="preserve">TrichoCare P, Trichofort P, Ecotricho P</t>
  </si>
  <si>
    <t xml:space="preserve">Trichogramma pretiosium</t>
  </si>
  <si>
    <t xml:space="preserve">BC Ecocare</t>
  </si>
  <si>
    <t xml:space="preserve">21016.002246/2024-01</t>
  </si>
  <si>
    <t xml:space="preserve">BARKCONTROL</t>
  </si>
  <si>
    <t xml:space="preserve">Neoseiulus(=Amblyseius) barkeri</t>
  </si>
  <si>
    <t xml:space="preserve"> VSF</t>
  </si>
  <si>
    <t xml:space="preserve">21016.005941/2022-54</t>
  </si>
  <si>
    <t xml:space="preserve">MALATHION LUBA 1000 EC</t>
  </si>
  <si>
    <t xml:space="preserve">Malationa</t>
  </si>
  <si>
    <t xml:space="preserve">21016.000964/2025-15</t>
  </si>
  <si>
    <t xml:space="preserve"> IN-24-29</t>
  </si>
  <si>
    <t xml:space="preserve"> Bacillus thuringiensis subsp. kurstaki(isolado CCT1306)</t>
  </si>
  <si>
    <t xml:space="preserve"> Inflora</t>
  </si>
  <si>
    <t xml:space="preserve">21016.003064/2025-20</t>
  </si>
  <si>
    <t xml:space="preserve">ARRIÉGUA</t>
  </si>
  <si>
    <t xml:space="preserve">Trichoderma harzianum, isolado IBLF1278; Trichoderma harzianum, isolado IBLF1282; Trichoderma viride isolado IBLF1275; Trichoderma viride isolado IBLF1276</t>
  </si>
  <si>
    <t xml:space="preserve"> VSF</t>
  </si>
  <si>
    <t xml:space="preserve">21016.007327/2023-16</t>
  </si>
  <si>
    <t xml:space="preserve">TEC WHITE OF</t>
  </si>
  <si>
    <t xml:space="preserve"> Beauveria bassiana, isolado IBCB 66</t>
  </si>
  <si>
    <t xml:space="preserve">Solubio</t>
  </si>
  <si>
    <t xml:space="preserve">21016.003534/2025-55</t>
  </si>
  <si>
    <t xml:space="preserve">BPR TRICHO; TRICHO H; HARZI-ONE</t>
  </si>
  <si>
    <t xml:space="preserve">Biopar</t>
  </si>
  <si>
    <t xml:space="preserve">21016.004858/2024-20</t>
  </si>
  <si>
    <t xml:space="preserve">METOMIL 900 SP CHD’S</t>
  </si>
  <si>
    <t xml:space="preserve">Metomil</t>
  </si>
  <si>
    <t xml:space="preserve">21000.008391/2020-32</t>
  </si>
  <si>
    <t xml:space="preserve">KADOSH</t>
  </si>
  <si>
    <t xml:space="preserve">Lambda-cialotrina</t>
  </si>
  <si>
    <t xml:space="preserve"> CHD'S</t>
  </si>
  <si>
    <t xml:space="preserve">21016.000161/2025-61</t>
  </si>
  <si>
    <t xml:space="preserve">AVAST PLUS</t>
  </si>
  <si>
    <t xml:space="preserve"> Beauveria bassiana, isolado IBCB 66; Metarhizium anisopliae, isolado IBCB 425; Cordyceps fumosorosea, CCT 8119</t>
  </si>
  <si>
    <t xml:space="preserve">J. A. Moura</t>
  </si>
  <si>
    <t xml:space="preserve">21016.005607/2023-81</t>
  </si>
  <si>
    <t xml:space="preserve">METOMIL ZS</t>
  </si>
  <si>
    <t xml:space="preserve">21016.000921/2022-97</t>
  </si>
  <si>
    <t xml:space="preserve">DT-CE-MPP-460-23T-BR</t>
  </si>
  <si>
    <t xml:space="preserve">21016.003266/2024-91</t>
  </si>
  <si>
    <t xml:space="preserve">LALSTOP K61 WS</t>
  </si>
  <si>
    <t xml:space="preserve">Streptomyces griseoviridis IBSBF 3418</t>
  </si>
  <si>
    <t xml:space="preserve">Lallemand</t>
  </si>
  <si>
    <t xml:space="preserve">21000.001986/2015-08</t>
  </si>
  <si>
    <t xml:space="preserve"> TSTAR</t>
  </si>
  <si>
    <t xml:space="preserve">21016.005603/2024-84</t>
  </si>
  <si>
    <t xml:space="preserve">CAPPO</t>
  </si>
  <si>
    <t xml:space="preserve">Mesotriona</t>
  </si>
  <si>
    <t xml:space="preserve">21000.033453/2020-44</t>
  </si>
  <si>
    <t xml:space="preserve">PILARCAMBA</t>
  </si>
  <si>
    <t xml:space="preserve">Dicamba, sal dimetilamina</t>
  </si>
  <si>
    <t xml:space="preserve">Pilarquim</t>
  </si>
  <si>
    <t xml:space="preserve">21000.028156/2021-68</t>
  </si>
  <si>
    <t xml:space="preserve">IPPATSU</t>
  </si>
  <si>
    <t xml:space="preserve">Ciclaniliprole; Clorfluazurom</t>
  </si>
  <si>
    <t xml:space="preserve">ISK</t>
  </si>
  <si>
    <t xml:space="preserve">NEO GLIFO</t>
  </si>
  <si>
    <t xml:space="preserve">Glifosato</t>
  </si>
  <si>
    <t xml:space="preserve">21000.089480/2019-38</t>
  </si>
  <si>
    <t xml:space="preserve">FLUMIOXAZINA C NORTOX</t>
  </si>
  <si>
    <t xml:space="preserve">Clorimurom-etílico; Flumioxazina</t>
  </si>
  <si>
    <t xml:space="preserve">21000.013677/2021-11</t>
  </si>
  <si>
    <t xml:space="preserve"> ASAFAT SG 8</t>
  </si>
  <si>
    <t xml:space="preserve">Acefato</t>
  </si>
  <si>
    <t xml:space="preserve">AllierBrasil</t>
  </si>
  <si>
    <t xml:space="preserve">21016.001243/2026-11</t>
  </si>
  <si>
    <t xml:space="preserve">TANDEM</t>
  </si>
  <si>
    <t xml:space="preserve">Clorotalonil; Dimetomorfe</t>
  </si>
  <si>
    <t xml:space="preserve">21000.043487/2019-11</t>
  </si>
  <si>
    <t xml:space="preserve">ANOLINEX</t>
  </si>
  <si>
    <t xml:space="preserve">Aminopiralide; 2,4-D, Sal Triisopropilamina</t>
  </si>
  <si>
    <t xml:space="preserve">21016.007141/2022-78</t>
  </si>
  <si>
    <t xml:space="preserve">BASTNATE FULL, GLUFERON, GLAMORATE</t>
  </si>
  <si>
    <t xml:space="preserve">Glufosinato-Sal de amônio</t>
  </si>
  <si>
    <t xml:space="preserve">21000.075530/2020-33</t>
  </si>
  <si>
    <t xml:space="preserve">MESOTRIONE 480 SC BINNONG</t>
  </si>
  <si>
    <t xml:space="preserve">21016.006027/2022-21</t>
  </si>
  <si>
    <t xml:space="preserve"> TITULO PLUS, BLUTAZONE, RAMETON, METRAZONA</t>
  </si>
  <si>
    <t xml:space="preserve">S-Metolacloro; Sulfentrazona</t>
  </si>
  <si>
    <t xml:space="preserve">21016.007192/2024-61</t>
  </si>
  <si>
    <t xml:space="preserve">FULLTIME</t>
  </si>
  <si>
    <t xml:space="preserve">Diquate</t>
  </si>
  <si>
    <t xml:space="preserve">21016.000934/2023-47</t>
  </si>
  <si>
    <t xml:space="preserve">GLYPHOSATE SINO-AGRI 720 WG</t>
  </si>
  <si>
    <t xml:space="preserve"> Glifosato</t>
  </si>
  <si>
    <t xml:space="preserve">21016.003279/2022-06</t>
  </si>
  <si>
    <t xml:space="preserve">SAMURAI TOP</t>
  </si>
  <si>
    <t xml:space="preserve">Lambda-cialotrina; Lufenurom</t>
  </si>
  <si>
    <t xml:space="preserve">21000.013675/2019-15</t>
  </si>
  <si>
    <t xml:space="preserve">BOTAIM XTRA</t>
  </si>
  <si>
    <t xml:space="preserve"> Imazapique; Imazapir</t>
  </si>
  <si>
    <t xml:space="preserve">21000.008961/2014-46</t>
  </si>
  <si>
    <t xml:space="preserve">HAXXIS</t>
  </si>
  <si>
    <t xml:space="preserve">21016.001266/2025-37</t>
  </si>
  <si>
    <t xml:space="preserve">SARGAS EVO</t>
  </si>
  <si>
    <t xml:space="preserve"> Bacillus thuringiensis var. kurstaki HD-1</t>
  </si>
  <si>
    <t xml:space="preserve">Imp Bioinsumos</t>
  </si>
  <si>
    <t xml:space="preserve">21016.005353/2022-11</t>
  </si>
  <si>
    <t xml:space="preserve">REFLECT TOP SC</t>
  </si>
  <si>
    <t xml:space="preserve">Isopirazam; Difenoconazol</t>
  </si>
  <si>
    <t xml:space="preserve">21016.008813/2024-24</t>
  </si>
  <si>
    <t xml:space="preserve">HDB 340</t>
  </si>
  <si>
    <t xml:space="preserve">Glufosinato-Sal de amônio; Quizalofope-P-Etílico</t>
  </si>
  <si>
    <t xml:space="preserve"> Helm</t>
  </si>
  <si>
    <t xml:space="preserve">21016.006294/2022-06</t>
  </si>
  <si>
    <t xml:space="preserve">BOSPEL PLUS, BOLINIL, RAINIDIL, BOCIFORM</t>
  </si>
  <si>
    <t xml:space="preserve">Boscalida; Ciprodinil</t>
  </si>
  <si>
    <t xml:space="preserve"> Rainbow </t>
  </si>
  <si>
    <t xml:space="preserve">21016.007183/2022-17</t>
  </si>
  <si>
    <t xml:space="preserve">BESTROLE PLUS, DIPROLE, CLOR PLUS, CHLOPAN</t>
  </si>
  <si>
    <t xml:space="preserve">Clorfenapir; Clorantraniliprole</t>
  </si>
  <si>
    <t xml:space="preserve">21016.007130/2024-50</t>
  </si>
  <si>
    <t xml:space="preserve"> HALOLAND XTRA</t>
  </si>
  <si>
    <t xml:space="preserve">21016.005302/2024-51</t>
  </si>
  <si>
    <t xml:space="preserve">DITAILB, DROALF, DISOLF, MESOLOM</t>
  </si>
  <si>
    <t xml:space="preserve">Diuron; Sulfentrazona</t>
  </si>
  <si>
    <t xml:space="preserve">21016.002651/2022-59</t>
  </si>
  <si>
    <t xml:space="preserve">TRIFLOXISTROBIN YN 500 WG PERTERRA</t>
  </si>
  <si>
    <t xml:space="preserve"> Perterra</t>
  </si>
  <si>
    <t xml:space="preserve">21000.076429/2020-08</t>
  </si>
  <si>
    <t xml:space="preserve">AMETRINA 500 SC BINNONG</t>
  </si>
  <si>
    <t xml:space="preserve"> Ametrina</t>
  </si>
  <si>
    <t xml:space="preserve">21016.003708/2025-80</t>
  </si>
  <si>
    <t xml:space="preserve">BIONOVA SANUS BOVE SC</t>
  </si>
  <si>
    <t xml:space="preserve"> Nova do Brasil </t>
  </si>
  <si>
    <t xml:space="preserve">21016.008370/2024-71</t>
  </si>
  <si>
    <t xml:space="preserve">FLASHER MAX</t>
  </si>
  <si>
    <t xml:space="preserve"> Etiprole</t>
  </si>
  <si>
    <t xml:space="preserve"> CHD'S </t>
  </si>
  <si>
    <t xml:space="preserve">21000.051868/2021-81</t>
  </si>
  <si>
    <t xml:space="preserve">ISOXAFLUTOLE 750 WG TECNOMYL</t>
  </si>
  <si>
    <t xml:space="preserve"> Isoxaflutol</t>
  </si>
  <si>
    <t xml:space="preserve"> Tecnomyl</t>
  </si>
  <si>
    <t xml:space="preserve">21000.084931/2022-46</t>
  </si>
  <si>
    <t xml:space="preserve">CETRIX</t>
  </si>
  <si>
    <t xml:space="preserve">Etiprole</t>
  </si>
  <si>
    <t xml:space="preserve">21000.059497/2021-85</t>
  </si>
  <si>
    <t xml:space="preserve"> IMAZETAPIR 700 WG CROP</t>
  </si>
  <si>
    <t xml:space="preserve">Imazetapir</t>
  </si>
  <si>
    <t xml:space="preserve">Solus</t>
  </si>
  <si>
    <t xml:space="preserve">21016.008337/2023-61</t>
  </si>
  <si>
    <t xml:space="preserve">CYPRESS BOLD</t>
  </si>
  <si>
    <t xml:space="preserve">Difenoconazol; Tebuconazol</t>
  </si>
  <si>
    <t xml:space="preserve">21000.008661/2017-18</t>
  </si>
  <si>
    <t xml:space="preserve">TOFORDEE</t>
  </si>
  <si>
    <t xml:space="preserve"> 2,4-D</t>
  </si>
  <si>
    <t xml:space="preserve">21016.003985/2022-40</t>
  </si>
  <si>
    <t xml:space="preserve">TRELLUS</t>
  </si>
  <si>
    <t xml:space="preserve">Fenpropimorfe</t>
  </si>
  <si>
    <t xml:space="preserve">21016.010252/2021-81</t>
  </si>
  <si>
    <t xml:space="preserve">ISOXAFLUTOL WG ALBAUGH 02</t>
  </si>
  <si>
    <t xml:space="preserve">Isoxaflutol</t>
  </si>
  <si>
    <t xml:space="preserve">21016.010216/2021-17</t>
  </si>
  <si>
    <t xml:space="preserve"> CLETOWEED 240 EC</t>
  </si>
  <si>
    <t xml:space="preserve">21016.005816/2021-63</t>
  </si>
  <si>
    <t xml:space="preserve"> ESPIRODICLOFEN 240 SC PERTERRA</t>
  </si>
  <si>
    <t xml:space="preserve">Espirodiclofeno</t>
  </si>
  <si>
    <t xml:space="preserve">21016.010008/2021-18</t>
  </si>
  <si>
    <t xml:space="preserve">DIQUAT YN 200 SL PERTERRA</t>
  </si>
  <si>
    <t xml:space="preserve">21016.001826/2022-19</t>
  </si>
  <si>
    <t xml:space="preserve">SURRATEIRO BR</t>
  </si>
  <si>
    <t xml:space="preserve">21016.004061/2025-11</t>
  </si>
  <si>
    <t xml:space="preserve">QUALYBIO META CONTROL</t>
  </si>
  <si>
    <t xml:space="preserve">Metharizium anisopliae, isolado IBCB 425</t>
  </si>
  <si>
    <t xml:space="preserve">Nave </t>
  </si>
  <si>
    <t xml:space="preserve">21016.002667/2024-23</t>
  </si>
  <si>
    <t xml:space="preserve">CLODINAFOP-PROPARGYL 240 EC LIER</t>
  </si>
  <si>
    <t xml:space="preserve">Clodinafope-Propargil</t>
  </si>
  <si>
    <t xml:space="preserve">21016.004658/2022-13</t>
  </si>
  <si>
    <t xml:space="preserve">DIFLUBENZURON 480 SC GHARDA</t>
  </si>
  <si>
    <t xml:space="preserve"> Diflubenzurom</t>
  </si>
  <si>
    <t xml:space="preserve">Biorisk </t>
  </si>
  <si>
    <t xml:space="preserve">21000.036088/2024-53</t>
  </si>
  <si>
    <t xml:space="preserve">SENHA 648 SL</t>
  </si>
  <si>
    <t xml:space="preserve">Glifosato, Sal de Isopropilamina</t>
  </si>
  <si>
    <t xml:space="preserve"> AllierBrasil </t>
  </si>
  <si>
    <t xml:space="preserve">21016.002563/2023-38</t>
  </si>
  <si>
    <t xml:space="preserve"> SUPERQUAT 200 SL</t>
  </si>
  <si>
    <t xml:space="preserve"> Dibrometo de Diquate</t>
  </si>
  <si>
    <t xml:space="preserve">21016.009331/2021-49</t>
  </si>
  <si>
    <t xml:space="preserve"> AZOXISTROBINA 250 SC PERTERRA</t>
  </si>
  <si>
    <t xml:space="preserve">Azoxistrobina</t>
  </si>
  <si>
    <t xml:space="preserve">21000.091715/2021-76</t>
  </si>
  <si>
    <t xml:space="preserve">ACETAMIPRIDO+BIFENTRINA SC ALBAUGH 02</t>
  </si>
  <si>
    <t xml:space="preserve">21016.001609/2026-44</t>
  </si>
  <si>
    <t xml:space="preserve">FANTASTIC SUPRA BR</t>
  </si>
  <si>
    <t xml:space="preserve">Bifentrina; Sulfoxaflor</t>
  </si>
  <si>
    <t xml:space="preserve">Adama(i)</t>
  </si>
  <si>
    <t xml:space="preserve">21016.002495/2026-50</t>
  </si>
  <si>
    <t xml:space="preserve">KRIEGER</t>
  </si>
  <si>
    <t xml:space="preserve">Imidacloprido; Lambda-cialotrina</t>
  </si>
  <si>
    <t xml:space="preserve">Helm(i)</t>
  </si>
  <si>
    <t xml:space="preserve">21016.006234/2025-28</t>
  </si>
  <si>
    <t xml:space="preserve">CINERAGRO METARHIZIUM</t>
  </si>
  <si>
    <t xml:space="preserve">Metharizium anisopliae IBCB 425</t>
  </si>
  <si>
    <t xml:space="preserve">Ghenvet </t>
  </si>
  <si>
    <t xml:space="preserve">21000.060166/2021-98</t>
  </si>
  <si>
    <t xml:space="preserve">PREFER MAX</t>
  </si>
  <si>
    <t xml:space="preserve">21016.001059/2022-30</t>
  </si>
  <si>
    <t xml:space="preserve">OPTERAEVO</t>
  </si>
  <si>
    <t xml:space="preserve">21000.008659/2022-06</t>
  </si>
  <si>
    <t xml:space="preserve">FILIA</t>
  </si>
  <si>
    <t xml:space="preserve">Triciclazol; Propiconazol</t>
  </si>
  <si>
    <t xml:space="preserve">21000.050279/2024-28</t>
  </si>
  <si>
    <t xml:space="preserve">MITRION FULL 500 SC</t>
  </si>
  <si>
    <t xml:space="preserve"> Benzovindiflupir; Protioconazol; Mancozebe</t>
  </si>
  <si>
    <t xml:space="preserve">21016.002280/2025-58</t>
  </si>
  <si>
    <t xml:space="preserve">IN-24-45</t>
  </si>
  <si>
    <t xml:space="preserve"> Beauveria bassiana, isolado IBCB 66 </t>
  </si>
  <si>
    <t xml:space="preserve">Inflora </t>
  </si>
  <si>
    <t xml:space="preserve">21016.000822/2025-58</t>
  </si>
  <si>
    <t xml:space="preserve">IN-24-34</t>
  </si>
  <si>
    <t xml:space="preserve">21016.002600/2025-70</t>
  </si>
  <si>
    <t xml:space="preserve"> JATASPAN, CINERAGRO BEAUVERIA + METARHIZIUM</t>
  </si>
  <si>
    <t xml:space="preserve">Beauveria bassiana, isolado IBCB 66; Metarhizium anisopliae, isolado IBCB 425</t>
  </si>
  <si>
    <t xml:space="preserve">Ghenvet</t>
  </si>
  <si>
    <t xml:space="preserve">21000.023078/2021-13</t>
  </si>
  <si>
    <t xml:space="preserve">ELATUS ACE EC</t>
  </si>
  <si>
    <t xml:space="preserve">Benzovindiflupir; Propiconazol</t>
  </si>
  <si>
    <t xml:space="preserve">21016.001317/2025-21</t>
  </si>
  <si>
    <t xml:space="preserve">ANT-03 EC/BIOTITAN EC</t>
  </si>
  <si>
    <t xml:space="preserve">Beauveria bassiana, cepa ANT-03</t>
  </si>
  <si>
    <t xml:space="preserve">Lallemand </t>
  </si>
  <si>
    <t xml:space="preserve">21016.001320/2025-44</t>
  </si>
  <si>
    <t xml:space="preserve">ANT-03 WP/BIOTITAN WP</t>
  </si>
  <si>
    <t xml:space="preserve">21016.001275/2025-28</t>
  </si>
  <si>
    <t xml:space="preserve">AGBOVE</t>
  </si>
  <si>
    <t xml:space="preserve">Nave</t>
  </si>
  <si>
    <t xml:space="preserve">21016.007423/2024-37</t>
  </si>
  <si>
    <t xml:space="preserve">BVM0722</t>
  </si>
  <si>
    <t xml:space="preserve">Ooencyrtus submetallicus</t>
  </si>
  <si>
    <t xml:space="preserve">Vittia</t>
  </si>
  <si>
    <t xml:space="preserve">21016.003709/2025-24</t>
  </si>
  <si>
    <t xml:space="preserve">BIONOVA SANUS META SC</t>
  </si>
  <si>
    <t xml:space="preserve">Metarhizium anisopliae, isolado IBCB 425</t>
  </si>
  <si>
    <t xml:space="preserve">Nova</t>
  </si>
  <si>
    <t xml:space="preserve">21016.006158/2025-51</t>
  </si>
  <si>
    <t xml:space="preserve">DAUBKILL</t>
  </si>
  <si>
    <t xml:space="preserve">Beauveria bassiana, isolado IBCB 66; Metarhizium anisopliae, IBCB 425</t>
  </si>
  <si>
    <t xml:space="preserve">On Farm</t>
  </si>
  <si>
    <t xml:space="preserve">21000.035684/2020-92</t>
  </si>
  <si>
    <t xml:space="preserve">PRATA 750 EC</t>
  </si>
  <si>
    <t xml:space="preserve">CROPCHEM</t>
  </si>
  <si>
    <t xml:space="preserve">21016.003592/2023-17</t>
  </si>
  <si>
    <t xml:space="preserve">PILARCLEAR; PILARLIMPO</t>
  </si>
  <si>
    <t xml:space="preserve">Flumioxazina; S-Metolacloro</t>
  </si>
  <si>
    <t xml:space="preserve">Pilarquim </t>
  </si>
  <si>
    <t xml:space="preserve">21016.005081/2021-78</t>
  </si>
  <si>
    <t xml:space="preserve">CLETHION</t>
  </si>
  <si>
    <t xml:space="preserve"> Cletodim</t>
  </si>
  <si>
    <t xml:space="preserve">Nellty</t>
  </si>
  <si>
    <t xml:space="preserve">21016.008000/2024-34</t>
  </si>
  <si>
    <t xml:space="preserve"> DESIGNIO</t>
  </si>
  <si>
    <t xml:space="preserve">Flutriafol; Protioconazol</t>
  </si>
  <si>
    <t xml:space="preserve">21016.000717/2025-19</t>
  </si>
  <si>
    <t xml:space="preserve">PROVILAR® PLUS</t>
  </si>
  <si>
    <t xml:space="preserve">Bacillus velezensis cepa RTI301; Bacillus subtilis cepa RTI477</t>
  </si>
  <si>
    <t xml:space="preserve">FMC </t>
  </si>
  <si>
    <t xml:space="preserve">21000.105612/2021-09</t>
  </si>
  <si>
    <t xml:space="preserve">PIRIPROXIFEM EC ALBAUGH 01</t>
  </si>
  <si>
    <t xml:space="preserve">Piriproxifem</t>
  </si>
  <si>
    <t xml:space="preserve">21000.077306/2021-67</t>
  </si>
  <si>
    <t xml:space="preserve">ILUSTRE</t>
  </si>
  <si>
    <t xml:space="preserve"> Protioconazol</t>
  </si>
  <si>
    <t xml:space="preserve">21000.024600/2021-76</t>
  </si>
  <si>
    <t xml:space="preserve">AZOXISTROBINA + CIPROCONAZOL SC ALBAUGH 02</t>
  </si>
  <si>
    <t xml:space="preserve">Azoxistrobina; Ciproconazol</t>
  </si>
  <si>
    <t xml:space="preserve">Albaugh </t>
  </si>
  <si>
    <t xml:space="preserve">21000.076904/2020-38</t>
  </si>
  <si>
    <t xml:space="preserve">TRIFLURALINA F NORTOX</t>
  </si>
  <si>
    <t xml:space="preserve"> Trifluralina; Flumioxazina</t>
  </si>
  <si>
    <t xml:space="preserve">21016.003726/2026-42</t>
  </si>
  <si>
    <t xml:space="preserve">ALION MAX</t>
  </si>
  <si>
    <t xml:space="preserve">Indaziflam</t>
  </si>
  <si>
    <t xml:space="preserve">Bayer(i)</t>
  </si>
  <si>
    <t xml:space="preserve">21016.003748/2026-11</t>
  </si>
  <si>
    <t xml:space="preserve">CLEANDIM 480 EC</t>
  </si>
  <si>
    <t xml:space="preserve">Longwind(i)</t>
  </si>
  <si>
    <t xml:space="preserve">21016.008647/2024-66</t>
  </si>
  <si>
    <t xml:space="preserve">ZNAME</t>
  </si>
  <si>
    <t xml:space="preserve">Fluazinam </t>
  </si>
  <si>
    <t xml:space="preserve">21016.008394/2021-88</t>
  </si>
  <si>
    <t xml:space="preserve"> FOMESAFEN 250 SL PERTERRA</t>
  </si>
  <si>
    <t xml:space="preserve">21016.001020/2022-12</t>
  </si>
  <si>
    <t xml:space="preserve">ETIPROLE 200 SC PERTERRA</t>
  </si>
  <si>
    <t xml:space="preserve">21000.062286/2022-19</t>
  </si>
  <si>
    <t xml:space="preserve">TILT TURBO</t>
  </si>
  <si>
    <t xml:space="preserve">Propiconazol; Fenpropidin</t>
  </si>
  <si>
    <t xml:space="preserve">21000.054425/2023-11</t>
  </si>
  <si>
    <t xml:space="preserve"> SENHA K 620 SL</t>
  </si>
  <si>
    <t xml:space="preserve">21016.004818/2025-69</t>
  </si>
  <si>
    <t xml:space="preserve">KBR-MAWP</t>
  </si>
  <si>
    <t xml:space="preserve">Metarhizium anisopliae (Metsch) Sorok, cepa E9</t>
  </si>
  <si>
    <t xml:space="preserve">Koppert(i)</t>
  </si>
  <si>
    <t xml:space="preserve">21000.124013/2022-67</t>
  </si>
  <si>
    <t xml:space="preserve">VICTRATO GOLD</t>
  </si>
  <si>
    <t xml:space="preserve">Difenoconazol; Fludioxonil; Metalaxil-M; Ciclobutrifluram</t>
  </si>
  <si>
    <t xml:space="preserve">21000.017041/2024-91</t>
  </si>
  <si>
    <t xml:space="preserve">MIRAVIS MAXX</t>
  </si>
  <si>
    <t xml:space="preserve">Pidiflumetofem; Azoxistrobina; Difenoconazol</t>
  </si>
  <si>
    <t xml:space="preserve">21016.001609/2025-63</t>
  </si>
  <si>
    <t xml:space="preserve">KBR-BAH57WP-01</t>
  </si>
  <si>
    <t xml:space="preserve">Bacillus amyloliquefaciens, isolado UMAF6614</t>
  </si>
  <si>
    <t xml:space="preserve"> Koppert </t>
  </si>
  <si>
    <t xml:space="preserve">21016.007588/2024-17</t>
  </si>
  <si>
    <t xml:space="preserve">ACERTAMAX</t>
  </si>
  <si>
    <t xml:space="preserve">CHDS </t>
  </si>
  <si>
    <t xml:space="preserve">21016.006250/2023-59</t>
  </si>
  <si>
    <t xml:space="preserve">FORMER 250 SL</t>
  </si>
  <si>
    <t xml:space="preserve">21016.001700/2025-89</t>
  </si>
  <si>
    <t xml:space="preserve">HARZIGEN</t>
  </si>
  <si>
    <t xml:space="preserve">Trichoderma harzianum Cepa IB 19/17</t>
  </si>
  <si>
    <t xml:space="preserve">Genoma</t>
  </si>
  <si>
    <t xml:space="preserve">21016.003209/2024-10</t>
  </si>
  <si>
    <t xml:space="preserve"> YONARDO GOLD</t>
  </si>
  <si>
    <t xml:space="preserve">2,4-D; Aminopiralide</t>
  </si>
  <si>
    <t xml:space="preserve">21000.056009/2024-21</t>
  </si>
  <si>
    <t xml:space="preserve">GLABRANEEN</t>
  </si>
  <si>
    <t xml:space="preserve">Extrato de Azadirachta indica; Extrato de Pongamia glabra</t>
  </si>
  <si>
    <t xml:space="preserve">DVA </t>
  </si>
  <si>
    <t xml:space="preserve">21016.002946/2022-25</t>
  </si>
  <si>
    <t xml:space="preserve">ISOLVED 75 WG</t>
  </si>
  <si>
    <t xml:space="preserve">21016.005595/2023-95</t>
  </si>
  <si>
    <t xml:space="preserve">CHARIOTS</t>
  </si>
  <si>
    <t xml:space="preserve">21016.009755/2021-11</t>
  </si>
  <si>
    <t xml:space="preserve">CLOMAZONE 360 g/L CS BRILLIANCE</t>
  </si>
  <si>
    <t xml:space="preserve">Brilliance</t>
  </si>
  <si>
    <t xml:space="preserve">21016.005190/2021-95</t>
  </si>
  <si>
    <t xml:space="preserve">OXI 0104 BF (Clone B)</t>
  </si>
  <si>
    <t xml:space="preserve">Tebuconazol; Trifloxistrobina; Oxicloreto de Cobre</t>
  </si>
  <si>
    <t xml:space="preserve">Oxiquímica</t>
  </si>
  <si>
    <t xml:space="preserve">21016.004712/2021-31</t>
  </si>
  <si>
    <t xml:space="preserve">CONSTANCE</t>
  </si>
  <si>
    <t xml:space="preserve">21016.004713/2021-86</t>
  </si>
  <si>
    <t xml:space="preserve">ENVOLV</t>
  </si>
  <si>
    <t xml:space="preserve">21016.007159/2024-31</t>
  </si>
  <si>
    <t xml:space="preserve">METABOLIC PROTECTION</t>
  </si>
  <si>
    <t xml:space="preserve">Pseudomonas fluorescens CCT 8242 </t>
  </si>
  <si>
    <t xml:space="preserve">Simbiose</t>
  </si>
  <si>
    <t xml:space="preserve">21016.000929/2022-53</t>
  </si>
  <si>
    <t xml:space="preserve"> ULTRATEB</t>
  </si>
  <si>
    <t xml:space="preserve">21000.094381/2021-92</t>
  </si>
  <si>
    <t xml:space="preserve">FUZILLE</t>
  </si>
  <si>
    <t xml:space="preserve">Clorantraniliprole; Clorfenapir</t>
  </si>
  <si>
    <t xml:space="preserve">21000.062064/2021-15</t>
  </si>
  <si>
    <t xml:space="preserve">SANSEY</t>
  </si>
  <si>
    <t xml:space="preserve">21016.005283/2022-09</t>
  </si>
  <si>
    <t xml:space="preserve">FLUTRIGRAN</t>
  </si>
  <si>
    <t xml:space="preserve">Flutriafol </t>
  </si>
  <si>
    <t xml:space="preserve">SM Agrocare </t>
  </si>
  <si>
    <t xml:space="preserve">21000.107275/2021-86</t>
  </si>
  <si>
    <t xml:space="preserve">BRAZA</t>
  </si>
  <si>
    <t xml:space="preserve"> Diclosulam</t>
  </si>
  <si>
    <t xml:space="preserve">Nutrien</t>
  </si>
  <si>
    <t xml:space="preserve">21016.005082/2021-12</t>
  </si>
  <si>
    <t xml:space="preserve">CARTADA</t>
  </si>
  <si>
    <t xml:space="preserve">Mesotriona; Nicossulfurom</t>
  </si>
  <si>
    <t xml:space="preserve">21016.007439/2025-21</t>
  </si>
  <si>
    <t xml:space="preserve"> ANISO</t>
  </si>
  <si>
    <t xml:space="preserve"> Metarhizium anisopliae, isolado IBCB 425</t>
  </si>
  <si>
    <t xml:space="preserve">Biota </t>
  </si>
  <si>
    <t xml:space="preserve">21016.004257/2023-36</t>
  </si>
  <si>
    <t xml:space="preserve"> OXYMAX; AMANTIK</t>
  </si>
  <si>
    <t xml:space="preserve">Oximatrine</t>
  </si>
  <si>
    <t xml:space="preserve"> Avgust</t>
  </si>
  <si>
    <t xml:space="preserve">21000.031830/2021-91</t>
  </si>
  <si>
    <t xml:space="preserve">MESOTRIONE SC ALBAUGH 02</t>
  </si>
  <si>
    <t xml:space="preserve">21000.084782/2021-34</t>
  </si>
  <si>
    <t xml:space="preserve">FLUMIOXAZINA SC ALBAUGH 01</t>
  </si>
  <si>
    <t xml:space="preserve"> Flumioxazina </t>
  </si>
  <si>
    <t xml:space="preserve">21000.060585/2019-13</t>
  </si>
  <si>
    <t xml:space="preserve">TACUAR 240 EC</t>
  </si>
  <si>
    <t xml:space="preserve">Clodinafope-propargil</t>
  </si>
  <si>
    <t xml:space="preserve">21000.039844/2022-34</t>
  </si>
  <si>
    <t xml:space="preserve">SYNGLO 480 SC</t>
  </si>
  <si>
    <t xml:space="preserve">Piraclostrobina; Tebuconazol</t>
  </si>
  <si>
    <t xml:space="preserve">21016.001933/2023-10</t>
  </si>
  <si>
    <t xml:space="preserve">VELITREX</t>
  </si>
  <si>
    <t xml:space="preserve">Clorantraniliprole; Indoxacarbe</t>
  </si>
  <si>
    <t xml:space="preserve">21016.009116/2021-48</t>
  </si>
  <si>
    <t xml:space="preserve"> ARBALEST 200 SC</t>
  </si>
  <si>
    <t xml:space="preserve">21016.002042/2021-19</t>
  </si>
  <si>
    <t xml:space="preserve">CLORFENAPIR 240 SC PERTERRA</t>
  </si>
  <si>
    <t xml:space="preserve">Clorfenapir</t>
  </si>
  <si>
    <t xml:space="preserve">21016.005212/2021-17</t>
  </si>
  <si>
    <t xml:space="preserve">VICSULAM</t>
  </si>
  <si>
    <t xml:space="preserve">Piroxsulam</t>
  </si>
  <si>
    <t xml:space="preserve">21016.005107/2021-88</t>
  </si>
  <si>
    <t xml:space="preserve">GLUFOSINATO 880 SG PERTERRA</t>
  </si>
  <si>
    <t xml:space="preserve">21016.002502/2022-90</t>
  </si>
  <si>
    <t xml:space="preserve">EREDITÀ H</t>
  </si>
  <si>
    <t xml:space="preserve">21000.038086/2017-70</t>
  </si>
  <si>
    <t xml:space="preserve">XTENDIMAX</t>
  </si>
  <si>
    <t xml:space="preserve">Monsanto </t>
  </si>
  <si>
    <t xml:space="preserve">21016.003604/2022-22</t>
  </si>
  <si>
    <t xml:space="preserve">DIQUAT SINO‐AGRI 200 G/L SL</t>
  </si>
  <si>
    <t xml:space="preserve">Lemma </t>
  </si>
  <si>
    <t xml:space="preserve">21016.008086/2023-14</t>
  </si>
  <si>
    <t xml:space="preserve">THYMOX CONTROL</t>
  </si>
  <si>
    <t xml:space="preserve">Óleo de Thymus vulgaris</t>
  </si>
  <si>
    <t xml:space="preserve">Prophyto</t>
  </si>
  <si>
    <t xml:space="preserve">21016.006008/2025-47</t>
  </si>
  <si>
    <t xml:space="preserve">BIOFLEX B.M</t>
  </si>
  <si>
    <t xml:space="preserve">H.T.M.</t>
  </si>
  <si>
    <t xml:space="preserve">21016.008195/2025-01</t>
  </si>
  <si>
    <t xml:space="preserve">BPR TRICHO 10 / HARZITOP</t>
  </si>
  <si>
    <t xml:space="preserve">21000.015511/2021-39</t>
  </si>
  <si>
    <t xml:space="preserve"> AVANTA</t>
  </si>
  <si>
    <t xml:space="preserve">Piriofenone</t>
  </si>
  <si>
    <t xml:space="preserve"> ISK</t>
  </si>
  <si>
    <t xml:space="preserve">21016.001014/2024-27</t>
  </si>
  <si>
    <t xml:space="preserve">CORVUS 608 DMA SL</t>
  </si>
  <si>
    <t xml:space="preserve">Glifosato, Sal de dimetilamina</t>
  </si>
  <si>
    <t xml:space="preserve"> Somax </t>
  </si>
  <si>
    <t xml:space="preserve">21016.006768/2023-92</t>
  </si>
  <si>
    <t xml:space="preserve">KANOPUS PRO</t>
  </si>
  <si>
    <t xml:space="preserve">Clorfenapir; Metoxifenozida</t>
  </si>
  <si>
    <t xml:space="preserve">Helm</t>
  </si>
  <si>
    <t xml:space="preserve">21016.009555/2021-51</t>
  </si>
  <si>
    <t xml:space="preserve">NAXYPROSPECTRA</t>
  </si>
  <si>
    <t xml:space="preserve">Clorantraniliprole; Diafentiurom</t>
  </si>
  <si>
    <t xml:space="preserve">Sumitomo </t>
  </si>
  <si>
    <t xml:space="preserve">21000.050951/2016-75</t>
  </si>
  <si>
    <t xml:space="preserve">TRAM SD 500 SC</t>
  </si>
  <si>
    <t xml:space="preserve">21000.099831/2021-33</t>
  </si>
  <si>
    <t xml:space="preserve">PROTIOCONAZOL EC ALBAUGH 02</t>
  </si>
  <si>
    <t xml:space="preserve">Protioconazol</t>
  </si>
  <si>
    <t xml:space="preserve">21016.010266/2021-02</t>
  </si>
  <si>
    <t xml:space="preserve">PROTIOCONAZOL 180 + AZOXISTROBINA 200 OXON SC; PROTIOCONAZOL 180 + AZOXISTROBINA 200 OXON SC II; PROTIOCONAZOL 180 + AZOXISTROBINA 200 OXON SC III</t>
  </si>
  <si>
    <t xml:space="preserve">Protioconazol; Azoxistrobina</t>
  </si>
  <si>
    <t xml:space="preserve">Oxon</t>
  </si>
  <si>
    <t xml:space="preserve">21016.001028/2022-89</t>
  </si>
  <si>
    <t xml:space="preserve">TEMPTUM</t>
  </si>
  <si>
    <t xml:space="preserve">S-Metolacloro; Dicamba</t>
  </si>
  <si>
    <t xml:space="preserve">21016.000432/2022-35</t>
  </si>
  <si>
    <t xml:space="preserve">RAINZOL</t>
  </si>
  <si>
    <t xml:space="preserve">21016.009533/2021-91</t>
  </si>
  <si>
    <t xml:space="preserve">SILVZOLE</t>
  </si>
  <si>
    <t xml:space="preserve">Tebuconazole</t>
  </si>
  <si>
    <t xml:space="preserve">Rainbow </t>
  </si>
  <si>
    <t xml:space="preserve">21016.002701/2022-06</t>
  </si>
  <si>
    <t xml:space="preserve">GANESTA</t>
  </si>
  <si>
    <t xml:space="preserve">Cropchem </t>
  </si>
  <si>
    <t xml:space="preserve">21016.002199/2022-25</t>
  </si>
  <si>
    <t xml:space="preserve">CELANTRO</t>
  </si>
  <si>
    <t xml:space="preserve">21000.050676/2016-90</t>
  </si>
  <si>
    <t xml:space="preserve">ATRAZIN SD 500 SC</t>
  </si>
  <si>
    <t xml:space="preserve">21016.009052/2021-85</t>
  </si>
  <si>
    <t xml:space="preserve">ATTUARE W</t>
  </si>
  <si>
    <t xml:space="preserve"> Hexazinona; Diurom</t>
  </si>
  <si>
    <t xml:space="preserve">21016.004214/2021-99</t>
  </si>
  <si>
    <t xml:space="preserve"> GLUFOSINATO W 880 SG PERTERRA</t>
  </si>
  <si>
    <t xml:space="preserve">Glufosinato Sal de amônio </t>
  </si>
  <si>
    <t xml:space="preserve">21016.003304/2024-13</t>
  </si>
  <si>
    <t xml:space="preserve">2,4-D ZS</t>
  </si>
  <si>
    <t xml:space="preserve">2,4-D</t>
  </si>
  <si>
    <t xml:space="preserve">21016.003779/2021-59</t>
  </si>
  <si>
    <t xml:space="preserve">SOYAGLORY</t>
  </si>
  <si>
    <t xml:space="preserve">21016.003481/2021-49</t>
  </si>
  <si>
    <t xml:space="preserve"> ELUMIS</t>
  </si>
  <si>
    <t xml:space="preserve">21016.009301/2024-85</t>
  </si>
  <si>
    <t xml:space="preserve">SLT-25</t>
  </si>
  <si>
    <t xml:space="preserve">Beauveria bassiana IBCB 66; Metarhizium anisopliae isolado IBCB 425</t>
  </si>
  <si>
    <t xml:space="preserve">Solatus </t>
  </si>
  <si>
    <t xml:space="preserve">21000.108239/2021-30</t>
  </si>
  <si>
    <t xml:space="preserve">PRIDE</t>
  </si>
  <si>
    <t xml:space="preserve">Proexadiona cálcica; Cloreto de clormequate</t>
  </si>
  <si>
    <t xml:space="preserve">Iharabras</t>
  </si>
  <si>
    <t xml:space="preserve">21000.100760/2021-29</t>
  </si>
  <si>
    <t xml:space="preserve">QORVEX</t>
  </si>
  <si>
    <t xml:space="preserve"> GSP</t>
  </si>
  <si>
    <t xml:space="preserve">21000.012061/2025-56</t>
  </si>
  <si>
    <t xml:space="preserve">TEC-003-B</t>
  </si>
  <si>
    <t xml:space="preserve">Bacillus licheniformis CCT 2473; Bacillus subtilis subsp. subtilis CCT 3131; Bacillus thuringiensis var. kurstaki HD-1</t>
  </si>
  <si>
    <t xml:space="preserve">21000.111279/2021-69</t>
  </si>
  <si>
    <t xml:space="preserve">TARÂNTULA TR</t>
  </si>
  <si>
    <t xml:space="preserve"> Diclosulam</t>
  </si>
  <si>
    <t xml:space="preserve">21000.050677/2016-34</t>
  </si>
  <si>
    <t xml:space="preserve">TRIP SD 500 SC</t>
  </si>
  <si>
    <t xml:space="preserve">21000.078106/2020-41</t>
  </si>
  <si>
    <t xml:space="preserve">CORTINA</t>
  </si>
  <si>
    <t xml:space="preserve">21016.006891/2024-94</t>
  </si>
  <si>
    <t xml:space="preserve"> FRUGIPERDA PRO SPRAY</t>
  </si>
  <si>
    <t xml:space="preserve">Acetato de (Z)-9-tetradecenila; Acetato de (Z)-11-hexadecenila; Acetato de (Z)-7-dodecenila</t>
  </si>
  <si>
    <t xml:space="preserve">21016.004207/2025-11</t>
  </si>
  <si>
    <t xml:space="preserve">CELITE 610 SA</t>
  </si>
  <si>
    <t xml:space="preserve">Dióxido de silício (Terra de diatomácea)</t>
  </si>
  <si>
    <t xml:space="preserve"> Imerys</t>
  </si>
  <si>
    <t xml:space="preserve">21000.124364/2022-78</t>
  </si>
  <si>
    <t xml:space="preserve">SPARTA</t>
  </si>
  <si>
    <t xml:space="preserve">Difenoconazol; Fenpropidin; Picoxistrobina</t>
  </si>
  <si>
    <t xml:space="preserve">21000.076715/2020-65</t>
  </si>
  <si>
    <t xml:space="preserve">LUFKEN NT</t>
  </si>
  <si>
    <t xml:space="preserve"> Dicamba</t>
  </si>
  <si>
    <t xml:space="preserve">Agroallianz S.A.</t>
  </si>
  <si>
    <t xml:space="preserve">21016.007047/2023-08</t>
  </si>
  <si>
    <t xml:space="preserve">GLULIER SG</t>
  </si>
  <si>
    <t xml:space="preserve">21016.002381/2023-67</t>
  </si>
  <si>
    <t xml:space="preserve">OXI 0108 BF</t>
  </si>
  <si>
    <t xml:space="preserve">Oxicloreto de cobre; Tebuconazol</t>
  </si>
  <si>
    <t xml:space="preserve">21016.002349/2022-09</t>
  </si>
  <si>
    <t xml:space="preserve"> SPIROSUL</t>
  </si>
  <si>
    <t xml:space="preserve">Espirodiclofeno; Enxofre</t>
  </si>
  <si>
    <t xml:space="preserve">21016.003961/2024-52</t>
  </si>
  <si>
    <t xml:space="preserve">SORANNA</t>
  </si>
  <si>
    <t xml:space="preserve"> Tebuconazol; Difenoconazol</t>
  </si>
  <si>
    <t xml:space="preserve">21000.007073/2020-54</t>
  </si>
  <si>
    <t xml:space="preserve">RAINTIURON</t>
  </si>
  <si>
    <t xml:space="preserve">Diafentiuron</t>
  </si>
  <si>
    <t xml:space="preserve">21000.076459/2020-14</t>
  </si>
  <si>
    <t xml:space="preserve">ZARIMOX</t>
  </si>
  <si>
    <t xml:space="preserve">Flumioxazina; Imazetapir</t>
  </si>
  <si>
    <t xml:space="preserve">21000.008843/2020-86</t>
  </si>
  <si>
    <t xml:space="preserve"> RAINTICARB</t>
  </si>
  <si>
    <t xml:space="preserve">Tiodicarbe</t>
  </si>
  <si>
    <t xml:space="preserve">21000.007072/2020-18</t>
  </si>
  <si>
    <t xml:space="preserve">DIAFEN</t>
  </si>
  <si>
    <t xml:space="preserve">21000.010195/2024-51</t>
  </si>
  <si>
    <t xml:space="preserve">APPROVE SC</t>
  </si>
  <si>
    <t xml:space="preserve">Tiofanato metílico; Fluazinam </t>
  </si>
  <si>
    <t xml:space="preserve">21016.006751/2022-54</t>
  </si>
  <si>
    <t xml:space="preserve">GLAMOR 88 SG</t>
  </si>
  <si>
    <t xml:space="preserve"> Agrobeats</t>
  </si>
  <si>
    <t xml:space="preserve">21016.001392/2025-91</t>
  </si>
  <si>
    <t xml:space="preserve">CRAVAX</t>
  </si>
  <si>
    <t xml:space="preserve">Bifentrina ; Etiprole </t>
  </si>
  <si>
    <t xml:space="preserve">21016.001710/2022-71</t>
  </si>
  <si>
    <t xml:space="preserve">SUCESSOR</t>
  </si>
  <si>
    <t xml:space="preserve">Bifentrina; Etiprole </t>
  </si>
  <si>
    <t xml:space="preserve">TC00126</t>
  </si>
  <si>
    <t xml:space="preserve">21000.041310/2018-91</t>
  </si>
  <si>
    <t xml:space="preserve">Espirodiclofeno Técnico Syncrom</t>
  </si>
  <si>
    <t xml:space="preserve">PTE</t>
  </si>
  <si>
    <t xml:space="preserve">Classe III - Produto Perigoso ao Meio Ambiente</t>
  </si>
  <si>
    <t xml:space="preserve">Ano 2025 - PT</t>
  </si>
  <si>
    <t xml:space="preserve">TC00226</t>
  </si>
  <si>
    <t xml:space="preserve">21000.053889/2022-11</t>
  </si>
  <si>
    <t xml:space="preserve">Propiconazol Técnic Solus</t>
  </si>
  <si>
    <t xml:space="preserve">Propiconazol</t>
  </si>
  <si>
    <t xml:space="preserve">Classe II - Produto Muito Perigoso ao Meio Ambiente</t>
  </si>
  <si>
    <t xml:space="preserve"> PT</t>
  </si>
  <si>
    <t xml:space="preserve">TC00326</t>
  </si>
  <si>
    <t xml:space="preserve">21000.055424/2018-19</t>
  </si>
  <si>
    <t xml:space="preserve">Xtend Mea Premix</t>
  </si>
  <si>
    <t xml:space="preserve">PM</t>
  </si>
  <si>
    <t xml:space="preserve">Produto não classificado</t>
  </si>
  <si>
    <t xml:space="preserve">PTN</t>
  </si>
  <si>
    <t xml:space="preserve">TC00426</t>
  </si>
  <si>
    <t xml:space="preserve">21000.109189/2022-99</t>
  </si>
  <si>
    <t xml:space="preserve">Mesotriona D Técnico Helm</t>
  </si>
  <si>
    <t xml:space="preserve"> PTE</t>
  </si>
  <si>
    <t xml:space="preserve">TC00526</t>
  </si>
  <si>
    <t xml:space="preserve">21000.077135/2020-95</t>
  </si>
  <si>
    <t xml:space="preserve">Amicarbazona Técnico Tecnomyl</t>
  </si>
  <si>
    <t xml:space="preserve">Amicarbazona</t>
  </si>
  <si>
    <t xml:space="preserve">TC00626</t>
  </si>
  <si>
    <t xml:space="preserve">21000.000801/2016-11</t>
  </si>
  <si>
    <t xml:space="preserve">AIMCO Ervatox Técnico</t>
  </si>
  <si>
    <t xml:space="preserve">Triclopir-butotílico</t>
  </si>
  <si>
    <t xml:space="preserve">TC00726</t>
  </si>
  <si>
    <t xml:space="preserve">21000.042272/2021-90</t>
  </si>
  <si>
    <t xml:space="preserve">V Metribuzin Técnico</t>
  </si>
  <si>
    <t xml:space="preserve">TC00826</t>
  </si>
  <si>
    <t xml:space="preserve">21000.058815/2022-71</t>
  </si>
  <si>
    <t xml:space="preserve">Chlorfenapyr Técnico Hailir</t>
  </si>
  <si>
    <t xml:space="preserve">Plurie Soluções</t>
  </si>
  <si>
    <t xml:space="preserve">TC00926</t>
  </si>
  <si>
    <t xml:space="preserve">21000.018818/2017-13</t>
  </si>
  <si>
    <t xml:space="preserve">Indoxacarbe Técnico SOL</t>
  </si>
  <si>
    <t xml:space="preserve">Indoxacarbe</t>
  </si>
  <si>
    <t xml:space="preserve">TC01026</t>
  </si>
  <si>
    <t xml:space="preserve">21000.091302/2022-72</t>
  </si>
  <si>
    <t xml:space="preserve">Tebuconazole Técnico ZH</t>
  </si>
  <si>
    <t xml:space="preserve">Prospecta</t>
  </si>
  <si>
    <t xml:space="preserve">TC01126</t>
  </si>
  <si>
    <t xml:space="preserve">21000.076427/2023-53</t>
  </si>
  <si>
    <t xml:space="preserve">Trifloxystrobin Técnico ZH</t>
  </si>
  <si>
    <r>
      <rPr>
        <b val="true"/>
        <sz val="10"/>
        <color rgb="FF274E13"/>
        <rFont val="Arial"/>
        <family val="2"/>
        <charset val="1"/>
      </rPr>
      <t xml:space="preserve">PTN </t>
    </r>
    <r>
      <rPr>
        <sz val="10"/>
        <color rgb="FF274E13"/>
        <rFont val="Arial"/>
        <family val="2"/>
        <charset val="1"/>
      </rPr>
      <t xml:space="preserve">- Produto Técnico a Base de Ingrediente Ativo Novo</t>
    </r>
  </si>
  <si>
    <t xml:space="preserve">TC01226</t>
  </si>
  <si>
    <t xml:space="preserve">21000.070944/2023-19</t>
  </si>
  <si>
    <t xml:space="preserve">Mesotrione Técnico Dagong</t>
  </si>
  <si>
    <t xml:space="preserve">Solagro</t>
  </si>
  <si>
    <t xml:space="preserve">TC01326</t>
  </si>
  <si>
    <t xml:space="preserve">21000.106490/2021-60</t>
  </si>
  <si>
    <t xml:space="preserve">Spirodiclofen Técnico Kangqiao</t>
  </si>
  <si>
    <r>
      <rPr>
        <b val="true"/>
        <sz val="10"/>
        <color rgb="FF274E13"/>
        <rFont val="Arial"/>
        <family val="2"/>
        <charset val="1"/>
      </rPr>
      <t xml:space="preserve">Pré-Mistura</t>
    </r>
    <r>
      <rPr>
        <sz val="10"/>
        <color rgb="FF274E13"/>
        <rFont val="Arial"/>
        <family val="2"/>
        <charset val="1"/>
      </rPr>
      <t xml:space="preserve"> - Produto Pré-mistura</t>
    </r>
  </si>
  <si>
    <t xml:space="preserve">TC01426</t>
  </si>
  <si>
    <t xml:space="preserve">21000.061565/2020-95</t>
  </si>
  <si>
    <t xml:space="preserve">Espirodiclofeno Técnico CropChem II</t>
  </si>
  <si>
    <t xml:space="preserve">CropChem</t>
  </si>
  <si>
    <t xml:space="preserve">TC01526</t>
  </si>
  <si>
    <t xml:space="preserve">21000.058476/2021-42</t>
  </si>
  <si>
    <t xml:space="preserve">Flonicamid Técnico SJ</t>
  </si>
  <si>
    <t xml:space="preserve">Flonicamida</t>
  </si>
  <si>
    <t xml:space="preserve">Número de Registros de Componentes Aprovados por Ano de Submissão</t>
  </si>
  <si>
    <t xml:space="preserve">TC01626</t>
  </si>
  <si>
    <t xml:space="preserve">21000.012106/2019-44</t>
  </si>
  <si>
    <t xml:space="preserve">Espirodiclofeno Técnico Ada</t>
  </si>
  <si>
    <t xml:space="preserve">TC01726</t>
  </si>
  <si>
    <t xml:space="preserve">21000.076899/2019-20</t>
  </si>
  <si>
    <t xml:space="preserve">Tiametoxam Técnico Hy-Green</t>
  </si>
  <si>
    <t xml:space="preserve">Tiametoxam</t>
  </si>
  <si>
    <t xml:space="preserve">Hy-Green</t>
  </si>
  <si>
    <t xml:space="preserve">TC01826</t>
  </si>
  <si>
    <t xml:space="preserve">21000.025229/2020-89</t>
  </si>
  <si>
    <t xml:space="preserve">Protioconazol Técnico EA</t>
  </si>
  <si>
    <t xml:space="preserve">TC01926</t>
  </si>
  <si>
    <t xml:space="preserve">21000.087014/2019-18</t>
  </si>
  <si>
    <t xml:space="preserve">Etiprole Técnico YN</t>
  </si>
  <si>
    <t xml:space="preserve">TC02026</t>
  </si>
  <si>
    <t xml:space="preserve">21000.091490/2021-58</t>
  </si>
  <si>
    <t xml:space="preserve">Nicossulfurom JR Técnico Helm</t>
  </si>
  <si>
    <t xml:space="preserve">Nicosulfuron</t>
  </si>
  <si>
    <t xml:space="preserve">TC02126</t>
  </si>
  <si>
    <t xml:space="preserve">21000.100461/2021-94</t>
  </si>
  <si>
    <t xml:space="preserve"> Forward Prothioconazole Técnico</t>
  </si>
  <si>
    <t xml:space="preserve">ProRegistros</t>
  </si>
  <si>
    <t xml:space="preserve">TC02226</t>
  </si>
  <si>
    <t xml:space="preserve">21000.069610/2020-50</t>
  </si>
  <si>
    <t xml:space="preserve">Epoxiconazol Técnico Hy-Green</t>
  </si>
  <si>
    <t xml:space="preserve">Epoxiconazol</t>
  </si>
  <si>
    <t xml:space="preserve">TC02326</t>
  </si>
  <si>
    <t xml:space="preserve">21016.008750/2024-14</t>
  </si>
  <si>
    <t xml:space="preserve">Bifentrina Técnico BRA II</t>
  </si>
  <si>
    <t xml:space="preserve">BRA</t>
  </si>
  <si>
    <t xml:space="preserve">TC02426</t>
  </si>
  <si>
    <t xml:space="preserve">21000.000525/2023-10</t>
  </si>
  <si>
    <t xml:space="preserve">2,4-D Técnico NGC</t>
  </si>
  <si>
    <t xml:space="preserve">TC02526</t>
  </si>
  <si>
    <t xml:space="preserve">21000.062671/2021-77</t>
  </si>
  <si>
    <t xml:space="preserve">Terbutilazina Técnico Nortox</t>
  </si>
  <si>
    <t xml:space="preserve">Terbutilazina</t>
  </si>
  <si>
    <t xml:space="preserve">TC02626</t>
  </si>
  <si>
    <t xml:space="preserve">21000.025170/2022-91</t>
  </si>
  <si>
    <t xml:space="preserve">Técnico Meganil</t>
  </si>
  <si>
    <t xml:space="preserve">Fipronil</t>
  </si>
  <si>
    <t xml:space="preserve">TC02726</t>
  </si>
  <si>
    <t xml:space="preserve">21000.016870/2019-99</t>
  </si>
  <si>
    <t xml:space="preserve">Flumioxazina Técnico ZS</t>
  </si>
  <si>
    <t xml:space="preserve">TC02826</t>
  </si>
  <si>
    <t xml:space="preserve">21000.022950/2023-60</t>
  </si>
  <si>
    <t xml:space="preserve">Clorfenapir Técnico UPL BR</t>
  </si>
  <si>
    <t xml:space="preserve">Clorfenapir </t>
  </si>
  <si>
    <t xml:space="preserve">TC02926</t>
  </si>
  <si>
    <t xml:space="preserve">21000.056111/2024-26</t>
  </si>
  <si>
    <t xml:space="preserve">Propiconazole Técnico ZS</t>
  </si>
  <si>
    <t xml:space="preserve">Zhongshan </t>
  </si>
  <si>
    <t xml:space="preserve">TC03026</t>
  </si>
  <si>
    <t xml:space="preserve">21000.088558/2022-01</t>
  </si>
  <si>
    <t xml:space="preserve">Clorotalonil Técnico Tecnomyl II</t>
  </si>
  <si>
    <t xml:space="preserve">TC03126</t>
  </si>
  <si>
    <t xml:space="preserve">21000.084592/2023-89</t>
  </si>
  <si>
    <t xml:space="preserve">Flumioxazina Técnico Greenchem</t>
  </si>
  <si>
    <t xml:space="preserve">TC03226</t>
  </si>
  <si>
    <t xml:space="preserve">21000.084944/2023-04</t>
  </si>
  <si>
    <t xml:space="preserve">Fluroxipir-Meptílico Técnico Nortox III</t>
  </si>
  <si>
    <t xml:space="preserve">Fluroxipir-metílico</t>
  </si>
  <si>
    <t xml:space="preserve">TC03326</t>
  </si>
  <si>
    <t xml:space="preserve">21000.077161/2021-02</t>
  </si>
  <si>
    <t xml:space="preserve">Chlorantraniliprole Técnico Inner</t>
  </si>
  <si>
    <t xml:space="preserve">TC03426</t>
  </si>
  <si>
    <t xml:space="preserve">21000.088104/2021-41</t>
  </si>
  <si>
    <t xml:space="preserve">Mesotrione Técnico Avgust</t>
  </si>
  <si>
    <t xml:space="preserve">Avgust</t>
  </si>
  <si>
    <t xml:space="preserve">TC03526</t>
  </si>
  <si>
    <t xml:space="preserve">21000.025658/2022-18</t>
  </si>
  <si>
    <t xml:space="preserve">Clorantraniliprole Técnico CropChem VI</t>
  </si>
  <si>
    <t xml:space="preserve">TC03626</t>
  </si>
  <si>
    <t xml:space="preserve">21000.068812/2020-84</t>
  </si>
  <si>
    <t xml:space="preserve">Lufenuron Técnico JN</t>
  </si>
  <si>
    <t xml:space="preserve">Lufenuron</t>
  </si>
  <si>
    <t xml:space="preserve">TC03726</t>
  </si>
  <si>
    <t xml:space="preserve">21000.051717/2023-94</t>
  </si>
  <si>
    <t xml:space="preserve">Picoxistrobina Técnico Brilliance</t>
  </si>
  <si>
    <t xml:space="preserve">Picoxistrobina</t>
  </si>
  <si>
    <t xml:space="preserve">Meses de Deferimento de Registros Componentes de Agrotóxicos</t>
  </si>
  <si>
    <t xml:space="preserve">TC03826</t>
  </si>
  <si>
    <t xml:space="preserve">21000.021628/2023-13</t>
  </si>
  <si>
    <t xml:space="preserve">Clorantraniliprole Técnico Agrow Allied</t>
  </si>
  <si>
    <t xml:space="preserve">TC03926</t>
  </si>
  <si>
    <t xml:space="preserve">21000.055028/2016-20</t>
  </si>
  <si>
    <t xml:space="preserve">Boscalida Técnico CropChem</t>
  </si>
  <si>
    <t xml:space="preserve">Boscalida</t>
  </si>
  <si>
    <t xml:space="preserve">TC04026</t>
  </si>
  <si>
    <t xml:space="preserve">21000.051446/2017-29</t>
  </si>
  <si>
    <t xml:space="preserve">Triclopir-butotilico Tecnico Gharda</t>
  </si>
  <si>
    <t xml:space="preserve">TC04126</t>
  </si>
  <si>
    <t xml:space="preserve">21000.081884/2022-89</t>
  </si>
  <si>
    <t xml:space="preserve">Fosetyl-Al Técnico NGC</t>
  </si>
  <si>
    <t xml:space="preserve">Fosetil-alumínio</t>
  </si>
  <si>
    <t xml:space="preserve">TC04226</t>
  </si>
  <si>
    <t xml:space="preserve">21000.020947/2023-10</t>
  </si>
  <si>
    <t xml:space="preserve">Picoxystrobin Técnico JD</t>
  </si>
  <si>
    <t xml:space="preserve">TC04326</t>
  </si>
  <si>
    <t xml:space="preserve">21000.002360/2023-11</t>
  </si>
  <si>
    <t xml:space="preserve">Pymetrozine Técnicio CHD’S</t>
  </si>
  <si>
    <t xml:space="preserve">Pimetrozina</t>
  </si>
  <si>
    <t xml:space="preserve">Classe IV - Produto Pouco Perigoso ao Meio Ambiente</t>
  </si>
  <si>
    <t xml:space="preserve">TC04426</t>
  </si>
  <si>
    <t xml:space="preserve">21000.019685/2023-32</t>
  </si>
  <si>
    <t xml:space="preserve">Tiabendazol Técnico CHDS</t>
  </si>
  <si>
    <t xml:space="preserve">Tiabendazol</t>
  </si>
  <si>
    <t xml:space="preserve">TC04526</t>
  </si>
  <si>
    <t xml:space="preserve">21000.080333/2022-06</t>
  </si>
  <si>
    <t xml:space="preserve">Captan Técnico CGC</t>
  </si>
  <si>
    <t xml:space="preserve">Captana</t>
  </si>
  <si>
    <t xml:space="preserve">TC04626</t>
  </si>
  <si>
    <t xml:space="preserve">21000.002899/2021-16</t>
  </si>
  <si>
    <t xml:space="preserve">Lufenuron Técmocp NGC</t>
  </si>
  <si>
    <t xml:space="preserve">TC04726</t>
  </si>
  <si>
    <t xml:space="preserve">21000.029141/2022-06</t>
  </si>
  <si>
    <t xml:space="preserve">Nicosulfuron Técnico Wynca</t>
  </si>
  <si>
    <t xml:space="preserve">TC04826</t>
  </si>
  <si>
    <t xml:space="preserve">21000.080924/2023-56</t>
  </si>
  <si>
    <t xml:space="preserve">Hexazinona Técnico AGX II</t>
  </si>
  <si>
    <t xml:space="preserve">Hexazinona</t>
  </si>
  <si>
    <t xml:space="preserve">TC04926</t>
  </si>
  <si>
    <t xml:space="preserve">21000.030874/2024-47</t>
  </si>
  <si>
    <t xml:space="preserve">Acefato Técnico ZS</t>
  </si>
  <si>
    <t xml:space="preserve">TC05026</t>
  </si>
  <si>
    <t xml:space="preserve">21000.037411/2024-14</t>
  </si>
  <si>
    <t xml:space="preserve">Hexazinone Técnico Syngenta</t>
  </si>
  <si>
    <t xml:space="preserve">TC05126</t>
  </si>
  <si>
    <t xml:space="preserve">21000.102806/2021-44</t>
  </si>
  <si>
    <t xml:space="preserve">Clorantraniliprole Técnico SAU</t>
  </si>
  <si>
    <t xml:space="preserve">TC05226</t>
  </si>
  <si>
    <t xml:space="preserve">21000.050595/2021-57</t>
  </si>
  <si>
    <t xml:space="preserve">Acetamiprid Técnico Yangnong</t>
  </si>
  <si>
    <t xml:space="preserve">TC05326</t>
  </si>
  <si>
    <t xml:space="preserve">21000.041734/2020-71</t>
  </si>
  <si>
    <t xml:space="preserve">Glufosinate-Ammonium Técnico Binnong</t>
  </si>
  <si>
    <t xml:space="preserve">Glufosinato de Amônio</t>
  </si>
  <si>
    <t xml:space="preserve">TC05426</t>
  </si>
  <si>
    <t xml:space="preserve">21000.076240/2021-98</t>
  </si>
  <si>
    <t xml:space="preserve">Nicosulfuron Técnico YN</t>
  </si>
  <si>
    <t xml:space="preserve">TC05526</t>
  </si>
  <si>
    <t xml:space="preserve">21000.048851/2021-46</t>
  </si>
  <si>
    <t xml:space="preserve">Terbutilazina Técnico Binnong</t>
  </si>
  <si>
    <t xml:space="preserve">TC05626</t>
  </si>
  <si>
    <t xml:space="preserve">21000.011409/2023-26</t>
  </si>
  <si>
    <t xml:space="preserve">Glufosinato Técnico CHD’S</t>
  </si>
  <si>
    <t xml:space="preserve">Glufosinato de amônio</t>
  </si>
  <si>
    <t xml:space="preserve">TC05726</t>
  </si>
  <si>
    <t xml:space="preserve">21000.081735/2022-10</t>
  </si>
  <si>
    <t xml:space="preserve">Folpete Técnico Rainbow</t>
  </si>
  <si>
    <t xml:space="preserve">Folpete</t>
  </si>
  <si>
    <t xml:space="preserve">TC05826</t>
  </si>
  <si>
    <t xml:space="preserve">21000.039826/2022-52</t>
  </si>
  <si>
    <t xml:space="preserve">Picoxistrobin Técnico Nortox VI</t>
  </si>
  <si>
    <t xml:space="preserve">TC05926</t>
  </si>
  <si>
    <t xml:space="preserve">21000.026347/2021-95</t>
  </si>
  <si>
    <t xml:space="preserve">Tidiazuron Técnico Nortox</t>
  </si>
  <si>
    <t xml:space="preserve">TC06026</t>
  </si>
  <si>
    <t xml:space="preserve">21000.086431/2023-20</t>
  </si>
  <si>
    <t xml:space="preserve">Protioconazole Técnico Nortox VII</t>
  </si>
  <si>
    <t xml:space="preserve">TC06126</t>
  </si>
  <si>
    <t xml:space="preserve">21000.058612/2021-02</t>
  </si>
  <si>
    <t xml:space="preserve">Fludioxonil Técnico Nortox II</t>
  </si>
  <si>
    <t xml:space="preserve">Fludioxonil</t>
  </si>
  <si>
    <t xml:space="preserve">TC06226</t>
  </si>
  <si>
    <t xml:space="preserve">21000.056976/2023-10</t>
  </si>
  <si>
    <t xml:space="preserve">Fosetil Técnico Nortox</t>
  </si>
  <si>
    <t xml:space="preserve">Fosetil-Alumínio </t>
  </si>
  <si>
    <t xml:space="preserve">TC06326</t>
  </si>
  <si>
    <t xml:space="preserve">21000.083420/2022-15</t>
  </si>
  <si>
    <t xml:space="preserve">Captana Técnico Nortox</t>
  </si>
  <si>
    <t xml:space="preserve">TC06426</t>
  </si>
  <si>
    <t xml:space="preserve">21000.029855/2017-49</t>
  </si>
  <si>
    <t xml:space="preserve">Imazamox Técnico Rainbow</t>
  </si>
  <si>
    <t xml:space="preserve">TC06526</t>
  </si>
  <si>
    <t xml:space="preserve">21000.001746/2015-03</t>
  </si>
  <si>
    <t xml:space="preserve">Diclosulam Técnico Rainbow</t>
  </si>
  <si>
    <t xml:space="preserve">TC06626</t>
  </si>
  <si>
    <t xml:space="preserve">21000.099233/2022-45</t>
  </si>
  <si>
    <t xml:space="preserve">Flonicamida Técnico ZS</t>
  </si>
  <si>
    <t xml:space="preserve">Produto Não Classificado</t>
  </si>
  <si>
    <t xml:space="preserve">TC06726</t>
  </si>
  <si>
    <t xml:space="preserve">21000.052492/2024-74</t>
  </si>
  <si>
    <t xml:space="preserve">Picoxistrobina Técnico Tecnomyl III</t>
  </si>
  <si>
    <t xml:space="preserve">TC06826</t>
  </si>
  <si>
    <t xml:space="preserve">21000.003083/2024-44</t>
  </si>
  <si>
    <t xml:space="preserve">Fluxapyroxad Técnico NF</t>
  </si>
  <si>
    <t xml:space="preserve">Fluxapiroxade</t>
  </si>
  <si>
    <t xml:space="preserve">TC06926</t>
  </si>
  <si>
    <t xml:space="preserve">21000.124354/2022-32</t>
  </si>
  <si>
    <t xml:space="preserve">Flonicamid Técnico Brilliance</t>
  </si>
  <si>
    <t xml:space="preserve">TC07026</t>
  </si>
  <si>
    <t xml:space="preserve">21000.079076/2021-71</t>
  </si>
  <si>
    <t xml:space="preserve">Chorantraniliprole Técnico Kingtai</t>
  </si>
  <si>
    <t xml:space="preserve">TC07126</t>
  </si>
  <si>
    <t xml:space="preserve">21000.019870/2020-84</t>
  </si>
  <si>
    <t xml:space="preserve">Boscalida Técnico Coromandel</t>
  </si>
  <si>
    <t xml:space="preserve">Coromandel</t>
  </si>
  <si>
    <t xml:space="preserve">TC07226</t>
  </si>
  <si>
    <t xml:space="preserve">21000.077138/2020-29</t>
  </si>
  <si>
    <t xml:space="preserve">Clorantraniliprole Técnico Tecnomyl</t>
  </si>
  <si>
    <t xml:space="preserve">TC07326</t>
  </si>
  <si>
    <t xml:space="preserve">21000.019038/2023-21</t>
  </si>
  <si>
    <t xml:space="preserve">Lambda-cyhalothrin Técnico Liwei </t>
  </si>
  <si>
    <t xml:space="preserve">Classe I - Produto Altamente Perigoso ao Meio Ambiente</t>
  </si>
  <si>
    <t xml:space="preserve">TC07426</t>
  </si>
  <si>
    <t xml:space="preserve">21000.005738/2018-71</t>
  </si>
  <si>
    <t xml:space="preserve">Benzoato de Emamectina Técnico Ouro Fino</t>
  </si>
  <si>
    <t xml:space="preserve">Benzoato de Emamectina</t>
  </si>
  <si>
    <t xml:space="preserve">TC07526</t>
  </si>
  <si>
    <t xml:space="preserve">21000.008897/2024-75</t>
  </si>
  <si>
    <t xml:space="preserve">Clorantraniliprole FC Técnico Perterra</t>
  </si>
  <si>
    <t xml:space="preserve">TC07626</t>
  </si>
  <si>
    <t xml:space="preserve">21000.040795/2019-87</t>
  </si>
  <si>
    <t xml:space="preserve">Fluopicolida Técnico Rainbow</t>
  </si>
  <si>
    <t xml:space="preserve">Fluopicolida</t>
  </si>
  <si>
    <t xml:space="preserve">TC07726</t>
  </si>
  <si>
    <t xml:space="preserve">21000.040444/2022-71</t>
  </si>
  <si>
    <t xml:space="preserve">Lufenuron Técnico Dezhou Luba</t>
  </si>
  <si>
    <t xml:space="preserve">TC07826</t>
  </si>
  <si>
    <t xml:space="preserve">21000.067436/2024-34</t>
  </si>
  <si>
    <t xml:space="preserve">Captana Técnico Wynca</t>
  </si>
  <si>
    <t xml:space="preserve">Wynca</t>
  </si>
  <si>
    <t xml:space="preserve">TC07926</t>
  </si>
  <si>
    <t xml:space="preserve">21000.012171/2023-56</t>
  </si>
  <si>
    <t xml:space="preserve">Megapyri Técnico</t>
  </si>
  <si>
    <t xml:space="preserve">Piriproxifem </t>
  </si>
  <si>
    <t xml:space="preserve">TC08026</t>
  </si>
  <si>
    <t xml:space="preserve">21000.009662/2009-61</t>
  </si>
  <si>
    <t xml:space="preserve">Valifenalate Técnico Isagro</t>
  </si>
  <si>
    <t xml:space="preserve">Valifenalate</t>
  </si>
  <si>
    <t xml:space="preserve">TC08126</t>
  </si>
  <si>
    <t xml:space="preserve">21000.036580/2023-48</t>
  </si>
  <si>
    <t xml:space="preserve">Flumioxazin Técnico Jingbo </t>
  </si>
  <si>
    <t xml:space="preserve">TC08226</t>
  </si>
  <si>
    <t xml:space="preserve">21000.033847/2024-26</t>
  </si>
  <si>
    <t xml:space="preserve">Picoxystrobin Técnico Avilive</t>
  </si>
  <si>
    <t xml:space="preserve">PT</t>
  </si>
  <si>
    <t xml:space="preserve">TC08326</t>
  </si>
  <si>
    <t xml:space="preserve">21000.085306/2023-01</t>
  </si>
  <si>
    <t xml:space="preserve">Protioconazole Técnico Greenchem</t>
  </si>
  <si>
    <t xml:space="preserve">TC08426</t>
  </si>
  <si>
    <t xml:space="preserve">21000.025326/2023-14</t>
  </si>
  <si>
    <t xml:space="preserve">Captan Técnico KND</t>
  </si>
  <si>
    <t xml:space="preserve">TC08526</t>
  </si>
  <si>
    <t xml:space="preserve">21000.077866/2019-05</t>
  </si>
  <si>
    <t xml:space="preserve">Triclopir Butotílico Técnico Nortox III</t>
  </si>
  <si>
    <t xml:space="preserve">TC08626</t>
  </si>
  <si>
    <t xml:space="preserve">21000.111150/2022-31</t>
  </si>
  <si>
    <t xml:space="preserve">Forward S-Metolachlor Técnico </t>
  </si>
  <si>
    <t xml:space="preserve">TC08726</t>
  </si>
  <si>
    <t xml:space="preserve">21000.070156/2023-22</t>
  </si>
  <si>
    <t xml:space="preserve">Difenoconazol Técnico Tecnomyl II</t>
  </si>
  <si>
    <t xml:space="preserve">Difenoconazole</t>
  </si>
  <si>
    <t xml:space="preserve">TC08826</t>
  </si>
  <si>
    <t xml:space="preserve">21000.024373/2024-21</t>
  </si>
  <si>
    <t xml:space="preserve">Azoxystrobin Técnico SCH II</t>
  </si>
  <si>
    <t xml:space="preserve">TC08926</t>
  </si>
  <si>
    <t xml:space="preserve">21000.091838/2023-79</t>
  </si>
  <si>
    <t xml:space="preserve">Chlorantraniliprole Técnico KK</t>
  </si>
  <si>
    <t xml:space="preserve">TC09026</t>
  </si>
  <si>
    <t xml:space="preserve">21000.061587/2024-89</t>
  </si>
  <si>
    <t xml:space="preserve">Iprodione Técnico Proventis</t>
  </si>
  <si>
    <t xml:space="preserve">Iprodiona</t>
  </si>
  <si>
    <t xml:space="preserve">Proventis</t>
  </si>
  <si>
    <t xml:space="preserve">TC09126</t>
  </si>
  <si>
    <t xml:space="preserve">21000.022011/2019-39</t>
  </si>
  <si>
    <t xml:space="preserve">Clorantraniliprole Técnico Adama</t>
  </si>
  <si>
    <t xml:space="preserve">TC09226</t>
  </si>
  <si>
    <t xml:space="preserve">21000.065461/2020-50</t>
  </si>
  <si>
    <t xml:space="preserve">Clorantraniliprole Técnico Adama 4</t>
  </si>
  <si>
    <t xml:space="preserve">TC09326</t>
  </si>
  <si>
    <t xml:space="preserve">21000.085298/2021-22</t>
  </si>
  <si>
    <t xml:space="preserve">Clomazone Técnico Mil 2</t>
  </si>
  <si>
    <t xml:space="preserve">Clomazone</t>
  </si>
  <si>
    <t xml:space="preserve">TC09426</t>
  </si>
  <si>
    <t xml:space="preserve">21000.082201/2020-49</t>
  </si>
  <si>
    <t xml:space="preserve">Iprodione Técnico Ada </t>
  </si>
  <si>
    <t xml:space="preserve">TC09526</t>
  </si>
  <si>
    <t xml:space="preserve">21000.036113/2018-51</t>
  </si>
  <si>
    <t xml:space="preserve">S-Metolacloro Técnico Ada</t>
  </si>
  <si>
    <t xml:space="preserve">TC09626</t>
  </si>
  <si>
    <t xml:space="preserve">21000.005148/2022-24</t>
  </si>
  <si>
    <t xml:space="preserve">Etiprole Técnico UPL</t>
  </si>
  <si>
    <t xml:space="preserve">TC09726</t>
  </si>
  <si>
    <t xml:space="preserve">21000.061022/2020-78</t>
  </si>
  <si>
    <t xml:space="preserve">Picoxistrobina Técnico Adama 3</t>
  </si>
  <si>
    <t xml:space="preserve">TC09826</t>
  </si>
  <si>
    <t xml:space="preserve">21000.008543/2022-69</t>
  </si>
  <si>
    <t xml:space="preserve">Difenoconazole Técnico GSP</t>
  </si>
  <si>
    <t xml:space="preserve">Difenoconazol</t>
  </si>
  <si>
    <t xml:space="preserve">TC09926</t>
  </si>
  <si>
    <t xml:space="preserve">21000.005092/2020-46</t>
  </si>
  <si>
    <t xml:space="preserve">Zeta-Cipermetrina Técnico CHDS</t>
  </si>
  <si>
    <t xml:space="preserve">Zeta-Cipermetrina</t>
  </si>
  <si>
    <t xml:space="preserve">TC10026</t>
  </si>
  <si>
    <t xml:space="preserve">21000.003204/2025-39</t>
  </si>
  <si>
    <t xml:space="preserve">Captan Técnico GSD</t>
  </si>
  <si>
    <t xml:space="preserve">TC10126</t>
  </si>
  <si>
    <t xml:space="preserve">21000.024523/2023-16</t>
  </si>
  <si>
    <t xml:space="preserve">Fenpropimorph Technical</t>
  </si>
  <si>
    <t xml:space="preserve">Agro-Lead</t>
  </si>
  <si>
    <t xml:space="preserve">TC10226</t>
  </si>
  <si>
    <t xml:space="preserve">21000.059165/2023-62</t>
  </si>
  <si>
    <t xml:space="preserve">Fludioxonil Técnico VFC</t>
  </si>
  <si>
    <t xml:space="preserve">TC10326</t>
  </si>
  <si>
    <t xml:space="preserve">21000.072305/2024-79</t>
  </si>
  <si>
    <t xml:space="preserve">Boscalid Técnico SJ</t>
  </si>
  <si>
    <t xml:space="preserve">TC10426</t>
  </si>
  <si>
    <t xml:space="preserve">21000.045133/2020-37</t>
  </si>
  <si>
    <t xml:space="preserve">Isoxaflutole Técnico Wynca</t>
  </si>
  <si>
    <t xml:space="preserve">TC10526</t>
  </si>
  <si>
    <t xml:space="preserve">21000.013563/2018-75</t>
  </si>
  <si>
    <t xml:space="preserve">Clomazone Técnico WW</t>
  </si>
  <si>
    <t xml:space="preserve">TC10626</t>
  </si>
  <si>
    <t xml:space="preserve">21000.027693/2018-95</t>
  </si>
  <si>
    <t xml:space="preserve">Pimetrozina Técnico Adama</t>
  </si>
  <si>
    <t xml:space="preserve">TC10726</t>
  </si>
  <si>
    <t xml:space="preserve">21000.107280/2021-99</t>
  </si>
  <si>
    <t xml:space="preserve">Triclopir Técnico Ihara II</t>
  </si>
  <si>
    <t xml:space="preserve">Iharabrás</t>
  </si>
  <si>
    <t xml:space="preserve">TC10826</t>
  </si>
  <si>
    <t xml:space="preserve">21000.003256/2025-13</t>
  </si>
  <si>
    <t xml:space="preserve">Boscalid técnico CCAB I</t>
  </si>
  <si>
    <t xml:space="preserve">TC10926</t>
  </si>
  <si>
    <t xml:space="preserve">21000.024459/2024-54</t>
  </si>
  <si>
    <t xml:space="preserve">Diafenthiuron Técnico Pilarquim</t>
  </si>
  <si>
    <t xml:space="preserve">TC11026</t>
  </si>
  <si>
    <t xml:space="preserve">21000.125349/2022-47</t>
  </si>
  <si>
    <t xml:space="preserve">Clorfenapir Ascenza Técnico</t>
  </si>
  <si>
    <t xml:space="preserve">Tradecorp</t>
  </si>
  <si>
    <t xml:space="preserve">TC11126</t>
  </si>
  <si>
    <t xml:space="preserve">21000.019135/2023-13</t>
  </si>
  <si>
    <t xml:space="preserve">S-Metoloacloro Técnico Tide</t>
  </si>
  <si>
    <t xml:space="preserve">Tide</t>
  </si>
  <si>
    <t xml:space="preserve">TC11226</t>
  </si>
  <si>
    <t xml:space="preserve">21000.037595/2024-12</t>
  </si>
  <si>
    <t xml:space="preserve">Fluxapiroxade Técnico CCAB</t>
  </si>
  <si>
    <t xml:space="preserve">TC11326</t>
  </si>
  <si>
    <t xml:space="preserve">21000.078585/2020-03</t>
  </si>
  <si>
    <t xml:space="preserve">Acetamiprid CQ Técnico Perterra</t>
  </si>
  <si>
    <t xml:space="preserve">TC11426</t>
  </si>
  <si>
    <t xml:space="preserve">21000.001998/2024-15</t>
  </si>
  <si>
    <t xml:space="preserve">Clorotalonil WU Técnico Perterra</t>
  </si>
  <si>
    <t xml:space="preserve">TC11526</t>
  </si>
  <si>
    <t xml:space="preserve">21000.013267/2024-12</t>
  </si>
  <si>
    <t xml:space="preserve">Difenoconazol Técnico Perterra</t>
  </si>
  <si>
    <t xml:space="preserve">TC11626</t>
  </si>
  <si>
    <t xml:space="preserve">21000.061718/2023-47</t>
  </si>
  <si>
    <t xml:space="preserve">Fluroxipir Técnico Perterra</t>
  </si>
  <si>
    <t xml:space="preserve">TC11726</t>
  </si>
  <si>
    <t xml:space="preserve">21000.107607/2022-11</t>
  </si>
  <si>
    <t xml:space="preserve">Isoxaflutole Técnico Perterra </t>
  </si>
  <si>
    <t xml:space="preserve">TC11826</t>
  </si>
  <si>
    <t xml:space="preserve">21000.001981/2024-68</t>
  </si>
  <si>
    <t xml:space="preserve">Propiconazol Técnico Perterra</t>
  </si>
  <si>
    <t xml:space="preserve">TC11926</t>
  </si>
  <si>
    <t xml:space="preserve">21000.006280/2024-15</t>
  </si>
  <si>
    <t xml:space="preserve">Difenoconazole Técnico JXT</t>
  </si>
  <si>
    <t xml:space="preserve">Voagri Biotec</t>
  </si>
  <si>
    <t xml:space="preserve">TC12026</t>
  </si>
  <si>
    <t xml:space="preserve">21000.058910/2023-56</t>
  </si>
  <si>
    <t xml:space="preserve">Imazetapir Técnico Greenchem</t>
  </si>
  <si>
    <t xml:space="preserve">TC12126</t>
  </si>
  <si>
    <t xml:space="preserve">21000.024238/2017-57</t>
  </si>
  <si>
    <t xml:space="preserve">Flumioxazin Técnico CCAB</t>
  </si>
  <si>
    <t xml:space="preserve">TC12226</t>
  </si>
  <si>
    <t xml:space="preserve">21000.045369/2021-54</t>
  </si>
  <si>
    <t xml:space="preserve">Tiabendazol Técnico Rainbow</t>
  </si>
  <si>
    <t xml:space="preserve">TC12326</t>
  </si>
  <si>
    <t xml:space="preserve">21000.089068/2021-32</t>
  </si>
  <si>
    <t xml:space="preserve">Lambda-Cialotrina Técnico CHD'S II</t>
  </si>
  <si>
    <t xml:space="preserve">Lambda-Cialotrina</t>
  </si>
  <si>
    <t xml:space="preserve">TC12426</t>
  </si>
  <si>
    <t xml:space="preserve">21000.018128/2024-85</t>
  </si>
  <si>
    <t xml:space="preserve">Cialofope Butílico Técnico CAC</t>
  </si>
  <si>
    <t xml:space="preserve">Cialofope-Butílico</t>
  </si>
  <si>
    <t xml:space="preserve">TC12526</t>
  </si>
  <si>
    <t xml:space="preserve">21000.064245/2019-53</t>
  </si>
  <si>
    <t xml:space="preserve">Clorantraniliprole Técnico CX</t>
  </si>
  <si>
    <t xml:space="preserve">TC12626</t>
  </si>
  <si>
    <t xml:space="preserve">21000.045540/2024-78</t>
  </si>
  <si>
    <t xml:space="preserve">Difenoconazole Técnico Heben</t>
  </si>
  <si>
    <t xml:space="preserve">TC12726</t>
  </si>
  <si>
    <t xml:space="preserve">21000.001273/2025-16</t>
  </si>
  <si>
    <t xml:space="preserve">Fluxapiroxade Técnico Solus I</t>
  </si>
  <si>
    <t xml:space="preserve">TC12826</t>
  </si>
  <si>
    <t xml:space="preserve">21000.011826/2023-79</t>
  </si>
  <si>
    <t xml:space="preserve">Fenpropimorfe Técnico CropChem II</t>
  </si>
  <si>
    <t xml:space="preserve">TC12926</t>
  </si>
  <si>
    <t xml:space="preserve">21000.055595/2023-13</t>
  </si>
  <si>
    <t xml:space="preserve">Fipronil Técnico Avilive</t>
  </si>
  <si>
    <t xml:space="preserve">TC13026</t>
  </si>
  <si>
    <t xml:space="preserve">21000.010150/2018-39</t>
  </si>
  <si>
    <t xml:space="preserve">Dicamba Técnico Nortox IV</t>
  </si>
  <si>
    <t xml:space="preserve">TC13126</t>
  </si>
  <si>
    <t xml:space="preserve">21000.016429/2024-74</t>
  </si>
  <si>
    <t xml:space="preserve">Saflufenacil Técnico EA</t>
  </si>
  <si>
    <t xml:space="preserve">Saflufenacil</t>
  </si>
  <si>
    <t xml:space="preserve">TC13226</t>
  </si>
  <si>
    <t xml:space="preserve">21000.113951/2021-51</t>
  </si>
  <si>
    <t xml:space="preserve">Tiacloprido Técnico Rainbow</t>
  </si>
  <si>
    <t xml:space="preserve">Tiacloprido</t>
  </si>
  <si>
    <t xml:space="preserve">TC13326</t>
  </si>
  <si>
    <t xml:space="preserve">21000.063810/2023-41</t>
  </si>
  <si>
    <t xml:space="preserve">Azoxystrobin Técnico Nagarjuna</t>
  </si>
  <si>
    <t xml:space="preserve">TC13426</t>
  </si>
  <si>
    <t xml:space="preserve">21000.072602/2022-52</t>
  </si>
  <si>
    <t xml:space="preserve">Flonicamid Técnico FT</t>
  </si>
  <si>
    <t xml:space="preserve">TC13526</t>
  </si>
  <si>
    <t xml:space="preserve">21000.091569/2019-64</t>
  </si>
  <si>
    <t xml:space="preserve">Clorantraniliprole Técnico CT</t>
  </si>
  <si>
    <t xml:space="preserve">TC13626</t>
  </si>
  <si>
    <t xml:space="preserve">21000.067642/2020-11</t>
  </si>
  <si>
    <t xml:space="preserve">Picoxystrobin Técnico PT</t>
  </si>
  <si>
    <t xml:space="preserve">TC13726</t>
  </si>
  <si>
    <t xml:space="preserve">21000.064931/2023-19</t>
  </si>
  <si>
    <t xml:space="preserve">Zeta-Cypermethrin Técnico Bharat</t>
  </si>
  <si>
    <t xml:space="preserve">Zeta-cipermetrina</t>
  </si>
  <si>
    <t xml:space="preserve">TC13826</t>
  </si>
  <si>
    <t xml:space="preserve">21000.020917/2023-03</t>
  </si>
  <si>
    <t xml:space="preserve">Ethiprole Técnico Bharat</t>
  </si>
  <si>
    <t xml:space="preserve">TC13926</t>
  </si>
  <si>
    <t xml:space="preserve">21000.030723/2021-46</t>
  </si>
  <si>
    <t xml:space="preserve">Diafenthiuron Técnico Bharat</t>
  </si>
  <si>
    <t xml:space="preserve">TC14026</t>
  </si>
  <si>
    <t xml:space="preserve">21000.007090/2024-15</t>
  </si>
  <si>
    <t xml:space="preserve">Diafentiurom Técnico Alta</t>
  </si>
  <si>
    <t xml:space="preserve">TC14126</t>
  </si>
  <si>
    <t xml:space="preserve">21000.030702/2023-92</t>
  </si>
  <si>
    <t xml:space="preserve">Diafentiurom Ascenza Técnico II</t>
  </si>
  <si>
    <t xml:space="preserve">TC14226</t>
  </si>
  <si>
    <t xml:space="preserve">21000.024235/2017-13</t>
  </si>
  <si>
    <t xml:space="preserve">Diclosulam Técnico CCAB</t>
  </si>
  <si>
    <t xml:space="preserve">TC14326</t>
  </si>
  <si>
    <t xml:space="preserve">21000.087021/2023-04</t>
  </si>
  <si>
    <t xml:space="preserve">Cletodim Técnico Tecnomyl II</t>
  </si>
  <si>
    <t xml:space="preserve">TC14426</t>
  </si>
  <si>
    <t xml:space="preserve">21000.023085/2024-50</t>
  </si>
  <si>
    <t xml:space="preserve">Fluxapyroxad Técnico EA</t>
  </si>
  <si>
    <t xml:space="preserve">TC14526</t>
  </si>
  <si>
    <t xml:space="preserve">21000.022930/2022-16</t>
  </si>
  <si>
    <t xml:space="preserve">Flonicamida Técnica Nortox</t>
  </si>
  <si>
    <t xml:space="preserve">TC14626</t>
  </si>
  <si>
    <t xml:space="preserve">21000.077733/2020-64</t>
  </si>
  <si>
    <t xml:space="preserve">Fluxapiroxade Técnico Nortox</t>
  </si>
  <si>
    <t xml:space="preserve">TC14726</t>
  </si>
  <si>
    <t xml:space="preserve">21000.039822/2022-74</t>
  </si>
  <si>
    <t xml:space="preserve">Fluxapiroxade Técnico Nortox II</t>
  </si>
  <si>
    <t xml:space="preserve">TC14826</t>
  </si>
  <si>
    <t xml:space="preserve">21000.075218/2022-10</t>
  </si>
  <si>
    <t xml:space="preserve">Imazapic Técnico Nortox III</t>
  </si>
  <si>
    <t xml:space="preserve">Imazapique</t>
  </si>
  <si>
    <t xml:space="preserve">TC14926</t>
  </si>
  <si>
    <t xml:space="preserve">21000.023915/2025-20</t>
  </si>
  <si>
    <t xml:space="preserve">Tebutiurom Técnico ZH</t>
  </si>
  <si>
    <t xml:space="preserve">Tebutiurom</t>
  </si>
  <si>
    <t xml:space="preserve">TC15026</t>
  </si>
  <si>
    <t xml:space="preserve">21000.016631/2024-04</t>
  </si>
  <si>
    <t xml:space="preserve">Lambda-Cialotrina Técnico ZS</t>
  </si>
  <si>
    <t xml:space="preserve">TC15126</t>
  </si>
  <si>
    <t xml:space="preserve">21000.035499/2025-11</t>
  </si>
  <si>
    <t xml:space="preserve">Fluxapiroxade Técnico Tecnomyl II</t>
  </si>
  <si>
    <t xml:space="preserve">TC15226</t>
  </si>
  <si>
    <t xml:space="preserve">21000.123831/2022-42</t>
  </si>
  <si>
    <t xml:space="preserve">Imazapique Técnico Brilliance I</t>
  </si>
  <si>
    <t xml:space="preserve">Brilliance </t>
  </si>
  <si>
    <t xml:space="preserve">TC15326</t>
  </si>
  <si>
    <t xml:space="preserve">21000.049523/2023-29</t>
  </si>
  <si>
    <t xml:space="preserve">2,4-D Ácido Técnico Tecnomil II</t>
  </si>
  <si>
    <t xml:space="preserve">TC15426</t>
  </si>
  <si>
    <t xml:space="preserve">21000.005170/2024-36</t>
  </si>
  <si>
    <t xml:space="preserve">Oxyfluorfen Técnico Wynca</t>
  </si>
  <si>
    <t xml:space="preserve">Oxifluorfem</t>
  </si>
  <si>
    <t xml:space="preserve">TC15526</t>
  </si>
  <si>
    <t xml:space="preserve">21000.061335/2020-26</t>
  </si>
  <si>
    <t xml:space="preserve">Imazethapyr Técnico Brilliance</t>
  </si>
  <si>
    <t xml:space="preserve">TC15626</t>
  </si>
  <si>
    <t xml:space="preserve">21000.046386/2024-51</t>
  </si>
  <si>
    <t xml:space="preserve">Fluxapyroxad Técnico ABT</t>
  </si>
  <si>
    <t xml:space="preserve">TC15726</t>
  </si>
  <si>
    <t xml:space="preserve">21000.021097/2018-00</t>
  </si>
  <si>
    <t xml:space="preserve">Difenoconazole Técnico Sino-Agri</t>
  </si>
  <si>
    <t xml:space="preserve">TC15826</t>
  </si>
  <si>
    <t xml:space="preserve">21000.021099/2018-91</t>
  </si>
  <si>
    <t xml:space="preserve">Kresoxim-Methyl Técnico Sino-Agri</t>
  </si>
  <si>
    <t xml:space="preserve">Cresoxim metílico</t>
  </si>
  <si>
    <t xml:space="preserve">TC15926</t>
  </si>
  <si>
    <t xml:space="preserve">21000.093193/2022-28</t>
  </si>
  <si>
    <t xml:space="preserve">Profenofós Técnico Ihara I</t>
  </si>
  <si>
    <t xml:space="preserve">Profenofós</t>
  </si>
  <si>
    <t xml:space="preserve">TC16026</t>
  </si>
  <si>
    <t xml:space="preserve">21000.042463/2018-56</t>
  </si>
  <si>
    <t xml:space="preserve">Flumioxazina Técnico ADA</t>
  </si>
  <si>
    <t xml:space="preserve">TC16126</t>
  </si>
  <si>
    <t xml:space="preserve">21000.108756/2021-17</t>
  </si>
  <si>
    <t xml:space="preserve">Tebucure Técnico</t>
  </si>
  <si>
    <t xml:space="preserve">TC16226</t>
  </si>
  <si>
    <t xml:space="preserve">21000.061289/2022-27</t>
  </si>
  <si>
    <t xml:space="preserve">Tiametoxam Técnico CropChem II</t>
  </si>
  <si>
    <t xml:space="preserve">TC16326</t>
  </si>
  <si>
    <t xml:space="preserve">21000.019555/2022-19</t>
  </si>
  <si>
    <t xml:space="preserve">Tiametoxam Técnico FB II</t>
  </si>
  <si>
    <t xml:space="preserve">Ferbru</t>
  </si>
  <si>
    <t xml:space="preserve">TC16426</t>
  </si>
  <si>
    <t xml:space="preserve">21000.017289/2018-11</t>
  </si>
  <si>
    <t xml:space="preserve">Maxiprol Técnico</t>
  </si>
  <si>
    <t xml:space="preserve">TC16526</t>
  </si>
  <si>
    <t xml:space="preserve">21000.061856/2022-45</t>
  </si>
  <si>
    <t xml:space="preserve">Terbutilazina Técnico CropChem III</t>
  </si>
  <si>
    <t xml:space="preserve">TC16626</t>
  </si>
  <si>
    <t xml:space="preserve">21000.016883/2023-44</t>
  </si>
  <si>
    <t xml:space="preserve">Saflufenacil Técnico ABT</t>
  </si>
  <si>
    <t xml:space="preserve">TC16726</t>
  </si>
  <si>
    <t xml:space="preserve">21000.007037/2023-33</t>
  </si>
  <si>
    <t xml:space="preserve">Chlorfenapyr Técnico ABT</t>
  </si>
  <si>
    <t xml:space="preserve">TC16826</t>
  </si>
  <si>
    <t xml:space="preserve">21000.016761/2022-77</t>
  </si>
  <si>
    <t xml:space="preserve">Clothianidin Técnico SAU</t>
  </si>
  <si>
    <t xml:space="preserve">TC16926</t>
  </si>
  <si>
    <t xml:space="preserve">21000.069272/2023-07</t>
  </si>
  <si>
    <t xml:space="preserve">Clorfenapir Técnico OF</t>
  </si>
  <si>
    <t xml:space="preserve">TC17026</t>
  </si>
  <si>
    <t xml:space="preserve">21000.090137/2022-31</t>
  </si>
  <si>
    <t xml:space="preserve">Clorfenapir Técnico Adama 3</t>
  </si>
  <si>
    <t xml:space="preserve">TC17126</t>
  </si>
  <si>
    <t xml:space="preserve">21000.080674/2022-73</t>
  </si>
  <si>
    <t xml:space="preserve">Clorfenapir Técnico Tecnomyl II</t>
  </si>
  <si>
    <t xml:space="preserve">TC17226</t>
  </si>
  <si>
    <t xml:space="preserve">21000.008760/2015-20</t>
  </si>
  <si>
    <t xml:space="preserve">Indoxacarbe Técnico CN</t>
  </si>
  <si>
    <t xml:space="preserve">TC17326</t>
  </si>
  <si>
    <t xml:space="preserve">21000.088527/2023-22</t>
  </si>
  <si>
    <t xml:space="preserve">Mesotrione Técnico Hailir</t>
  </si>
  <si>
    <t xml:space="preserve">TC17426</t>
  </si>
  <si>
    <t xml:space="preserve">21000.068883/2024-19</t>
  </si>
  <si>
    <t xml:space="preserve">Tidiazuron Técnico Repont</t>
  </si>
  <si>
    <t xml:space="preserve">TC17526</t>
  </si>
  <si>
    <t xml:space="preserve">21000.025151/2024-26</t>
  </si>
  <si>
    <t xml:space="preserve">Clorfenapir Técnico Xinlong</t>
  </si>
  <si>
    <t xml:space="preserve">TC17626</t>
  </si>
  <si>
    <t xml:space="preserve">21000.057773/2024-13</t>
  </si>
  <si>
    <t xml:space="preserve">Clorfenapir Técnico JLK</t>
  </si>
  <si>
    <t xml:space="preserve">TC17726</t>
  </si>
  <si>
    <t xml:space="preserve">21000.065626/2023-36</t>
  </si>
  <si>
    <t xml:space="preserve">Diquat Técnico Noon</t>
  </si>
  <si>
    <t xml:space="preserve">Dibrometo de diquate</t>
  </si>
  <si>
    <t xml:space="preserve">TC17826</t>
  </si>
  <si>
    <t xml:space="preserve">21000.053732/2022-96</t>
  </si>
  <si>
    <t xml:space="preserve">Fosetyl-aluminium Técnico Wynca</t>
  </si>
  <si>
    <t xml:space="preserve">TC17926</t>
  </si>
  <si>
    <t xml:space="preserve">21000.079604/2021-91</t>
  </si>
  <si>
    <t xml:space="preserve">Luximo Técnico</t>
  </si>
  <si>
    <t xml:space="preserve">Cinmetilina</t>
  </si>
  <si>
    <t xml:space="preserve">Basf</t>
  </si>
  <si>
    <t xml:space="preserve">Classe I - Extremamente tóxico</t>
  </si>
  <si>
    <t xml:space="preserve">TC18026</t>
  </si>
  <si>
    <t xml:space="preserve">21000.083819/2023-79</t>
  </si>
  <si>
    <t xml:space="preserve">Lambda-Cyhalothrin Técnico Greenchem</t>
  </si>
  <si>
    <t xml:space="preserve">TC18126</t>
  </si>
  <si>
    <t xml:space="preserve">21000.026574/2022-00</t>
  </si>
  <si>
    <t xml:space="preserve">Imidacloprid Técnico Wynca</t>
  </si>
  <si>
    <t xml:space="preserve">TC18226</t>
  </si>
  <si>
    <t xml:space="preserve">21000.068070/2024-11</t>
  </si>
  <si>
    <t xml:space="preserve">Flonicamid Técnico ZHC</t>
  </si>
  <si>
    <t xml:space="preserve">TC18326</t>
  </si>
  <si>
    <t xml:space="preserve">21000.054334/2022-97</t>
  </si>
  <si>
    <t xml:space="preserve">Flonicamid Técnico Wynca</t>
  </si>
  <si>
    <t xml:space="preserve">TC18426</t>
  </si>
  <si>
    <t xml:space="preserve">21000.096065/2022-36</t>
  </si>
  <si>
    <t xml:space="preserve">Fluroxypyr-Meptyl Técnico Wynca</t>
  </si>
  <si>
    <t xml:space="preserve">TC18526</t>
  </si>
  <si>
    <t xml:space="preserve">21000.010270/2024-84</t>
  </si>
  <si>
    <t xml:space="preserve">Fenpropimorfe Técnico Tecnomyl</t>
  </si>
  <si>
    <t xml:space="preserve">TC18626</t>
  </si>
  <si>
    <t xml:space="preserve">21000.017582/2025-08</t>
  </si>
  <si>
    <t xml:space="preserve">Fomesafem Técnico Tecnomyl</t>
  </si>
  <si>
    <t xml:space="preserve">TC18726</t>
  </si>
  <si>
    <t xml:space="preserve">21000.020310/2024-04</t>
  </si>
  <si>
    <t xml:space="preserve">S-Metolacloro Técnico Tecnomyl</t>
  </si>
  <si>
    <t xml:space="preserve">S-metolacloro</t>
  </si>
  <si>
    <t xml:space="preserve">TC18826</t>
  </si>
  <si>
    <t xml:space="preserve">21000.061166/2024-58</t>
  </si>
  <si>
    <t xml:space="preserve">Mesotrione Técnico Tecnomyl II</t>
  </si>
  <si>
    <t xml:space="preserve">TC18926</t>
  </si>
  <si>
    <t xml:space="preserve">21000.071865/2021-63</t>
  </si>
  <si>
    <t xml:space="preserve">Diafentiurom Técnico Tecnomyl II</t>
  </si>
  <si>
    <t xml:space="preserve">TC19026</t>
  </si>
  <si>
    <t xml:space="preserve">21000.030823/2024-15</t>
  </si>
  <si>
    <t xml:space="preserve">Imazapir Técnico Tecnomyl</t>
  </si>
  <si>
    <t xml:space="preserve">Imazapir</t>
  </si>
  <si>
    <t xml:space="preserve">TC19126</t>
  </si>
  <si>
    <t xml:space="preserve">21000.059382/2023-52</t>
  </si>
  <si>
    <t xml:space="preserve">Terbutilazina Técnico FB</t>
  </si>
  <si>
    <t xml:space="preserve">TC19226</t>
  </si>
  <si>
    <t xml:space="preserve">21000.040314/2021-58</t>
  </si>
  <si>
    <t xml:space="preserve">Profenofós Técnico Mega</t>
  </si>
  <si>
    <t xml:space="preserve">TC19326</t>
  </si>
  <si>
    <t xml:space="preserve">21000.075966/2020-22</t>
  </si>
  <si>
    <t xml:space="preserve">Fluxapiroxade Técnico CropChem</t>
  </si>
  <si>
    <t xml:space="preserve">TC19426</t>
  </si>
  <si>
    <t xml:space="preserve">21000.070269/2024-17</t>
  </si>
  <si>
    <t xml:space="preserve">Oxifluorfen Técnico Nortox II</t>
  </si>
  <si>
    <t xml:space="preserve">TC19526</t>
  </si>
  <si>
    <t xml:space="preserve">21000.064637/2020-56</t>
  </si>
  <si>
    <t xml:space="preserve">Propiconazole Técnico Nortox III</t>
  </si>
  <si>
    <t xml:space="preserve">TC19626</t>
  </si>
  <si>
    <t xml:space="preserve">21000.076477/2020-98</t>
  </si>
  <si>
    <t xml:space="preserve">Imidacloprido Técnico Adama 2</t>
  </si>
  <si>
    <t xml:space="preserve">TC19726</t>
  </si>
  <si>
    <t xml:space="preserve">21000.026969/2019-07</t>
  </si>
  <si>
    <t xml:space="preserve">Propiconazol Técnico Ada</t>
  </si>
  <si>
    <t xml:space="preserve">TC19826</t>
  </si>
  <si>
    <t xml:space="preserve">21000.040379/2016-36</t>
  </si>
  <si>
    <t xml:space="preserve">Triclopir Butotílico Técnico Adama Brasil </t>
  </si>
  <si>
    <t xml:space="preserve">TC19926</t>
  </si>
  <si>
    <t xml:space="preserve">21000.065975/2023-58</t>
  </si>
  <si>
    <t xml:space="preserve">Flonicamida Taécnico Nortox III</t>
  </si>
  <si>
    <t xml:space="preserve">TC20026</t>
  </si>
  <si>
    <t xml:space="preserve">21000.068603/2024-64</t>
  </si>
  <si>
    <t xml:space="preserve">Flonicamida Técnico Nortox II</t>
  </si>
  <si>
    <t xml:space="preserve">TC20126</t>
  </si>
  <si>
    <t xml:space="preserve">21000.105606/2022-24</t>
  </si>
  <si>
    <t xml:space="preserve">Fluroxipir Técnico CropChem VI</t>
  </si>
  <si>
    <t xml:space="preserve">TC20226</t>
  </si>
  <si>
    <t xml:space="preserve">21000.100274/2021-19</t>
  </si>
  <si>
    <t xml:space="preserve">Difenoconazol Técnico CropChem III</t>
  </si>
  <si>
    <t xml:space="preserve">TC20326</t>
  </si>
  <si>
    <t xml:space="preserve">21000.091192/2021-68</t>
  </si>
  <si>
    <t xml:space="preserve">Diafentiurom Técnico CropChem II</t>
  </si>
  <si>
    <t xml:space="preserve">TC20426</t>
  </si>
  <si>
    <t xml:space="preserve">21000.015230/2024-29</t>
  </si>
  <si>
    <t xml:space="preserve">Lambda-Cyhalothrin Técnico MY</t>
  </si>
  <si>
    <t xml:space="preserve">TC20526</t>
  </si>
  <si>
    <t xml:space="preserve">21000.063138/2024-75</t>
  </si>
  <si>
    <t xml:space="preserve">Ethiprole Técnico SJ</t>
  </si>
  <si>
    <t xml:space="preserve">TC20626</t>
  </si>
  <si>
    <t xml:space="preserve">21000.014295/2022-95</t>
  </si>
  <si>
    <t xml:space="preserve">Difenoconazol Técnico UPL</t>
  </si>
  <si>
    <t xml:space="preserve">TC20726</t>
  </si>
  <si>
    <t xml:space="preserve">21000.054459/2024-89</t>
  </si>
  <si>
    <t xml:space="preserve">Pyrimethanil Técnico Globachem</t>
  </si>
  <si>
    <t xml:space="preserve">Pirimetanil</t>
  </si>
  <si>
    <t xml:space="preserve">Globachem</t>
  </si>
  <si>
    <t xml:space="preserve">TC20826</t>
  </si>
  <si>
    <t xml:space="preserve">21000.010398/2025-29</t>
  </si>
  <si>
    <t xml:space="preserve">2,4-D Técnico SCH</t>
  </si>
  <si>
    <t xml:space="preserve">TC20926</t>
  </si>
  <si>
    <t xml:space="preserve">21000.062239/2025-18</t>
  </si>
  <si>
    <t xml:space="preserve">Fluazinam Técnico SC</t>
  </si>
  <si>
    <t xml:space="preserve">TC21026</t>
  </si>
  <si>
    <t xml:space="preserve">21000.019140/2022-45</t>
  </si>
  <si>
    <t xml:space="preserve">Carfentrazona-Etílica Técnico JY</t>
  </si>
  <si>
    <t xml:space="preserve">Carfentrazona-etílica</t>
  </si>
  <si>
    <t xml:space="preserve">TC21126</t>
  </si>
  <si>
    <t xml:space="preserve">21000.017693/2022-63</t>
  </si>
  <si>
    <t xml:space="preserve">Imazamox Técnico Trustchem</t>
  </si>
  <si>
    <t xml:space="preserve">Imazamoxi</t>
  </si>
  <si>
    <t xml:space="preserve">TC21226</t>
  </si>
  <si>
    <t xml:space="preserve">21000.073254/2023-11</t>
  </si>
  <si>
    <t xml:space="preserve">Prothioconazole Técnico ABT</t>
  </si>
  <si>
    <t xml:space="preserve">TC21326</t>
  </si>
  <si>
    <t xml:space="preserve">21000.043044/2023-07</t>
  </si>
  <si>
    <t xml:space="preserve">Parijat Piriproxifem Técnico</t>
  </si>
  <si>
    <t xml:space="preserve">TC21426</t>
  </si>
  <si>
    <t xml:space="preserve">21000.044353/2024-77</t>
  </si>
  <si>
    <t xml:space="preserve">Glufosinate-ammonium Técnico SAU</t>
  </si>
  <si>
    <t xml:space="preserve">TC21526</t>
  </si>
  <si>
    <t xml:space="preserve">21000.020598/2023-28</t>
  </si>
  <si>
    <t xml:space="preserve">Azoxystrobin Técnico Liwei </t>
  </si>
  <si>
    <t xml:space="preserve">TC21626</t>
  </si>
  <si>
    <t xml:space="preserve">21000.043929/2019-11</t>
  </si>
  <si>
    <t xml:space="preserve">Maxubin Técnico </t>
  </si>
  <si>
    <t xml:space="preserve">TC21726</t>
  </si>
  <si>
    <t xml:space="preserve">21000.010612/2024-66</t>
  </si>
  <si>
    <t xml:space="preserve">Lufenuron Técnico Perterra</t>
  </si>
  <si>
    <t xml:space="preserve">TC21826</t>
  </si>
  <si>
    <t xml:space="preserve">21000.062795/2021-52</t>
  </si>
  <si>
    <t xml:space="preserve">Chlorpyrifós Técnico FB II</t>
  </si>
  <si>
    <t xml:space="preserve">Clorpirifós</t>
  </si>
  <si>
    <t xml:space="preserve">TC21926</t>
  </si>
  <si>
    <t xml:space="preserve">21000.078938/2021-48</t>
  </si>
  <si>
    <t xml:space="preserve">Prothioconazole Técnico Avgust</t>
  </si>
  <si>
    <t xml:space="preserve">TC22026</t>
  </si>
  <si>
    <t xml:space="preserve">21000.067402/2020-16</t>
  </si>
  <si>
    <t xml:space="preserve">Biciclopirona Técnica</t>
  </si>
  <si>
    <t xml:space="preserve">Biciclopirona</t>
  </si>
  <si>
    <t xml:space="preserve">TC22126</t>
  </si>
  <si>
    <t xml:space="preserve">21000.083338/2023-63</t>
  </si>
  <si>
    <t xml:space="preserve">Acetamiprid Técnico Lead</t>
  </si>
  <si>
    <t xml:space="preserve">TC22226</t>
  </si>
  <si>
    <t xml:space="preserve">21000.041677/2025-34</t>
  </si>
  <si>
    <t xml:space="preserve">Imazapyr Técnico IF</t>
  </si>
  <si>
    <t xml:space="preserve">TC22326</t>
  </si>
  <si>
    <t xml:space="preserve">21000.001877/2016-63</t>
  </si>
  <si>
    <t xml:space="preserve">Cletodim Técnico CCAB II</t>
  </si>
  <si>
    <t xml:space="preserve">TC22426</t>
  </si>
  <si>
    <t xml:space="preserve">21000.091376/2022-17</t>
  </si>
  <si>
    <t xml:space="preserve">Tebutiuron Técnico Ancom</t>
  </si>
  <si>
    <t xml:space="preserve">Ancom</t>
  </si>
  <si>
    <t xml:space="preserve">TC22526</t>
  </si>
  <si>
    <t xml:space="preserve">21000.025828/2023-45</t>
  </si>
  <si>
    <t xml:space="preserve">Clomazone Técnico CQ</t>
  </si>
  <si>
    <t xml:space="preserve">TC22626</t>
  </si>
  <si>
    <t xml:space="preserve">21000.051737/2023-65</t>
  </si>
  <si>
    <t xml:space="preserve">Mesotrione Técnico Yangnong </t>
  </si>
  <si>
    <t xml:space="preserve">TC22726</t>
  </si>
  <si>
    <t xml:space="preserve">21000.009249/2025-17</t>
  </si>
  <si>
    <t xml:space="preserve">Etiprole Técnico ZHC</t>
  </si>
  <si>
    <t xml:space="preserve">TC22826</t>
  </si>
  <si>
    <t xml:space="preserve">21000.064398/2020-34</t>
  </si>
  <si>
    <t xml:space="preserve">Prothioconazole Técnico ZH </t>
  </si>
  <si>
    <t xml:space="preserve">TC22926</t>
  </si>
  <si>
    <t xml:space="preserve">21000.084833/2023-90</t>
  </si>
  <si>
    <t xml:space="preserve">Diafenthiuron Técnico  CQ</t>
  </si>
  <si>
    <t xml:space="preserve">Changqing</t>
  </si>
  <si>
    <t xml:space="preserve">TC23026</t>
  </si>
  <si>
    <t xml:space="preserve">21000.025544/2024-30</t>
  </si>
  <si>
    <t xml:space="preserve">Metomil Técnico Tecnomyl II</t>
  </si>
  <si>
    <t xml:space="preserve">TC23126</t>
  </si>
  <si>
    <t xml:space="preserve">21000.107261/2022-43</t>
  </si>
  <si>
    <t xml:space="preserve">Técnico Megaeth</t>
  </si>
  <si>
    <t xml:space="preserve">TC23226</t>
  </si>
  <si>
    <t xml:space="preserve">21000.045505/2024-59</t>
  </si>
  <si>
    <t xml:space="preserve">Etiprole Técnico Tecnomyl III</t>
  </si>
  <si>
    <t xml:space="preserve">TC23326</t>
  </si>
  <si>
    <t xml:space="preserve">21000.043263/2019-00</t>
  </si>
  <si>
    <t xml:space="preserve">Zeta-Cipermetrina Técnico CropChem</t>
  </si>
  <si>
    <t xml:space="preserve">TC23426</t>
  </si>
  <si>
    <t xml:space="preserve">21000.069653/2023-88</t>
  </si>
  <si>
    <t xml:space="preserve">Flumioxazin Técnico Guangan</t>
  </si>
  <si>
    <t xml:space="preserve">TC23526</t>
  </si>
  <si>
    <t xml:space="preserve">21000.097349/2021-69</t>
  </si>
  <si>
    <t xml:space="preserve">Prothioconazole Técnico SCH</t>
  </si>
  <si>
    <t xml:space="preserve">TC23626</t>
  </si>
  <si>
    <t xml:space="preserve">21000.029332/2024-21</t>
  </si>
  <si>
    <t xml:space="preserve">Fluopicolide Técnico Chia-yi</t>
  </si>
  <si>
    <t xml:space="preserve">TC23726</t>
  </si>
  <si>
    <t xml:space="preserve">21000.001776/2024-01</t>
  </si>
  <si>
    <t xml:space="preserve">Clorfenapir Técnico Greenchem</t>
  </si>
  <si>
    <t xml:space="preserve">TC23826</t>
  </si>
  <si>
    <t xml:space="preserve">21000.045828/2022-81</t>
  </si>
  <si>
    <t xml:space="preserve">Flumioxazin Técnico YNX</t>
  </si>
  <si>
    <t xml:space="preserve">TC23926</t>
  </si>
  <si>
    <t xml:space="preserve">21000.024898/2023-86</t>
  </si>
  <si>
    <t xml:space="preserve">Bentazone Técnico Wynca</t>
  </si>
  <si>
    <t xml:space="preserve">Bentazona</t>
  </si>
  <si>
    <t xml:space="preserve">TC24026</t>
  </si>
  <si>
    <t xml:space="preserve">21000.048470/2017-81</t>
  </si>
  <si>
    <t xml:space="preserve">PyraclostrobinTechnical  ZS </t>
  </si>
  <si>
    <t xml:space="preserve">Piraclostrobina</t>
  </si>
  <si>
    <t xml:space="preserve">TC24126</t>
  </si>
  <si>
    <t xml:space="preserve">21000.083068/2022-18</t>
  </si>
  <si>
    <t xml:space="preserve">Saflufenacil Técnico Wynca</t>
  </si>
  <si>
    <t xml:space="preserve">TC24226</t>
  </si>
  <si>
    <t xml:space="preserve">21000.078438/2023-78</t>
  </si>
  <si>
    <t xml:space="preserve">Chorantraniliprole Técnico ABT</t>
  </si>
  <si>
    <t xml:space="preserve">TC24326</t>
  </si>
  <si>
    <t xml:space="preserve">21000.075230/2022-16</t>
  </si>
  <si>
    <t xml:space="preserve">Lufenuron Técnico ABT</t>
  </si>
  <si>
    <t xml:space="preserve">TC24426</t>
  </si>
  <si>
    <t xml:space="preserve">21000.024149/2025-11</t>
  </si>
  <si>
    <t xml:space="preserve">Thiamethoxam Técnico Crystal</t>
  </si>
  <si>
    <t xml:space="preserve">TC24526</t>
  </si>
  <si>
    <t xml:space="preserve">21000.076450/2021-86</t>
  </si>
  <si>
    <t xml:space="preserve">Picloram Técnico UPL Brasil</t>
  </si>
  <si>
    <t xml:space="preserve">Picloram</t>
  </si>
  <si>
    <t xml:space="preserve">TC24626</t>
  </si>
  <si>
    <t xml:space="preserve">21000.117126/2022-14</t>
  </si>
  <si>
    <t xml:space="preserve">Picloram Técnico RF</t>
  </si>
  <si>
    <t xml:space="preserve">TC24726</t>
  </si>
  <si>
    <t xml:space="preserve">21000.030316/2023-09</t>
  </si>
  <si>
    <t xml:space="preserve">Diflufenicam Técnico Rainbow</t>
  </si>
  <si>
    <t xml:space="preserve">Diflufenicam</t>
  </si>
  <si>
    <t xml:space="preserve">TC24826</t>
  </si>
  <si>
    <t xml:space="preserve">21000.092475/2019-11</t>
  </si>
  <si>
    <t xml:space="preserve">Quizalofop Técnico Rainbow</t>
  </si>
  <si>
    <t xml:space="preserve">Quizalofope-P-Etílico</t>
  </si>
  <si>
    <t xml:space="preserve">TC24926</t>
  </si>
  <si>
    <t xml:space="preserve">21000.062024/2023-27</t>
  </si>
  <si>
    <t xml:space="preserve">Etiprole Técnico Cropchem IV</t>
  </si>
  <si>
    <t xml:space="preserve">TC25026</t>
  </si>
  <si>
    <t xml:space="preserve">21000.030235/2022-10</t>
  </si>
  <si>
    <t xml:space="preserve">Etiprole Técnico Cropchem III</t>
  </si>
  <si>
    <t xml:space="preserve">TC25126</t>
  </si>
  <si>
    <t xml:space="preserve">21000.109275/2022-00</t>
  </si>
  <si>
    <t xml:space="preserve">Flonicamid Técnico Cropchem II</t>
  </si>
  <si>
    <t xml:space="preserve">TC25226</t>
  </si>
  <si>
    <t xml:space="preserve">TC25326</t>
  </si>
  <si>
    <t xml:space="preserve">TC25426</t>
  </si>
  <si>
    <t xml:space="preserve">TC25526</t>
  </si>
  <si>
    <t xml:space="preserve">TC25626</t>
  </si>
  <si>
    <t xml:space="preserve">TC25726</t>
  </si>
  <si>
    <t xml:space="preserve">TC25826</t>
  </si>
  <si>
    <t xml:space="preserve">TC25926</t>
  </si>
  <si>
    <t xml:space="preserve">TC26026</t>
  </si>
  <si>
    <t xml:space="preserve">TC26126</t>
  </si>
  <si>
    <t xml:space="preserve">TC26226</t>
  </si>
  <si>
    <t xml:space="preserve">TC26326</t>
  </si>
  <si>
    <t xml:space="preserve">TC26426</t>
  </si>
  <si>
    <t xml:space="preserve">TC26526</t>
  </si>
  <si>
    <t xml:space="preserve">TC26626</t>
  </si>
  <si>
    <t xml:space="preserve">TC26726</t>
  </si>
  <si>
    <t xml:space="preserve">TC26826</t>
  </si>
  <si>
    <t xml:space="preserve">TC26926</t>
  </si>
  <si>
    <t xml:space="preserve">TC27026</t>
  </si>
  <si>
    <t xml:space="preserve">TC27126</t>
  </si>
  <si>
    <t xml:space="preserve">TC27226</t>
  </si>
  <si>
    <t xml:space="preserve">TC27326</t>
  </si>
  <si>
    <t xml:space="preserve">TC27426</t>
  </si>
  <si>
    <t xml:space="preserve">TC27526</t>
  </si>
  <si>
    <t xml:space="preserve">TC27626</t>
  </si>
  <si>
    <t xml:space="preserve">TC27726</t>
  </si>
  <si>
    <t xml:space="preserve">TC27826</t>
  </si>
  <si>
    <t xml:space="preserve">TC27926</t>
  </si>
  <si>
    <t xml:space="preserve">TC28026</t>
  </si>
  <si>
    <t xml:space="preserve">TC28126</t>
  </si>
  <si>
    <t xml:space="preserve">TC28226</t>
  </si>
  <si>
    <t xml:space="preserve">TC28326</t>
  </si>
  <si>
    <t xml:space="preserve">TC28426</t>
  </si>
  <si>
    <t xml:space="preserve">TC28526</t>
  </si>
  <si>
    <t xml:space="preserve">TC28626</t>
  </si>
  <si>
    <t xml:space="preserve">TC28726</t>
  </si>
  <si>
    <t xml:space="preserve">TC28826</t>
  </si>
  <si>
    <t xml:space="preserve">TC28926</t>
  </si>
  <si>
    <t xml:space="preserve">TC29026</t>
  </si>
  <si>
    <t xml:space="preserve">TC29126</t>
  </si>
  <si>
    <t xml:space="preserve">TC29226</t>
  </si>
  <si>
    <t xml:space="preserve">TC29326</t>
  </si>
  <si>
    <t xml:space="preserve">TC29426</t>
  </si>
  <si>
    <t xml:space="preserve">TC29526</t>
  </si>
  <si>
    <t xml:space="preserve">TC29626</t>
  </si>
  <si>
    <t xml:space="preserve">TC29726</t>
  </si>
  <si>
    <t xml:space="preserve">TC29826</t>
  </si>
  <si>
    <t xml:space="preserve">TC29926</t>
  </si>
  <si>
    <t xml:space="preserve">TC30026</t>
  </si>
  <si>
    <t xml:space="preserve">TC30126</t>
  </si>
  <si>
    <t xml:space="preserve">TC30226</t>
  </si>
  <si>
    <t xml:space="preserve">TC30326</t>
  </si>
  <si>
    <t xml:space="preserve">TC30426</t>
  </si>
  <si>
    <t xml:space="preserve">TC30526</t>
  </si>
  <si>
    <t xml:space="preserve">TC30626</t>
  </si>
  <si>
    <t xml:space="preserve">TC30726</t>
  </si>
  <si>
    <t xml:space="preserve">TC30826</t>
  </si>
  <si>
    <t xml:space="preserve">TC30926</t>
  </si>
  <si>
    <t xml:space="preserve">TC31026</t>
  </si>
  <si>
    <t xml:space="preserve">TC31126</t>
  </si>
  <si>
    <t xml:space="preserve">TC31226</t>
  </si>
  <si>
    <t xml:space="preserve">TC31326</t>
  </si>
  <si>
    <t xml:space="preserve">TC31426</t>
  </si>
  <si>
    <t xml:space="preserve">TC31526</t>
  </si>
  <si>
    <t xml:space="preserve">TC31626</t>
  </si>
  <si>
    <t xml:space="preserve">TC31726</t>
  </si>
  <si>
    <t xml:space="preserve">TC31826</t>
  </si>
  <si>
    <t xml:space="preserve">TC31926</t>
  </si>
  <si>
    <t xml:space="preserve">TC32026</t>
  </si>
  <si>
    <t xml:space="preserve">TC32126</t>
  </si>
  <si>
    <t xml:space="preserve">TC32226</t>
  </si>
  <si>
    <t xml:space="preserve">TC32326</t>
  </si>
  <si>
    <t xml:space="preserve">TC32426</t>
  </si>
  <si>
    <t xml:space="preserve">TC32526</t>
  </si>
  <si>
    <t xml:space="preserve">TC32626</t>
  </si>
  <si>
    <t xml:space="preserve">TC32726</t>
  </si>
  <si>
    <t xml:space="preserve">TC32826</t>
  </si>
  <si>
    <t xml:space="preserve">TC32926</t>
  </si>
  <si>
    <t xml:space="preserve">TC33026</t>
  </si>
  <si>
    <t xml:space="preserve">TC33126</t>
  </si>
  <si>
    <t xml:space="preserve">TC33226</t>
  </si>
  <si>
    <t xml:space="preserve">TC33326</t>
  </si>
  <si>
    <t xml:space="preserve">TC33426</t>
  </si>
  <si>
    <t xml:space="preserve">TC33526</t>
  </si>
  <si>
    <t xml:space="preserve">TC33626</t>
  </si>
  <si>
    <t xml:space="preserve">TC33726</t>
  </si>
  <si>
    <t xml:space="preserve">TC33826</t>
  </si>
  <si>
    <t xml:space="preserve">TC33926</t>
  </si>
  <si>
    <t xml:space="preserve">TC34026</t>
  </si>
  <si>
    <t xml:space="preserve">TC34126</t>
  </si>
  <si>
    <t xml:space="preserve">TC34226</t>
  </si>
  <si>
    <t xml:space="preserve">TC34326</t>
  </si>
  <si>
    <t xml:space="preserve">TC34426</t>
  </si>
  <si>
    <t xml:space="preserve">TC34526</t>
  </si>
  <si>
    <t xml:space="preserve">TC34626</t>
  </si>
  <si>
    <t xml:space="preserve">TC34726</t>
  </si>
  <si>
    <t xml:space="preserve">TC34826</t>
  </si>
  <si>
    <t xml:space="preserve">TC34926</t>
  </si>
  <si>
    <t xml:space="preserve">TC35026</t>
  </si>
  <si>
    <t xml:space="preserve">TC35126</t>
  </si>
  <si>
    <t xml:space="preserve">TC35226</t>
  </si>
  <si>
    <t xml:space="preserve">TC35326</t>
  </si>
  <si>
    <t xml:space="preserve">TC35426</t>
  </si>
  <si>
    <t xml:space="preserve">TC35526</t>
  </si>
  <si>
    <t xml:space="preserve">TC35626</t>
  </si>
  <si>
    <t xml:space="preserve">TC35726</t>
  </si>
  <si>
    <t xml:space="preserve">TC35826</t>
  </si>
  <si>
    <t xml:space="preserve">TC35926</t>
  </si>
  <si>
    <t xml:space="preserve">TC36026</t>
  </si>
  <si>
    <t xml:space="preserve">TC36126</t>
  </si>
  <si>
    <t xml:space="preserve">TC36226</t>
  </si>
  <si>
    <t xml:space="preserve">TC36326</t>
  </si>
  <si>
    <t xml:space="preserve">TC36426</t>
  </si>
  <si>
    <t xml:space="preserve">TC00125</t>
  </si>
  <si>
    <t xml:space="preserve">21000.021725/2020-63</t>
  </si>
  <si>
    <t xml:space="preserve">Difenoconazole Técnico Udragon</t>
  </si>
  <si>
    <t xml:space="preserve">Ano de 2023</t>
  </si>
  <si>
    <t xml:space="preserve">TC00225</t>
  </si>
  <si>
    <t xml:space="preserve">21000.005488/2008-05</t>
  </si>
  <si>
    <t xml:space="preserve">Azoshy Técnico</t>
  </si>
  <si>
    <t xml:space="preserve">TC00325</t>
  </si>
  <si>
    <t xml:space="preserve">21000.119493/2022-44</t>
  </si>
  <si>
    <t xml:space="preserve">Clotianidina Técnico Crystal</t>
  </si>
  <si>
    <t xml:space="preserve">Crystal</t>
  </si>
  <si>
    <t xml:space="preserve">TC00425</t>
  </si>
  <si>
    <t xml:space="preserve">21000.063671/2020-11</t>
  </si>
  <si>
    <t xml:space="preserve">Ciproconazol Técnico CropChem III</t>
  </si>
  <si>
    <t xml:space="preserve">Ciproconazol</t>
  </si>
  <si>
    <t xml:space="preserve">TC00525</t>
  </si>
  <si>
    <t xml:space="preserve">21000.010166/2021-47</t>
  </si>
  <si>
    <t xml:space="preserve">Benzoato de Emamectina Pré-Mistura</t>
  </si>
  <si>
    <t xml:space="preserve">II - Altamente Tóxico</t>
  </si>
  <si>
    <t xml:space="preserve">TC00625</t>
  </si>
  <si>
    <t xml:space="preserve">21000.067723/2020-11</t>
  </si>
  <si>
    <t xml:space="preserve">Ciproconazol Técnico Chembri</t>
  </si>
  <si>
    <t xml:space="preserve">TC00725</t>
  </si>
  <si>
    <t xml:space="preserve">21000.123819/2022-38</t>
  </si>
  <si>
    <t xml:space="preserve">Amicarbazona Técnico Good-Harvest</t>
  </si>
  <si>
    <t xml:space="preserve">TC00825</t>
  </si>
  <si>
    <t xml:space="preserve">21000.017889/2019-52</t>
  </si>
  <si>
    <t xml:space="preserve">Clorantraniliprole Técnico Nortox</t>
  </si>
  <si>
    <t xml:space="preserve">TC00925</t>
  </si>
  <si>
    <t xml:space="preserve">21000.012225/2020-31</t>
  </si>
  <si>
    <t xml:space="preserve">Trifluralina Técnico CropChem</t>
  </si>
  <si>
    <t xml:space="preserve">Trifluralina</t>
  </si>
  <si>
    <t xml:space="preserve">TC01025</t>
  </si>
  <si>
    <t xml:space="preserve">21000.054530/2017-02</t>
  </si>
  <si>
    <t xml:space="preserve">Difenoconazole Técnico Rotam</t>
  </si>
  <si>
    <t xml:space="preserve">Rotam </t>
  </si>
  <si>
    <t xml:space="preserve">TC01125</t>
  </si>
  <si>
    <t xml:space="preserve">21000.041854/2017-72</t>
  </si>
  <si>
    <t xml:space="preserve">Difenoconazole ZB Técnico Helm</t>
  </si>
  <si>
    <t xml:space="preserve">Helm </t>
  </si>
  <si>
    <t xml:space="preserve">TC01225</t>
  </si>
  <si>
    <t xml:space="preserve">21000.037049/2020-40</t>
  </si>
  <si>
    <t xml:space="preserve">Cletodim Técnico CropChem II</t>
  </si>
  <si>
    <t xml:space="preserve">TC01325</t>
  </si>
  <si>
    <t xml:space="preserve">21000.088765/2022-57</t>
  </si>
  <si>
    <t xml:space="preserve">Ciproconazol Técnico Of II</t>
  </si>
  <si>
    <t xml:space="preserve">TC01425</t>
  </si>
  <si>
    <t xml:space="preserve">21000.062846/2016-89</t>
  </si>
  <si>
    <t xml:space="preserve">Difenoconazol Ascenza Técnico</t>
  </si>
  <si>
    <t xml:space="preserve">TC01525</t>
  </si>
  <si>
    <t xml:space="preserve">21000.044163/2016-40</t>
  </si>
  <si>
    <t xml:space="preserve">Cipermetrina Técnica Nortox IV</t>
  </si>
  <si>
    <t xml:space="preserve">Cipermetrina </t>
  </si>
  <si>
    <t xml:space="preserve">TC01625</t>
  </si>
  <si>
    <t xml:space="preserve">21000.045073/2020-52</t>
  </si>
  <si>
    <t xml:space="preserve">Aminopyralid Técnico NGC</t>
  </si>
  <si>
    <t xml:space="preserve">Aminopiralide</t>
  </si>
  <si>
    <r>
      <rPr>
        <b val="true"/>
        <sz val="10"/>
        <color rgb="FF000066"/>
        <rFont val="Arial"/>
        <family val="2"/>
        <charset val="1"/>
      </rPr>
      <t xml:space="preserve">PT</t>
    </r>
    <r>
      <rPr>
        <sz val="10"/>
        <color rgb="FF000066"/>
        <rFont val="Arial"/>
        <family val="2"/>
        <charset val="1"/>
      </rPr>
      <t xml:space="preserve"> - Produto Técnico</t>
    </r>
  </si>
  <si>
    <t xml:space="preserve">TC01725</t>
  </si>
  <si>
    <t xml:space="preserve">21000.119889/2022-91</t>
  </si>
  <si>
    <t xml:space="preserve">Clorotalonil Técnico Crystal</t>
  </si>
  <si>
    <r>
      <rPr>
        <b val="true"/>
        <sz val="10"/>
        <color rgb="FF000066"/>
        <rFont val="Arial"/>
        <family val="2"/>
        <charset val="1"/>
      </rPr>
      <t xml:space="preserve">PTN</t>
    </r>
    <r>
      <rPr>
        <sz val="10"/>
        <color rgb="FF000066"/>
        <rFont val="Arial"/>
        <family val="2"/>
        <charset val="1"/>
      </rPr>
      <t xml:space="preserve"> - Produto Técnico a Base de Ingrediente Ativo Novo</t>
    </r>
  </si>
  <si>
    <t xml:space="preserve">TC01825</t>
  </si>
  <si>
    <t xml:space="preserve">21000.043035/2021-46</t>
  </si>
  <si>
    <t xml:space="preserve">Alpha-Cypermethrin Técnico Bharat</t>
  </si>
  <si>
    <t xml:space="preserve">Alfa-Cipermetrina</t>
  </si>
  <si>
    <r>
      <rPr>
        <b val="true"/>
        <sz val="10"/>
        <color rgb="FF000066"/>
        <rFont val="Arial"/>
        <family val="2"/>
        <charset val="1"/>
      </rPr>
      <t xml:space="preserve">PTE</t>
    </r>
    <r>
      <rPr>
        <sz val="10"/>
        <color rgb="FF000066"/>
        <rFont val="Arial"/>
        <family val="2"/>
        <charset val="1"/>
      </rPr>
      <t xml:space="preserve"> - Produto Técnico Equivalente</t>
    </r>
  </si>
  <si>
    <t xml:space="preserve">TC01925</t>
  </si>
  <si>
    <t xml:space="preserve">21000.037684/2020-27</t>
  </si>
  <si>
    <t xml:space="preserve">Aminopyralid Técnico Avilive</t>
  </si>
  <si>
    <r>
      <rPr>
        <b val="true"/>
        <sz val="10"/>
        <color rgb="FF000066"/>
        <rFont val="Arial"/>
        <family val="2"/>
        <charset val="1"/>
      </rPr>
      <t xml:space="preserve">Pré-Mistura</t>
    </r>
    <r>
      <rPr>
        <sz val="10"/>
        <color rgb="FF000066"/>
        <rFont val="Arial"/>
        <family val="2"/>
        <charset val="1"/>
      </rPr>
      <t xml:space="preserve"> - Produto Pré-mistura</t>
    </r>
  </si>
  <si>
    <t xml:space="preserve">TC02025</t>
  </si>
  <si>
    <t xml:space="preserve">21000.080275/2022-11</t>
  </si>
  <si>
    <t xml:space="preserve">Clorotalonil Técnico CropChem II</t>
  </si>
  <si>
    <r>
      <rPr>
        <b val="true"/>
        <sz val="10"/>
        <color rgb="FF000066"/>
        <rFont val="Arial"/>
        <family val="2"/>
        <charset val="1"/>
      </rPr>
      <t xml:space="preserve">PF </t>
    </r>
    <r>
      <rPr>
        <sz val="10"/>
        <color rgb="FF000066"/>
        <rFont val="Arial"/>
        <family val="2"/>
        <charset val="1"/>
      </rPr>
      <t xml:space="preserve">- Produto Formulado</t>
    </r>
  </si>
  <si>
    <t xml:space="preserve">TC02125</t>
  </si>
  <si>
    <t xml:space="preserve">21000.112096/2022-41</t>
  </si>
  <si>
    <t xml:space="preserve">Clorotalonil Técnico Perterra</t>
  </si>
  <si>
    <r>
      <rPr>
        <b val="true"/>
        <sz val="10"/>
        <color rgb="FF000066"/>
        <rFont val="Arial"/>
        <family val="2"/>
        <charset val="1"/>
      </rPr>
      <t xml:space="preserve">PFN </t>
    </r>
    <r>
      <rPr>
        <sz val="10"/>
        <color rgb="FF000066"/>
        <rFont val="Arial"/>
        <family val="2"/>
        <charset val="1"/>
      </rPr>
      <t xml:space="preserve">- Produto Formulado a Base de Ingrediente Ativo Novo</t>
    </r>
  </si>
  <si>
    <t xml:space="preserve">TC02225</t>
  </si>
  <si>
    <t xml:space="preserve">21000.062004/2020-11</t>
  </si>
  <si>
    <t xml:space="preserve">Kinoprol Técnico</t>
  </si>
  <si>
    <t xml:space="preserve">Ipflufenoquina</t>
  </si>
  <si>
    <r>
      <rPr>
        <b val="true"/>
        <sz val="10"/>
        <color rgb="FF000066"/>
        <rFont val="Arial"/>
        <family val="2"/>
        <charset val="1"/>
      </rPr>
      <t xml:space="preserve">PF/PTE</t>
    </r>
    <r>
      <rPr>
        <sz val="10"/>
        <color rgb="FF000066"/>
        <rFont val="Arial"/>
        <family val="2"/>
        <charset val="1"/>
      </rPr>
      <t xml:space="preserve"> - Produto Formulado a Base de Produto Técnico Equivalente</t>
    </r>
  </si>
  <si>
    <t xml:space="preserve">TC02325</t>
  </si>
  <si>
    <t xml:space="preserve">21000.029168/2021-18</t>
  </si>
  <si>
    <t xml:space="preserve">Ciclanilida Técnico Adama Br</t>
  </si>
  <si>
    <t xml:space="preserve">Ciclanilida</t>
  </si>
  <si>
    <r>
      <rPr>
        <b val="true"/>
        <sz val="10"/>
        <color rgb="FF000066"/>
        <rFont val="Arial"/>
        <family val="2"/>
        <charset val="1"/>
      </rPr>
      <t xml:space="preserve">Bio </t>
    </r>
    <r>
      <rPr>
        <sz val="10"/>
        <color rgb="FF000066"/>
        <rFont val="Arial"/>
        <family val="2"/>
        <charset val="1"/>
      </rPr>
      <t xml:space="preserve">- Produto Formulado Biológico, Microbiológico, Bioquímico, Extrato Vegetal, Regulador de Crescimento ou Semioquímico; de Baixo Risco</t>
    </r>
  </si>
  <si>
    <t xml:space="preserve">TC02425</t>
  </si>
  <si>
    <t xml:space="preserve">21000.004821/2021-28</t>
  </si>
  <si>
    <t xml:space="preserve">Ciclanilida Técnica Nortox</t>
  </si>
  <si>
    <r>
      <rPr>
        <b val="true"/>
        <sz val="10"/>
        <color rgb="FF000066"/>
        <rFont val="Arial"/>
        <family val="2"/>
        <charset val="1"/>
      </rPr>
      <t xml:space="preserve">Bio/Org</t>
    </r>
    <r>
      <rPr>
        <sz val="10"/>
        <color rgb="FF000066"/>
        <rFont val="Arial"/>
        <family val="2"/>
        <charset val="1"/>
      </rPr>
      <t xml:space="preserve"> - Produto Formulado Biológico, Microbiológico, Bioquímico, Extrato Vegetal, Regulador de Crescimento ou Semioquímico, para a Agricultura Orgânica</t>
    </r>
  </si>
  <si>
    <t xml:space="preserve">TC02525</t>
  </si>
  <si>
    <t xml:space="preserve">21000.033085/2020-34</t>
  </si>
  <si>
    <t xml:space="preserve">Chlorothalonil Técnico Wynca</t>
  </si>
  <si>
    <t xml:space="preserve">TC02625</t>
  </si>
  <si>
    <t xml:space="preserve">21000.060912/2020-62</t>
  </si>
  <si>
    <t xml:space="preserve">Amicarbazona Técnico Solus</t>
  </si>
  <si>
    <t xml:space="preserve">TC02725</t>
  </si>
  <si>
    <t xml:space="preserve">21000.068888/2020-18</t>
  </si>
  <si>
    <t xml:space="preserve">Amicarbazona Técnico Nortox III</t>
  </si>
  <si>
    <t xml:space="preserve">TC02825</t>
  </si>
  <si>
    <t xml:space="preserve">21000.072748/2022-06</t>
  </si>
  <si>
    <t xml:space="preserve">Amicarbazona Técnico Tecnomyl II</t>
  </si>
  <si>
    <t xml:space="preserve">TC02925</t>
  </si>
  <si>
    <t xml:space="preserve">21000.060942/2020-79</t>
  </si>
  <si>
    <t xml:space="preserve">Acetamiprido Técnico Alta</t>
  </si>
  <si>
    <t xml:space="preserve">TC03025</t>
  </si>
  <si>
    <t xml:space="preserve">21000.090515/2023-68</t>
  </si>
  <si>
    <t xml:space="preserve">Acetamiprid Técnico Bestar</t>
  </si>
  <si>
    <t xml:space="preserve">TC03125</t>
  </si>
  <si>
    <t xml:space="preserve">21000.067448/2023-88</t>
  </si>
  <si>
    <t xml:space="preserve">Acetamiprid Técnico ABT</t>
  </si>
  <si>
    <t xml:space="preserve">TC03225</t>
  </si>
  <si>
    <t xml:space="preserve">21000.008749/2018-11</t>
  </si>
  <si>
    <t xml:space="preserve">Difenoconazole Técnico Sumitomo</t>
  </si>
  <si>
    <t xml:space="preserve">TC03325</t>
  </si>
  <si>
    <t xml:space="preserve">21000.010827/2019-10</t>
  </si>
  <si>
    <t xml:space="preserve">Prothioconazole Técnico United</t>
  </si>
  <si>
    <t xml:space="preserve">TC03425</t>
  </si>
  <si>
    <t xml:space="preserve">21000.015049/2020-99</t>
  </si>
  <si>
    <t xml:space="preserve">Prothioconazole Técnico SAU</t>
  </si>
  <si>
    <t xml:space="preserve">TC03525</t>
  </si>
  <si>
    <t xml:space="preserve">21000.108758/2021-06</t>
  </si>
  <si>
    <t xml:space="preserve">Cloridrato de Propamocarbe Técnico SAL</t>
  </si>
  <si>
    <t xml:space="preserve">Propamocarbe</t>
  </si>
  <si>
    <t xml:space="preserve">TC03625</t>
  </si>
  <si>
    <t xml:space="preserve">21000.104318/2022-52</t>
  </si>
  <si>
    <t xml:space="preserve">Ciproconazol Técnico ABT</t>
  </si>
  <si>
    <t xml:space="preserve">Agrobeats </t>
  </si>
  <si>
    <t xml:space="preserve">TC03725</t>
  </si>
  <si>
    <t xml:space="preserve">21000.058910/2020-11</t>
  </si>
  <si>
    <t xml:space="preserve">Aminopiralide Técnico Adama</t>
  </si>
  <si>
    <t xml:space="preserve">TC03825</t>
  </si>
  <si>
    <t xml:space="preserve">21000.101813/2021-29</t>
  </si>
  <si>
    <t xml:space="preserve">Clothianidin técnico Hailir</t>
  </si>
  <si>
    <t xml:space="preserve">Staphyt</t>
  </si>
  <si>
    <t xml:space="preserve">TC03925</t>
  </si>
  <si>
    <t xml:space="preserve">21000.013784/2021-49</t>
  </si>
  <si>
    <t xml:space="preserve">Difenoconazole Técnico STK</t>
  </si>
  <si>
    <t xml:space="preserve">Stockton</t>
  </si>
  <si>
    <t xml:space="preserve">TC04025</t>
  </si>
  <si>
    <t xml:space="preserve">21000.002121/2015-51</t>
  </si>
  <si>
    <t xml:space="preserve">Fluoxastrobina Técnico</t>
  </si>
  <si>
    <t xml:space="preserve"> Fluoxastrobina</t>
  </si>
  <si>
    <t xml:space="preserve">Arysta</t>
  </si>
  <si>
    <t xml:space="preserve">TC04125</t>
  </si>
  <si>
    <t xml:space="preserve">21000.068801/2023-47</t>
  </si>
  <si>
    <t xml:space="preserve"> CEREVISANE TÉCNICO</t>
  </si>
  <si>
    <t xml:space="preserve"> Parede celular de Saccharomyces cerevisiae</t>
  </si>
  <si>
    <t xml:space="preserve">Bio Springer</t>
  </si>
  <si>
    <t xml:space="preserve">TC04225</t>
  </si>
  <si>
    <t xml:space="preserve">21000.002167/2014-99</t>
  </si>
  <si>
    <t xml:space="preserve">Haloxifope-P-Metílico Técnico Ouro Fino</t>
  </si>
  <si>
    <t xml:space="preserve">Haloxifope metílico</t>
  </si>
  <si>
    <t xml:space="preserve">TC04325</t>
  </si>
  <si>
    <t xml:space="preserve">21000.019197/2017-87</t>
  </si>
  <si>
    <t xml:space="preserve">Dicamba Técnico Genbra</t>
  </si>
  <si>
    <t xml:space="preserve">Genbra</t>
  </si>
  <si>
    <t xml:space="preserve">TC04425</t>
  </si>
  <si>
    <t xml:space="preserve">21000.051528/2021-50</t>
  </si>
  <si>
    <t xml:space="preserve">Haloxifop Metílico Técnico Tecnomyl II</t>
  </si>
  <si>
    <t xml:space="preserve">TC04525</t>
  </si>
  <si>
    <t xml:space="preserve">21000.051694/2023-18</t>
  </si>
  <si>
    <t xml:space="preserve">Difenoconazol Técnico Tecnomyl</t>
  </si>
  <si>
    <t xml:space="preserve">TC04625</t>
  </si>
  <si>
    <t xml:space="preserve">21000.007232/2024-44</t>
  </si>
  <si>
    <t xml:space="preserve">Aminopiralide Técnico Tecnomyl</t>
  </si>
  <si>
    <t xml:space="preserve">TC04725</t>
  </si>
  <si>
    <t xml:space="preserve">21000.060316/2021-63</t>
  </si>
  <si>
    <t xml:space="preserve">Ethiprole Técnico Tecnomyl</t>
  </si>
  <si>
    <t xml:space="preserve">TC04825</t>
  </si>
  <si>
    <t xml:space="preserve">21000.048825/2020-37</t>
  </si>
  <si>
    <t xml:space="preserve">Difenoconazol Técnico Ouro Fino</t>
  </si>
  <si>
    <t xml:space="preserve">TC04925</t>
  </si>
  <si>
    <t xml:space="preserve">21000.007749/2021-91</t>
  </si>
  <si>
    <t xml:space="preserve">Difenoconazol Técnico OF</t>
  </si>
  <si>
    <t xml:space="preserve">TC05025</t>
  </si>
  <si>
    <t xml:space="preserve">21000.077090/2023-00</t>
  </si>
  <si>
    <t xml:space="preserve">Chlorantraniliprole Técnico SCH</t>
  </si>
  <si>
    <t xml:space="preserve">TC05125</t>
  </si>
  <si>
    <t xml:space="preserve">21000.015224/2021-29</t>
  </si>
  <si>
    <t xml:space="preserve">Chlorantraniliprole Técnico LC I</t>
  </si>
  <si>
    <t xml:space="preserve">TC05225</t>
  </si>
  <si>
    <t xml:space="preserve">21000.006604/2024-15</t>
  </si>
  <si>
    <t xml:space="preserve">Aminopyralid Técnico SML</t>
  </si>
  <si>
    <t xml:space="preserve">TC05325</t>
  </si>
  <si>
    <t xml:space="preserve">21000.100751/2021-38</t>
  </si>
  <si>
    <t xml:space="preserve">Aminopiralide Técnico CHDS</t>
  </si>
  <si>
    <t xml:space="preserve">TC05425</t>
  </si>
  <si>
    <t xml:space="preserve">21000.053961/2020-49</t>
  </si>
  <si>
    <t xml:space="preserve">Fenpropimorfe Técnico CHDS</t>
  </si>
  <si>
    <t xml:space="preserve">TC05525</t>
  </si>
  <si>
    <t xml:space="preserve">21000.063200/2022-67</t>
  </si>
  <si>
    <t xml:space="preserve">Mancozeb Técnico CHD'S II</t>
  </si>
  <si>
    <t xml:space="preserve">TC05625</t>
  </si>
  <si>
    <t xml:space="preserve">21000.080791/2021-56</t>
  </si>
  <si>
    <t xml:space="preserve">Fenpropimorfe Técnico Alta</t>
  </si>
  <si>
    <t xml:space="preserve">TC05725</t>
  </si>
  <si>
    <t xml:space="preserve">21000.020644/2018-21</t>
  </si>
  <si>
    <t xml:space="preserve">Haloxifope-P-Metílico Alta II</t>
  </si>
  <si>
    <t xml:space="preserve">TC05825</t>
  </si>
  <si>
    <t xml:space="preserve">21000.044959/2016-01</t>
  </si>
  <si>
    <t xml:space="preserve">Diclosulam Técnico Cropchem</t>
  </si>
  <si>
    <t xml:space="preserve">Diclosulam </t>
  </si>
  <si>
    <t xml:space="preserve">TC05925</t>
  </si>
  <si>
    <t xml:space="preserve">21000.075734/2019-31</t>
  </si>
  <si>
    <t xml:space="preserve">Fenpropimorfe Técnico CropChem</t>
  </si>
  <si>
    <t xml:space="preserve">TC06025</t>
  </si>
  <si>
    <t xml:space="preserve">21000.054537/2020-11</t>
  </si>
  <si>
    <t xml:space="preserve">Fluroxipir Técnico CropChem II</t>
  </si>
  <si>
    <t xml:space="preserve">TC06125</t>
  </si>
  <si>
    <t xml:space="preserve">21000.018079/2018-32</t>
  </si>
  <si>
    <t xml:space="preserve">Haloxifope Técnico CropChem II</t>
  </si>
  <si>
    <t xml:space="preserve">TC06225</t>
  </si>
  <si>
    <t xml:space="preserve">21000.056025/2020-90</t>
  </si>
  <si>
    <t xml:space="preserve">Prothioconazole Technical Wynca</t>
  </si>
  <si>
    <t xml:space="preserve">TC06325</t>
  </si>
  <si>
    <t xml:space="preserve">21000.033707/2017-29</t>
  </si>
  <si>
    <t xml:space="preserve">Dicamba Técnico Monsanto II</t>
  </si>
  <si>
    <t xml:space="preserve">TC06425</t>
  </si>
  <si>
    <t xml:space="preserve">21000.023784/2021-57</t>
  </si>
  <si>
    <t xml:space="preserve">Nicosulfurom Técnico SYN</t>
  </si>
  <si>
    <t xml:space="preserve">TC06525</t>
  </si>
  <si>
    <t xml:space="preserve">21000.008643/2020-23</t>
  </si>
  <si>
    <t xml:space="preserve">Fenpropimorph Técnico EA</t>
  </si>
  <si>
    <t xml:space="preserve">TC06625</t>
  </si>
  <si>
    <t xml:space="preserve">21000.013561/2020-09</t>
  </si>
  <si>
    <t xml:space="preserve">Pyrimethanil Technical SD</t>
  </si>
  <si>
    <t xml:space="preserve">TC06725</t>
  </si>
  <si>
    <t xml:space="preserve">21000.101117/2021-12</t>
  </si>
  <si>
    <t xml:space="preserve">Spirodiclofen Técnico Rainbow</t>
  </si>
  <si>
    <t xml:space="preserve">TC06825</t>
  </si>
  <si>
    <t xml:space="preserve">21000.006399/2018-40</t>
  </si>
  <si>
    <t xml:space="preserve">Diclosulam Técnico Alta</t>
  </si>
  <si>
    <t xml:space="preserve">TC06925</t>
  </si>
  <si>
    <t xml:space="preserve">21000.045519/2017-43</t>
  </si>
  <si>
    <t xml:space="preserve">Dicamba Técnico Pilarquim</t>
  </si>
  <si>
    <t xml:space="preserve">TC07025</t>
  </si>
  <si>
    <t xml:space="preserve">21000.007250/2018-88</t>
  </si>
  <si>
    <t xml:space="preserve">Dicamba Técnico Nortox III</t>
  </si>
  <si>
    <t xml:space="preserve">TC07125</t>
  </si>
  <si>
    <t xml:space="preserve">21000.041874/2019-13</t>
  </si>
  <si>
    <t xml:space="preserve">Azoxistrobina Técnico Alta III</t>
  </si>
  <si>
    <t xml:space="preserve">TC07225</t>
  </si>
  <si>
    <t xml:space="preserve">21000.037690/2023-27</t>
  </si>
  <si>
    <t xml:space="preserve">Aminopiralide Técnico Tide</t>
  </si>
  <si>
    <t xml:space="preserve">TC07325</t>
  </si>
  <si>
    <t xml:space="preserve">21000.027677/2018-01</t>
  </si>
  <si>
    <t xml:space="preserve">Difenoconazole Técnico FB</t>
  </si>
  <si>
    <t xml:space="preserve">Ferbru </t>
  </si>
  <si>
    <t xml:space="preserve">TC07425</t>
  </si>
  <si>
    <t xml:space="preserve">21000.039086/2020-92</t>
  </si>
  <si>
    <t xml:space="preserve">Tebuconazole Técnico Rotam II</t>
  </si>
  <si>
    <t xml:space="preserve">TC07525</t>
  </si>
  <si>
    <t xml:space="preserve">21000.005000/2020-28</t>
  </si>
  <si>
    <t xml:space="preserve">Flonicamida Técnico Rainbow</t>
  </si>
  <si>
    <t xml:space="preserve">TC07625</t>
  </si>
  <si>
    <t xml:space="preserve">21000.020604/2016-18</t>
  </si>
  <si>
    <t xml:space="preserve">Haloxifop Técnico Nortox</t>
  </si>
  <si>
    <t xml:space="preserve">TC07725</t>
  </si>
  <si>
    <t xml:space="preserve">21000.076121/2019-11</t>
  </si>
  <si>
    <t xml:space="preserve">Fipronil Técnico Nortox III</t>
  </si>
  <si>
    <t xml:space="preserve">TC07825</t>
  </si>
  <si>
    <t xml:space="preserve">21000.085447/2019-39</t>
  </si>
  <si>
    <t xml:space="preserve">Fenpropimorfe Técnico Nortox</t>
  </si>
  <si>
    <t xml:space="preserve">TC07925</t>
  </si>
  <si>
    <t xml:space="preserve">21000.014388/2017-52</t>
  </si>
  <si>
    <t xml:space="preserve">Diclosulam Técnico Tecnomyl</t>
  </si>
  <si>
    <t xml:space="preserve">Não determinada devido à natureza do produto (Inimigos naturais)</t>
  </si>
  <si>
    <t xml:space="preserve">TC08025</t>
  </si>
  <si>
    <t xml:space="preserve">21000.013916/2020-51</t>
  </si>
  <si>
    <t xml:space="preserve">V Acetamiprid Técnico </t>
  </si>
  <si>
    <t xml:space="preserve">TC08125</t>
  </si>
  <si>
    <t xml:space="preserve">21000.052963/2019-87</t>
  </si>
  <si>
    <t xml:space="preserve">Mancozeb Técnico Limin</t>
  </si>
  <si>
    <t xml:space="preserve">TC08225</t>
  </si>
  <si>
    <t xml:space="preserve">21000.035824/2018-16</t>
  </si>
  <si>
    <t xml:space="preserve">Fenpropimorfe F Técnico Helm</t>
  </si>
  <si>
    <t xml:space="preserve">TC08325</t>
  </si>
  <si>
    <t xml:space="preserve">21000.030540/2020-40</t>
  </si>
  <si>
    <t xml:space="preserve">Reklemel Técnico</t>
  </si>
  <si>
    <t xml:space="preserve">Fluazaindolizine</t>
  </si>
  <si>
    <t xml:space="preserve">Du Pont</t>
  </si>
  <si>
    <t xml:space="preserve">TC08425</t>
  </si>
  <si>
    <t xml:space="preserve">21000.081701/2020-63</t>
  </si>
  <si>
    <t xml:space="preserve">Isopyrazam Técnico</t>
  </si>
  <si>
    <t xml:space="preserve">Isopirazam</t>
  </si>
  <si>
    <t xml:space="preserve">TC08525</t>
  </si>
  <si>
    <t xml:space="preserve">21000.034323/2018-12</t>
  </si>
  <si>
    <t xml:space="preserve">Roundup Mea Premix</t>
  </si>
  <si>
    <t xml:space="preserve">IV - Pouco Tóxico</t>
  </si>
  <si>
    <t xml:space="preserve">TC08625</t>
  </si>
  <si>
    <t xml:space="preserve">21000.085425/2022-74</t>
  </si>
  <si>
    <t xml:space="preserve">Chlorfenapyr Técnico CT</t>
  </si>
  <si>
    <t xml:space="preserve">TC08725</t>
  </si>
  <si>
    <t xml:space="preserve">21000.029606/2021-30</t>
  </si>
  <si>
    <t xml:space="preserve">Trifloxistrobina Técnico Albaugh 03</t>
  </si>
  <si>
    <t xml:space="preserve">TC08825</t>
  </si>
  <si>
    <t xml:space="preserve">21000.039268/2020-63</t>
  </si>
  <si>
    <t xml:space="preserve">Fenpropidin Técnico</t>
  </si>
  <si>
    <t xml:space="preserve">Fenpropidin</t>
  </si>
  <si>
    <t xml:space="preserve">TC08925</t>
  </si>
  <si>
    <t xml:space="preserve">21000.026906/2022-48</t>
  </si>
  <si>
    <t xml:space="preserve">Trifloxystrobin Técnico Udragon</t>
  </si>
  <si>
    <t xml:space="preserve">TC09025</t>
  </si>
  <si>
    <t xml:space="preserve">21000.022395/2023-76</t>
  </si>
  <si>
    <t xml:space="preserve">Mancozeb Técnico Perterra</t>
  </si>
  <si>
    <t xml:space="preserve">TC09125</t>
  </si>
  <si>
    <t xml:space="preserve">21000.062597/2022-70</t>
  </si>
  <si>
    <t xml:space="preserve">Difenoconazole Técnico SC</t>
  </si>
  <si>
    <t xml:space="preserve">TC09225</t>
  </si>
  <si>
    <t xml:space="preserve">21000.004879/2017-95</t>
  </si>
  <si>
    <t xml:space="preserve">Vakero Técnico </t>
  </si>
  <si>
    <t xml:space="preserve">Anasac</t>
  </si>
  <si>
    <t xml:space="preserve">TC09325</t>
  </si>
  <si>
    <t xml:space="preserve">21000.075237/2020-76</t>
  </si>
  <si>
    <t xml:space="preserve">Prothioconazole Técnico SY</t>
  </si>
  <si>
    <t xml:space="preserve">TC09425</t>
  </si>
  <si>
    <t xml:space="preserve">21000.020184/2020-56</t>
  </si>
  <si>
    <t xml:space="preserve">Flubendiamida Técnico Rainbow</t>
  </si>
  <si>
    <t xml:space="preserve">Flubendiamida</t>
  </si>
  <si>
    <t xml:space="preserve">TC09525</t>
  </si>
  <si>
    <t xml:space="preserve">21000.082140/2021-09</t>
  </si>
  <si>
    <t xml:space="preserve">Lactofem Técnico Proventis</t>
  </si>
  <si>
    <t xml:space="preserve">Lactofen</t>
  </si>
  <si>
    <t xml:space="preserve">TC09625</t>
  </si>
  <si>
    <t xml:space="preserve">21000.006065/2013-61</t>
  </si>
  <si>
    <t xml:space="preserve">Lactofen Tecnico CCAB</t>
  </si>
  <si>
    <t xml:space="preserve">TC09725</t>
  </si>
  <si>
    <t xml:space="preserve">21000.035040/2017-07</t>
  </si>
  <si>
    <t xml:space="preserve">Picoxistrobina Técnico Alta</t>
  </si>
  <si>
    <t xml:space="preserve">TC09825</t>
  </si>
  <si>
    <t xml:space="preserve">21000.121658/2022-48</t>
  </si>
  <si>
    <t xml:space="preserve">Aminopyralid Técnico Ihara</t>
  </si>
  <si>
    <t xml:space="preserve">TC09925</t>
  </si>
  <si>
    <t xml:space="preserve">21000.040641/2023-71</t>
  </si>
  <si>
    <t xml:space="preserve">Difenoconazol Técnico Ihara III</t>
  </si>
  <si>
    <t xml:space="preserve">TC10025</t>
  </si>
  <si>
    <t xml:space="preserve">21000.080148/2020-41</t>
  </si>
  <si>
    <t xml:space="preserve">Difenoconazol Técnico Alta</t>
  </si>
  <si>
    <t xml:space="preserve">TC10125</t>
  </si>
  <si>
    <t xml:space="preserve">21000.044108/2019-01</t>
  </si>
  <si>
    <t xml:space="preserve">Difenoconazol Técnico Ada BR</t>
  </si>
  <si>
    <t xml:space="preserve">TC10225</t>
  </si>
  <si>
    <t xml:space="preserve">21000.007236/2023-41</t>
  </si>
  <si>
    <t xml:space="preserve">Clorfenapir Técnico Adama 4</t>
  </si>
  <si>
    <t xml:space="preserve">TC10325</t>
  </si>
  <si>
    <t xml:space="preserve">21000.084796/2021-58</t>
  </si>
  <si>
    <t xml:space="preserve">Fluroxipir Meptílico Técnico Sumitomo BR</t>
  </si>
  <si>
    <t xml:space="preserve">TC10425</t>
  </si>
  <si>
    <t xml:space="preserve">21000.032695/2017-15</t>
  </si>
  <si>
    <t xml:space="preserve">Mancozebe Técnico Adama</t>
  </si>
  <si>
    <t xml:space="preserve">TC10525</t>
  </si>
  <si>
    <t xml:space="preserve">21000.005505/2019-59</t>
  </si>
  <si>
    <t xml:space="preserve">Boscalid Técnico Agrogil</t>
  </si>
  <si>
    <t xml:space="preserve">TC10625</t>
  </si>
  <si>
    <t xml:space="preserve">21000.101154/2021-21</t>
  </si>
  <si>
    <t xml:space="preserve">Fluroxipir Técnico Ihara I</t>
  </si>
  <si>
    <t xml:space="preserve">TC10725</t>
  </si>
  <si>
    <t xml:space="preserve">21000.101166/2021-55</t>
  </si>
  <si>
    <t xml:space="preserve">Fluroxipir Técnico Ihara II</t>
  </si>
  <si>
    <t xml:space="preserve">TC10825</t>
  </si>
  <si>
    <t xml:space="preserve">21000.046271/2016-57</t>
  </si>
  <si>
    <t xml:space="preserve">Diclosulam Técnico Nortox</t>
  </si>
  <si>
    <t xml:space="preserve">TC10925</t>
  </si>
  <si>
    <t xml:space="preserve">21000.093618/2022-07</t>
  </si>
  <si>
    <t xml:space="preserve">Mesotrione Técnico Indofil</t>
  </si>
  <si>
    <t xml:space="preserve">Indofil</t>
  </si>
  <si>
    <t xml:space="preserve">TC11025</t>
  </si>
  <si>
    <t xml:space="preserve">21000.037349/2024-52</t>
  </si>
  <si>
    <t xml:space="preserve">Fenpropimorfe Técnico CCAB</t>
  </si>
  <si>
    <t xml:space="preserve">TC11125</t>
  </si>
  <si>
    <t xml:space="preserve">21000.007598/2012-80</t>
  </si>
  <si>
    <t xml:space="preserve">Agrothiazox Técnico</t>
  </si>
  <si>
    <t xml:space="preserve">Hexitiazoxi</t>
  </si>
  <si>
    <t xml:space="preserve">TC11225</t>
  </si>
  <si>
    <t xml:space="preserve">21000.061525/2022-13</t>
  </si>
  <si>
    <t xml:space="preserve">Picoxistrobina Técnico OF I</t>
  </si>
  <si>
    <t xml:space="preserve">TC11325</t>
  </si>
  <si>
    <t xml:space="preserve">21000.046501/2021-45</t>
  </si>
  <si>
    <t xml:space="preserve">Foward Pyraclostrobin Técnico</t>
  </si>
  <si>
    <t xml:space="preserve">TC11425</t>
  </si>
  <si>
    <t xml:space="preserve">21000.053112/2021-76</t>
  </si>
  <si>
    <t xml:space="preserve">Foward Glufosinate Técnico</t>
  </si>
  <si>
    <t xml:space="preserve">TC11525</t>
  </si>
  <si>
    <t xml:space="preserve">21000.038954/2021-06</t>
  </si>
  <si>
    <t xml:space="preserve">Diafenthiuron Técnico Hailir</t>
  </si>
  <si>
    <t xml:space="preserve">TC11625</t>
  </si>
  <si>
    <t xml:space="preserve">21000.048466/2017-12</t>
  </si>
  <si>
    <t xml:space="preserve">S-metolachlor Technical ZS</t>
  </si>
  <si>
    <t xml:space="preserve">TC11725</t>
  </si>
  <si>
    <t xml:space="preserve">21000.013618/2018-47</t>
  </si>
  <si>
    <t xml:space="preserve">S-Metolacloro Técnico Loveland</t>
  </si>
  <si>
    <t xml:space="preserve">TC11825</t>
  </si>
  <si>
    <t xml:space="preserve">21000.047377/2021-35</t>
  </si>
  <si>
    <t xml:space="preserve">Forward Glyphosate Técnico</t>
  </si>
  <si>
    <t xml:space="preserve">TC11925</t>
  </si>
  <si>
    <t xml:space="preserve">21000.084823/2021-92</t>
  </si>
  <si>
    <t xml:space="preserve">Fludioxonil Técnico Stockton</t>
  </si>
  <si>
    <t xml:space="preserve">TC12025</t>
  </si>
  <si>
    <t xml:space="preserve">21000.026274/2022-12</t>
  </si>
  <si>
    <t xml:space="preserve">Fludioxonil Técnico Udragon</t>
  </si>
  <si>
    <t xml:space="preserve">TC12125</t>
  </si>
  <si>
    <t xml:space="preserve">21000.033436/2017-10</t>
  </si>
  <si>
    <t xml:space="preserve">Dicamba Técnico Wynca</t>
  </si>
  <si>
    <t xml:space="preserve">TC12225</t>
  </si>
  <si>
    <t xml:space="preserve">21000.006417/2020-16</t>
  </si>
  <si>
    <t xml:space="preserve">Clorotalonil Tecnico Oxon II</t>
  </si>
  <si>
    <t xml:space="preserve">Oxon Brasil</t>
  </si>
  <si>
    <t xml:space="preserve">TC12325</t>
  </si>
  <si>
    <t xml:space="preserve">21000.012892/2022-85</t>
  </si>
  <si>
    <t xml:space="preserve">Diafentiurom Técnico Tecnomyl III</t>
  </si>
  <si>
    <t xml:space="preserve">TC12425</t>
  </si>
  <si>
    <t xml:space="preserve">21000.069270/2022-29</t>
  </si>
  <si>
    <t xml:space="preserve">Isoxaflutole Técnico Tecnomyl II</t>
  </si>
  <si>
    <t xml:space="preserve">TC12525</t>
  </si>
  <si>
    <t xml:space="preserve">21000.027027/2018-57</t>
  </si>
  <si>
    <t xml:space="preserve">Fluazinam Técnico Stockton</t>
  </si>
  <si>
    <t xml:space="preserve">TC12625</t>
  </si>
  <si>
    <t xml:space="preserve">21000.106709/2021-21</t>
  </si>
  <si>
    <t xml:space="preserve">Paclobutrazol Técnico Rainbow</t>
  </si>
  <si>
    <t xml:space="preserve">Paclobutrazol</t>
  </si>
  <si>
    <t xml:space="preserve">TC12725</t>
  </si>
  <si>
    <t xml:space="preserve">21000.082589/2022-40</t>
  </si>
  <si>
    <t xml:space="preserve">Forward Azoxystrobin Técnico II</t>
  </si>
  <si>
    <t xml:space="preserve">TC12825</t>
  </si>
  <si>
    <t xml:space="preserve">21000.059498/2019-13</t>
  </si>
  <si>
    <t xml:space="preserve">V Bifentrina Técnico</t>
  </si>
  <si>
    <t xml:space="preserve">Hemani Agro</t>
  </si>
  <si>
    <t xml:space="preserve">TC12925</t>
  </si>
  <si>
    <t xml:space="preserve">21000.073233/2022-15</t>
  </si>
  <si>
    <t xml:space="preserve">Picoxystrobin Técnico Greenchem</t>
  </si>
  <si>
    <t xml:space="preserve">TC13025</t>
  </si>
  <si>
    <t xml:space="preserve">21000.031034/2021-59</t>
  </si>
  <si>
    <t xml:space="preserve">Chlorothalonil Técnico Sulonil</t>
  </si>
  <si>
    <t xml:space="preserve">TC13125</t>
  </si>
  <si>
    <t xml:space="preserve">21000.058925/2021-52</t>
  </si>
  <si>
    <t xml:space="preserve">Pyraclostrobin Técnico Wynca</t>
  </si>
  <si>
    <t xml:space="preserve">TC13225</t>
  </si>
  <si>
    <t xml:space="preserve">21000.109234/2021-24</t>
  </si>
  <si>
    <t xml:space="preserve">Lufenurom Técnico Rainbow</t>
  </si>
  <si>
    <t xml:space="preserve">TC13325</t>
  </si>
  <si>
    <t xml:space="preserve">21000.018895/2020-61</t>
  </si>
  <si>
    <t xml:space="preserve">Pimetrozina Técnico Coromandel</t>
  </si>
  <si>
    <t xml:space="preserve">TC13425</t>
  </si>
  <si>
    <t xml:space="preserve">21000.090615/2019-16</t>
  </si>
  <si>
    <t xml:space="preserve">Metribuzim Técnico Rainbow</t>
  </si>
  <si>
    <t xml:space="preserve">TC13525</t>
  </si>
  <si>
    <t xml:space="preserve">21000.068720/2022-66</t>
  </si>
  <si>
    <t xml:space="preserve">Diquat Técnico ZS</t>
  </si>
  <si>
    <t xml:space="preserve">TC13625</t>
  </si>
  <si>
    <t xml:space="preserve">21000.014307/2021-09</t>
  </si>
  <si>
    <t xml:space="preserve">Oxyfluorfen Técnico Xinlong</t>
  </si>
  <si>
    <t xml:space="preserve">Oxyfluorfen</t>
  </si>
  <si>
    <t xml:space="preserve">TC13725</t>
  </si>
  <si>
    <t xml:space="preserve">21000.074385/2020-73</t>
  </si>
  <si>
    <t xml:space="preserve">Tymirium Técnico </t>
  </si>
  <si>
    <t xml:space="preserve">TC13825</t>
  </si>
  <si>
    <t xml:space="preserve">21000.052390/2018-19</t>
  </si>
  <si>
    <t xml:space="preserve">2,4-D Técnico ZS II</t>
  </si>
  <si>
    <t xml:space="preserve">TC13925</t>
  </si>
  <si>
    <t xml:space="preserve">21000.069336/2020-19</t>
  </si>
  <si>
    <t xml:space="preserve">Isoxaflutole Técnico Basf</t>
  </si>
  <si>
    <t xml:space="preserve">Basf S.A.</t>
  </si>
  <si>
    <t xml:space="preserve">TC14025</t>
  </si>
  <si>
    <t xml:space="preserve">21000.043382/2023-31</t>
  </si>
  <si>
    <t xml:space="preserve">Parijat Mesotriona Técnico</t>
  </si>
  <si>
    <t xml:space="preserve">TC14125</t>
  </si>
  <si>
    <t xml:space="preserve">21000.092443/2021-21</t>
  </si>
  <si>
    <t xml:space="preserve">Difenoconazole Técnico Hailir</t>
  </si>
  <si>
    <t xml:space="preserve">TC14225</t>
  </si>
  <si>
    <t xml:space="preserve">21000.045385/2023-17</t>
  </si>
  <si>
    <t xml:space="preserve">Difenoconazol Técnico Oxiquímica</t>
  </si>
  <si>
    <t xml:space="preserve">TC14325</t>
  </si>
  <si>
    <t xml:space="preserve">21000.041587/2023-81</t>
  </si>
  <si>
    <t xml:space="preserve">Difenoconazol Técnico Ihara II</t>
  </si>
  <si>
    <t xml:space="preserve">TC14425</t>
  </si>
  <si>
    <t xml:space="preserve">21000.066422/2021-51</t>
  </si>
  <si>
    <t xml:space="preserve">Isoxaflutole Técnico ABT</t>
  </si>
  <si>
    <t xml:space="preserve">TC14525</t>
  </si>
  <si>
    <t xml:space="preserve">21000.056901/2021-69</t>
  </si>
  <si>
    <t xml:space="preserve">Isoxaflutole Técnico CropChem IV</t>
  </si>
  <si>
    <t xml:space="preserve">TC14625</t>
  </si>
  <si>
    <t xml:space="preserve">21000.048263/2018-15</t>
  </si>
  <si>
    <t xml:space="preserve">Fluazinam Técnico Agrolead</t>
  </si>
  <si>
    <t xml:space="preserve">TC14725</t>
  </si>
  <si>
    <t xml:space="preserve">21000.075182/2023-47</t>
  </si>
  <si>
    <t xml:space="preserve">Fluazinam Técnico SAU</t>
  </si>
  <si>
    <t xml:space="preserve">TC14825</t>
  </si>
  <si>
    <t xml:space="preserve">21000.010155/2018-61</t>
  </si>
  <si>
    <t xml:space="preserve">S-Metolacloro Técnico Nortox III</t>
  </si>
  <si>
    <t xml:space="preserve">S Metolacloro</t>
  </si>
  <si>
    <t xml:space="preserve">TC14925</t>
  </si>
  <si>
    <t xml:space="preserve">21000.099078/2021-86</t>
  </si>
  <si>
    <t xml:space="preserve">Metribuzim Técnico CropChem III</t>
  </si>
  <si>
    <t xml:space="preserve">TC15025</t>
  </si>
  <si>
    <t xml:space="preserve">21000.035925/2020-01</t>
  </si>
  <si>
    <t xml:space="preserve">Haloxyfop-P-Methyl Técnico Binnong</t>
  </si>
  <si>
    <t xml:space="preserve">Haloxyfop-P-methyl</t>
  </si>
  <si>
    <t xml:space="preserve">TC15125</t>
  </si>
  <si>
    <t xml:space="preserve">21000.014202/2020-61</t>
  </si>
  <si>
    <t xml:space="preserve">Tebuconazole Técnico GSP</t>
  </si>
  <si>
    <t xml:space="preserve">TC15225</t>
  </si>
  <si>
    <t xml:space="preserve">21000.045076/2022-58</t>
  </si>
  <si>
    <t xml:space="preserve">S-Metolacloro Técnico CropChem III</t>
  </si>
  <si>
    <t xml:space="preserve">TC15325</t>
  </si>
  <si>
    <t xml:space="preserve">21000.076508/2019-77</t>
  </si>
  <si>
    <t xml:space="preserve">Mimicor Técnico</t>
  </si>
  <si>
    <t xml:space="preserve">Tagros</t>
  </si>
  <si>
    <t xml:space="preserve">TC15425</t>
  </si>
  <si>
    <t xml:space="preserve">21000.017797/2020-14</t>
  </si>
  <si>
    <t xml:space="preserve">Picoxistrobina Técnico Coromandel</t>
  </si>
  <si>
    <t xml:space="preserve">TC15525</t>
  </si>
  <si>
    <t xml:space="preserve">21000.051371/2023-24</t>
  </si>
  <si>
    <t xml:space="preserve">Glufosinato de Amônio Técnico Sinon II</t>
  </si>
  <si>
    <t xml:space="preserve">Sinon</t>
  </si>
  <si>
    <t xml:space="preserve">TC15625</t>
  </si>
  <si>
    <t xml:space="preserve">21000.060188/2020-77</t>
  </si>
  <si>
    <t xml:space="preserve">Diafentiuron Técnico Nortox IV</t>
  </si>
  <si>
    <t xml:space="preserve">TC15725</t>
  </si>
  <si>
    <t xml:space="preserve">21000.063021/2019-24</t>
  </si>
  <si>
    <t xml:space="preserve">Diflufenicam Técnico Nortox</t>
  </si>
  <si>
    <t xml:space="preserve">TC15825</t>
  </si>
  <si>
    <t xml:space="preserve">21000.080579/2023-51</t>
  </si>
  <si>
    <t xml:space="preserve">Diflufenican Técnico Cropchem II</t>
  </si>
  <si>
    <t xml:space="preserve">TC15925</t>
  </si>
  <si>
    <t xml:space="preserve">21000.057523/2020-50</t>
  </si>
  <si>
    <t xml:space="preserve">Penoxsulam Técnico Rainbow</t>
  </si>
  <si>
    <t xml:space="preserve">Penoxulam</t>
  </si>
  <si>
    <t xml:space="preserve">TC16025</t>
  </si>
  <si>
    <t xml:space="preserve">21000.104917/2021-95</t>
  </si>
  <si>
    <t xml:space="preserve">Tebuconazole técnico Cropchem III</t>
  </si>
  <si>
    <t xml:space="preserve">TC16125</t>
  </si>
  <si>
    <t xml:space="preserve">21000.030727/2021-24</t>
  </si>
  <si>
    <t xml:space="preserve">Tebuconazole Técnico Bharat</t>
  </si>
  <si>
    <t xml:space="preserve">TC16225</t>
  </si>
  <si>
    <t xml:space="preserve">21000.030006/2017-38</t>
  </si>
  <si>
    <t xml:space="preserve">S- Metolachlor Técnico RTM</t>
  </si>
  <si>
    <t xml:space="preserve">Rotam</t>
  </si>
  <si>
    <t xml:space="preserve">TC16325</t>
  </si>
  <si>
    <t xml:space="preserve">21000.001644/2014-07</t>
  </si>
  <si>
    <t xml:space="preserve">Maconzeb Técnico UPL BRASIL</t>
  </si>
  <si>
    <t xml:space="preserve">TC16425</t>
  </si>
  <si>
    <t xml:space="preserve">21000.031561/2018-68</t>
  </si>
  <si>
    <t xml:space="preserve">Mancozeb Técnico Nortox III</t>
  </si>
  <si>
    <t xml:space="preserve">TC16525</t>
  </si>
  <si>
    <t xml:space="preserve">21000.088913/2019-38</t>
  </si>
  <si>
    <t xml:space="preserve">Mancozeb Técnico FB</t>
  </si>
  <si>
    <t xml:space="preserve">TC16625</t>
  </si>
  <si>
    <t xml:space="preserve">21000.031226/2023-27</t>
  </si>
  <si>
    <t xml:space="preserve">Difenoconazole Técnico SCH</t>
  </si>
  <si>
    <t xml:space="preserve">TC16725</t>
  </si>
  <si>
    <t xml:space="preserve">21016.005094/2021-47</t>
  </si>
  <si>
    <t xml:space="preserve">Cletodim Pré Mistura Brilliance</t>
  </si>
  <si>
    <t xml:space="preserve">TC16825</t>
  </si>
  <si>
    <t xml:space="preserve">21000.031953/2020-41</t>
  </si>
  <si>
    <t xml:space="preserve">Mancozeb Técnico Tecnomyl II</t>
  </si>
  <si>
    <t xml:space="preserve">TC16925</t>
  </si>
  <si>
    <t xml:space="preserve">21000.093285/2022-16</t>
  </si>
  <si>
    <t xml:space="preserve">Picoxystrobin Técnico Indofil</t>
  </si>
  <si>
    <t xml:space="preserve">TC17025</t>
  </si>
  <si>
    <t xml:space="preserve">21000.047375/2021-46</t>
  </si>
  <si>
    <t xml:space="preserve">Forward Azoxystrobin Técnico</t>
  </si>
  <si>
    <t xml:space="preserve">TC17125</t>
  </si>
  <si>
    <t xml:space="preserve">21000.019624/2021-11</t>
  </si>
  <si>
    <t xml:space="preserve">Trifloxystronim Técnico Wynca</t>
  </si>
  <si>
    <t xml:space="preserve">TC17225</t>
  </si>
  <si>
    <t xml:space="preserve">21000.041549/2019-42</t>
  </si>
  <si>
    <t xml:space="preserve">Clorantraniliprole Técnico Rainbow</t>
  </si>
  <si>
    <t xml:space="preserve">TC17325</t>
  </si>
  <si>
    <t xml:space="preserve">21000.008484/2015-08</t>
  </si>
  <si>
    <t xml:space="preserve">Trifloxystrobin Técnico UPL</t>
  </si>
  <si>
    <t xml:space="preserve">TC17425</t>
  </si>
  <si>
    <t xml:space="preserve">21000.021145/2021-57</t>
  </si>
  <si>
    <t xml:space="preserve">Imazetapir Técnico UPL BR</t>
  </si>
  <si>
    <t xml:space="preserve">TC17525</t>
  </si>
  <si>
    <t xml:space="preserve">21000.021338/2018-11</t>
  </si>
  <si>
    <t xml:space="preserve">Trifloxistrobin Técnico Nortox II</t>
  </si>
  <si>
    <t xml:space="preserve">TC17625</t>
  </si>
  <si>
    <t xml:space="preserve">21000.047089/2018-85</t>
  </si>
  <si>
    <t xml:space="preserve">Diquat TK Técnico Lier</t>
  </si>
  <si>
    <t xml:space="preserve">TC17725</t>
  </si>
  <si>
    <t xml:space="preserve">21000.076255/2021-56</t>
  </si>
  <si>
    <t xml:space="preserve">Diquat Técnico SCH</t>
  </si>
  <si>
    <t xml:space="preserve">TC17825</t>
  </si>
  <si>
    <t xml:space="preserve">21000.050333/2017-14</t>
  </si>
  <si>
    <t xml:space="preserve">Trifloxistrobin Técnico Nortox</t>
  </si>
  <si>
    <t xml:space="preserve">TC17925</t>
  </si>
  <si>
    <t xml:space="preserve">21000.066810/2019-17</t>
  </si>
  <si>
    <t xml:space="preserve">Diquate L Técnico Helm</t>
  </si>
  <si>
    <t xml:space="preserve">TC18025</t>
  </si>
  <si>
    <t xml:space="preserve">21000.084482/2022-36</t>
  </si>
  <si>
    <t xml:space="preserve">Bifentrina Técnico Tide II</t>
  </si>
  <si>
    <t xml:space="preserve">TC18125</t>
  </si>
  <si>
    <t xml:space="preserve">21000.062883/2022-35</t>
  </si>
  <si>
    <t xml:space="preserve">Bifentrina Técnico FB</t>
  </si>
  <si>
    <t xml:space="preserve">TC18225</t>
  </si>
  <si>
    <t xml:space="preserve">21000.069448/2019-36</t>
  </si>
  <si>
    <t xml:space="preserve">Bifentrina Técnica Nortox IV</t>
  </si>
  <si>
    <t xml:space="preserve">TC18325</t>
  </si>
  <si>
    <t xml:space="preserve">21000.002943/2020-07</t>
  </si>
  <si>
    <t xml:space="preserve">Bifentrina Técnico Cropchem </t>
  </si>
  <si>
    <t xml:space="preserve">TC18425</t>
  </si>
  <si>
    <t xml:space="preserve">21000.014311/2021-69</t>
  </si>
  <si>
    <t xml:space="preserve">Bifentrina Técnico Red Surcos</t>
  </si>
  <si>
    <t xml:space="preserve">Red Surcos</t>
  </si>
  <si>
    <t xml:space="preserve">TC18525</t>
  </si>
  <si>
    <t xml:space="preserve">21000.052477/2017-05</t>
  </si>
  <si>
    <t xml:space="preserve">Mesotrione Técnico RTM</t>
  </si>
  <si>
    <t xml:space="preserve">TC18625</t>
  </si>
  <si>
    <t xml:space="preserve">21000.027475/2022-37</t>
  </si>
  <si>
    <t xml:space="preserve">Metomil Técnico Sinon II</t>
  </si>
  <si>
    <t xml:space="preserve">TC18725</t>
  </si>
  <si>
    <t xml:space="preserve">21000.089274/2023-12</t>
  </si>
  <si>
    <t xml:space="preserve">Metomil Técnico HAILI</t>
  </si>
  <si>
    <t xml:space="preserve">TC18825</t>
  </si>
  <si>
    <t xml:space="preserve">21000.025975/2022-34</t>
  </si>
  <si>
    <t xml:space="preserve">Tebuconazole Técnico SJ</t>
  </si>
  <si>
    <t xml:space="preserve">TC18925</t>
  </si>
  <si>
    <t xml:space="preserve">21000.104904/2021-16</t>
  </si>
  <si>
    <t xml:space="preserve">Azoxistrobina Técnico CropChem IV</t>
  </si>
  <si>
    <t xml:space="preserve">TC19025</t>
  </si>
  <si>
    <t xml:space="preserve">21000.056188/2018-58</t>
  </si>
  <si>
    <t xml:space="preserve">Cletodim Técnico CHDS</t>
  </si>
  <si>
    <t xml:space="preserve">TC19125</t>
  </si>
  <si>
    <t xml:space="preserve">21000.010691/2022-43</t>
  </si>
  <si>
    <t xml:space="preserve">Diquate Técnico Tide</t>
  </si>
  <si>
    <t xml:space="preserve">TC19225</t>
  </si>
  <si>
    <t xml:space="preserve">21000.008067/2023-67</t>
  </si>
  <si>
    <t xml:space="preserve">Fenpropimorph Técnico ABT</t>
  </si>
  <si>
    <t xml:space="preserve">Fenpropimorfe </t>
  </si>
  <si>
    <t xml:space="preserve">TC19325</t>
  </si>
  <si>
    <t xml:space="preserve">21000.076388/2022-11</t>
  </si>
  <si>
    <t xml:space="preserve">Diquat Dibromide Técnico ABT</t>
  </si>
  <si>
    <t xml:space="preserve">TC19425</t>
  </si>
  <si>
    <t xml:space="preserve">21000.020097/2021-80</t>
  </si>
  <si>
    <t xml:space="preserve">Fenpropimorph Técnico FB</t>
  </si>
  <si>
    <t xml:space="preserve">TC19525</t>
  </si>
  <si>
    <t xml:space="preserve">21000.009558/2022-44</t>
  </si>
  <si>
    <t xml:space="preserve">Difenoconazole Técnico YNX</t>
  </si>
  <si>
    <t xml:space="preserve">TC19625</t>
  </si>
  <si>
    <t xml:space="preserve">21000.006276/2019-90</t>
  </si>
  <si>
    <t xml:space="preserve">Cletodim Técnico Ada 2</t>
  </si>
  <si>
    <t xml:space="preserve">TC19725</t>
  </si>
  <si>
    <t xml:space="preserve">21000.019225/2018-47</t>
  </si>
  <si>
    <t xml:space="preserve">Teflubezuron Técnico CropChem II</t>
  </si>
  <si>
    <t xml:space="preserve">TC19825</t>
  </si>
  <si>
    <t xml:space="preserve">21000.055402/2020-73</t>
  </si>
  <si>
    <t xml:space="preserve">Haloxyfop - P Methyl Técnico NGC</t>
  </si>
  <si>
    <t xml:space="preserve">TC19925</t>
  </si>
  <si>
    <t xml:space="preserve">21000.067193/2020-19</t>
  </si>
  <si>
    <t xml:space="preserve">Diclosulam Técnico NGC</t>
  </si>
  <si>
    <t xml:space="preserve">TC20025</t>
  </si>
  <si>
    <t xml:space="preserve">21000.019069/2023-81</t>
  </si>
  <si>
    <t xml:space="preserve">Bifenthrin Técnico Liwei </t>
  </si>
  <si>
    <t xml:space="preserve">TC20125</t>
  </si>
  <si>
    <t xml:space="preserve">21000.040757/2021-49</t>
  </si>
  <si>
    <t xml:space="preserve">Bifentrina Técnica Nortox V</t>
  </si>
  <si>
    <t xml:space="preserve">TC20225</t>
  </si>
  <si>
    <t xml:space="preserve">21000.111456/2022-98</t>
  </si>
  <si>
    <t xml:space="preserve">Piraclostrobina Técnico Topázio </t>
  </si>
  <si>
    <t xml:space="preserve">Topázio</t>
  </si>
  <si>
    <t xml:space="preserve">TC20325</t>
  </si>
  <si>
    <t xml:space="preserve">21000.043682/2019-33</t>
  </si>
  <si>
    <t xml:space="preserve">Imazetapir WC Técnico Helm</t>
  </si>
  <si>
    <t xml:space="preserve">TC20425</t>
  </si>
  <si>
    <t xml:space="preserve">21000.073504/2023-13</t>
  </si>
  <si>
    <t xml:space="preserve">Pluck técnico</t>
  </si>
  <si>
    <t xml:space="preserve">Greenup</t>
  </si>
  <si>
    <t xml:space="preserve">TC20525</t>
  </si>
  <si>
    <t xml:space="preserve">21000.004184/2013-80</t>
  </si>
  <si>
    <t xml:space="preserve">Tidiazurom Técnico SL</t>
  </si>
  <si>
    <t xml:space="preserve">Soloeste</t>
  </si>
  <si>
    <t xml:space="preserve">TC20625</t>
  </si>
  <si>
    <t xml:space="preserve">21000.079468/2020-59</t>
  </si>
  <si>
    <t xml:space="preserve">Tiametoxam Técnico Adama 3</t>
  </si>
  <si>
    <t xml:space="preserve">TC20725</t>
  </si>
  <si>
    <t xml:space="preserve">21000.064115/2019-11</t>
  </si>
  <si>
    <t xml:space="preserve">S-Metalocloro JC Técnico Helm</t>
  </si>
  <si>
    <t xml:space="preserve">TC20825</t>
  </si>
  <si>
    <t xml:space="preserve">21000.031363/2018-02</t>
  </si>
  <si>
    <t xml:space="preserve">S-metolachlor Técnico Hy-Green</t>
  </si>
  <si>
    <t xml:space="preserve">TC20925</t>
  </si>
  <si>
    <t xml:space="preserve">21000.055092/2018-72</t>
  </si>
  <si>
    <t xml:space="preserve">Picoxistrobina Técnico Ada</t>
  </si>
  <si>
    <t xml:space="preserve">TC21025</t>
  </si>
  <si>
    <t xml:space="preserve">21000.101494/2021-51</t>
  </si>
  <si>
    <t xml:space="preserve">Metoxifenozida G Técnico Helm</t>
  </si>
  <si>
    <t xml:space="preserve">TC21125</t>
  </si>
  <si>
    <t xml:space="preserve">21000.036125/2017-02</t>
  </si>
  <si>
    <t xml:space="preserve">Glufosinato Técnico Alta</t>
  </si>
  <si>
    <t xml:space="preserve">TC21225</t>
  </si>
  <si>
    <t xml:space="preserve">21000.037785/2017-01</t>
  </si>
  <si>
    <t xml:space="preserve">Dicamba Técnico Alta</t>
  </si>
  <si>
    <t xml:space="preserve">TC21325</t>
  </si>
  <si>
    <t xml:space="preserve">21000.051680/2016-75</t>
  </si>
  <si>
    <t xml:space="preserve">Diclosulam Técnico Bioseen</t>
  </si>
  <si>
    <t xml:space="preserve">TC21425</t>
  </si>
  <si>
    <t xml:space="preserve">21000.049324/2020-78</t>
  </si>
  <si>
    <t xml:space="preserve">TDZ Max Técnico</t>
  </si>
  <si>
    <t xml:space="preserve">TC21525</t>
  </si>
  <si>
    <t xml:space="preserve">21000.018417/2018-36</t>
  </si>
  <si>
    <t xml:space="preserve">Maxunizol Técnico </t>
  </si>
  <si>
    <t xml:space="preserve">TC21625</t>
  </si>
  <si>
    <t xml:space="preserve">21000.070066/2020-99</t>
  </si>
  <si>
    <t xml:space="preserve">Flumioxazin Técnico Denong</t>
  </si>
  <si>
    <t xml:space="preserve">TC21725</t>
  </si>
  <si>
    <t xml:space="preserve">21000.050593/2021-68</t>
  </si>
  <si>
    <t xml:space="preserve">V Lambda Cyhalothrin Técnico</t>
  </si>
  <si>
    <t xml:space="preserve">I - Produto Altamente Perigoso ao Meio Ambiente</t>
  </si>
  <si>
    <t xml:space="preserve">TC21825</t>
  </si>
  <si>
    <t xml:space="preserve">21000.026242/2022-17</t>
  </si>
  <si>
    <t xml:space="preserve">Glufosinato Técnico Ihara I</t>
  </si>
  <si>
    <t xml:space="preserve">TC21925</t>
  </si>
  <si>
    <t xml:space="preserve">21000.050128/2021-27</t>
  </si>
  <si>
    <t xml:space="preserve">Sulfentrazone Técnico JI</t>
  </si>
  <si>
    <t xml:space="preserve">TC22025</t>
  </si>
  <si>
    <t xml:space="preserve">21000.023551/2018-59</t>
  </si>
  <si>
    <t xml:space="preserve">Trifloxystrobin Técnico FB</t>
  </si>
  <si>
    <t xml:space="preserve">TC22125</t>
  </si>
  <si>
    <t xml:space="preserve">21000.007123/2018-89</t>
  </si>
  <si>
    <t xml:space="preserve">Trifloxystrobin Técnico Sino-Agri</t>
  </si>
  <si>
    <t xml:space="preserve">TC22225</t>
  </si>
  <si>
    <t xml:space="preserve">21000.002644/2020-64</t>
  </si>
  <si>
    <t xml:space="preserve">Trifloxistrobina Técnico Cropchem II</t>
  </si>
  <si>
    <t xml:space="preserve">TC22325</t>
  </si>
  <si>
    <t xml:space="preserve">21000.033519/2018-81</t>
  </si>
  <si>
    <t xml:space="preserve">Thidiazuron Técnico CCAB</t>
  </si>
  <si>
    <t xml:space="preserve">TC22425</t>
  </si>
  <si>
    <t xml:space="preserve">21000.049536/2021-36</t>
  </si>
  <si>
    <t xml:space="preserve">Trifloxistrobina Técnico JYTFS</t>
  </si>
  <si>
    <t xml:space="preserve">TC22525</t>
  </si>
  <si>
    <t xml:space="preserve">21000.077575/2020-42</t>
  </si>
  <si>
    <t xml:space="preserve">Trifloxystrobin Técnico NGC</t>
  </si>
  <si>
    <t xml:space="preserve">Syncrom </t>
  </si>
  <si>
    <t xml:space="preserve">TC22625</t>
  </si>
  <si>
    <t xml:space="preserve">21000.041495/2021-30</t>
  </si>
  <si>
    <t xml:space="preserve">Glufosinato Técnico SCH</t>
  </si>
  <si>
    <t xml:space="preserve">TC22725</t>
  </si>
  <si>
    <t xml:space="preserve">21000.031598/2020-19</t>
  </si>
  <si>
    <t xml:space="preserve">Thiametoxam Técnico SAU</t>
  </si>
  <si>
    <t xml:space="preserve">TC22825</t>
  </si>
  <si>
    <t xml:space="preserve">21000.058074/2016-81</t>
  </si>
  <si>
    <t xml:space="preserve">Dicamba Técnico Hemani</t>
  </si>
  <si>
    <t xml:space="preserve">TC22925</t>
  </si>
  <si>
    <t xml:space="preserve">21000.034386/2017-80</t>
  </si>
  <si>
    <t xml:space="preserve">Glufosinato- Sal de amônio Técnico Agrolead II</t>
  </si>
  <si>
    <t xml:space="preserve">TC23025</t>
  </si>
  <si>
    <t xml:space="preserve">21000.023754/2021-41</t>
  </si>
  <si>
    <t xml:space="preserve">Tiametoxam Técnico OF II</t>
  </si>
  <si>
    <t xml:space="preserve">TC23125</t>
  </si>
  <si>
    <t xml:space="preserve">21000.014204/2020-50</t>
  </si>
  <si>
    <t xml:space="preserve">Azoxistrobin Técnico GSP</t>
  </si>
  <si>
    <t xml:space="preserve">TC23225</t>
  </si>
  <si>
    <t xml:space="preserve">21000.025716/2019-16</t>
  </si>
  <si>
    <t xml:space="preserve">Trifloxystrobin Técnico HH</t>
  </si>
  <si>
    <t xml:space="preserve">TC23325</t>
  </si>
  <si>
    <t xml:space="preserve">21000.032338/2017-57</t>
  </si>
  <si>
    <t xml:space="preserve">S- Metolacloro Técnico Nortox II </t>
  </si>
  <si>
    <t xml:space="preserve">TC23425</t>
  </si>
  <si>
    <t xml:space="preserve">21000.043969/2018-82</t>
  </si>
  <si>
    <t xml:space="preserve">Teflubenzuron Técnico FB</t>
  </si>
  <si>
    <t xml:space="preserve">TC23525</t>
  </si>
  <si>
    <t xml:space="preserve">21000.112102/2022-61</t>
  </si>
  <si>
    <t xml:space="preserve">Protioconazole W Técnico Perterra</t>
  </si>
  <si>
    <t xml:space="preserve">TC23625</t>
  </si>
  <si>
    <t xml:space="preserve">21000.013985/2016-89</t>
  </si>
  <si>
    <t xml:space="preserve">Bifentrin Técnico Sinon</t>
  </si>
  <si>
    <t xml:space="preserve">TC23725</t>
  </si>
  <si>
    <t xml:space="preserve">21000.018050/2024-07</t>
  </si>
  <si>
    <t xml:space="preserve">Mesotrione Técnico Pilarquim</t>
  </si>
  <si>
    <t xml:space="preserve">TC23825</t>
  </si>
  <si>
    <t xml:space="preserve">21000.095054/2019-33</t>
  </si>
  <si>
    <t xml:space="preserve">Fluroxipir Técnico Solus</t>
  </si>
  <si>
    <t xml:space="preserve">Fluroxipir-Meptílico</t>
  </si>
  <si>
    <t xml:space="preserve">TC23925</t>
  </si>
  <si>
    <t xml:space="preserve">21000.030889/2024-13</t>
  </si>
  <si>
    <t xml:space="preserve">Hexazinona Técnico ZS</t>
  </si>
  <si>
    <t xml:space="preserve">TC24025</t>
  </si>
  <si>
    <t xml:space="preserve">21000.018228/2016-00</t>
  </si>
  <si>
    <t xml:space="preserve">Bispiribac Técnico Nortox II</t>
  </si>
  <si>
    <t xml:space="preserve">Bispiribaque-Sódico</t>
  </si>
  <si>
    <t xml:space="preserve">TC24125</t>
  </si>
  <si>
    <t xml:space="preserve">21000.060761/2020-42</t>
  </si>
  <si>
    <t xml:space="preserve">Fludioxonil Técnico Nortox</t>
  </si>
  <si>
    <t xml:space="preserve">TC24225</t>
  </si>
  <si>
    <t xml:space="preserve">21000.013769/2021-09</t>
  </si>
  <si>
    <t xml:space="preserve">Clorfenapir Técnico Nortox III</t>
  </si>
  <si>
    <t xml:space="preserve">TC24325</t>
  </si>
  <si>
    <t xml:space="preserve">21000.069533/2020-38</t>
  </si>
  <si>
    <t xml:space="preserve">Boscalid Técnico NGC</t>
  </si>
  <si>
    <t xml:space="preserve">TC24425</t>
  </si>
  <si>
    <t xml:space="preserve">21000.078921/2021-91</t>
  </si>
  <si>
    <t xml:space="preserve">Aminopiralide Técnico Nortox III</t>
  </si>
  <si>
    <t xml:space="preserve">TC24525</t>
  </si>
  <si>
    <t xml:space="preserve">21000.023983/2018-60</t>
  </si>
  <si>
    <t xml:space="preserve">Aminopiralide Técnico Nortox</t>
  </si>
  <si>
    <t xml:space="preserve">TC24625</t>
  </si>
  <si>
    <t xml:space="preserve">21000.069449/2019-81</t>
  </si>
  <si>
    <t xml:space="preserve">Trifloxistrobin Técnico Nortox IV</t>
  </si>
  <si>
    <t xml:space="preserve">TC24725</t>
  </si>
  <si>
    <t xml:space="preserve">21000.062261/2016-69</t>
  </si>
  <si>
    <t xml:space="preserve">Picoxistrobin Técnico Nortox</t>
  </si>
  <si>
    <t xml:space="preserve">TC24825</t>
  </si>
  <si>
    <t xml:space="preserve">21000.038537/2017-79</t>
  </si>
  <si>
    <t xml:space="preserve">Difenoconazole Técnico Nortox II</t>
  </si>
  <si>
    <t xml:space="preserve">TC24925</t>
  </si>
  <si>
    <t xml:space="preserve">21000.106585/2021-83</t>
  </si>
  <si>
    <t xml:space="preserve">Espiromesifeno Técnico Rainbow</t>
  </si>
  <si>
    <t xml:space="preserve">Espiromesifeno</t>
  </si>
  <si>
    <t xml:space="preserve">TC25025</t>
  </si>
  <si>
    <t xml:space="preserve">21000.014626/2023-78</t>
  </si>
  <si>
    <t xml:space="preserve">Picoxistrobina Técnico Tide II</t>
  </si>
  <si>
    <t xml:space="preserve">TC25125</t>
  </si>
  <si>
    <t xml:space="preserve">21000.029951/2021-73</t>
  </si>
  <si>
    <t xml:space="preserve">Oxifluorfem Técnico Rainbow</t>
  </si>
  <si>
    <t xml:space="preserve">Oxyfluorfem</t>
  </si>
  <si>
    <t xml:space="preserve">TC25225</t>
  </si>
  <si>
    <t xml:space="preserve">21000.053561/2020-33</t>
  </si>
  <si>
    <t xml:space="preserve">Tembotriona Técnico CAC</t>
  </si>
  <si>
    <t xml:space="preserve">Tembotriona</t>
  </si>
  <si>
    <t xml:space="preserve">TC25325</t>
  </si>
  <si>
    <t xml:space="preserve">21000.074474/2022-81</t>
  </si>
  <si>
    <t xml:space="preserve">Cloreto de Clormequate Técnico Rainbow</t>
  </si>
  <si>
    <t xml:space="preserve">Cloreto de Clormequate</t>
  </si>
  <si>
    <t xml:space="preserve">TC25425</t>
  </si>
  <si>
    <t xml:space="preserve">21000.045987/2018-07</t>
  </si>
  <si>
    <t xml:space="preserve">Glifosato Técnico Ihara XM</t>
  </si>
  <si>
    <t xml:space="preserve">TC25525</t>
  </si>
  <si>
    <t xml:space="preserve">21000.102857/2022-57</t>
  </si>
  <si>
    <t xml:space="preserve">Tebuconazole Technical Astec</t>
  </si>
  <si>
    <t xml:space="preserve">Syntech</t>
  </si>
  <si>
    <t xml:space="preserve">TC25625</t>
  </si>
  <si>
    <t xml:space="preserve">21000.043755/2022-92</t>
  </si>
  <si>
    <t xml:space="preserve">Fludioxonil Técnico FB</t>
  </si>
  <si>
    <t xml:space="preserve">Agroallianz</t>
  </si>
  <si>
    <t xml:space="preserve">TC25725</t>
  </si>
  <si>
    <t xml:space="preserve">21000.001827/2014-14</t>
  </si>
  <si>
    <t xml:space="preserve">Azoxystrobin Técnico Fuhua</t>
  </si>
  <si>
    <t xml:space="preserve">TC25825</t>
  </si>
  <si>
    <t xml:space="preserve">21000.013847/2018-61</t>
  </si>
  <si>
    <t xml:space="preserve">Clomazone Técnico ZS</t>
  </si>
  <si>
    <t xml:space="preserve">TC25925</t>
  </si>
  <si>
    <t xml:space="preserve">21000.042093/2023-14</t>
  </si>
  <si>
    <t xml:space="preserve">Trifloxistrobina Técnico Tecnomyl IV</t>
  </si>
  <si>
    <t xml:space="preserve">TC26025</t>
  </si>
  <si>
    <t xml:space="preserve">21000.086721/2019-97</t>
  </si>
  <si>
    <t xml:space="preserve">Trifloxistrobina U Técnico Helm</t>
  </si>
  <si>
    <t xml:space="preserve">TC26125</t>
  </si>
  <si>
    <t xml:space="preserve">21000.076627/2020-63</t>
  </si>
  <si>
    <t xml:space="preserve">Fluroxipir Técnico SD</t>
  </si>
  <si>
    <t xml:space="preserve">Fluroxipir</t>
  </si>
  <si>
    <t xml:space="preserve">TC26225</t>
  </si>
  <si>
    <t xml:space="preserve">21000.049540/2021-02</t>
  </si>
  <si>
    <t xml:space="preserve">Haloxyfop-P-Methyl Técnico ABT</t>
  </si>
  <si>
    <t xml:space="preserve">TC26325</t>
  </si>
  <si>
    <t xml:space="preserve">21000.054138/2019-17</t>
  </si>
  <si>
    <t xml:space="preserve">Difenoconazole Técnico Nortox III</t>
  </si>
  <si>
    <t xml:space="preserve">TC26425</t>
  </si>
  <si>
    <t xml:space="preserve">21000.014674/2018-07</t>
  </si>
  <si>
    <t xml:space="preserve">Clorfenapir Técnico Agrolead</t>
  </si>
  <si>
    <t xml:space="preserve">TC26525</t>
  </si>
  <si>
    <t xml:space="preserve">21000.032108/2019-50</t>
  </si>
  <si>
    <t xml:space="preserve">Chlorfenapyr Técnico CHDS</t>
  </si>
  <si>
    <t xml:space="preserve">TC26625</t>
  </si>
  <si>
    <t xml:space="preserve">21000.087411/2019-90</t>
  </si>
  <si>
    <t xml:space="preserve">Chlorfenapyr Técnico CCAB II</t>
  </si>
  <si>
    <t xml:space="preserve">TC26725</t>
  </si>
  <si>
    <t xml:space="preserve">21000.038468/2017-01</t>
  </si>
  <si>
    <t xml:space="preserve">Clorfenapir Técnico Stockton</t>
  </si>
  <si>
    <t xml:space="preserve">TC26825</t>
  </si>
  <si>
    <t xml:space="preserve">21000.042023/2016-37</t>
  </si>
  <si>
    <t xml:space="preserve">Ciproconazole A Técnico Helm</t>
  </si>
  <si>
    <t xml:space="preserve">TC26925</t>
  </si>
  <si>
    <t xml:space="preserve">21000.045561/2019-26</t>
  </si>
  <si>
    <t xml:space="preserve">Ciproconazol Técnico ALS</t>
  </si>
  <si>
    <t xml:space="preserve">TC27025</t>
  </si>
  <si>
    <t xml:space="preserve">21000.014763/2018-45</t>
  </si>
  <si>
    <t xml:space="preserve">Chlorfenapyr U Técnico Helm</t>
  </si>
  <si>
    <t xml:space="preserve">TC27125</t>
  </si>
  <si>
    <t xml:space="preserve">21000.047578/2021-32</t>
  </si>
  <si>
    <t xml:space="preserve">Cyproconazole Técnico Astec</t>
  </si>
  <si>
    <t xml:space="preserve">SynTech</t>
  </si>
  <si>
    <t xml:space="preserve">TC27225</t>
  </si>
  <si>
    <t xml:space="preserve">21000.077500/2019-28</t>
  </si>
  <si>
    <t xml:space="preserve">Clorfenapir Técnico Ada</t>
  </si>
  <si>
    <t xml:space="preserve">TC27325</t>
  </si>
  <si>
    <t xml:space="preserve">21000.041406/2017-79</t>
  </si>
  <si>
    <t xml:space="preserve">Chlorfenapyr Técnico Sino-Agri</t>
  </si>
  <si>
    <t xml:space="preserve">TC27425</t>
  </si>
  <si>
    <t xml:space="preserve">21000.048550/2019-06</t>
  </si>
  <si>
    <t xml:space="preserve">Clorfenapir Técnico CropChem III</t>
  </si>
  <si>
    <t xml:space="preserve">TC27525</t>
  </si>
  <si>
    <t xml:space="preserve">21000.048875/2021-03</t>
  </si>
  <si>
    <t xml:space="preserve">Forward Mesotrione Técnico </t>
  </si>
  <si>
    <t xml:space="preserve">TC27625</t>
  </si>
  <si>
    <t xml:space="preserve">21000.063331/2021-63</t>
  </si>
  <si>
    <t xml:space="preserve">Imazethapyr Técnico Brilliance II</t>
  </si>
  <si>
    <t xml:space="preserve">TC27725</t>
  </si>
  <si>
    <t xml:space="preserve">21000.016618/2018-07</t>
  </si>
  <si>
    <t xml:space="preserve">Picoxystrobin Técnico Sino-Agri</t>
  </si>
  <si>
    <t xml:space="preserve">TC27825</t>
  </si>
  <si>
    <t xml:space="preserve">21000.033080/2020-10</t>
  </si>
  <si>
    <t xml:space="preserve">Fomesafem Técnico Solus</t>
  </si>
  <si>
    <t xml:space="preserve">TC27925</t>
  </si>
  <si>
    <t xml:space="preserve">21000.049329/2020-09</t>
  </si>
  <si>
    <t xml:space="preserve">Cletodim Pré-Mistura SA</t>
  </si>
  <si>
    <t xml:space="preserve">ProRegistros </t>
  </si>
  <si>
    <t xml:space="preserve">TC28025</t>
  </si>
  <si>
    <t xml:space="preserve">21000.040559/2018-80</t>
  </si>
  <si>
    <t xml:space="preserve">Diclosulam Técnico BRA</t>
  </si>
  <si>
    <t xml:space="preserve">TC28125</t>
  </si>
  <si>
    <t xml:space="preserve">21000.026377/2022-82</t>
  </si>
  <si>
    <t xml:space="preserve">Diclosulam Técnico RTM</t>
  </si>
  <si>
    <t xml:space="preserve">TC28225</t>
  </si>
  <si>
    <t xml:space="preserve">21000.048377/2017-76</t>
  </si>
  <si>
    <t xml:space="preserve">Clorfenapir Técnico Nortox II</t>
  </si>
  <si>
    <t xml:space="preserve">Nortox </t>
  </si>
  <si>
    <t xml:space="preserve">TC28325</t>
  </si>
  <si>
    <t xml:space="preserve">21000.087763/2021-60</t>
  </si>
  <si>
    <t xml:space="preserve">Diclosulam Técnico Avgust</t>
  </si>
  <si>
    <t xml:space="preserve">TC28425</t>
  </si>
  <si>
    <t xml:space="preserve">21000.070075/2020-80</t>
  </si>
  <si>
    <t xml:space="preserve">Indoxacarb Técnico IT</t>
  </si>
  <si>
    <t xml:space="preserve">TC28525</t>
  </si>
  <si>
    <t xml:space="preserve">21000.120607/2022-07</t>
  </si>
  <si>
    <t xml:space="preserve">Clorfenapir Técnico Tecnomyl III</t>
  </si>
  <si>
    <t xml:space="preserve">TC28625</t>
  </si>
  <si>
    <t xml:space="preserve">21000.003458/2021-23</t>
  </si>
  <si>
    <t xml:space="preserve">Clomazone Técnico Brilliance</t>
  </si>
  <si>
    <t xml:space="preserve">TC28725</t>
  </si>
  <si>
    <t xml:space="preserve">21000.036986/2022-40</t>
  </si>
  <si>
    <t xml:space="preserve">Etefom Tecnico Tecnomyl </t>
  </si>
  <si>
    <t xml:space="preserve">Etefon</t>
  </si>
  <si>
    <t xml:space="preserve">TC28825</t>
  </si>
  <si>
    <t xml:space="preserve">21000.079147/2019-11</t>
  </si>
  <si>
    <t xml:space="preserve">Isoxaflutole Técnico Tecnomyl</t>
  </si>
  <si>
    <t xml:space="preserve">TC28925</t>
  </si>
  <si>
    <t xml:space="preserve">21000.035578/2020-17</t>
  </si>
  <si>
    <t xml:space="preserve">Clorfenapir Técnico Ouro Fino</t>
  </si>
  <si>
    <t xml:space="preserve">TC29025</t>
  </si>
  <si>
    <t xml:space="preserve">21000.011190/2018-06</t>
  </si>
  <si>
    <t xml:space="preserve">Clorfenapir Técnico CropChem II</t>
  </si>
  <si>
    <t xml:space="preserve">TC29125</t>
  </si>
  <si>
    <t xml:space="preserve">21000.091591/2021-29</t>
  </si>
  <si>
    <t xml:space="preserve">Methoxyfenozide Técnico GC</t>
  </si>
  <si>
    <t xml:space="preserve">TC29225</t>
  </si>
  <si>
    <t xml:space="preserve">21000.029830/2021-21</t>
  </si>
  <si>
    <t xml:space="preserve">Chlorfenapyr Técnico SAL</t>
  </si>
  <si>
    <t xml:space="preserve">TC29325</t>
  </si>
  <si>
    <t xml:space="preserve">21000.079146/2019-76</t>
  </si>
  <si>
    <t xml:space="preserve">V Permetrina Técnico </t>
  </si>
  <si>
    <t xml:space="preserve">Permetrina</t>
  </si>
  <si>
    <t xml:space="preserve">TC29425</t>
  </si>
  <si>
    <t xml:space="preserve">21000.053335/2020-52</t>
  </si>
  <si>
    <t xml:space="preserve">Clomazone Técnico SD</t>
  </si>
  <si>
    <t xml:space="preserve">TC29525</t>
  </si>
  <si>
    <t xml:space="preserve">21000.040328/2018-76</t>
  </si>
  <si>
    <t xml:space="preserve">Tiametoxam Técnico OF</t>
  </si>
  <si>
    <t xml:space="preserve">TC29625</t>
  </si>
  <si>
    <t xml:space="preserve">21000.061443/2022-61</t>
  </si>
  <si>
    <t xml:space="preserve">Cimoxanil Técnico Rainbow</t>
  </si>
  <si>
    <t xml:space="preserve">Cimoxanil</t>
  </si>
  <si>
    <t xml:space="preserve">TC29725</t>
  </si>
  <si>
    <t xml:space="preserve">21000.092145/2022-12</t>
  </si>
  <si>
    <t xml:space="preserve">Fluxapyroxad Técnico HN</t>
  </si>
  <si>
    <t xml:space="preserve">TC29825</t>
  </si>
  <si>
    <t xml:space="preserve">21000.052061/2017-89</t>
  </si>
  <si>
    <t xml:space="preserve">Clomazone Técnico Alta</t>
  </si>
  <si>
    <t xml:space="preserve">TC29925</t>
  </si>
  <si>
    <t xml:space="preserve">21000.022250/2017-27</t>
  </si>
  <si>
    <t xml:space="preserve">Fomesafen Técnico Sino-Agri</t>
  </si>
  <si>
    <t xml:space="preserve">TC30025</t>
  </si>
  <si>
    <t xml:space="preserve">21000.005046/2021-28</t>
  </si>
  <si>
    <t xml:space="preserve">Clomazone Técnico Albaugh</t>
  </si>
  <si>
    <t xml:space="preserve">TC30125</t>
  </si>
  <si>
    <t xml:space="preserve">21000.003720/2017-53</t>
  </si>
  <si>
    <t xml:space="preserve">Dicamba Técnico Sino-Agri </t>
  </si>
  <si>
    <t xml:space="preserve">TC30225</t>
  </si>
  <si>
    <t xml:space="preserve">21000.018455/2021-94</t>
  </si>
  <si>
    <t xml:space="preserve">Clomazone Técnico Brilliance II</t>
  </si>
  <si>
    <t xml:space="preserve">TC30325</t>
  </si>
  <si>
    <t xml:space="preserve">21000.003317/2018-13</t>
  </si>
  <si>
    <t xml:space="preserve">Azoxystrobin Técnico FB</t>
  </si>
  <si>
    <t xml:space="preserve">TC30425</t>
  </si>
  <si>
    <t xml:space="preserve">21000.058077/2016-14</t>
  </si>
  <si>
    <t xml:space="preserve">Boscalid Técnico Bioseen</t>
  </si>
  <si>
    <t xml:space="preserve">TC30525</t>
  </si>
  <si>
    <t xml:space="preserve">21000.033597/2022-62</t>
  </si>
  <si>
    <t xml:space="preserve">Lambda-Cialotrina Técnica Nortox III </t>
  </si>
  <si>
    <t xml:space="preserve">TC30625</t>
  </si>
  <si>
    <t xml:space="preserve">21000.012123/2023-68</t>
  </si>
  <si>
    <t xml:space="preserve">Etiprole Técnico Tecnomyl II</t>
  </si>
  <si>
    <t xml:space="preserve">TC30725</t>
  </si>
  <si>
    <t xml:space="preserve">21000.064611/2022-70</t>
  </si>
  <si>
    <t xml:space="preserve">Tebuconazole Técnico CropChem IV</t>
  </si>
  <si>
    <t xml:space="preserve">TC30825</t>
  </si>
  <si>
    <t xml:space="preserve">21000.076355/2022-63</t>
  </si>
  <si>
    <t xml:space="preserve">Ciazofamida Técnico Rainbow</t>
  </si>
  <si>
    <t xml:space="preserve">Ciazofamida</t>
  </si>
  <si>
    <t xml:space="preserve">TC30925</t>
  </si>
  <si>
    <t xml:space="preserve">21000.047202/2017-41</t>
  </si>
  <si>
    <t xml:space="preserve">Clomazone Técnico Mil</t>
  </si>
  <si>
    <t xml:space="preserve">TC31025</t>
  </si>
  <si>
    <t xml:space="preserve">21000.039692/2024-31</t>
  </si>
  <si>
    <t xml:space="preserve">Aminopiralide Técnico CropChem</t>
  </si>
  <si>
    <t xml:space="preserve">TC31125</t>
  </si>
  <si>
    <t xml:space="preserve">21000.052319/2019-17</t>
  </si>
  <si>
    <t xml:space="preserve">Metribuzim Técnico CropChem</t>
  </si>
  <si>
    <t xml:space="preserve">TC31225</t>
  </si>
  <si>
    <t xml:space="preserve">21000.070230/2019-24</t>
  </si>
  <si>
    <t xml:space="preserve">Quizalofope Técnico CropChem</t>
  </si>
  <si>
    <t xml:space="preserve">TC31325</t>
  </si>
  <si>
    <t xml:space="preserve">21000.000392/2015-71</t>
  </si>
  <si>
    <t xml:space="preserve">Haloxifope Técnico NHP-Cropchem</t>
  </si>
  <si>
    <t xml:space="preserve">TC31425</t>
  </si>
  <si>
    <t xml:space="preserve">21000.019968/2023-84</t>
  </si>
  <si>
    <t xml:space="preserve">Imazapique Técnico ZS</t>
  </si>
  <si>
    <t xml:space="preserve">TC31525</t>
  </si>
  <si>
    <t xml:space="preserve">21000.049713/2017-06</t>
  </si>
  <si>
    <t xml:space="preserve">Picoxistrobina Técnico CropChem</t>
  </si>
  <si>
    <t xml:space="preserve">TC31625</t>
  </si>
  <si>
    <t xml:space="preserve">21000.016154/2018-21</t>
  </si>
  <si>
    <t xml:space="preserve">Clomazone Técnico NOrtox III</t>
  </si>
  <si>
    <t xml:space="preserve">TC31725</t>
  </si>
  <si>
    <t xml:space="preserve">21000.105580/2022-14</t>
  </si>
  <si>
    <t xml:space="preserve">Clomazone Técnico Pilarquim</t>
  </si>
  <si>
    <t xml:space="preserve">TC31825</t>
  </si>
  <si>
    <t xml:space="preserve">21000.012244/2018-42</t>
  </si>
  <si>
    <t xml:space="preserve">Clomazone Técnico Oxon III</t>
  </si>
  <si>
    <t xml:space="preserve">TC31925</t>
  </si>
  <si>
    <t xml:space="preserve">21000.017830/2021-89</t>
  </si>
  <si>
    <t xml:space="preserve">Oxyfluorfen Técnico  YN</t>
  </si>
  <si>
    <t xml:space="preserve">TC32025</t>
  </si>
  <si>
    <t xml:space="preserve">21000.052956/2019-85</t>
  </si>
  <si>
    <t xml:space="preserve">`Penoxsulam Técnico CX</t>
  </si>
  <si>
    <t xml:space="preserve">Penoxsulam</t>
  </si>
  <si>
    <t xml:space="preserve">TC32125</t>
  </si>
  <si>
    <t xml:space="preserve">21000.101126/2021-11</t>
  </si>
  <si>
    <t xml:space="preserve">Espirodiclofeno Técnico Ihara II</t>
  </si>
  <si>
    <t xml:space="preserve">TC32225</t>
  </si>
  <si>
    <t xml:space="preserve">21000.032255/2020-63</t>
  </si>
  <si>
    <t xml:space="preserve">Picoxistrobina Técnico CX</t>
  </si>
  <si>
    <t xml:space="preserve">TC32325</t>
  </si>
  <si>
    <t xml:space="preserve">21000.083386/2022-71</t>
  </si>
  <si>
    <t xml:space="preserve">Clomazone Técnico Nortox IV</t>
  </si>
  <si>
    <t xml:space="preserve">21000.035537/2016-36</t>
  </si>
  <si>
    <t xml:space="preserve">TIOFANATO F NORTOX</t>
  </si>
  <si>
    <t xml:space="preserve">Fluazinam; Tiofanato-metílico</t>
  </si>
  <si>
    <t xml:space="preserve">21000.011080/2021-31</t>
  </si>
  <si>
    <t xml:space="preserve">GLUFOS BESTAR</t>
  </si>
  <si>
    <t xml:space="preserve">Glufosinato - Sal de Amônio</t>
  </si>
  <si>
    <t xml:space="preserve">21000.011076/2021-73</t>
  </si>
  <si>
    <t xml:space="preserve">GLUFOS SG 880</t>
  </si>
  <si>
    <t xml:space="preserve">Glufosinato - Sal de Amônio</t>
  </si>
  <si>
    <t xml:space="preserve">21000.011074/2021-84</t>
  </si>
  <si>
    <t xml:space="preserve">GLUFOSINATO WYNCA SG</t>
  </si>
  <si>
    <t xml:space="preserve">21000.011965/2021-31</t>
  </si>
  <si>
    <t xml:space="preserve">CLOMAZONE 360 CS PERTERRA</t>
  </si>
  <si>
    <t xml:space="preserve">21016.008118/2023-81</t>
  </si>
  <si>
    <t xml:space="preserve">TETRASTICHUS MCP</t>
  </si>
  <si>
    <t xml:space="preserve">Tetrastichus howardi</t>
  </si>
  <si>
    <t xml:space="preserve">MCP</t>
  </si>
  <si>
    <t xml:space="preserve">21000.001510/2022-98</t>
  </si>
  <si>
    <t xml:space="preserve">PRIMORDIM IV</t>
  </si>
  <si>
    <t xml:space="preserve">Trifloxistrobina; Ciproconazol</t>
  </si>
  <si>
    <t xml:space="preserve">21016.008010/2023-99</t>
  </si>
  <si>
    <t xml:space="preserve">TRICHO-MAX</t>
  </si>
  <si>
    <t xml:space="preserve">Trichogramma pretiosum</t>
  </si>
  <si>
    <t xml:space="preserve">21016.001477/2024-99</t>
  </si>
  <si>
    <t xml:space="preserve"> TRIONIL, TRICROSS, TRIZAP, TRIAHAD, TRICONI, TRICOBACK, TRICOBASE, TRIFAST HP</t>
  </si>
  <si>
    <t xml:space="preserve">Trichoderma harzianum, cepa IBLF 1278; Trichoderma harzianum, cepa IBLF 1282; Trichoderma viride, cepa IBLF 1275; Trichoderma viride, cepa IBLF 1276</t>
  </si>
  <si>
    <t xml:space="preserve">Arconi</t>
  </si>
  <si>
    <t xml:space="preserve">21016.000497/2024-42</t>
  </si>
  <si>
    <t xml:space="preserve">BOVEC, BONAMAX, BOVENOX, BONELAX, BOVESAN, BONACEL, BONAGOL</t>
  </si>
  <si>
    <t xml:space="preserve">Beauveria bassiana, isolado IBCB 66 </t>
  </si>
  <si>
    <t xml:space="preserve">21016.001934/2024-45</t>
  </si>
  <si>
    <t xml:space="preserve">TRITTER 19/17</t>
  </si>
  <si>
    <t xml:space="preserve">21000.049999/2018-01</t>
  </si>
  <si>
    <t xml:space="preserve">LACANO 200 SL</t>
  </si>
  <si>
    <t xml:space="preserve">21016.006930/2021-19</t>
  </si>
  <si>
    <t xml:space="preserve">CLETODIM 240 EC AGROIMPORT</t>
  </si>
  <si>
    <t xml:space="preserve">AgroImport </t>
  </si>
  <si>
    <t xml:space="preserve">21016.001390/2024-11</t>
  </si>
  <si>
    <t xml:space="preserve">RESYD</t>
  </si>
  <si>
    <t xml:space="preserve"> Bacillus thuringiensis var. kurstaki isolado HD-1 (S1450)</t>
  </si>
  <si>
    <t xml:space="preserve">Gênica</t>
  </si>
  <si>
    <t xml:space="preserve">21016.002763/2021-29</t>
  </si>
  <si>
    <t xml:space="preserve">AMICARBAZONE 700 WG PERTERRA</t>
  </si>
  <si>
    <t xml:space="preserve">21016.003854/2021-81</t>
  </si>
  <si>
    <t xml:space="preserve">GLUFOSINATO DE AMÔNIO 200 SL AGROIMPORT</t>
  </si>
  <si>
    <t xml:space="preserve"> Glufosinato - Sal de Amônio</t>
  </si>
  <si>
    <t xml:space="preserve">Agro</t>
  </si>
  <si>
    <t xml:space="preserve">21016.001352/2024-69</t>
  </si>
  <si>
    <t xml:space="preserve">INVER</t>
  </si>
  <si>
    <t xml:space="preserve">Biota</t>
  </si>
  <si>
    <t xml:space="preserve">21016.000754/2024-46</t>
  </si>
  <si>
    <t xml:space="preserve">TRC</t>
  </si>
  <si>
    <t xml:space="preserve"> Biota</t>
  </si>
  <si>
    <t xml:space="preserve">21016.005615/2021-66</t>
  </si>
  <si>
    <t xml:space="preserve">DIQUAT 200 SL AGROIMPORT</t>
  </si>
  <si>
    <t xml:space="preserve">Agroimport</t>
  </si>
  <si>
    <t xml:space="preserve">21016.003214/2021-71</t>
  </si>
  <si>
    <t xml:space="preserve">2,4-D 806 SL PERTERRA</t>
  </si>
  <si>
    <t xml:space="preserve">2,4-D, Sal de Dimetilamina</t>
  </si>
  <si>
    <t xml:space="preserve">21000.079917/2021-40</t>
  </si>
  <si>
    <t xml:space="preserve">PREMIO BR</t>
  </si>
  <si>
    <t xml:space="preserve">21000.012323/2021-59</t>
  </si>
  <si>
    <t xml:space="preserve">CLETODIM 360 EC YUNFAN</t>
  </si>
  <si>
    <t xml:space="preserve">Cletodim </t>
  </si>
  <si>
    <t xml:space="preserve">21000.026135/2018-11</t>
  </si>
  <si>
    <t xml:space="preserve">OLASUL 750 WG</t>
  </si>
  <si>
    <t xml:space="preserve">21016.008126/2021-66</t>
  </si>
  <si>
    <t xml:space="preserve">RHYME</t>
  </si>
  <si>
    <t xml:space="preserve">21000.034261/2018-31</t>
  </si>
  <si>
    <t xml:space="preserve">OLASUL WG</t>
  </si>
  <si>
    <t xml:space="preserve">21000.051531/2020-92</t>
  </si>
  <si>
    <t xml:space="preserve">CLICK PRO</t>
  </si>
  <si>
    <t xml:space="preserve">Terbutilazina; Mesotriona</t>
  </si>
  <si>
    <t xml:space="preserve">21016.006443/2021-48</t>
  </si>
  <si>
    <t xml:space="preserve">GLIFOSATO WG NGC</t>
  </si>
  <si>
    <t xml:space="preserve">Glifosato </t>
  </si>
  <si>
    <t xml:space="preserve">21016.002521/2021-35</t>
  </si>
  <si>
    <t xml:space="preserve">CEDIARCO</t>
  </si>
  <si>
    <t xml:space="preserve">21000.012320/2021-15</t>
  </si>
  <si>
    <t xml:space="preserve">GLIFOPARTNER PLUS</t>
  </si>
  <si>
    <t xml:space="preserve">21000.023412/2020-40</t>
  </si>
  <si>
    <t xml:space="preserve">OLEA</t>
  </si>
  <si>
    <t xml:space="preserve">2,4-D; Metsulfurom-metílico; Picloram</t>
  </si>
  <si>
    <t xml:space="preserve">UPL do Brasil</t>
  </si>
  <si>
    <t xml:space="preserve">21016.001389/2021-44</t>
  </si>
  <si>
    <t xml:space="preserve">UPL 1040 FP</t>
  </si>
  <si>
    <t xml:space="preserve">21000.034698/2019-55</t>
  </si>
  <si>
    <t xml:space="preserve">MAXUTOL 750WG</t>
  </si>
  <si>
    <t xml:space="preserve">21000.067516/2020-66</t>
  </si>
  <si>
    <t xml:space="preserve">OLAZONA 360CS</t>
  </si>
  <si>
    <t xml:space="preserve"> Clomazona</t>
  </si>
  <si>
    <t xml:space="preserve">21016.003985/2024-10</t>
  </si>
  <si>
    <t xml:space="preserve">BOVECOOP SC</t>
  </si>
  <si>
    <t xml:space="preserve">Coopavel</t>
  </si>
  <si>
    <t xml:space="preserve">21016.003998/2024-81</t>
  </si>
  <si>
    <t xml:space="preserve">HIZOCOOP WP </t>
  </si>
  <si>
    <t xml:space="preserve">Coopavel </t>
  </si>
  <si>
    <t xml:space="preserve">21016.004009/2024-76</t>
  </si>
  <si>
    <t xml:space="preserve">TRICOBIO WP</t>
  </si>
  <si>
    <t xml:space="preserve">Trichoderma harzianum isolado IB19/17</t>
  </si>
  <si>
    <t xml:space="preserve">21016.003989/2024-90</t>
  </si>
  <si>
    <t xml:space="preserve">HIZOCOOP SC</t>
  </si>
  <si>
    <t xml:space="preserve">21016.004004/2024-43</t>
  </si>
  <si>
    <t xml:space="preserve">METABIO WP</t>
  </si>
  <si>
    <t xml:space="preserve">21016.002114/2021-28</t>
  </si>
  <si>
    <t xml:space="preserve">TRIFLOXISTROBIN 500 WG PERTERRA</t>
  </si>
  <si>
    <t xml:space="preserve">21000.085282/2020-39</t>
  </si>
  <si>
    <t xml:space="preserve">SUPER SUPPRESS </t>
  </si>
  <si>
    <t xml:space="preserve">21016.002456/2024-91</t>
  </si>
  <si>
    <t xml:space="preserve">GAIA CONTROL RHIZIUM</t>
  </si>
  <si>
    <t xml:space="preserve">Metarhizium anisopliae, Isolado IBCB 425</t>
  </si>
  <si>
    <t xml:space="preserve"> Gaia Agro</t>
  </si>
  <si>
    <t xml:space="preserve">21016.002444/2024-66</t>
  </si>
  <si>
    <t xml:space="preserve">GAIA CONTROL BOV</t>
  </si>
  <si>
    <t xml:space="preserve">21016.003719/2024-89</t>
  </si>
  <si>
    <t xml:space="preserve">GNC006C</t>
  </si>
  <si>
    <t xml:space="preserve">Trichoderma asperellum, isolado T2</t>
  </si>
  <si>
    <t xml:space="preserve">Gênica </t>
  </si>
  <si>
    <t xml:space="preserve">21000.009089/2019-68</t>
  </si>
  <si>
    <t xml:space="preserve">PHOS-GRAIN</t>
  </si>
  <si>
    <t xml:space="preserve">Fosfeto de Alumínio </t>
  </si>
  <si>
    <t xml:space="preserve"> Partner </t>
  </si>
  <si>
    <t xml:space="preserve">21016.005882/2021-33</t>
  </si>
  <si>
    <t xml:space="preserve">HALOXIFOP-P-METÍLICO 125 EC AGROIMPORT</t>
  </si>
  <si>
    <t xml:space="preserve">Haloxifope-P metílico</t>
  </si>
  <si>
    <t xml:space="preserve">21016.001927/2021-09</t>
  </si>
  <si>
    <t xml:space="preserve">VICADION</t>
  </si>
  <si>
    <t xml:space="preserve">Fempropimorfe; Mefentrifluconazole</t>
  </si>
  <si>
    <t xml:space="preserve"> BASF </t>
  </si>
  <si>
    <t xml:space="preserve">21016.001929/2024-32</t>
  </si>
  <si>
    <t xml:space="preserve">BEVA</t>
  </si>
  <si>
    <t xml:space="preserve">21016.002739/2024-32</t>
  </si>
  <si>
    <t xml:space="preserve">AGATHOS</t>
  </si>
  <si>
    <t xml:space="preserve">Bacillus amyloliquefaciens, cepa GNC005A</t>
  </si>
  <si>
    <t xml:space="preserve">21016.005801/2024-48</t>
  </si>
  <si>
    <t xml:space="preserve">COTÉSIA DUCAMPO</t>
  </si>
  <si>
    <t xml:space="preserve">FC Bioinsumos</t>
  </si>
  <si>
    <t xml:space="preserve">21016.004235/2021-12</t>
  </si>
  <si>
    <t xml:space="preserve">MIRAVIS OPTI SC</t>
  </si>
  <si>
    <t xml:space="preserve">Clorotalonil; Pidiflumetofem</t>
  </si>
  <si>
    <t xml:space="preserve">21016.004191/2024-65</t>
  </si>
  <si>
    <t xml:space="preserve">SerquiBioMeta</t>
  </si>
  <si>
    <t xml:space="preserve">Serquibio</t>
  </si>
  <si>
    <t xml:space="preserve">21016.000264/2023-69</t>
  </si>
  <si>
    <t xml:space="preserve">TRICHPROTECTION</t>
  </si>
  <si>
    <t xml:space="preserve">Trichoderma harzianum, cepa CCT 7589</t>
  </si>
  <si>
    <t xml:space="preserve">21016.003414/2022-13</t>
  </si>
  <si>
    <t xml:space="preserve">FANTOM</t>
  </si>
  <si>
    <t xml:space="preserve">21000.082173/2021-41</t>
  </si>
  <si>
    <t xml:space="preserve">KONIK</t>
  </si>
  <si>
    <t xml:space="preserve">Benzoato de Emamectina; Isocicloseram</t>
  </si>
  <si>
    <t xml:space="preserve">21000.033600/2018-61</t>
  </si>
  <si>
    <t xml:space="preserve"> TORINO SNB</t>
  </si>
  <si>
    <t xml:space="preserve">Tiofanato-metílico; Fluazinam </t>
  </si>
  <si>
    <t xml:space="preserve">Sipcam</t>
  </si>
  <si>
    <t xml:space="preserve">21016.000274/2022-13</t>
  </si>
  <si>
    <t xml:space="preserve">PRIMORDIM V</t>
  </si>
  <si>
    <t xml:space="preserve"> Trifloxistrobina; Ciproconazol</t>
  </si>
  <si>
    <t xml:space="preserve">21000.084138/2020-85</t>
  </si>
  <si>
    <t xml:space="preserve">ESIFON FULL</t>
  </si>
  <si>
    <t xml:space="preserve">21016.007729/2023-11</t>
  </si>
  <si>
    <t xml:space="preserve">BVF2423</t>
  </si>
  <si>
    <t xml:space="preserve">Trichoderma asperellum BVF24</t>
  </si>
  <si>
    <t xml:space="preserve">Vittia </t>
  </si>
  <si>
    <t xml:space="preserve">21016.002457/2024-35</t>
  </si>
  <si>
    <t xml:space="preserve">GAIA CONTROL TRICH</t>
  </si>
  <si>
    <t xml:space="preserve">Trichoderma harzianum, cepa IBLF 1278; Trichoderma harzianum, cepa IBLF 1282; Trichoderma viride, cepa IBLF 1275; Trichoderma viride, cepa IBLF 1276</t>
  </si>
  <si>
    <t xml:space="preserve">Gaia Agro</t>
  </si>
  <si>
    <t xml:space="preserve">21000.007111/2021-50</t>
  </si>
  <si>
    <t xml:space="preserve">PALIO</t>
  </si>
  <si>
    <t xml:space="preserve">Fenpropatrina; Piriproxifem</t>
  </si>
  <si>
    <t xml:space="preserve">21000.008326/2017-10</t>
  </si>
  <si>
    <t xml:space="preserve">HERMAX</t>
  </si>
  <si>
    <t xml:space="preserve">21016.004639/2022-89</t>
  </si>
  <si>
    <t xml:space="preserve">GRANULUM  </t>
  </si>
  <si>
    <t xml:space="preserve">21000.071090/2019-10</t>
  </si>
  <si>
    <t xml:space="preserve">GLIXINAN WG</t>
  </si>
  <si>
    <t xml:space="preserve">Glifosato, Sal de Amônio</t>
  </si>
  <si>
    <t xml:space="preserve">21000.011871/2021-61</t>
  </si>
  <si>
    <t xml:space="preserve">WINFOSATE WG II</t>
  </si>
  <si>
    <t xml:space="preserve">21000.011869/2021-92</t>
  </si>
  <si>
    <t xml:space="preserve">WINFOSATE WG I</t>
  </si>
  <si>
    <t xml:space="preserve">21000.008327/2017-56</t>
  </si>
  <si>
    <t xml:space="preserve">HERMOST</t>
  </si>
  <si>
    <t xml:space="preserve">21016.004184/2024-63</t>
  </si>
  <si>
    <t xml:space="preserve"> SERQUIBIODERMA  </t>
  </si>
  <si>
    <t xml:space="preserve">21016.003878/2023-01</t>
  </si>
  <si>
    <t xml:space="preserve">SILVER I  </t>
  </si>
  <si>
    <t xml:space="preserve">21016.009483/2021-41</t>
  </si>
  <si>
    <t xml:space="preserve">DT-CE-MPP-460-23T</t>
  </si>
  <si>
    <t xml:space="preserve">MANCOZEBE + PICOXISTROBINA + PROTIOCONAZOL</t>
  </si>
  <si>
    <t xml:space="preserve">21000.056199/2022-14</t>
  </si>
  <si>
    <t xml:space="preserve">EDGE, ACETAMIPRIDO 200 + PIRIPROXIFEM 100 OD TECNOMYL, ACETAMIPRIDO 200 + PIRIPROXIFEM 100 OD TECNOMYL I, ACETAMIPRIDO 200 + PIRIPROXIFEM 100 OD TECNOMYL II, ACETAMIPRIDO 200 + PIRIPROXIFEM 100 OD TECNOMYL III</t>
  </si>
  <si>
    <t xml:space="preserve">21000.066238/2021-19</t>
  </si>
  <si>
    <t xml:space="preserve">FAVORITO</t>
  </si>
  <si>
    <t xml:space="preserve">21000.026271/2017-11</t>
  </si>
  <si>
    <t xml:space="preserve">LINCE WG</t>
  </si>
  <si>
    <t xml:space="preserve">ATRAZINA + MESOTRIONA</t>
  </si>
  <si>
    <t xml:space="preserve">21000.045585/2018-02</t>
  </si>
  <si>
    <t xml:space="preserve">MAXIPIR </t>
  </si>
  <si>
    <t xml:space="preserve">21000.017682/2022-83</t>
  </si>
  <si>
    <t xml:space="preserve">SAFFRA 700 WG  </t>
  </si>
  <si>
    <t xml:space="preserve">21000.033802/2019-94</t>
  </si>
  <si>
    <t xml:space="preserve">NOCAUTE</t>
  </si>
  <si>
    <t xml:space="preserve">21000.009747/2021-36</t>
  </si>
  <si>
    <t xml:space="preserve"> TRIFLOXISTROBINA WG ALBAUGH 01</t>
  </si>
  <si>
    <t xml:space="preserve">21000.049395/2017-75</t>
  </si>
  <si>
    <t xml:space="preserve">BIFENTRINA CCAB 100 EC  </t>
  </si>
  <si>
    <t xml:space="preserve">CCAB Agro</t>
  </si>
  <si>
    <t xml:space="preserve">21000.055591/2020-84</t>
  </si>
  <si>
    <t xml:space="preserve">AMINOPYRALID + 2,4-D 360 SL YONON  </t>
  </si>
  <si>
    <t xml:space="preserve"> Aminopiralide; 2,4-D</t>
  </si>
  <si>
    <t xml:space="preserve">21000.020066/2019-12</t>
  </si>
  <si>
    <t xml:space="preserve">BONAFIDE 500 WG  </t>
  </si>
  <si>
    <t xml:space="preserve">21000.008324/2017-12</t>
  </si>
  <si>
    <t xml:space="preserve">HERFAST​   </t>
  </si>
  <si>
    <t xml:space="preserve">21016.003567/2021-71</t>
  </si>
  <si>
    <t xml:space="preserve">AXIAL EC</t>
  </si>
  <si>
    <t xml:space="preserve">Pinoxadem</t>
  </si>
  <si>
    <t xml:space="preserve">21000.083314/2021-42</t>
  </si>
  <si>
    <t xml:space="preserve">ZETIGO</t>
  </si>
  <si>
    <t xml:space="preserve">Florilpicoxamida</t>
  </si>
  <si>
    <t xml:space="preserve">CTVA</t>
  </si>
  <si>
    <t xml:space="preserve">21016.006812/2023-64</t>
  </si>
  <si>
    <t xml:space="preserve">SOLU VELEZENSIS  </t>
  </si>
  <si>
    <t xml:space="preserve">Bacillus methylotrophicus (B. velezensis) cepa S2908 (BAC B11) </t>
  </si>
  <si>
    <t xml:space="preserve">21016.006377/2023-78</t>
  </si>
  <si>
    <t xml:space="preserve">PROLIANT PLUS  </t>
  </si>
  <si>
    <t xml:space="preserve">Ácido giberélico; Ácido abscísico</t>
  </si>
  <si>
    <t xml:space="preserve">21016.004414/2021-41</t>
  </si>
  <si>
    <t xml:space="preserve">DIQUAT 200 SL PERTERRA  </t>
  </si>
  <si>
    <t xml:space="preserve">21000.062548/2020-75</t>
  </si>
  <si>
    <t xml:space="preserve">ACEPHATE 90SP AGROGILL</t>
  </si>
  <si>
    <t xml:space="preserve">Acefato </t>
  </si>
  <si>
    <t xml:space="preserve">21016.004319/2024-91</t>
  </si>
  <si>
    <t xml:space="preserve">DULIA PRO</t>
  </si>
  <si>
    <t xml:space="preserve">Bacillus amyloliquefaciens, Cepa Ba30; Bacillus licheniformis, Cepa GNC004A; Bacillus subtilis, Cepa Bs34; Bacillus velezensis, Cepa GNC004C; Bacillus subtilis, Cepa BSS; Priestia megaterium, Cepa PM60</t>
  </si>
  <si>
    <t xml:space="preserve"> Gênica</t>
  </si>
  <si>
    <t xml:space="preserve">21016.005046/2021-59</t>
  </si>
  <si>
    <t xml:space="preserve">MIRAVIS AEON  </t>
  </si>
  <si>
    <t xml:space="preserve">Azoxistrobina; Propiconazol; Pidiflumetofem</t>
  </si>
  <si>
    <t xml:space="preserve">21000.045973/2018-85</t>
  </si>
  <si>
    <t xml:space="preserve">TRIFLOXYSTROBIN 500 WG YNG</t>
  </si>
  <si>
    <t xml:space="preserve">Trifloxistrobina </t>
  </si>
  <si>
    <t xml:space="preserve">21000.025767/2018-59</t>
  </si>
  <si>
    <t xml:space="preserve">TRIFLOXYSTROBIN YONON</t>
  </si>
  <si>
    <t xml:space="preserve">21000.047459/2016-12</t>
  </si>
  <si>
    <t xml:space="preserve">ISOXAFLUTOL FLORESTAL NORTOX</t>
  </si>
  <si>
    <t xml:space="preserve">21000.080332/2020-91</t>
  </si>
  <si>
    <t xml:space="preserve">DIFENOCONAZOL C NORTOX</t>
  </si>
  <si>
    <t xml:space="preserve">Difenoconazol; Ciproconazol</t>
  </si>
  <si>
    <t xml:space="preserve">21000.043218/2018-66</t>
  </si>
  <si>
    <t xml:space="preserve">CLOMAZONE NORTOX 360 CS</t>
  </si>
  <si>
    <t xml:space="preserve">21000.049153/2018-62</t>
  </si>
  <si>
    <t xml:space="preserve">LAMBDA-CIALOTRINA NORTOX</t>
  </si>
  <si>
    <t xml:space="preserve">21000.089489/2019-49</t>
  </si>
  <si>
    <t xml:space="preserve">CLETODIM OLEUM NORTOX</t>
  </si>
  <si>
    <t xml:space="preserve">21000.082763/2020-92</t>
  </si>
  <si>
    <t xml:space="preserve">RIMON SUPRA BR</t>
  </si>
  <si>
    <t xml:space="preserve">Novalurom</t>
  </si>
  <si>
    <t xml:space="preserve">21000.009071/2019-66</t>
  </si>
  <si>
    <t xml:space="preserve">TIOTALONIL NORTOX</t>
  </si>
  <si>
    <t xml:space="preserve">Clorotalonil; Tiofanato-metílico</t>
  </si>
  <si>
    <t xml:space="preserve">21000.054211/2018-70</t>
  </si>
  <si>
    <t xml:space="preserve">PROTIOCONAZOL T NORTOX</t>
  </si>
  <si>
    <t xml:space="preserve">21000.050226/2018-69</t>
  </si>
  <si>
    <t xml:space="preserve">PROTIOCONAZOL NORTOX</t>
  </si>
  <si>
    <t xml:space="preserve">21000.082120/2019-13</t>
  </si>
  <si>
    <t xml:space="preserve">OXICLORETO DE COBRE C NORTOX</t>
  </si>
  <si>
    <t xml:space="preserve">Oxicloreto de Cobre; Clorotalonil</t>
  </si>
  <si>
    <t xml:space="preserve">21000.037180/2020-15</t>
  </si>
  <si>
    <t xml:space="preserve">MANCOZEB NORTOX SC</t>
  </si>
  <si>
    <t xml:space="preserve">21000.054204/2018-78</t>
  </si>
  <si>
    <t xml:space="preserve">FLUMIOXAZIN I NORTOX</t>
  </si>
  <si>
    <t xml:space="preserve">Fluimioxazina; Imazetapir</t>
  </si>
  <si>
    <t xml:space="preserve">21000.051246/2017-76</t>
  </si>
  <si>
    <t xml:space="preserve">BIFENTRINA NORTOX</t>
  </si>
  <si>
    <t xml:space="preserve">21000.056287/2018-30</t>
  </si>
  <si>
    <t xml:space="preserve">ATRAZINA NORTOX SC</t>
  </si>
  <si>
    <t xml:space="preserve">21000.042271/2021-45</t>
  </si>
  <si>
    <t xml:space="preserve">DIQUAT 200 SL YONON</t>
  </si>
  <si>
    <t xml:space="preserve">21016.004008/2024-21</t>
  </si>
  <si>
    <t xml:space="preserve">BF0724</t>
  </si>
  <si>
    <t xml:space="preserve">Ballagro </t>
  </si>
  <si>
    <t xml:space="preserve">21016.004052/2024-31</t>
  </si>
  <si>
    <t xml:space="preserve">BF0824</t>
  </si>
  <si>
    <t xml:space="preserve"> Trichoderma harzianum isolado IBLF006</t>
  </si>
  <si>
    <t xml:space="preserve">Ballagro</t>
  </si>
  <si>
    <t xml:space="preserve">21000.000942/2019-86</t>
  </si>
  <si>
    <t xml:space="preserve">RENOME WG</t>
  </si>
  <si>
    <t xml:space="preserve">Glifosato, sal de amônio</t>
  </si>
  <si>
    <t xml:space="preserve">21000.002138/2020-75</t>
  </si>
  <si>
    <t xml:space="preserve">MESOTRIONA ASCENZA SC</t>
  </si>
  <si>
    <t xml:space="preserve">21016.002383/2024-37</t>
  </si>
  <si>
    <t xml:space="preserve">SOFERO FALL FEROMÔNIO</t>
  </si>
  <si>
    <t xml:space="preserve">Acetato de (Z)-9-tetradecenila</t>
  </si>
  <si>
    <t xml:space="preserve">21016.004330/2023-70</t>
  </si>
  <si>
    <t xml:space="preserve">SELECTO XL</t>
  </si>
  <si>
    <t xml:space="preserve">Cinetina</t>
  </si>
  <si>
    <t xml:space="preserve">Innovak </t>
  </si>
  <si>
    <t xml:space="preserve">21000.087429/2019-91</t>
  </si>
  <si>
    <t xml:space="preserve">CARPIDORA  </t>
  </si>
  <si>
    <t xml:space="preserve">21000.024263/2019-01</t>
  </si>
  <si>
    <t xml:space="preserve">PEAKSTAR</t>
  </si>
  <si>
    <t xml:space="preserve">Piraclostrobina; Epoxiconazol</t>
  </si>
  <si>
    <t xml:space="preserve">21000.073988/2020-58</t>
  </si>
  <si>
    <t xml:space="preserve">KILYMUS</t>
  </si>
  <si>
    <t xml:space="preserve">Triciclazol; Mefentrifluconazol​</t>
  </si>
  <si>
    <t xml:space="preserve">BASF</t>
  </si>
  <si>
    <t xml:space="preserve">21000.087013/2019-73</t>
  </si>
  <si>
    <t xml:space="preserve">XENON ME</t>
  </si>
  <si>
    <t xml:space="preserve">Fluroxipir-Meptílico; Picloram Sal de Trietanolamina</t>
  </si>
  <si>
    <t xml:space="preserve">BRA Defensives </t>
  </si>
  <si>
    <t xml:space="preserve">21016.004560/2022-58</t>
  </si>
  <si>
    <t xml:space="preserve">OCA</t>
  </si>
  <si>
    <t xml:space="preserve">21000.048465/2020-73</t>
  </si>
  <si>
    <t xml:space="preserve">HDB 259</t>
  </si>
  <si>
    <t xml:space="preserve">Sulfentrazona ; Flumioxazina </t>
  </si>
  <si>
    <t xml:space="preserve">21016.005093/2023-64</t>
  </si>
  <si>
    <t xml:space="preserve">MADEX TWIN</t>
  </si>
  <si>
    <t xml:space="preserve">Cydia pomonella granulovirus (CpGV) isolado GV-0014 </t>
  </si>
  <si>
    <t xml:space="preserve">Andermatt</t>
  </si>
  <si>
    <t xml:space="preserve">21000.101333/2021-68</t>
  </si>
  <si>
    <t xml:space="preserve">NEPSO  </t>
  </si>
  <si>
    <t xml:space="preserve"> Tide</t>
  </si>
  <si>
    <t xml:space="preserve">21016.002553/2022-11</t>
  </si>
  <si>
    <t xml:space="preserve">UPL 1039 FP</t>
  </si>
  <si>
    <t xml:space="preserve">Clorantraniliprole; Metoxifenozida</t>
  </si>
  <si>
    <t xml:space="preserve">21016.005857/2021-50</t>
  </si>
  <si>
    <t xml:space="preserve">PILAREG</t>
  </si>
  <si>
    <t xml:space="preserve">21016.001725/2022-30</t>
  </si>
  <si>
    <t xml:space="preserve">LASTING CS, LARGIN, LAOSIN, LAKTER CS  </t>
  </si>
  <si>
    <t xml:space="preserve">21016.004322/2021-61</t>
  </si>
  <si>
    <t xml:space="preserve">PERSEUS DUO  </t>
  </si>
  <si>
    <t xml:space="preserve">Abamectina; Espirodiclofeno</t>
  </si>
  <si>
    <t xml:space="preserve">21000.052945/2019-03</t>
  </si>
  <si>
    <t xml:space="preserve"> CONVINTRO</t>
  </si>
  <si>
    <t xml:space="preserve">Diflufenicam; Metribuzim</t>
  </si>
  <si>
    <t xml:space="preserve">21000.035743/2016-46</t>
  </si>
  <si>
    <t xml:space="preserve">HUSSAR TECH</t>
  </si>
  <si>
    <t xml:space="preserve">Diflufenicam; Iodossulfurom-metílico-sódico</t>
  </si>
  <si>
    <t xml:space="preserve">21000.012394/2022-32</t>
  </si>
  <si>
    <t xml:space="preserve">GLUFOSINATO 200 SL LIER  </t>
  </si>
  <si>
    <t xml:space="preserve">Glufosinato - sal de amônio </t>
  </si>
  <si>
    <t xml:space="preserve">21000.021243/2018-99</t>
  </si>
  <si>
    <t xml:space="preserve">ALKAZAR  </t>
  </si>
  <si>
    <t xml:space="preserve">Picloram, sal de triisopropanolamina; 2,4-D, Sal de Triisopropanolamina</t>
  </si>
  <si>
    <t xml:space="preserve">21000.114671/2022-41</t>
  </si>
  <si>
    <t xml:space="preserve">HAMPTON</t>
  </si>
  <si>
    <t xml:space="preserve">21000.006733/2020-80</t>
  </si>
  <si>
    <t xml:space="preserve">BRODAL  </t>
  </si>
  <si>
    <t xml:space="preserve">21000.067725/2022-71</t>
  </si>
  <si>
    <t xml:space="preserve">SEIV </t>
  </si>
  <si>
    <t xml:space="preserve">Metominostrobina; Protioconazol </t>
  </si>
  <si>
    <t xml:space="preserve">21000.039551/2016-17</t>
  </si>
  <si>
    <t xml:space="preserve"> AVNER 500 SC</t>
  </si>
  <si>
    <t xml:space="preserve">21000.062545/2020-31</t>
  </si>
  <si>
    <t xml:space="preserve">EIRU</t>
  </si>
  <si>
    <t xml:space="preserve">21000.062546/2020-86</t>
  </si>
  <si>
    <t xml:space="preserve">CHALTU</t>
  </si>
  <si>
    <t xml:space="preserve">21016.003592/2021-55</t>
  </si>
  <si>
    <t xml:space="preserve">2,4-D C 806 SL PERTERRA   </t>
  </si>
  <si>
    <t xml:space="preserve">21000.085876/2021-21</t>
  </si>
  <si>
    <t xml:space="preserve">2,4-D + PICLORAM CAC</t>
  </si>
  <si>
    <t xml:space="preserve">Picloram, sal de trietanolamina; 2,4-D, sal de trietanolamina</t>
  </si>
  <si>
    <t xml:space="preserve">21016.007790/2023-50</t>
  </si>
  <si>
    <t xml:space="preserve">VIR PROTECTION 2  </t>
  </si>
  <si>
    <t xml:space="preserve">Spodoptera frugiperda multiple nucleopolyhedrovirus (SfMNPV)</t>
  </si>
  <si>
    <t xml:space="preserve">Bioma</t>
  </si>
  <si>
    <t xml:space="preserve">21000.045747/2018-02</t>
  </si>
  <si>
    <t xml:space="preserve">KANOPUS</t>
  </si>
  <si>
    <t xml:space="preserve">21000.011949/2021-48</t>
  </si>
  <si>
    <t xml:space="preserve">SINNEMA</t>
  </si>
  <si>
    <t xml:space="preserve">Fostiazato</t>
  </si>
  <si>
    <t xml:space="preserve">21000.077031/2020-81</t>
  </si>
  <si>
    <t xml:space="preserve">MARFIK  </t>
  </si>
  <si>
    <t xml:space="preserve">21016.002384/2024-81</t>
  </si>
  <si>
    <t xml:space="preserve">BIOTRINSIC N465 WP, INDIGO 465, BIOTRINSIC DEFENDER, NEMABLOCKER</t>
  </si>
  <si>
    <t xml:space="preserve">Pseudomonas glycinis, Cepa SYM34326</t>
  </si>
  <si>
    <t xml:space="preserve">Indigo</t>
  </si>
  <si>
    <t xml:space="preserve">21016.008035/2023-92</t>
  </si>
  <si>
    <t xml:space="preserve">BV-BIO SC </t>
  </si>
  <si>
    <t xml:space="preserve">Beauveria bassiana, isolado IBCB 66​</t>
  </si>
  <si>
    <t xml:space="preserve">Apoena</t>
  </si>
  <si>
    <t xml:space="preserve">21000.014673/2018-54</t>
  </si>
  <si>
    <t xml:space="preserve">ALCHEMY </t>
  </si>
  <si>
    <t xml:space="preserve">21016.007387/2024-10</t>
  </si>
  <si>
    <t xml:space="preserve">CB6642524 WP</t>
  </si>
  <si>
    <t xml:space="preserve">21016.006130/2022-71</t>
  </si>
  <si>
    <t xml:space="preserve">PALISAD</t>
  </si>
  <si>
    <t xml:space="preserve">Ácido Tânico</t>
  </si>
  <si>
    <t xml:space="preserve">21016.005019/2024-29</t>
  </si>
  <si>
    <t xml:space="preserve">TRICHODEL</t>
  </si>
  <si>
    <t xml:space="preserve"> Trichoderma harzianum, isolado IB19/17​</t>
  </si>
  <si>
    <t xml:space="preserve">Dillon</t>
  </si>
  <si>
    <t xml:space="preserve">21016.005380/2022-93</t>
  </si>
  <si>
    <t xml:space="preserve">UPL 2112 FP; PRODENCE</t>
  </si>
  <si>
    <t xml:space="preserve">Mancozebe; Picoxistrobina; Tebuconazol​</t>
  </si>
  <si>
    <t xml:space="preserve">21016.001063/2024-60</t>
  </si>
  <si>
    <t xml:space="preserve">SLT 05</t>
  </si>
  <si>
    <t xml:space="preserve">Bacillus thuringiensis Kurstaki HD-1 (S1450)</t>
  </si>
  <si>
    <t xml:space="preserve">Solatus</t>
  </si>
  <si>
    <t xml:space="preserve">21000.043793/2023-26</t>
  </si>
  <si>
    <t xml:space="preserve">RIBRA FM 01/23</t>
  </si>
  <si>
    <t xml:space="preserve">Trichoderma afroharzianum cepa Th2RI99</t>
  </si>
  <si>
    <t xml:space="preserve">Rizobacter </t>
  </si>
  <si>
    <t xml:space="preserve">21016.007783/2023-58</t>
  </si>
  <si>
    <t xml:space="preserve">BTP 066-20 SC-AB </t>
  </si>
  <si>
    <t xml:space="preserve">Bacillus thuringiensis, isolados CNPSo4081 + CNPSo3915​</t>
  </si>
  <si>
    <t xml:space="preserve">21000.066168/2020-18</t>
  </si>
  <si>
    <t xml:space="preserve">PROTHIOCONAZOLE + TRIFLOXYSTROBIN 325 SC YONON</t>
  </si>
  <si>
    <t xml:space="preserve">21016.003908/2024-51</t>
  </si>
  <si>
    <t xml:space="preserve">BioCAZ POWER</t>
  </si>
  <si>
    <t xml:space="preserve">Metarhizium anisopliae isolado IBCB 425​</t>
  </si>
  <si>
    <t xml:space="preserve">Biocaz </t>
  </si>
  <si>
    <t xml:space="preserve">21016.003907/2024-15</t>
  </si>
  <si>
    <t xml:space="preserve">BIOCAZ CONTROL</t>
  </si>
  <si>
    <t xml:space="preserve">Biocaz</t>
  </si>
  <si>
    <t xml:space="preserve">21000.065872/2020-45</t>
  </si>
  <si>
    <t xml:space="preserve">ACTIMIST PYR</t>
  </si>
  <si>
    <t xml:space="preserve">AgroFresh</t>
  </si>
  <si>
    <t xml:space="preserve">21016.008426/2021-45</t>
  </si>
  <si>
    <t xml:space="preserve"> REDSHIELD 750 WG</t>
  </si>
  <si>
    <t xml:space="preserve">Óxido cuproso</t>
  </si>
  <si>
    <t xml:space="preserve">21000.057749/2020-51</t>
  </si>
  <si>
    <t xml:space="preserve">NATEPROSP </t>
  </si>
  <si>
    <t xml:space="preserve">Dicamba​</t>
  </si>
  <si>
    <t xml:space="preserve">21000.054597/2018-10</t>
  </si>
  <si>
    <t xml:space="preserve">TRINEXAPAC CCAB 250 EC</t>
  </si>
  <si>
    <t xml:space="preserve">Trinexapaque-etílico​</t>
  </si>
  <si>
    <t xml:space="preserve">21000.060312/2021-85</t>
  </si>
  <si>
    <t xml:space="preserve">CLETODIM 360 EC BRILLIANCE</t>
  </si>
  <si>
    <t xml:space="preserve"> Brilliance</t>
  </si>
  <si>
    <t xml:space="preserve">21000.041966/2020-29</t>
  </si>
  <si>
    <t xml:space="preserve">RUBY</t>
  </si>
  <si>
    <t xml:space="preserve">Diafentiurom​</t>
  </si>
  <si>
    <t xml:space="preserve">21000.076203/2019-65</t>
  </si>
  <si>
    <t xml:space="preserve">CHETTAK GOLD</t>
  </si>
  <si>
    <t xml:space="preserve">Acefato​</t>
  </si>
  <si>
    <t xml:space="preserve">21000.071606/2020-51</t>
  </si>
  <si>
    <t xml:space="preserve">FORCEPS III</t>
  </si>
  <si>
    <t xml:space="preserve">Acetamiprido; Bifentrina​</t>
  </si>
  <si>
    <t xml:space="preserve">21000.049376/2020-44</t>
  </si>
  <si>
    <t xml:space="preserve">SELENE</t>
  </si>
  <si>
    <t xml:space="preserve">21016.004880/2024-70</t>
  </si>
  <si>
    <t xml:space="preserve">SBAC4</t>
  </si>
  <si>
    <t xml:space="preserve">Bacillus subtilis isolado BAC116; Bacillus amyloliquefaciens isolado BAC 105</t>
  </si>
  <si>
    <t xml:space="preserve">Superbac </t>
  </si>
  <si>
    <t xml:space="preserve">21016.006116/2024-39</t>
  </si>
  <si>
    <t xml:space="preserve">SBAC8</t>
  </si>
  <si>
    <t xml:space="preserve">Bacillus subtilis isolado BAC097; Bacillus amyloliquefaciens isolado BAC105</t>
  </si>
  <si>
    <t xml:space="preserve">Superbac</t>
  </si>
  <si>
    <t xml:space="preserve">21016.005700/2024-77</t>
  </si>
  <si>
    <t xml:space="preserve">SBAC10</t>
  </si>
  <si>
    <t xml:space="preserve">Bacillus subtilis isolado BAC004; Bacillus velezensis isolado BAC079; Bacillus amyloliquefaciens isolado BAC105; Bacillus licheniformis isolado BAC112</t>
  </si>
  <si>
    <t xml:space="preserve">21000.071896/2021-14</t>
  </si>
  <si>
    <t xml:space="preserve">VANTACOR</t>
  </si>
  <si>
    <t xml:space="preserve">21000.024259/2019-34</t>
  </si>
  <si>
    <t xml:space="preserve">ADICONSTAR</t>
  </si>
  <si>
    <t xml:space="preserve">Azoxistrobina; Difenoconazole</t>
  </si>
  <si>
    <t xml:space="preserve">21016.002835/2024-81</t>
  </si>
  <si>
    <t xml:space="preserve">P&amp;D009</t>
  </si>
  <si>
    <t xml:space="preserve">Bacillus thuringiensis, CPQBA 040-11 DRM 11</t>
  </si>
  <si>
    <t xml:space="preserve">Massen</t>
  </si>
  <si>
    <t xml:space="preserve">21000.070059/2020-97</t>
  </si>
  <si>
    <t xml:space="preserve">NOVA 100 EC</t>
  </si>
  <si>
    <t xml:space="preserve">Novalurom​</t>
  </si>
  <si>
    <t xml:space="preserve">21000.076172/2019-42</t>
  </si>
  <si>
    <t xml:space="preserve">KINGPRIDO XTRA</t>
  </si>
  <si>
    <t xml:space="preserve">21000.076116/2019-16</t>
  </si>
  <si>
    <t xml:space="preserve">DIMETOMORFE NORTOX</t>
  </si>
  <si>
    <t xml:space="preserve">Dimetomorfe</t>
  </si>
  <si>
    <t xml:space="preserve">21000.034907/2020-02</t>
  </si>
  <si>
    <t xml:space="preserve">PREDECESSOR</t>
  </si>
  <si>
    <t xml:space="preserve">Imazetapir; Flumioxazina; Diclosulam</t>
  </si>
  <si>
    <t xml:space="preserve">21000.094738/2019-18</t>
  </si>
  <si>
    <t xml:space="preserve">PROTIOCONAZOL NORTOX 480 SC</t>
  </si>
  <si>
    <t xml:space="preserve">21000.030880/2021-51</t>
  </si>
  <si>
    <t xml:space="preserve">SCLA 330401</t>
  </si>
  <si>
    <t xml:space="preserve">Fluroxipir-meptílico; Picloram; Triclopir-butotílico</t>
  </si>
  <si>
    <t xml:space="preserve">21016.008212/2023-31</t>
  </si>
  <si>
    <t xml:space="preserve">TRIGGER MAX</t>
  </si>
  <si>
    <t xml:space="preserve">21000.080337/2020-14</t>
  </si>
  <si>
    <t xml:space="preserve">PROFENOFÓS NORTOX</t>
  </si>
  <si>
    <t xml:space="preserve">Profenofós​</t>
  </si>
  <si>
    <t xml:space="preserve">21016.006803/2021-10</t>
  </si>
  <si>
    <t xml:space="preserve">EXTERNUS</t>
  </si>
  <si>
    <t xml:space="preserve">Chrysoperla externa​</t>
  </si>
  <si>
    <t xml:space="preserve">VSF Agricultura</t>
  </si>
  <si>
    <t xml:space="preserve">21000.034607/2019-81</t>
  </si>
  <si>
    <t xml:space="preserve">NOCAUTE 100 EC</t>
  </si>
  <si>
    <t xml:space="preserve">21016.005045/2024-57</t>
  </si>
  <si>
    <t xml:space="preserve">GNC004C</t>
  </si>
  <si>
    <t xml:space="preserve">Bacillus amyloliquefaciens (Ba30); Bacillus licheniformis (GNC004A); Bacillus subtilis (Bs34); Bacillus velezensis (GNC004C); Bacillus pumilus (BPU)​</t>
  </si>
  <si>
    <t xml:space="preserve">21016.005058/2024-26</t>
  </si>
  <si>
    <t xml:space="preserve">ISARYD FR 25</t>
  </si>
  <si>
    <t xml:space="preserve">Cordyceps javanica, cepa CCT 5818</t>
  </si>
  <si>
    <t xml:space="preserve">TZ Biotec</t>
  </si>
  <si>
    <t xml:space="preserve">21016.004798/2024-45</t>
  </si>
  <si>
    <t xml:space="preserve">NT 5-24</t>
  </si>
  <si>
    <t xml:space="preserve">Bacillus amyloliquefaciens, isolado CCT 8104; Bacillus subtilis, isolado CCT 8100; Bacillus subtilis, isolado ATCC 6051; Bacillus licheniformes, isolado ATCC 14580; Bacillus megaterium, isolado CCT 8101</t>
  </si>
  <si>
    <t xml:space="preserve">Companhia</t>
  </si>
  <si>
    <t xml:space="preserve">21016.004766/2024-40</t>
  </si>
  <si>
    <t xml:space="preserve">AGNEXMMON PRO</t>
  </si>
  <si>
    <t xml:space="preserve"> Binova</t>
  </si>
  <si>
    <t xml:space="preserve">21016.001408/2024-85</t>
  </si>
  <si>
    <t xml:space="preserve">BEAU</t>
  </si>
  <si>
    <t xml:space="preserve">21016.004724/2022-47</t>
  </si>
  <si>
    <t xml:space="preserve">PYRIGRAN</t>
  </si>
  <si>
    <t xml:space="preserve">Clorpirifós​</t>
  </si>
  <si>
    <t xml:space="preserve">21016.004845/2024-51</t>
  </si>
  <si>
    <t xml:space="preserve">BIOPROCTEGEH</t>
  </si>
  <si>
    <t xml:space="preserve">Bacillus subtilis, isolado CCT8004; Bacillus pumilus, isolado CCT8005; Bacillus velezensis, isolado CCT8003; Trichoderma Harzianum CCT8009​</t>
  </si>
  <si>
    <t xml:space="preserve">21016.007083/2024-44</t>
  </si>
  <si>
    <t xml:space="preserve">BIOSOLLUS</t>
  </si>
  <si>
    <t xml:space="preserve">Bacillus subtilis CCT8004; Bacillus pumilus CCT8005; Bacillus velezensis CCT8003; Trichoderma harzianum CCT8009​</t>
  </si>
  <si>
    <t xml:space="preserve">21000.052076/2018-28</t>
  </si>
  <si>
    <t xml:space="preserve">SALANDER 250 EC</t>
  </si>
  <si>
    <t xml:space="preserve">Protioconazol​</t>
  </si>
  <si>
    <t xml:space="preserve">21016.001631/2024-22</t>
  </si>
  <si>
    <t xml:space="preserve">TURIN</t>
  </si>
  <si>
    <t xml:space="preserve">Bacillus thuringiensis, cepa CPQBA 040-11 DRM 11</t>
  </si>
  <si>
    <t xml:space="preserve">Agrivalle</t>
  </si>
  <si>
    <t xml:space="preserve">21000.104243/2021-29</t>
  </si>
  <si>
    <t xml:space="preserve">PROSOY DUO</t>
  </si>
  <si>
    <t xml:space="preserve">Protioconazole; Picoxistrobina</t>
  </si>
  <si>
    <t xml:space="preserve">21000.069509/2020-07</t>
  </si>
  <si>
    <t xml:space="preserve">MIGIWA</t>
  </si>
  <si>
    <t xml:space="preserve"> Ipflufenoquina</t>
  </si>
  <si>
    <t xml:space="preserve">21000.058620/2019-26</t>
  </si>
  <si>
    <t xml:space="preserve">OPTERASPECTRA</t>
  </si>
  <si>
    <t xml:space="preserve">21000.096811/2021-19</t>
  </si>
  <si>
    <t xml:space="preserve">PROSOY TRIO</t>
  </si>
  <si>
    <t xml:space="preserve">Mancozebe; Protioconazol; Picoxistrobina​</t>
  </si>
  <si>
    <t xml:space="preserve">21016.003207/2024-12</t>
  </si>
  <si>
    <t xml:space="preserve">SBAC3</t>
  </si>
  <si>
    <t xml:space="preserve">Bacillus thuringiensis BAC092</t>
  </si>
  <si>
    <t xml:space="preserve">21016.001647/2023-54</t>
  </si>
  <si>
    <t xml:space="preserve"> TRICH PROTECTION WP</t>
  </si>
  <si>
    <t xml:space="preserve">Trichoderma harzianum, cepa CBMAI 2357</t>
  </si>
  <si>
    <t xml:space="preserve">21000.015098/2021-11</t>
  </si>
  <si>
    <t xml:space="preserve">FLUMIOXAZIN 480 SC ALAMOS</t>
  </si>
  <si>
    <t xml:space="preserve">Alamos</t>
  </si>
  <si>
    <t xml:space="preserve">21016.002782/2022-36</t>
  </si>
  <si>
    <t xml:space="preserve">LOOPER PROTECTION 2</t>
  </si>
  <si>
    <t xml:space="preserve">Chrysodeixis includens múltiple nucleopolyhedrovirus (ChinMNPV)</t>
  </si>
  <si>
    <t xml:space="preserve">21016.002184/2021-86</t>
  </si>
  <si>
    <t xml:space="preserve">SAMANCO</t>
  </si>
  <si>
    <t xml:space="preserve">21000.082273/2020-96</t>
  </si>
  <si>
    <t xml:space="preserve">ATRAZINA 900 WG BINNONG</t>
  </si>
  <si>
    <t xml:space="preserve">21016.005190/2024-38</t>
  </si>
  <si>
    <t xml:space="preserve">GNC008</t>
  </si>
  <si>
    <t xml:space="preserve">Bacillus licheniformis; Bacillus subtilis; Trichoderma asperellum; Purpureocillium lilacinum</t>
  </si>
  <si>
    <t xml:space="preserve">21000.024962/2019-42</t>
  </si>
  <si>
    <t xml:space="preserve">ARRANTOOL</t>
  </si>
  <si>
    <t xml:space="preserve">Aminopiralide; 2,4-D-triisopropilamina</t>
  </si>
  <si>
    <t xml:space="preserve">21000.056251/2018-56</t>
  </si>
  <si>
    <t xml:space="preserve">PLAYPLUS WG</t>
  </si>
  <si>
    <t xml:space="preserve"> Glifosato, sal de amônio</t>
  </si>
  <si>
    <t xml:space="preserve">21000.071087/2019-98</t>
  </si>
  <si>
    <t xml:space="preserve">WYNSATEWG</t>
  </si>
  <si>
    <t xml:space="preserve">Glifosato, Sal de Amônio </t>
  </si>
  <si>
    <t xml:space="preserve">21000.061721/2016-31</t>
  </si>
  <si>
    <t xml:space="preserve">SPIRODICLOFEN 240 g/L SC</t>
  </si>
  <si>
    <t xml:space="preserve">Espirodiclofeno </t>
  </si>
  <si>
    <t xml:space="preserve">21000.019713/2016-92</t>
  </si>
  <si>
    <t xml:space="preserve">ATRAZINE 500 g/L SC</t>
  </si>
  <si>
    <t xml:space="preserve">21000.061732/2016-11</t>
  </si>
  <si>
    <t xml:space="preserve">AZOXYSTROBIN 250 g/L SC</t>
  </si>
  <si>
    <t xml:space="preserve">Azoxistrobina​</t>
  </si>
  <si>
    <t xml:space="preserve">21016.005737/2024-03</t>
  </si>
  <si>
    <t xml:space="preserve">MB CONTROL; BOVEX; NATTY; ACCION FUNGI; RAUBTIER  </t>
  </si>
  <si>
    <t xml:space="preserve"> Beauveria bassiana, isolado IBCB 66; Metarhizium anisopliae, isolado IBCB 425</t>
  </si>
  <si>
    <t xml:space="preserve">21000.046071/2017-85</t>
  </si>
  <si>
    <t xml:space="preserve">AZOXYSTROBIN SINO-AGRI 250 g/L SC</t>
  </si>
  <si>
    <t xml:space="preserve"> Lemma</t>
  </si>
  <si>
    <t xml:space="preserve">21000.070079/2020-68</t>
  </si>
  <si>
    <t xml:space="preserve">PROTHIOCONAZOLE 250 EC YONON</t>
  </si>
  <si>
    <t xml:space="preserve">Yonon </t>
  </si>
  <si>
    <t xml:space="preserve">21016.001994/2024-68</t>
  </si>
  <si>
    <t xml:space="preserve">EASY SPIR</t>
  </si>
  <si>
    <t xml:space="preserve">Beaveria bassiana, isolado IBCB 66; Metarhizium anisopliae, isolado IBCB 425</t>
  </si>
  <si>
    <t xml:space="preserve">21000.083503/2020-34</t>
  </si>
  <si>
    <t xml:space="preserve">CITROPYR 40 SC</t>
  </si>
  <si>
    <t xml:space="preserve">21000.047794/2021-88</t>
  </si>
  <si>
    <t xml:space="preserve">PROSOY T</t>
  </si>
  <si>
    <t xml:space="preserve">21000.053190/2017-94</t>
  </si>
  <si>
    <t xml:space="preserve"> BIFENTRINA 100 EC CROPCHEM</t>
  </si>
  <si>
    <t xml:space="preserve">21000.056443/2020-87</t>
  </si>
  <si>
    <t xml:space="preserve">MOOD</t>
  </si>
  <si>
    <t xml:space="preserve">21000.081012/2020-59</t>
  </si>
  <si>
    <t xml:space="preserve">HEX-DIRON 600 WG</t>
  </si>
  <si>
    <t xml:space="preserve">Hexazinona; Diurom</t>
  </si>
  <si>
    <t xml:space="preserve">21016.000955/2024-43</t>
  </si>
  <si>
    <t xml:space="preserve">METARHIZIUM LEVEN 03 WP</t>
  </si>
  <si>
    <t xml:space="preserve">Leven</t>
  </si>
  <si>
    <t xml:space="preserve">21016.000951/2024-65</t>
  </si>
  <si>
    <t xml:space="preserve">METARHIZIUM LEVEN 01 WP</t>
  </si>
  <si>
    <t xml:space="preserve">21016.008308/2023-07</t>
  </si>
  <si>
    <t xml:space="preserve">BEAUVERIA LEVEN 03 WP</t>
  </si>
  <si>
    <t xml:space="preserve">21016.008062/2023-65</t>
  </si>
  <si>
    <t xml:space="preserve">BEAUVERIA LEVEN L01 WP</t>
  </si>
  <si>
    <t xml:space="preserve">21016.004695/2024-85</t>
  </si>
  <si>
    <t xml:space="preserve">G BIO TRIX</t>
  </si>
  <si>
    <t xml:space="preserve"> Indústria Química Guerra</t>
  </si>
  <si>
    <t xml:space="preserve">21016.004607/2024-45</t>
  </si>
  <si>
    <t xml:space="preserve">G BIO STERMINARE</t>
  </si>
  <si>
    <t xml:space="preserve">  Indústria Química Guerra</t>
  </si>
  <si>
    <t xml:space="preserve">21016.007394/2023-22</t>
  </si>
  <si>
    <t xml:space="preserve">BTP 068-20SC-AB</t>
  </si>
  <si>
    <t xml:space="preserve">Bacillus thuringiensis, isolados CCTB22, CCTB23 e CCTB25</t>
  </si>
  <si>
    <t xml:space="preserve">21016.004406/2023-67</t>
  </si>
  <si>
    <t xml:space="preserve">BTP 169-21 EW  </t>
  </si>
  <si>
    <t xml:space="preserve">Extrato de Manjericão</t>
  </si>
  <si>
    <t xml:space="preserve">21000.085278/2020-71</t>
  </si>
  <si>
    <t xml:space="preserve">KILLIGAN</t>
  </si>
  <si>
    <t xml:space="preserve">21000.028818/2020-19</t>
  </si>
  <si>
    <t xml:space="preserve">GRASIDIM PLUS</t>
  </si>
  <si>
    <t xml:space="preserve"> Cletodim; Haloxifope-P-Metílico</t>
  </si>
  <si>
    <t xml:space="preserve">21016.007381/2024-34</t>
  </si>
  <si>
    <t xml:space="preserve">EFICAZ</t>
  </si>
  <si>
    <t xml:space="preserve">Bacillus velezensis (BRM046334); Paenibacillus ottowii (BRM05345)</t>
  </si>
  <si>
    <t xml:space="preserve">21000.083009/2019-36</t>
  </si>
  <si>
    <t xml:space="preserve">ALPES 970 SG</t>
  </si>
  <si>
    <t xml:space="preserve">21016.003220/2024-71</t>
  </si>
  <si>
    <t xml:space="preserve">SIMBI 28</t>
  </si>
  <si>
    <t xml:space="preserve">Trichoderma asperellum (BRM-29104) e (BRM-295760)</t>
  </si>
  <si>
    <t xml:space="preserve">21016.006763/2024-41</t>
  </si>
  <si>
    <t xml:space="preserve">SfMNPV 003 LC</t>
  </si>
  <si>
    <t xml:space="preserve">Spodoptera frugiperda multiple nucleopolyhedrovirus (SfMNPV), isolado NPV003</t>
  </si>
  <si>
    <t xml:space="preserve">Mitsui &amp; Co </t>
  </si>
  <si>
    <t xml:space="preserve">21016.006964/2023-67</t>
  </si>
  <si>
    <t xml:space="preserve">ISONET-T</t>
  </si>
  <si>
    <t xml:space="preserve">Acetato de (E,Z,Z)-3,8,11-Tetradecatrienila; Acetato de (E,Z)-3,8-Tetradecadienila</t>
  </si>
  <si>
    <t xml:space="preserve">21000.026727/2019-13</t>
  </si>
  <si>
    <t xml:space="preserve">S-METOLACHLOR AGROGILL 960EC</t>
  </si>
  <si>
    <t xml:space="preserve">21016.002055/2021-98</t>
  </si>
  <si>
    <t xml:space="preserve">VULTER</t>
  </si>
  <si>
    <t xml:space="preserve">21016.005821/2021-76</t>
  </si>
  <si>
    <t xml:space="preserve">MESOSURE</t>
  </si>
  <si>
    <t xml:space="preserve">21000.048884/2021-96</t>
  </si>
  <si>
    <t xml:space="preserve">MESO UP</t>
  </si>
  <si>
    <t xml:space="preserve">21016.006836/2023-13</t>
  </si>
  <si>
    <t xml:space="preserve">BTP 170-21</t>
  </si>
  <si>
    <t xml:space="preserve">21016.008344/2023-62</t>
  </si>
  <si>
    <t xml:space="preserve">RRE-03</t>
  </si>
  <si>
    <t xml:space="preserve">Pochonia chlamydosporia, cepa Pc 10</t>
  </si>
  <si>
    <t xml:space="preserve">Stoller</t>
  </si>
  <si>
    <t xml:space="preserve">21016.008543/2024-51</t>
  </si>
  <si>
    <t xml:space="preserve">QUESTBEAUVE DRY</t>
  </si>
  <si>
    <t xml:space="preserve">F1rst Agbiotech</t>
  </si>
  <si>
    <t xml:space="preserve">21016.007806/2024-13</t>
  </si>
  <si>
    <t xml:space="preserve">BioMB</t>
  </si>
  <si>
    <t xml:space="preserve">Biossíntese</t>
  </si>
  <si>
    <t xml:space="preserve">21000.006686/2014-26</t>
  </si>
  <si>
    <t xml:space="preserve">CIGARAL 600 FS</t>
  </si>
  <si>
    <t xml:space="preserve"> ANASAC </t>
  </si>
  <si>
    <t xml:space="preserve">21000.012870/2021-34</t>
  </si>
  <si>
    <t xml:space="preserve">DIU-GAR 800</t>
  </si>
  <si>
    <t xml:space="preserve">Diurom</t>
  </si>
  <si>
    <t xml:space="preserve">21000.012865/2021-21</t>
  </si>
  <si>
    <t xml:space="preserve"> DIURON 800 NX </t>
  </si>
  <si>
    <t xml:space="preserve">21016.000511/2024-16</t>
  </si>
  <si>
    <t xml:space="preserve">HARZIT</t>
  </si>
  <si>
    <t xml:space="preserve">21000.023445/2018-75</t>
  </si>
  <si>
    <t xml:space="preserve">FIPRONIL WOOD 800 WG</t>
  </si>
  <si>
    <t xml:space="preserve">21000.067517/2020-19</t>
  </si>
  <si>
    <t xml:space="preserve">FLUMIOXAZIN 480 SC BINNONG</t>
  </si>
  <si>
    <t xml:space="preserve">21000.050235/2018-50</t>
  </si>
  <si>
    <t xml:space="preserve"> BUDBREAK 52SL</t>
  </si>
  <si>
    <t xml:space="preserve">Cianamida</t>
  </si>
  <si>
    <t xml:space="preserve">ANASAC</t>
  </si>
  <si>
    <t xml:space="preserve">21016.005824/2021-18</t>
  </si>
  <si>
    <t xml:space="preserve">MIRAVIS TRIO WG</t>
  </si>
  <si>
    <t xml:space="preserve">Pidiflumetofem; Benzovindiflupir; Ciproconazol</t>
  </si>
  <si>
    <t xml:space="preserve">21016.008092/2024-52</t>
  </si>
  <si>
    <t xml:space="preserve">MACAN</t>
  </si>
  <si>
    <t xml:space="preserve">Bacillus velezensis, isolado CECT8237</t>
  </si>
  <si>
    <t xml:space="preserve">21000.019030/2017-16</t>
  </si>
  <si>
    <t xml:space="preserve">MODAN</t>
  </si>
  <si>
    <t xml:space="preserve">Trinexapaque-etílico</t>
  </si>
  <si>
    <t xml:space="preserve">21000.059411/2020-33</t>
  </si>
  <si>
    <t xml:space="preserve">HDB 259A</t>
  </si>
  <si>
    <t xml:space="preserve">Sulfentrazona; Flumioxazina</t>
  </si>
  <si>
    <t xml:space="preserve">21000.035683/2020-48</t>
  </si>
  <si>
    <t xml:space="preserve">PROTIOCONAZOL + TRIFLOXISTROBINA CROPCHEM</t>
  </si>
  <si>
    <t xml:space="preserve"> CropChem</t>
  </si>
  <si>
    <t xml:space="preserve">21000.118730/2022-50</t>
  </si>
  <si>
    <t xml:space="preserve">ATOL TRIO</t>
  </si>
  <si>
    <t xml:space="preserve">S-Metolacloro; Atrazina; Mesotriona</t>
  </si>
  <si>
    <t xml:space="preserve">21000.030126/2018-16</t>
  </si>
  <si>
    <t xml:space="preserve">LEONE</t>
  </si>
  <si>
    <t xml:space="preserve">21016.008542/2024-15</t>
  </si>
  <si>
    <t xml:space="preserve">QUESTMETA DRY</t>
  </si>
  <si>
    <t xml:space="preserve">21016.008925/2021-32</t>
  </si>
  <si>
    <t xml:space="preserve">POLESTAR</t>
  </si>
  <si>
    <t xml:space="preserve">21000.006022/2014-67</t>
  </si>
  <si>
    <t xml:space="preserve">CIGARAL WG</t>
  </si>
  <si>
    <t xml:space="preserve">21000.089073/2021-45</t>
  </si>
  <si>
    <t xml:space="preserve">CIATIDE</t>
  </si>
  <si>
    <t xml:space="preserve">TIDE</t>
  </si>
  <si>
    <t xml:space="preserve">21000.124094/2022-03</t>
  </si>
  <si>
    <t xml:space="preserve">GUNTER PRO</t>
  </si>
  <si>
    <t xml:space="preserve">21016.004115/2022-98</t>
  </si>
  <si>
    <t xml:space="preserve">ARCADE</t>
  </si>
  <si>
    <t xml:space="preserve">21016.000751/2024-11</t>
  </si>
  <si>
    <t xml:space="preserve">CROMOBAC; CHROMOTRIX</t>
  </si>
  <si>
    <t xml:space="preserve">Chromobacterium subtsugae, Cepa ASN04/CCT 7912</t>
  </si>
  <si>
    <t xml:space="preserve">Agrobiológica</t>
  </si>
  <si>
    <t xml:space="preserve">21000.097619/2021-31</t>
  </si>
  <si>
    <t xml:space="preserve">PARTNER 840 WG</t>
  </si>
  <si>
    <t xml:space="preserve">21000.079235/2019-12</t>
  </si>
  <si>
    <t xml:space="preserve">FOSFETO ALUMI  </t>
  </si>
  <si>
    <t xml:space="preserve">21000.042651/2021-80</t>
  </si>
  <si>
    <t xml:space="preserve">FERRETI EC</t>
  </si>
  <si>
    <t xml:space="preserve">Fluroxipir-Meptílico; Triclopir Butotílico</t>
  </si>
  <si>
    <t xml:space="preserve">BRA </t>
  </si>
  <si>
    <t xml:space="preserve">21016.007460/2024-45</t>
  </si>
  <si>
    <t xml:space="preserve">KILLGGA</t>
  </si>
  <si>
    <t xml:space="preserve">Extrato de alcalóides de Argemone mexicana</t>
  </si>
  <si>
    <t xml:space="preserve">Omex </t>
  </si>
  <si>
    <t xml:space="preserve">21016.007361/2024-63</t>
  </si>
  <si>
    <t xml:space="preserve">ECODUO</t>
  </si>
  <si>
    <t xml:space="preserve">Beauveria bassiana isolado IBCB 66; Metarhizium anisopliae, isolado IBCB 425</t>
  </si>
  <si>
    <t xml:space="preserve"> Toyobo</t>
  </si>
  <si>
    <t xml:space="preserve">21000.083559/2020-99</t>
  </si>
  <si>
    <t xml:space="preserve">PYL 400 SC</t>
  </si>
  <si>
    <t xml:space="preserve">21016.006678/2023-00</t>
  </si>
  <si>
    <t xml:space="preserve">NATUK</t>
  </si>
  <si>
    <t xml:space="preserve">Tephrosia candida</t>
  </si>
  <si>
    <t xml:space="preserve">Rawell</t>
  </si>
  <si>
    <t xml:space="preserve">21016.009966/2021-46</t>
  </si>
  <si>
    <t xml:space="preserve">MESON DUO</t>
  </si>
  <si>
    <t xml:space="preserve">Mesotriona; Atrazina</t>
  </si>
  <si>
    <t xml:space="preserve">21000.071878/2020-51</t>
  </si>
  <si>
    <t xml:space="preserve">PROEZA DUO</t>
  </si>
  <si>
    <t xml:space="preserve">Fluroxipir-Meptílico; Triclopir-Butotílico</t>
  </si>
  <si>
    <t xml:space="preserve">21000.055919/2018-48</t>
  </si>
  <si>
    <t xml:space="preserve">CIPERMETRINA NORTOX</t>
  </si>
  <si>
    <t xml:space="preserve">Cipermetrina</t>
  </si>
  <si>
    <t xml:space="preserve">21000.081715/2020-87</t>
  </si>
  <si>
    <t xml:space="preserve">GLUFOSINATO NORTOX 880 SG</t>
  </si>
  <si>
    <t xml:space="preserve">21016.002985/2021-41</t>
  </si>
  <si>
    <t xml:space="preserve">TERBUTILAZINA 500 SC CROPCHEM II</t>
  </si>
  <si>
    <t xml:space="preserve">21000.066449/2022-24</t>
  </si>
  <si>
    <t xml:space="preserve">PYROX</t>
  </si>
  <si>
    <t xml:space="preserve">Imazetapir; Flumioxazina</t>
  </si>
  <si>
    <t xml:space="preserve">21016.008544/2024-04</t>
  </si>
  <si>
    <t xml:space="preserve">QUESTTRICHO DRY</t>
  </si>
  <si>
    <t xml:space="preserve">21016.004265/2024-63</t>
  </si>
  <si>
    <t xml:space="preserve">MEGATERYD FR 25</t>
  </si>
  <si>
    <t xml:space="preserve">Priestia megaterium, cepa CCT 1623</t>
  </si>
  <si>
    <t xml:space="preserve">21016.008463/2024-04</t>
  </si>
  <si>
    <t xml:space="preserve">GNC017</t>
  </si>
  <si>
    <t xml:space="preserve">Beauveria bassiana, IBCB 66; Cordyceps javanica, IBCB 638.</t>
  </si>
  <si>
    <t xml:space="preserve">21016.008287/2023-11</t>
  </si>
  <si>
    <t xml:space="preserve">HEARNPV ABT 02</t>
  </si>
  <si>
    <t xml:space="preserve">Helicoverpa armigera nucleopolihedrovirus (HearNPV)</t>
  </si>
  <si>
    <t xml:space="preserve">AgBitech</t>
  </si>
  <si>
    <t xml:space="preserve">21016.007041/2023-22</t>
  </si>
  <si>
    <t xml:space="preserve">LOGFRESH</t>
  </si>
  <si>
    <t xml:space="preserve">Metilciclopropeno</t>
  </si>
  <si>
    <t xml:space="preserve">21000.089415/2021-27</t>
  </si>
  <si>
    <t xml:space="preserve">TINK 725WG</t>
  </si>
  <si>
    <t xml:space="preserve">21016.007422/2024-92</t>
  </si>
  <si>
    <t xml:space="preserve">GNC013</t>
  </si>
  <si>
    <t xml:space="preserve">Bacillus licheniformis, CBMAI 2639; Bacillus velezensis, CBMAI 2618; Priestia megaterium, CBMAI 2940</t>
  </si>
  <si>
    <t xml:space="preserve">AgBitech </t>
  </si>
  <si>
    <t xml:space="preserve">21000.010000/2018-25</t>
  </si>
  <si>
    <t xml:space="preserve">GLUFOSINATE-AMMONIUM WOOD 200 SL</t>
  </si>
  <si>
    <t xml:space="preserve">21000.021098/2018-46</t>
  </si>
  <si>
    <t xml:space="preserve">ISOXAFLUTOLE 750 g/Kg WG</t>
  </si>
  <si>
    <t xml:space="preserve">21016.008762/2024-31</t>
  </si>
  <si>
    <t xml:space="preserve">TRICHODERMIL FS</t>
  </si>
  <si>
    <t xml:space="preserve">21000.022112/2017-48</t>
  </si>
  <si>
    <t xml:space="preserve">ESPIRODICLOFEN NORTOX</t>
  </si>
  <si>
    <t xml:space="preserve">21016.001169/2022-00</t>
  </si>
  <si>
    <t xml:space="preserve">PILARGOLD</t>
  </si>
  <si>
    <t xml:space="preserve">21016.001373/2022-12</t>
  </si>
  <si>
    <t xml:space="preserve">CLORANTRANILIPROLE M NORTOX</t>
  </si>
  <si>
    <t xml:space="preserve">Clorantraniliprole; Metomil</t>
  </si>
  <si>
    <t xml:space="preserve">21016.002266/2024-73</t>
  </si>
  <si>
    <t xml:space="preserve">SUPERGUARD PRO</t>
  </si>
  <si>
    <t xml:space="preserve">Bacillus pumilus BAC114; Bacillus subtilis BAC059</t>
  </si>
  <si>
    <t xml:space="preserve">21016.002261/2024-41</t>
  </si>
  <si>
    <t xml:space="preserve">ZENSIS; TILLEZ </t>
  </si>
  <si>
    <t xml:space="preserve">Bacillus licheniformis BAC112; Bacillus subtilis BAC059</t>
  </si>
  <si>
    <t xml:space="preserve">21000.063634/2020-03</t>
  </si>
  <si>
    <t xml:space="preserve">EMZEB FLOW</t>
  </si>
  <si>
    <t xml:space="preserve"> Mancozebe</t>
  </si>
  <si>
    <t xml:space="preserve">21016.008151/2023-10</t>
  </si>
  <si>
    <t xml:space="preserve">HARVESTHOLD FRESH</t>
  </si>
  <si>
    <t xml:space="preserve">21016.000454/2023-86</t>
  </si>
  <si>
    <t xml:space="preserve">WYNPHOSATE, WYNPHOSATE 720 WG, SUNPHOSATE 720 WG</t>
  </si>
  <si>
    <t xml:space="preserve">21000.075526/2020-75</t>
  </si>
  <si>
    <t xml:space="preserve">S-METOLACHLOR 960 EC BINNONG</t>
  </si>
  <si>
    <t xml:space="preserve"> S-Metolacloro</t>
  </si>
  <si>
    <t xml:space="preserve">21000.026737/2021-65</t>
  </si>
  <si>
    <t xml:space="preserve">MARFIN 230 ME</t>
  </si>
  <si>
    <t xml:space="preserve">Tetraconazol</t>
  </si>
  <si>
    <t xml:space="preserve">21016.008382/2024-04</t>
  </si>
  <si>
    <t xml:space="preserve">BIOCORYM</t>
  </si>
  <si>
    <t xml:space="preserve">Cordyceps javanica, isolado ESALQ 3428</t>
  </si>
  <si>
    <t xml:space="preserve">Oligos</t>
  </si>
  <si>
    <t xml:space="preserve">21000.010805/2012-83</t>
  </si>
  <si>
    <t xml:space="preserve">80 FLUROXIPYR MEPTILICO 80 PICLORAM CCAB ME</t>
  </si>
  <si>
    <t xml:space="preserve">Fluroxipir-Meptílico; Picloram</t>
  </si>
  <si>
    <t xml:space="preserve">21016.008366/2021-61</t>
  </si>
  <si>
    <t xml:space="preserve">CAMPOSATO 720 WG</t>
  </si>
  <si>
    <t xml:space="preserve">21000.023818/2022-94</t>
  </si>
  <si>
    <t xml:space="preserve">SLUXX</t>
  </si>
  <si>
    <t xml:space="preserve">Fosfato férrico</t>
  </si>
  <si>
    <t xml:space="preserve">W. Neudorff </t>
  </si>
  <si>
    <t xml:space="preserve">21016.004881/2024-14</t>
  </si>
  <si>
    <t xml:space="preserve">DEF-MIC-089-24</t>
  </si>
  <si>
    <t xml:space="preserve">Bacillus velezensis, isolado CCTB09</t>
  </si>
  <si>
    <t xml:space="preserve">21016.008239/2024-12</t>
  </si>
  <si>
    <t xml:space="preserve">BIOASPER</t>
  </si>
  <si>
    <t xml:space="preserve">Trichoderma asperelloides, isolado ESALQ 2946</t>
  </si>
  <si>
    <t xml:space="preserve">21016.009044/2024-81</t>
  </si>
  <si>
    <t xml:space="preserve">BNC 03</t>
  </si>
  <si>
    <t xml:space="preserve">Bacillus amyloliquefaciens CCT8135; Bacillus velezensis CCT8136 </t>
  </si>
  <si>
    <t xml:space="preserve"> Companhia</t>
  </si>
  <si>
    <t xml:space="preserve">21000.054888/2021-11</t>
  </si>
  <si>
    <t xml:space="preserve">SCLA 330402</t>
  </si>
  <si>
    <t xml:space="preserve">Fluroxipir-Meptílico; Picloram; Triclopir-Butotílico</t>
  </si>
  <si>
    <t xml:space="preserve"> Sumitomo</t>
  </si>
  <si>
    <t xml:space="preserve">21016.007514/2023-91</t>
  </si>
  <si>
    <t xml:space="preserve">BTP 002-18AB</t>
  </si>
  <si>
    <t xml:space="preserve">Bacillus subtilis, isolado CCTB 04</t>
  </si>
  <si>
    <t xml:space="preserve">21016.008391/2024-97</t>
  </si>
  <si>
    <t xml:space="preserve">BETHA</t>
  </si>
  <si>
    <t xml:space="preserve">21016.004829/2024-68</t>
  </si>
  <si>
    <t xml:space="preserve">BI2024-02</t>
  </si>
  <si>
    <t xml:space="preserve">Beauveria bassiana, isolado BALL 6-2; Isaria javanica, isolado URM 7662</t>
  </si>
  <si>
    <t xml:space="preserve">21000.069196/2021-60</t>
  </si>
  <si>
    <t xml:space="preserve">JANGADA</t>
  </si>
  <si>
    <t xml:space="preserve">21016.009887/2021-35</t>
  </si>
  <si>
    <t xml:space="preserve">FAISÃO</t>
  </si>
  <si>
    <t xml:space="preserve">21016.000387/2024-81</t>
  </si>
  <si>
    <t xml:space="preserve">MAC-BEAUVERIA</t>
  </si>
  <si>
    <t xml:space="preserve">Mac-Café</t>
  </si>
  <si>
    <t xml:space="preserve">21016.007898/2023-42</t>
  </si>
  <si>
    <t xml:space="preserve">NODUMIX L</t>
  </si>
  <si>
    <t xml:space="preserve">Noduagri</t>
  </si>
  <si>
    <t xml:space="preserve">21016.002934/2024-62</t>
  </si>
  <si>
    <t xml:space="preserve">SUBTILLYD FR 25</t>
  </si>
  <si>
    <t xml:space="preserve">Bacillus subtilis, cepa CCT 1331</t>
  </si>
  <si>
    <t xml:space="preserve">21016.005345/2023-55</t>
  </si>
  <si>
    <t xml:space="preserve">VIDRE+</t>
  </si>
  <si>
    <t xml:space="preserve">21016.000491/2024-75</t>
  </si>
  <si>
    <t xml:space="preserve"> SLT - 07</t>
  </si>
  <si>
    <t xml:space="preserve">21000.063640/2020-52</t>
  </si>
  <si>
    <t xml:space="preserve">COROZEB FLOW</t>
  </si>
  <si>
    <t xml:space="preserve">21016.007563/2024-13</t>
  </si>
  <si>
    <t xml:space="preserve">EASY THARZ</t>
  </si>
  <si>
    <t xml:space="preserve">21000.058622/2019-15</t>
  </si>
  <si>
    <t xml:space="preserve"> OPTERAPRO</t>
  </si>
  <si>
    <t xml:space="preserve">21000.063632/2020-14</t>
  </si>
  <si>
    <t xml:space="preserve">COROZEB PLATINA</t>
  </si>
  <si>
    <t xml:space="preserve">Sabero</t>
  </si>
  <si>
    <t xml:space="preserve">21016.009148/2024-96</t>
  </si>
  <si>
    <t xml:space="preserve">PLC 03  </t>
  </si>
  <si>
    <t xml:space="preserve">21000.072164/2021-41</t>
  </si>
  <si>
    <t xml:space="preserve">PRESTICOR</t>
  </si>
  <si>
    <t xml:space="preserve">21000.041557/2020-22</t>
  </si>
  <si>
    <t xml:space="preserve">SEEKER</t>
  </si>
  <si>
    <t xml:space="preserve">21000.042395/2020-40</t>
  </si>
  <si>
    <t xml:space="preserve"> SPYRALE</t>
  </si>
  <si>
    <t xml:space="preserve">Fenpropidin; Difenoconazol</t>
  </si>
  <si>
    <t xml:space="preserve">21000.005873/2019-05</t>
  </si>
  <si>
    <t xml:space="preserve">BIODATA 200 SL</t>
  </si>
  <si>
    <t xml:space="preserve">21000.076968/2020-39</t>
  </si>
  <si>
    <t xml:space="preserve">HERBISOL 200 SL</t>
  </si>
  <si>
    <t xml:space="preserve">21000.050156/2021-44</t>
  </si>
  <si>
    <t xml:space="preserve">SALIBRO SC</t>
  </si>
  <si>
    <t xml:space="preserve">21000.036717/2020-11</t>
  </si>
  <si>
    <t xml:space="preserve">CLODINAFOPE 240 EC CROPCHEM II</t>
  </si>
  <si>
    <t xml:space="preserve">21000.111052/2021-13</t>
  </si>
  <si>
    <t xml:space="preserve">SALIBRO</t>
  </si>
  <si>
    <t xml:space="preserve">21000.060151/2020-49</t>
  </si>
  <si>
    <t xml:space="preserve"> AMINOPYRALID + 2,4-D YONON</t>
  </si>
  <si>
    <t xml:space="preserve">21000.040932/2016-31</t>
  </si>
  <si>
    <t xml:space="preserve">EVITO T</t>
  </si>
  <si>
    <t xml:space="preserve">Fluoxastrobina; Tebuconazol</t>
  </si>
  <si>
    <t xml:space="preserve">21000.018565/2019-31</t>
  </si>
  <si>
    <t xml:space="preserve">METRIMIL 48% SC</t>
  </si>
  <si>
    <t xml:space="preserve">21000.076738/2020-70</t>
  </si>
  <si>
    <t xml:space="preserve">VANIVA</t>
  </si>
  <si>
    <t xml:space="preserve">21000.076734/2020-91</t>
  </si>
  <si>
    <t xml:space="preserve">VANIVA SC</t>
  </si>
  <si>
    <t xml:space="preserve"> Ciclobutrifluram</t>
  </si>
  <si>
    <t xml:space="preserve">21016.000932/2022-77</t>
  </si>
  <si>
    <t xml:space="preserve">ACRIBIA DUO</t>
  </si>
  <si>
    <t xml:space="preserve">21016.004128/2024-29</t>
  </si>
  <si>
    <t xml:space="preserve">IN-21-02</t>
  </si>
  <si>
    <t xml:space="preserve">Bacillus inaquosorum (isolado CBMAI 2783); Bacillus licheniformis (isolado CBMAI 2779); Bacillus velezensis (isolado CBMAI 2781)</t>
  </si>
  <si>
    <t xml:space="preserve">21016.001219/2024-11</t>
  </si>
  <si>
    <t xml:space="preserve">MTH</t>
  </si>
  <si>
    <t xml:space="preserve">Metarhizium anisopliae isolado IBCB 425</t>
  </si>
  <si>
    <t xml:space="preserve">21016.005660/2024-63</t>
  </si>
  <si>
    <t xml:space="preserve">TRICHOCARE G; TRICHOFORT G; ECOTRICHO G</t>
  </si>
  <si>
    <t xml:space="preserve">Trichogramma galloi</t>
  </si>
  <si>
    <t xml:space="preserve">21000.029534/2020-40</t>
  </si>
  <si>
    <t xml:space="preserve">ROUNDUP XTEND</t>
  </si>
  <si>
    <t xml:space="preserve">Glifosato; Dicamba</t>
  </si>
  <si>
    <t xml:space="preserve">21016.009079/2024-11</t>
  </si>
  <si>
    <t xml:space="preserve">BEMIEX</t>
  </si>
  <si>
    <t xml:space="preserve"> COMDEAGRO</t>
  </si>
  <si>
    <t xml:space="preserve">21016.007720/2024-82</t>
  </si>
  <si>
    <t xml:space="preserve">IN-24-32</t>
  </si>
  <si>
    <t xml:space="preserve">21016.007722/2024-71</t>
  </si>
  <si>
    <t xml:space="preserve">IN-24-41</t>
  </si>
  <si>
    <t xml:space="preserve">21016.008763/2021-32</t>
  </si>
  <si>
    <t xml:space="preserve">CROSS OUT</t>
  </si>
  <si>
    <t xml:space="preserve">Glufosinato-Sal de Amônio</t>
  </si>
  <si>
    <t xml:space="preserve">21000.054942/2017-34</t>
  </si>
  <si>
    <t xml:space="preserve">LINCE BR</t>
  </si>
  <si>
    <t xml:space="preserve">Atrazina; Mesotriona</t>
  </si>
  <si>
    <t xml:space="preserve">21000.022912/2021-45</t>
  </si>
  <si>
    <t xml:space="preserve">ENZOSTA</t>
  </si>
  <si>
    <t xml:space="preserve">CTVA </t>
  </si>
  <si>
    <t xml:space="preserve">21000.022917/2021-78</t>
  </si>
  <si>
    <t xml:space="preserve">LORMELO</t>
  </si>
  <si>
    <t xml:space="preserve"> CTVA</t>
  </si>
  <si>
    <t xml:space="preserve">21000.097245/2021-54</t>
  </si>
  <si>
    <t xml:space="preserve"> TROKINTA</t>
  </si>
  <si>
    <t xml:space="preserve">21000.097241/2021-76</t>
  </si>
  <si>
    <t xml:space="preserve">YELDANA</t>
  </si>
  <si>
    <t xml:space="preserve">21000.086969/2021-72</t>
  </si>
  <si>
    <t xml:space="preserve">PRADO WG</t>
  </si>
  <si>
    <t xml:space="preserve">21000.062293/2020-41</t>
  </si>
  <si>
    <t xml:space="preserve">HDB 276M</t>
  </si>
  <si>
    <t xml:space="preserve">Clorotalonil; Tebuconazol</t>
  </si>
  <si>
    <t xml:space="preserve">21016.007723/2024-16</t>
  </si>
  <si>
    <t xml:space="preserve">IN-24-42</t>
  </si>
  <si>
    <t xml:space="preserve">21016.002311/2024-90</t>
  </si>
  <si>
    <t xml:space="preserve">GNC006B</t>
  </si>
  <si>
    <t xml:space="preserve">Trichoderma asperellum (CBMAI 1622)</t>
  </si>
  <si>
    <t xml:space="preserve">21000.080680/2022-21</t>
  </si>
  <si>
    <t xml:space="preserve">FLUMIOXAZIM 500 SC LIER</t>
  </si>
  <si>
    <t xml:space="preserve">21000.023615/2021-17</t>
  </si>
  <si>
    <t xml:space="preserve">DICAMBA 480 SL YONON</t>
  </si>
  <si>
    <t xml:space="preserve">21016.009149/2021-98</t>
  </si>
  <si>
    <t xml:space="preserve">SPIREEL</t>
  </si>
  <si>
    <t xml:space="preserve">21016.008903/2021-72</t>
  </si>
  <si>
    <t xml:space="preserve">TEBUCONAZOLE 500 + TRIFLOXISTROBINA 250 WG AGROIMPORT</t>
  </si>
  <si>
    <t xml:space="preserve">Agro Import</t>
  </si>
  <si>
    <t xml:space="preserve">21016.008363/2024-70</t>
  </si>
  <si>
    <t xml:space="preserve">NEMAEND JCO</t>
  </si>
  <si>
    <t xml:space="preserve">Purpureocilium lilacinum, cepa CMBAI 2480</t>
  </si>
  <si>
    <t xml:space="preserve">JCO</t>
  </si>
  <si>
    <t xml:space="preserve">21000.054133/2018-11</t>
  </si>
  <si>
    <t xml:space="preserve">TOPQUAT</t>
  </si>
  <si>
    <t xml:space="preserve">Suno</t>
  </si>
  <si>
    <t xml:space="preserve">21016.000431/2023-71</t>
  </si>
  <si>
    <t xml:space="preserve">ESFINGE</t>
  </si>
  <si>
    <t xml:space="preserve">2,4-D-Dimetilamina; Aminopiralide</t>
  </si>
  <si>
    <t xml:space="preserve">21016.008351/2023-64</t>
  </si>
  <si>
    <t xml:space="preserve">SLT 01</t>
  </si>
  <si>
    <t xml:space="preserve"> Purpureocillium lilacinum Cepa CBMAI 2833</t>
  </si>
  <si>
    <t xml:space="preserve"> Solatus</t>
  </si>
  <si>
    <t xml:space="preserve">21016.009351/2021-10</t>
  </si>
  <si>
    <t xml:space="preserve"> REFLECT TOP</t>
  </si>
  <si>
    <t xml:space="preserve">21016.009216/2024-17</t>
  </si>
  <si>
    <t xml:space="preserve">BIOFOLL</t>
  </si>
  <si>
    <t xml:space="preserve">Beauveria bassiana CCT8006; Metarhizium anisopliae CCT8019; Bacillus thuringiensis CCT8018</t>
  </si>
  <si>
    <t xml:space="preserve">Serquibio </t>
  </si>
  <si>
    <t xml:space="preserve">21000.085281/2020-94</t>
  </si>
  <si>
    <t xml:space="preserve">FLUMISAIL</t>
  </si>
  <si>
    <t xml:space="preserve">21016.008097/2024-85</t>
  </si>
  <si>
    <t xml:space="preserve">COMPANION MAXX WP</t>
  </si>
  <si>
    <t xml:space="preserve">Bacillus amyloliquefaciens cepa ENV503</t>
  </si>
  <si>
    <t xml:space="preserve">21016.002638/2024-61</t>
  </si>
  <si>
    <t xml:space="preserve"> SLT 02</t>
  </si>
  <si>
    <t xml:space="preserve">Cordyceps javanica, CBMAI 283</t>
  </si>
  <si>
    <t xml:space="preserve">21016.003190/2024-01</t>
  </si>
  <si>
    <t xml:space="preserve"> SUPERGUARD LIQ</t>
  </si>
  <si>
    <t xml:space="preserve">Bacillus subtillis BAC059; Bacillus subtillis BAC116</t>
  </si>
  <si>
    <t xml:space="preserve">21000.049640/2019-14</t>
  </si>
  <si>
    <t xml:space="preserve">OPTERADUO</t>
  </si>
  <si>
    <t xml:space="preserve">21000.064736/2020-38</t>
  </si>
  <si>
    <t xml:space="preserve">SHAW 240 SC</t>
  </si>
  <si>
    <t xml:space="preserve">21000.080880/2020-11</t>
  </si>
  <si>
    <t xml:space="preserve">METOXIFENOZIDE 240 SC PERTERRA</t>
  </si>
  <si>
    <t xml:space="preserve">Metoxifenozida </t>
  </si>
  <si>
    <t xml:space="preserve">21016.007568/2024-38</t>
  </si>
  <si>
    <t xml:space="preserve">EASY METANISO</t>
  </si>
  <si>
    <t xml:space="preserve">21016.007913/2023-52</t>
  </si>
  <si>
    <t xml:space="preserve">HearNPV ABT 01</t>
  </si>
  <si>
    <t xml:space="preserve">Helicoverpa armigera nucleopolihedrovirus (HearNPV) </t>
  </si>
  <si>
    <t xml:space="preserve">Agbitech</t>
  </si>
  <si>
    <t xml:space="preserve">21016.008209/2023-17</t>
  </si>
  <si>
    <t xml:space="preserve">SAPIENS</t>
  </si>
  <si>
    <t xml:space="preserve">21016.007741/2021-55</t>
  </si>
  <si>
    <t xml:space="preserve">ALLENZA</t>
  </si>
  <si>
    <t xml:space="preserve">21016.009603/2021-19</t>
  </si>
  <si>
    <t xml:space="preserve">JANGADA II</t>
  </si>
  <si>
    <t xml:space="preserve">21000.080257/2020-69</t>
  </si>
  <si>
    <t xml:space="preserve">VICTRATO</t>
  </si>
  <si>
    <t xml:space="preserve">21000.042331/2017-43</t>
  </si>
  <si>
    <t xml:space="preserve">EPOXICONAZOLE YONON</t>
  </si>
  <si>
    <t xml:space="preserve">21016.003767/2024-77</t>
  </si>
  <si>
    <t xml:space="preserve">METAFORT, CELENE, CIALIST, AG 100, METARHIZZI, METARHIZ-AGRI</t>
  </si>
  <si>
    <t xml:space="preserve">Metarhizium anisopliae, cepa IBCB 425</t>
  </si>
  <si>
    <t xml:space="preserve">Beifiur</t>
  </si>
  <si>
    <t xml:space="preserve">21016.006884/2024-92</t>
  </si>
  <si>
    <t xml:space="preserve">COTESIA - JLG</t>
  </si>
  <si>
    <t xml:space="preserve">JLG Cruz </t>
  </si>
  <si>
    <t xml:space="preserve">21016.005153/2024-20</t>
  </si>
  <si>
    <t xml:space="preserve">AVEO ST</t>
  </si>
  <si>
    <t xml:space="preserve">Bacillus amyloliquefaciens, cepa PTA-4838</t>
  </si>
  <si>
    <t xml:space="preserve">21016.004013/2024-34</t>
  </si>
  <si>
    <t xml:space="preserve">BAVTT 0324</t>
  </si>
  <si>
    <t xml:space="preserve">Bacillus amyloliquefaciens isolado BV03</t>
  </si>
  <si>
    <t xml:space="preserve">21016.007743/2023-14</t>
  </si>
  <si>
    <t xml:space="preserve">NODUBT</t>
  </si>
  <si>
    <t xml:space="preserve">Bacillus thuringiensis HD-1 (S1450) </t>
  </si>
  <si>
    <t xml:space="preserve">21000.063154/2020-34</t>
  </si>
  <si>
    <t xml:space="preserve">PARLET</t>
  </si>
  <si>
    <t xml:space="preserve">Tradecorp </t>
  </si>
  <si>
    <t xml:space="preserve">21016.005280/2024-29</t>
  </si>
  <si>
    <t xml:space="preserve">VELAM</t>
  </si>
  <si>
    <t xml:space="preserve">Bacillus subtilis BAC004; Bacillus velezensis BAC079</t>
  </si>
  <si>
    <t xml:space="preserve">21016.006852/2024-97</t>
  </si>
  <si>
    <t xml:space="preserve">BIOGENIUN TRICHO, TRICHO +</t>
  </si>
  <si>
    <t xml:space="preserve">Genetica</t>
  </si>
  <si>
    <t xml:space="preserve">21000.042894/2019-01</t>
  </si>
  <si>
    <t xml:space="preserve">PROTIOCONAZOLE 250 EC</t>
  </si>
  <si>
    <t xml:space="preserve">21000.081197/2020-00</t>
  </si>
  <si>
    <t xml:space="preserve">2,4-D 240 + PICLORAM 64 SL</t>
  </si>
  <si>
    <t xml:space="preserve">Picloram; 2,4-D</t>
  </si>
  <si>
    <t xml:space="preserve">21016.003920/2024-66</t>
  </si>
  <si>
    <t xml:space="preserve">VIRELLO WP</t>
  </si>
  <si>
    <t xml:space="preserve">Baculovirus erinnyis ello</t>
  </si>
  <si>
    <t xml:space="preserve">Bosquiroli </t>
  </si>
  <si>
    <t xml:space="preserve">21016.007718/2023-22</t>
  </si>
  <si>
    <t xml:space="preserve">BTP 169-21A EW</t>
  </si>
  <si>
    <t xml:space="preserve">Total </t>
  </si>
  <si>
    <t xml:space="preserve">21016.004200/2022-56</t>
  </si>
  <si>
    <t xml:space="preserve">MACE 970 SG</t>
  </si>
  <si>
    <t xml:space="preserve">21000.008748/2015-15</t>
  </si>
  <si>
    <t xml:space="preserve"> BREAKDOWN</t>
  </si>
  <si>
    <t xml:space="preserve"> Quizalofope-P-Etílico</t>
  </si>
  <si>
    <t xml:space="preserve">21000.047467/2020-45</t>
  </si>
  <si>
    <t xml:space="preserve">HDB 276A</t>
  </si>
  <si>
    <t xml:space="preserve">21000.024165/2019-65</t>
  </si>
  <si>
    <t xml:space="preserve">GLIFOSATO SOLUS WG</t>
  </si>
  <si>
    <t xml:space="preserve">Glifosato, sal de Amônio </t>
  </si>
  <si>
    <t xml:space="preserve">21000.064109/2020-05</t>
  </si>
  <si>
    <t xml:space="preserve">FLUROXIPIR ALTA 480 EC</t>
  </si>
  <si>
    <t xml:space="preserve">21000.032691/2018-18</t>
  </si>
  <si>
    <t xml:space="preserve">TIODICARBE NORTOX</t>
  </si>
  <si>
    <t xml:space="preserve">21000.079908/2019-34</t>
  </si>
  <si>
    <t xml:space="preserve">PIMETROZINA NORTOX</t>
  </si>
  <si>
    <t xml:space="preserve"> Pimetrozina</t>
  </si>
  <si>
    <t xml:space="preserve">21000.007140/2021-11</t>
  </si>
  <si>
    <t xml:space="preserve">TRICLOPIR NORTOX EC</t>
  </si>
  <si>
    <t xml:space="preserve">21016.009468/2021-01</t>
  </si>
  <si>
    <t xml:space="preserve">TEBUCO OC NORTOX</t>
  </si>
  <si>
    <t xml:space="preserve">Clorotalonil; Oxicloreto de Cobre; Tebuconazole</t>
  </si>
  <si>
    <t xml:space="preserve">21000.049494/2018-38</t>
  </si>
  <si>
    <t xml:space="preserve">CLORIMUROM 250 WG CROPCHEM</t>
  </si>
  <si>
    <t xml:space="preserve">Clorimuron-Etílico</t>
  </si>
  <si>
    <t xml:space="preserve">21000.073562/2020-02</t>
  </si>
  <si>
    <t xml:space="preserve">ACETAMIPRID 250 g/kg + BIFENTHRIN 250 g/kg WG</t>
  </si>
  <si>
    <t xml:space="preserve"> Acetamiprido; Bifentrina</t>
  </si>
  <si>
    <t xml:space="preserve">21000.034458/2017-99</t>
  </si>
  <si>
    <t xml:space="preserve">S-METOLACHLOR 960g/L EC</t>
  </si>
  <si>
    <t xml:space="preserve">21000.004120/2020-16</t>
  </si>
  <si>
    <t xml:space="preserve">GUIDICARB</t>
  </si>
  <si>
    <t xml:space="preserve">21000.014810/2019-31</t>
  </si>
  <si>
    <t xml:space="preserve">CITUNE XTRA</t>
  </si>
  <si>
    <t xml:space="preserve">Imazapir; Imazapique</t>
  </si>
  <si>
    <t xml:space="preserve">21016.009112/2024-11</t>
  </si>
  <si>
    <t xml:space="preserve">GNC014</t>
  </si>
  <si>
    <t xml:space="preserve">Bacillus subtilis, isolado Bs34;  Bacillus velezensis, isolado BV59</t>
  </si>
  <si>
    <t xml:space="preserve">21016.009192/2024-04</t>
  </si>
  <si>
    <t xml:space="preserve">FORBLEND FS PREMIUM</t>
  </si>
  <si>
    <t xml:space="preserve">Bacillus velezensis, cepa DC81; Bacillus velezensis, cepa DC88; Bacillus pumilus, cepa DC61</t>
  </si>
  <si>
    <t xml:space="preserve">21016.008095/2023-13</t>
  </si>
  <si>
    <t xml:space="preserve">WYN-CRAFT PICLORAM MIX</t>
  </si>
  <si>
    <t xml:space="preserve"> Picloram; 2,4-D</t>
  </si>
  <si>
    <t xml:space="preserve">21000.008333/2017-11</t>
  </si>
  <si>
    <t xml:space="preserve">ABAMECTIN CCAB 18 EC II</t>
  </si>
  <si>
    <t xml:space="preserve">Abamectina</t>
  </si>
  <si>
    <t xml:space="preserve">21000.033301/2020-41</t>
  </si>
  <si>
    <t xml:space="preserve">CLORANTRANILIPROLE NORTOX 400 SC</t>
  </si>
  <si>
    <t xml:space="preserve">21000.080876/2020-53</t>
  </si>
  <si>
    <t xml:space="preserve">HEXAZINONA 750 WG PERTERRA</t>
  </si>
  <si>
    <t xml:space="preserve">21000.027853/2019-87</t>
  </si>
  <si>
    <t xml:space="preserve">CONSPICUO XTRA</t>
  </si>
  <si>
    <t xml:space="preserve">Piraclostrobina; Boscalida</t>
  </si>
  <si>
    <t xml:space="preserve">21016.001227/2021-14</t>
  </si>
  <si>
    <t xml:space="preserve">DIQUAT NORTOX SL</t>
  </si>
  <si>
    <t xml:space="preserve">21000.049520/2018-28</t>
  </si>
  <si>
    <t xml:space="preserve">INDOXACARBE NORTOX</t>
  </si>
  <si>
    <t xml:space="preserve">Indoxacarbe </t>
  </si>
  <si>
    <t xml:space="preserve">21000.029244/2017-09</t>
  </si>
  <si>
    <t xml:space="preserve">KEEPER</t>
  </si>
  <si>
    <t xml:space="preserve">21016.010226/2021-52</t>
  </si>
  <si>
    <t xml:space="preserve">CLORANTRANILIPROLE C NORTOX</t>
  </si>
  <si>
    <t xml:space="preserve">Clorantraniliprole; Clorpirifós</t>
  </si>
  <si>
    <t xml:space="preserve">21000.043651/2017-11</t>
  </si>
  <si>
    <t xml:space="preserve">MITIGATE</t>
  </si>
  <si>
    <t xml:space="preserve">21000.009075/2014-30</t>
  </si>
  <si>
    <t xml:space="preserve">RAVINA WG</t>
  </si>
  <si>
    <t xml:space="preserve">21000.060149/2020-70</t>
  </si>
  <si>
    <t xml:space="preserve">ETHIPROLE YONON</t>
  </si>
  <si>
    <t xml:space="preserve"> Yonon</t>
  </si>
  <si>
    <t xml:space="preserve">21000.076146/2020-58</t>
  </si>
  <si>
    <t xml:space="preserve">ZINANPROG</t>
  </si>
  <si>
    <t xml:space="preserve">21000.031035/2021-01</t>
  </si>
  <si>
    <t xml:space="preserve">PROTECNIL 720 SC</t>
  </si>
  <si>
    <t xml:space="preserve">21000.022238/2022-80</t>
  </si>
  <si>
    <t xml:space="preserve">SMART GUARD</t>
  </si>
  <si>
    <t xml:space="preserve">21000.054138/2018-36</t>
  </si>
  <si>
    <t xml:space="preserve"> TOPQUAT SUNO</t>
  </si>
  <si>
    <t xml:space="preserve">Dibrometo de Diquate​</t>
  </si>
  <si>
    <t xml:space="preserve">21016.005480/2024-81</t>
  </si>
  <si>
    <t xml:space="preserve">FLUORYD FR 25</t>
  </si>
  <si>
    <t xml:space="preserve">Pseudomonas fluorescens, cepa CCT 7393</t>
  </si>
  <si>
    <t xml:space="preserve"> TZ Biotec</t>
  </si>
  <si>
    <t xml:space="preserve">21000.024162/2019-21</t>
  </si>
  <si>
    <t xml:space="preserve"> LOT 720 WG</t>
  </si>
  <si>
    <t xml:space="preserve">21000.113441/2021-83</t>
  </si>
  <si>
    <t xml:space="preserve">HDB 259B</t>
  </si>
  <si>
    <t xml:space="preserve">21016.005004/2021-18</t>
  </si>
  <si>
    <t xml:space="preserve">RIKALI</t>
  </si>
  <si>
    <t xml:space="preserve">21000.022900/2020-30</t>
  </si>
  <si>
    <t xml:space="preserve">BAKANA 400 SC</t>
  </si>
  <si>
    <t xml:space="preserve">21000.064037/2020-98</t>
  </si>
  <si>
    <t xml:space="preserve">SEVARE DUO</t>
  </si>
  <si>
    <t xml:space="preserve">21016.002493/2024-07</t>
  </si>
  <si>
    <t xml:space="preserve">PORCEL 01</t>
  </si>
  <si>
    <t xml:space="preserve">21000.087020/2019-75</t>
  </si>
  <si>
    <t xml:space="preserve">CHETTAK</t>
  </si>
  <si>
    <t xml:space="preserve">21000.093834/2019-49</t>
  </si>
  <si>
    <t xml:space="preserve">ACEFATO CCAB 970 SG</t>
  </si>
  <si>
    <t xml:space="preserve">21000.111056/2021-00</t>
  </si>
  <si>
    <t xml:space="preserve">ZACTINE</t>
  </si>
  <si>
    <t xml:space="preserve">21000.001487/2024-01</t>
  </si>
  <si>
    <t xml:space="preserve">TEC-096-F</t>
  </si>
  <si>
    <t xml:space="preserve">21000.044171/2019-39</t>
  </si>
  <si>
    <t xml:space="preserve">Xtendimax 2</t>
  </si>
  <si>
    <t xml:space="preserve">21016.000236/2023-41</t>
  </si>
  <si>
    <t xml:space="preserve">LOOKED; CADERNAS; CASTEKI</t>
  </si>
  <si>
    <t xml:space="preserve"> Acefato; Bifentrina</t>
  </si>
  <si>
    <t xml:space="preserve">Ouro Fino </t>
  </si>
  <si>
    <t xml:space="preserve">21000.006907/2021-95</t>
  </si>
  <si>
    <t xml:space="preserve">DIMAN 740 WP</t>
  </si>
  <si>
    <t xml:space="preserve">Oxicloreto de cobre; Mancozebe</t>
  </si>
  <si>
    <t xml:space="preserve">21016.007730/2023-37</t>
  </si>
  <si>
    <t xml:space="preserve"> BTP 005-19A</t>
  </si>
  <si>
    <t xml:space="preserve">Bacillus pumilus, isolado CNPSo3203</t>
  </si>
  <si>
    <t xml:space="preserve">21000.005501/2019-71</t>
  </si>
  <si>
    <t xml:space="preserve">GRANADA 200 SL</t>
  </si>
  <si>
    <t xml:space="preserve">21000.007522/2015-05</t>
  </si>
  <si>
    <t xml:space="preserve"> GLICRUSH</t>
  </si>
  <si>
    <t xml:space="preserve">21016.003734/2024-27</t>
  </si>
  <si>
    <t xml:space="preserve">BOVEFORT, MULCRÓP, ATIVIS, ATRIA, BEAUFARM, BEAUA-GRI</t>
  </si>
  <si>
    <t xml:space="preserve">Beauveria bassiana, isolado IBCB 6</t>
  </si>
  <si>
    <t xml:space="preserve">21016.010300/2021-31</t>
  </si>
  <si>
    <t xml:space="preserve">REDFIRE</t>
  </si>
  <si>
    <t xml:space="preserve">Tidiazurom; Diurom</t>
  </si>
  <si>
    <t xml:space="preserve">21000.087650/2019-40</t>
  </si>
  <si>
    <t xml:space="preserve">CHLORPYRIFOS AGROGILL 480EC</t>
  </si>
  <si>
    <t xml:space="preserve"> Biorisk </t>
  </si>
  <si>
    <t xml:space="preserve">21000.058058/2020-74</t>
  </si>
  <si>
    <t xml:space="preserve">AZIMUT SC</t>
  </si>
  <si>
    <t xml:space="preserve">21000.057228/2020-01</t>
  </si>
  <si>
    <t xml:space="preserve">PRESSURE 880 SG</t>
  </si>
  <si>
    <t xml:space="preserve">Glifosato-Sal de amônio</t>
  </si>
  <si>
    <t xml:space="preserve">Suno </t>
  </si>
  <si>
    <t xml:space="preserve">21000.064582/2020-84</t>
  </si>
  <si>
    <t xml:space="preserve">TECISO</t>
  </si>
  <si>
    <t xml:space="preserve">21000.077591/2021-16</t>
  </si>
  <si>
    <t xml:space="preserve">CLEFANDIM 480 EC</t>
  </si>
  <si>
    <t xml:space="preserve">21000.043887/2020-52</t>
  </si>
  <si>
    <t xml:space="preserve">CLEFANDIM 240 EC</t>
  </si>
  <si>
    <t xml:space="preserve">21000.007025/2019-22</t>
  </si>
  <si>
    <t xml:space="preserve">GLADIS</t>
  </si>
  <si>
    <t xml:space="preserve">21000.012703/2021-93</t>
  </si>
  <si>
    <t xml:space="preserve">CIPROCONAZOLE 80 + PICOXYSTROBIN 200 SC CROPCHEM</t>
  </si>
  <si>
    <t xml:space="preserve">Picoxistrobina; Ciproconazol</t>
  </si>
  <si>
    <t xml:space="preserve">21016.000925/2023-56</t>
  </si>
  <si>
    <t xml:space="preserve">ATRATUS</t>
  </si>
  <si>
    <t xml:space="preserve">Crystal </t>
  </si>
  <si>
    <t xml:space="preserve">21016.003596/2024-86</t>
  </si>
  <si>
    <t xml:space="preserve">PALI; BPT-05</t>
  </si>
  <si>
    <t xml:space="preserve">Purpureocillium lilacinum Cepa CBMAI 2833 </t>
  </si>
  <si>
    <t xml:space="preserve">B Plant </t>
  </si>
  <si>
    <t xml:space="preserve">21000.029018/2021-04</t>
  </si>
  <si>
    <t xml:space="preserve">ERASER</t>
  </si>
  <si>
    <t xml:space="preserve">21000.008001/2013-03</t>
  </si>
  <si>
    <t xml:space="preserve">MYCLO EC </t>
  </si>
  <si>
    <t xml:space="preserve">Miclobutanil</t>
  </si>
  <si>
    <t xml:space="preserve">21000.008080/2015-14</t>
  </si>
  <si>
    <t xml:space="preserve">IMIDACLOPRIDE 150 TIODICARB 450 CCAB FS</t>
  </si>
  <si>
    <t xml:space="preserve">Imidacloprido; Tiodicarbe</t>
  </si>
  <si>
    <t xml:space="preserve">21000.005363/2019-20</t>
  </si>
  <si>
    <t xml:space="preserve">GLIFOSATO CCAB 720 WG</t>
  </si>
  <si>
    <t xml:space="preserve">21000.092555/2019-68</t>
  </si>
  <si>
    <t xml:space="preserve">KAMAITACHI</t>
  </si>
  <si>
    <t xml:space="preserve">21000.085078/2019-84</t>
  </si>
  <si>
    <t xml:space="preserve">BARRACUDA</t>
  </si>
  <si>
    <t xml:space="preserve">21016.007612/2023-29</t>
  </si>
  <si>
    <t xml:space="preserve">BTP 066-20AC SC </t>
  </si>
  <si>
    <t xml:space="preserve">Bacillus thuringiensis, isolados CCTB22 e CCTB25</t>
  </si>
  <si>
    <t xml:space="preserve">21016.005890/2024-22</t>
  </si>
  <si>
    <t xml:space="preserve">AG TRIMMON PRO</t>
  </si>
  <si>
    <t xml:space="preserve">Trichoderma harzianum isolado IB 19-17</t>
  </si>
  <si>
    <t xml:space="preserve">21016.002742/2024-56</t>
  </si>
  <si>
    <t xml:space="preserve">BIO FURÃO</t>
  </si>
  <si>
    <t xml:space="preserve">Acetato de (E)-8-dodecenila </t>
  </si>
  <si>
    <t xml:space="preserve">21016.007919/2023-20</t>
  </si>
  <si>
    <t xml:space="preserve">ADA FM 267/21</t>
  </si>
  <si>
    <t xml:space="preserve"> Bacillus subtilis, ORN 160; Bacillus velezensis, ORN 14</t>
  </si>
  <si>
    <t xml:space="preserve">21016.007573/2025-21</t>
  </si>
  <si>
    <t xml:space="preserve">LVH04A</t>
  </si>
  <si>
    <t xml:space="preserve">21016.000116/2023-44</t>
  </si>
  <si>
    <t xml:space="preserve"> PEROXONIL MIXX, CLOROTOP, BRUTOBIN, DOLONIL</t>
  </si>
  <si>
    <t xml:space="preserve"> Clorotalonil; Picoxistrobina; Tebuconazol</t>
  </si>
  <si>
    <t xml:space="preserve">21000.042837/2018-33</t>
  </si>
  <si>
    <t xml:space="preserve">PRETORIAN</t>
  </si>
  <si>
    <t xml:space="preserve">21000.011853/2021-80</t>
  </si>
  <si>
    <t xml:space="preserve">DHARMA DUO</t>
  </si>
  <si>
    <t xml:space="preserve">21016.005196/2023-24</t>
  </si>
  <si>
    <t xml:space="preserve">ATINGE</t>
  </si>
  <si>
    <t xml:space="preserve">Óleo de eucalipto - Eucalyptus sp ; Óleo de Café - Coffea sp</t>
  </si>
  <si>
    <t xml:space="preserve">21000.028795/2018-28</t>
  </si>
  <si>
    <t xml:space="preserve">IMAZETAPIR ALTA 106 SL</t>
  </si>
  <si>
    <t xml:space="preserve">21000.035247/2020-79</t>
  </si>
  <si>
    <t xml:space="preserve">AVARIS</t>
  </si>
  <si>
    <t xml:space="preserve"> Picoxistrobina; Protioconazol</t>
  </si>
  <si>
    <t xml:space="preserve"> Alta</t>
  </si>
  <si>
    <t xml:space="preserve">21000.022683/2020-88</t>
  </si>
  <si>
    <t xml:space="preserve">ACEPHATE 97% SG GSP II</t>
  </si>
  <si>
    <t xml:space="preserve">21000.006421/2020-76</t>
  </si>
  <si>
    <t xml:space="preserve">ACEPHATE 97% SG GSP</t>
  </si>
  <si>
    <t xml:space="preserve">21016.006300/2024-89</t>
  </si>
  <si>
    <t xml:space="preserve">PLUTEX</t>
  </si>
  <si>
    <t xml:space="preserve">Plutella xylostella granulovirus (PlxyGV)</t>
  </si>
  <si>
    <t xml:space="preserve">21000.057245/2024-64</t>
  </si>
  <si>
    <t xml:space="preserve">CARTE</t>
  </si>
  <si>
    <t xml:space="preserve">Extrato de Melaleuca alternifolia ; Extrato de Carvacrol (Thymus vulgaris)</t>
  </si>
  <si>
    <t xml:space="preserve">DVA</t>
  </si>
  <si>
    <t xml:space="preserve">21000.051522/2018-87</t>
  </si>
  <si>
    <t xml:space="preserve"> DICAMBA NORTOX</t>
  </si>
  <si>
    <t xml:space="preserve">Dicamba, Sal de metilamina</t>
  </si>
  <si>
    <t xml:space="preserve">21000.000052/2008-11</t>
  </si>
  <si>
    <t xml:space="preserve">FASTAC EC</t>
  </si>
  <si>
    <t xml:space="preserve">Alfa-cipermetrina</t>
  </si>
  <si>
    <t xml:space="preserve">Basf </t>
  </si>
  <si>
    <t xml:space="preserve">21000.022964/2020-31</t>
  </si>
  <si>
    <t xml:space="preserve">LIVO</t>
  </si>
  <si>
    <t xml:space="preserve">21016.001098/2022-37</t>
  </si>
  <si>
    <t xml:space="preserve"> ELIMINATE ULTRA</t>
  </si>
  <si>
    <t xml:space="preserve">21000.066746/2019-74</t>
  </si>
  <si>
    <t xml:space="preserve">AZOGRO  </t>
  </si>
  <si>
    <t xml:space="preserve">21016.007812/2021-10</t>
  </si>
  <si>
    <t xml:space="preserve">GRUMA 05 SC</t>
  </si>
  <si>
    <t xml:space="preserve">21000.032322/2019-14</t>
  </si>
  <si>
    <t xml:space="preserve"> GOLERO</t>
  </si>
  <si>
    <t xml:space="preserve">21016.006429/2024-97</t>
  </si>
  <si>
    <t xml:space="preserve">HARBIN II  </t>
  </si>
  <si>
    <t xml:space="preserve"> 21000.108004/2022-29</t>
  </si>
  <si>
    <t xml:space="preserve">CHLORFENAPYR 240 SC YONON</t>
  </si>
  <si>
    <t xml:space="preserve">21000.073884/2020-43</t>
  </si>
  <si>
    <t xml:space="preserve">MESTER 480 SC</t>
  </si>
  <si>
    <t xml:space="preserve">21016.002086/2023-19</t>
  </si>
  <si>
    <t xml:space="preserve">GLUFOSINATE-AMMONIUM 850 WG YONON</t>
  </si>
  <si>
    <t xml:space="preserve">21000.000812/2015-10</t>
  </si>
  <si>
    <t xml:space="preserve">COMPERT 240 EC</t>
  </si>
  <si>
    <t xml:space="preserve">21000.003363/2019-95</t>
  </si>
  <si>
    <t xml:space="preserve">BIOCOSMO 480 SL</t>
  </si>
  <si>
    <t xml:space="preserve">21000.003637/2019-46</t>
  </si>
  <si>
    <t xml:space="preserve">GLADES 480 SL</t>
  </si>
  <si>
    <t xml:space="preserve">Glifosato, sal de Isopropilamina</t>
  </si>
  <si>
    <t xml:space="preserve">21000.044121/2020-95</t>
  </si>
  <si>
    <t xml:space="preserve">ZUXION 200 SP</t>
  </si>
  <si>
    <t xml:space="preserve">21000.050370/2016-33</t>
  </si>
  <si>
    <t xml:space="preserve"> PYRACLOSTROBIN YONON</t>
  </si>
  <si>
    <t xml:space="preserve">21000.003160/2018-18</t>
  </si>
  <si>
    <t xml:space="preserve">GREENFOSATO</t>
  </si>
  <si>
    <t xml:space="preserve">Green World </t>
  </si>
  <si>
    <t xml:space="preserve">21016.007228/2023-26</t>
  </si>
  <si>
    <t xml:space="preserve">AVEO SC; LOYALTY SC e STREAT SC</t>
  </si>
  <si>
    <t xml:space="preserve">Bacillus amyloliquefaciens cepa PTA-4838</t>
  </si>
  <si>
    <t xml:space="preserve">21016.003845/2024-33</t>
  </si>
  <si>
    <t xml:space="preserve">TETRA</t>
  </si>
  <si>
    <t xml:space="preserve">Compostec</t>
  </si>
  <si>
    <t xml:space="preserve">21016.008908/2021-03</t>
  </si>
  <si>
    <t xml:space="preserve">AZOXISTROBINA 600 + CIPROCONAZOL 240 WG AGROIMPORT</t>
  </si>
  <si>
    <t xml:space="preserve">21016.006922/2021-64</t>
  </si>
  <si>
    <t xml:space="preserve"> CLOMAZONE 500 EC AGROIMPORT</t>
  </si>
  <si>
    <t xml:space="preserve"> Agroimport</t>
  </si>
  <si>
    <t xml:space="preserve">21016.005883/2021-88</t>
  </si>
  <si>
    <t xml:space="preserve">METOXIFENOZIDA 240 SC AGROIMPORT</t>
  </si>
  <si>
    <t xml:space="preserve">21016.001534/2025-11</t>
  </si>
  <si>
    <t xml:space="preserve">SMART BIO COTESIA</t>
  </si>
  <si>
    <t xml:space="preserve">São Martinho</t>
  </si>
  <si>
    <t xml:space="preserve">21016.006921/2021-10</t>
  </si>
  <si>
    <t xml:space="preserve">ETIPROLE 200 SC AGROIMPORT</t>
  </si>
  <si>
    <t xml:space="preserve">21000.052969/2019-54</t>
  </si>
  <si>
    <t xml:space="preserve">MAXUNIL 720 SC</t>
  </si>
  <si>
    <t xml:space="preserve"> Clorotalonil</t>
  </si>
  <si>
    <t xml:space="preserve">21000.093871/2019-57</t>
  </si>
  <si>
    <t xml:space="preserve">ESPADA</t>
  </si>
  <si>
    <t xml:space="preserve">21000.074339/2020-74</t>
  </si>
  <si>
    <t xml:space="preserve">MIGHTY</t>
  </si>
  <si>
    <t xml:space="preserve">21000.072455/2019-15</t>
  </si>
  <si>
    <t xml:space="preserve">CABBY 480 SC</t>
  </si>
  <si>
    <t xml:space="preserve"> Captana</t>
  </si>
  <si>
    <t xml:space="preserve">Sharda</t>
  </si>
  <si>
    <t xml:space="preserve">21000.068456/2019-65</t>
  </si>
  <si>
    <t xml:space="preserve"> GLIDER DUO</t>
  </si>
  <si>
    <t xml:space="preserve">Difenoconazol; Clorotalonil</t>
  </si>
  <si>
    <t xml:space="preserve">21000.056152/2018-74</t>
  </si>
  <si>
    <t xml:space="preserve">BALAZO</t>
  </si>
  <si>
    <t xml:space="preserve"> Bifentrina</t>
  </si>
  <si>
    <t xml:space="preserve">21000.007988/2015-01</t>
  </si>
  <si>
    <t xml:space="preserve">PILARPOINT</t>
  </si>
  <si>
    <t xml:space="preserve">21016.005504/2022-31</t>
  </si>
  <si>
    <t xml:space="preserve">GAZINA 500 SC</t>
  </si>
  <si>
    <t xml:space="preserve"> Agrobeats </t>
  </si>
  <si>
    <t xml:space="preserve">21000.047501/2019-48</t>
  </si>
  <si>
    <t xml:space="preserve">AMPUS 125 SC</t>
  </si>
  <si>
    <t xml:space="preserve">21000.049077/2020-18</t>
  </si>
  <si>
    <t xml:space="preserve">BALUARTE</t>
  </si>
  <si>
    <t xml:space="preserve">21000.083448/2020-82</t>
  </si>
  <si>
    <t xml:space="preserve">SKELDON</t>
  </si>
  <si>
    <t xml:space="preserve">21000.028410/2019-11</t>
  </si>
  <si>
    <t xml:space="preserve">MESIC MAX</t>
  </si>
  <si>
    <t xml:space="preserve">Protioconazol; Picoxistrobina</t>
  </si>
  <si>
    <t xml:space="preserve">21000.067957/2020-68</t>
  </si>
  <si>
    <t xml:space="preserve">ACETAMIPRIDO SC ALBAUGH 01</t>
  </si>
  <si>
    <t xml:space="preserve">21000.107451/2021-80</t>
  </si>
  <si>
    <t xml:space="preserve">ZELTERA PURA</t>
  </si>
  <si>
    <t xml:space="preserve">Impirfluxam</t>
  </si>
  <si>
    <t xml:space="preserve">21000.014602/2025-81</t>
  </si>
  <si>
    <t xml:space="preserve">TEC-007-B</t>
  </si>
  <si>
    <t xml:space="preserve">Beauveria bassiana isolado IBCB 66; Metarhizium anisopliae isolado IBCB 425</t>
  </si>
  <si>
    <t xml:space="preserve">21000.043234/2018-59</t>
  </si>
  <si>
    <t xml:space="preserve">PICOXISTROBIN NORTOX</t>
  </si>
  <si>
    <t xml:space="preserve">21000.049997/2018-11</t>
  </si>
  <si>
    <t xml:space="preserve">KAIJU 480 SL</t>
  </si>
  <si>
    <t xml:space="preserve">21000.071092/2019-09</t>
  </si>
  <si>
    <t xml:space="preserve">CLETODIM CHDS 240 EC</t>
  </si>
  <si>
    <t xml:space="preserve">21000.078797/2021-63</t>
  </si>
  <si>
    <t xml:space="preserve">HDB 187</t>
  </si>
  <si>
    <t xml:space="preserve">21000.045015/2020-29</t>
  </si>
  <si>
    <t xml:space="preserve">ACAM 200 SP</t>
  </si>
  <si>
    <t xml:space="preserve"> Acetamiprido</t>
  </si>
  <si>
    <t xml:space="preserve">21000.063218/2020-05</t>
  </si>
  <si>
    <t xml:space="preserve">PYTA</t>
  </si>
  <si>
    <t xml:space="preserve">21000.063807/2020-85</t>
  </si>
  <si>
    <t xml:space="preserve">KOVAN 240 EC</t>
  </si>
  <si>
    <t xml:space="preserve">21000.063638/2016-05</t>
  </si>
  <si>
    <t xml:space="preserve">D-RAY 806 SL</t>
  </si>
  <si>
    <t xml:space="preserve">21000.063188/2016-42</t>
  </si>
  <si>
    <t xml:space="preserve">BIODYN 806 SL</t>
  </si>
  <si>
    <t xml:space="preserve">21000.063103/2019-79</t>
  </si>
  <si>
    <t xml:space="preserve">DICAT 480 SL</t>
  </si>
  <si>
    <t xml:space="preserve">21016.000941/2025-19</t>
  </si>
  <si>
    <t xml:space="preserve">KBR-T1H57WP2</t>
  </si>
  <si>
    <t xml:space="preserve"> Koppert</t>
  </si>
  <si>
    <t xml:space="preserve">21000.016965/2023-99</t>
  </si>
  <si>
    <t xml:space="preserve">GLEBA 325 SC</t>
  </si>
  <si>
    <t xml:space="preserve">CAC Química </t>
  </si>
  <si>
    <t xml:space="preserve">21016.008063/2021-48</t>
  </si>
  <si>
    <t xml:space="preserve">REFLECT</t>
  </si>
  <si>
    <t xml:space="preserve">21000.013355/2021-71</t>
  </si>
  <si>
    <t xml:space="preserve">ASAFAT SG 5</t>
  </si>
  <si>
    <t xml:space="preserve">21000.060978/2019-19</t>
  </si>
  <si>
    <t xml:space="preserve">HOSANNA</t>
  </si>
  <si>
    <t xml:space="preserve">21000.083605/2020-50</t>
  </si>
  <si>
    <t xml:space="preserve">HDB 171</t>
  </si>
  <si>
    <t xml:space="preserve">21000.114407/2021-26</t>
  </si>
  <si>
    <t xml:space="preserve">BOTTEN; PIRACLOSTROBINA 130 + TEBUCONAZOL 200 EC TECNOMYL; PIRACLOSTROBINA 130 + TEBUCONAZOL 200 EC TECNOMYL I; PIRACLOSTROBINA 130 + TEBUCONAZOL 200 EC TECNOMYL II; PIRACLOSTROBINA 130 + TEBUCONAZOL 200 EC TECNOMYL III</t>
  </si>
  <si>
    <t xml:space="preserve">21000.020474/2019-66</t>
  </si>
  <si>
    <t xml:space="preserve">BOSCAVI 500 WG</t>
  </si>
  <si>
    <t xml:space="preserve">21000.020852/2019-10</t>
  </si>
  <si>
    <t xml:space="preserve">BUSY 500 WG</t>
  </si>
  <si>
    <t xml:space="preserve">21000.075704/2020-68</t>
  </si>
  <si>
    <t xml:space="preserve">DIQUATE LB 200 SL</t>
  </si>
  <si>
    <t xml:space="preserve">21016.000353/2022-24</t>
  </si>
  <si>
    <t xml:space="preserve">ROUNDUP TRANSORB B</t>
  </si>
  <si>
    <t xml:space="preserve">Glifosato, Sal de potássio</t>
  </si>
  <si>
    <t xml:space="preserve">21000.064250/2019-66</t>
  </si>
  <si>
    <t xml:space="preserve">MALLE 250 SL</t>
  </si>
  <si>
    <t xml:space="preserve">Nutrien </t>
  </si>
  <si>
    <t xml:space="preserve">21000.071237/2020-05</t>
  </si>
  <si>
    <t xml:space="preserve">FORCEPS II</t>
  </si>
  <si>
    <t xml:space="preserve">21000.111012/2021-71</t>
  </si>
  <si>
    <t xml:space="preserve">ELESTAL FIT</t>
  </si>
  <si>
    <t xml:space="preserve">Espiropidion</t>
  </si>
  <si>
    <t xml:space="preserve">21000.073647/2021-63</t>
  </si>
  <si>
    <t xml:space="preserve">ACOMPLE</t>
  </si>
  <si>
    <t xml:space="preserve"> Benzoato de Emamectina; Isocicloseram</t>
  </si>
  <si>
    <t xml:space="preserve">21000.059741/2019-95</t>
  </si>
  <si>
    <t xml:space="preserve">MUFEROX</t>
  </si>
  <si>
    <t xml:space="preserve">21016.001538/2025-07</t>
  </si>
  <si>
    <t xml:space="preserve">BRANDT #66</t>
  </si>
  <si>
    <t xml:space="preserve">Brandt</t>
  </si>
  <si>
    <t xml:space="preserve">21000.082443/2020-32</t>
  </si>
  <si>
    <t xml:space="preserve">ROUNDUP XTENDICAM</t>
  </si>
  <si>
    <t xml:space="preserve">Dicamba; Glifosato</t>
  </si>
  <si>
    <t xml:space="preserve">MONSANTO</t>
  </si>
  <si>
    <t xml:space="preserve">21000.061081/2021-27</t>
  </si>
  <si>
    <t xml:space="preserve">DEURA 430 SC</t>
  </si>
  <si>
    <t xml:space="preserve"> Tebuconazol</t>
  </si>
  <si>
    <t xml:space="preserve">21016.007873/2021-87</t>
  </si>
  <si>
    <t xml:space="preserve">TRIFLOXISTROBINA 490 + CIPROCONAZOL 210 WG AGROIMPORT</t>
  </si>
  <si>
    <t xml:space="preserve">21000.054887/2020-88</t>
  </si>
  <si>
    <t xml:space="preserve">GLIFOSATO K ALBAUGH 02</t>
  </si>
  <si>
    <t xml:space="preserve">Glifosato, sal de potássio</t>
  </si>
  <si>
    <t xml:space="preserve">21016.005364/2022-09</t>
  </si>
  <si>
    <t xml:space="preserve">BOMBEIRO MAX</t>
  </si>
  <si>
    <t xml:space="preserve">21000.008500/2015-54</t>
  </si>
  <si>
    <t xml:space="preserve">TARKAN</t>
  </si>
  <si>
    <t xml:space="preserve">21000.095253/2022-47</t>
  </si>
  <si>
    <t xml:space="preserve">PERGAM</t>
  </si>
  <si>
    <t xml:space="preserve">21000.008651/2021-51</t>
  </si>
  <si>
    <t xml:space="preserve">DICLOSULAM ALTA 840 WG</t>
  </si>
  <si>
    <t xml:space="preserve">21000.020351/2019-25</t>
  </si>
  <si>
    <t xml:space="preserve">SALANDER DUO</t>
  </si>
  <si>
    <t xml:space="preserve">21000.051886/2017-86</t>
  </si>
  <si>
    <t xml:space="preserve">ARANHA 840 WG</t>
  </si>
  <si>
    <t xml:space="preserve">21000.050719/2018-07</t>
  </si>
  <si>
    <t xml:space="preserve">KOLEOS 250 EC</t>
  </si>
  <si>
    <t xml:space="preserve">21000.042074/2018-21</t>
  </si>
  <si>
    <t xml:space="preserve"> EMERITUS 500 SC</t>
  </si>
  <si>
    <t xml:space="preserve">21000.015059/2020-24</t>
  </si>
  <si>
    <t xml:space="preserve">APURE 500 WG</t>
  </si>
  <si>
    <t xml:space="preserve">Pimetrozina </t>
  </si>
  <si>
    <t xml:space="preserve">21016.008000/2023-53</t>
  </si>
  <si>
    <t xml:space="preserve">2,4-D + PICLORAM EA</t>
  </si>
  <si>
    <t xml:space="preserve">2,4-D; Picloram</t>
  </si>
  <si>
    <t xml:space="preserve">21000.047338/2017-51</t>
  </si>
  <si>
    <t xml:space="preserve">CLETODIM CROP 240 EC</t>
  </si>
  <si>
    <t xml:space="preserve">21000.006745/2019-71</t>
  </si>
  <si>
    <t xml:space="preserve">TACOMA 200 SL</t>
  </si>
  <si>
    <t xml:space="preserve">21000.041446/2019-82</t>
  </si>
  <si>
    <t xml:space="preserve">LACTUS</t>
  </si>
  <si>
    <t xml:space="preserve">21000.008566/2018-97</t>
  </si>
  <si>
    <t xml:space="preserve">HALOXIFOP NORTOX</t>
  </si>
  <si>
    <t xml:space="preserve">Haloxifope-P-Metílico </t>
  </si>
  <si>
    <t xml:space="preserve">21016.002040/2021-20</t>
  </si>
  <si>
    <t xml:space="preserve">ULTIMARE</t>
  </si>
  <si>
    <t xml:space="preserve">21000.091555/2019-41</t>
  </si>
  <si>
    <t xml:space="preserve">FRENTE ME</t>
  </si>
  <si>
    <t xml:space="preserve">Fluroxipir-meptílico; Picloram, Sal de Trietanolamina</t>
  </si>
  <si>
    <t xml:space="preserve"> BRA Defensivos</t>
  </si>
  <si>
    <t xml:space="preserve">21000.063102/2019-24</t>
  </si>
  <si>
    <t xml:space="preserve">DICASH 480 SL</t>
  </si>
  <si>
    <t xml:space="preserve">21000.062809/2019-13</t>
  </si>
  <si>
    <t xml:space="preserve">DISTANT 480 SL</t>
  </si>
  <si>
    <t xml:space="preserve">21000.044181/2020-16</t>
  </si>
  <si>
    <t xml:space="preserve">BGT</t>
  </si>
  <si>
    <t xml:space="preserve">Glifosato-Sal de isopropilamina</t>
  </si>
  <si>
    <t xml:space="preserve">Gaia </t>
  </si>
  <si>
    <t xml:space="preserve">21000.044488/2020-17</t>
  </si>
  <si>
    <t xml:space="preserve">GOLEIRO 200 SP</t>
  </si>
  <si>
    <t xml:space="preserve">21000.045011/2020-41</t>
  </si>
  <si>
    <t xml:space="preserve">GOLMAL 200 SP</t>
  </si>
  <si>
    <t xml:space="preserve">21016.001355/2025-83</t>
  </si>
  <si>
    <t xml:space="preserve">TRIХМА</t>
  </si>
  <si>
    <t xml:space="preserve">Trichoderma harzianum, isolado IBLF 1278; Trichoderma harzianum, isolado IBLF 1282; Trichoderma viride, isolado IBLF 1275; Trichoderma viride, isolado IBLF 1276</t>
  </si>
  <si>
    <t xml:space="preserve">21000.078679/2022-36</t>
  </si>
  <si>
    <t xml:space="preserve">FUSÃO FIX</t>
  </si>
  <si>
    <t xml:space="preserve"> Metominostrobina; Tebuconazol; Clorotazonil</t>
  </si>
  <si>
    <t xml:space="preserve"> Iharabras</t>
  </si>
  <si>
    <t xml:space="preserve">21000.113399/2021-09</t>
  </si>
  <si>
    <t xml:space="preserve">HDB 239B</t>
  </si>
  <si>
    <t xml:space="preserve">21000.059317/2020-84</t>
  </si>
  <si>
    <t xml:space="preserve">HDB 239A</t>
  </si>
  <si>
    <t xml:space="preserve">21000.024164/2019-11</t>
  </si>
  <si>
    <t xml:space="preserve">GLIFORCE WG</t>
  </si>
  <si>
    <t xml:space="preserve">21000.021018/2020-77</t>
  </si>
  <si>
    <t xml:space="preserve">OLASOJA SC</t>
  </si>
  <si>
    <t xml:space="preserve">21000.018244/2020-71</t>
  </si>
  <si>
    <t xml:space="preserve">MAXUNITECH 500 SC</t>
  </si>
  <si>
    <t xml:space="preserve"> AllierBrasil</t>
  </si>
  <si>
    <t xml:space="preserve">21000.037626/2018-89</t>
  </si>
  <si>
    <t xml:space="preserve">DICLOSULAM NORTOX</t>
  </si>
  <si>
    <t xml:space="preserve">21000.046701/2018-01</t>
  </si>
  <si>
    <t xml:space="preserve">DOGE</t>
  </si>
  <si>
    <t xml:space="preserve">21000.005834/2020-33</t>
  </si>
  <si>
    <t xml:space="preserve">FLUROXIPIR A NORTOX</t>
  </si>
  <si>
    <t xml:space="preserve">Aminopiralide; Fluroxipir-Meptílico</t>
  </si>
  <si>
    <t xml:space="preserve"> Nortox </t>
  </si>
  <si>
    <t xml:space="preserve">21000.082106/2019-10</t>
  </si>
  <si>
    <t xml:space="preserve">2,4-D A NORTOX</t>
  </si>
  <si>
    <t xml:space="preserve"> 2,4-D; Aminopiralide</t>
  </si>
  <si>
    <t xml:space="preserve">21000.093873/2019-46</t>
  </si>
  <si>
    <t xml:space="preserve"> DAKOTA ULTRA</t>
  </si>
  <si>
    <t xml:space="preserve">21000.019910/2018-73</t>
  </si>
  <si>
    <t xml:space="preserve">DICLOSULAM 840 WG TECNOMYL</t>
  </si>
  <si>
    <t xml:space="preserve">21000.055100/2018-81</t>
  </si>
  <si>
    <t xml:space="preserve">ULTRON</t>
  </si>
  <si>
    <t xml:space="preserve">21016.001732/2023-12</t>
  </si>
  <si>
    <t xml:space="preserve">DIQUAT 200 SL EA</t>
  </si>
  <si>
    <t xml:space="preserve">21000.076317/2020-49</t>
  </si>
  <si>
    <t xml:space="preserve">DIAFENTIUROM SC ALBAUGH 02</t>
  </si>
  <si>
    <t xml:space="preserve">Albaugh </t>
  </si>
  <si>
    <t xml:space="preserve">21000.074087/2020-83</t>
  </si>
  <si>
    <t xml:space="preserve">KENZO 700 WG</t>
  </si>
  <si>
    <t xml:space="preserve">21016.009472/2024-12</t>
  </si>
  <si>
    <t xml:space="preserve">DEF-MIC-089-24-B</t>
  </si>
  <si>
    <t xml:space="preserve">21016.009471/2024-60</t>
  </si>
  <si>
    <t xml:space="preserve">DEF-MIC-089-24-A</t>
  </si>
  <si>
    <t xml:space="preserve"> Bacillus velezensis, isolado SVG00049-B(CNPSo 3602/CCTB09)</t>
  </si>
  <si>
    <t xml:space="preserve"> Total </t>
  </si>
  <si>
    <t xml:space="preserve">21016.009146/2024-05</t>
  </si>
  <si>
    <t xml:space="preserve">PLC 02</t>
  </si>
  <si>
    <t xml:space="preserve">Companhia </t>
  </si>
  <si>
    <t xml:space="preserve">21016.008951/2024-11</t>
  </si>
  <si>
    <t xml:space="preserve">PLC 01</t>
  </si>
  <si>
    <t xml:space="preserve"> Paecilomyces lilacinus CCT 8068</t>
  </si>
  <si>
    <t xml:space="preserve">21016.003768/2024-11</t>
  </si>
  <si>
    <t xml:space="preserve">TURIMAX</t>
  </si>
  <si>
    <t xml:space="preserve">Bacillus thuringiensis var. kurstaki HD-1 (S1450)</t>
  </si>
  <si>
    <t xml:space="preserve">Compostec </t>
  </si>
  <si>
    <t xml:space="preserve">21000.005872/2019-52</t>
  </si>
  <si>
    <t xml:space="preserve">GUERRA 200 SL</t>
  </si>
  <si>
    <t xml:space="preserve">21016.007538/2021-89</t>
  </si>
  <si>
    <t xml:space="preserve">FENPROPIX</t>
  </si>
  <si>
    <t xml:space="preserve">Protioconazol; Fenpropimorfe; Picoxistrobina</t>
  </si>
  <si>
    <t xml:space="preserve">21000.043483/2019-25</t>
  </si>
  <si>
    <t xml:space="preserve">ALIDMOX</t>
  </si>
  <si>
    <t xml:space="preserve">21000.034829/2020-38</t>
  </si>
  <si>
    <t xml:space="preserve">ACETIDE</t>
  </si>
  <si>
    <t xml:space="preserve">21000.088015/2019-80</t>
  </si>
  <si>
    <t xml:space="preserve">GRAVO 200 EC</t>
  </si>
  <si>
    <t xml:space="preserve"> RAINBOW</t>
  </si>
  <si>
    <t xml:space="preserve">21000.033803/2019-39</t>
  </si>
  <si>
    <t xml:space="preserve">RALLY</t>
  </si>
  <si>
    <t xml:space="preserve">21000.034616/2019-72</t>
  </si>
  <si>
    <t xml:space="preserve">RALLY SC</t>
  </si>
  <si>
    <t xml:space="preserve">21016.003360/2025-21</t>
  </si>
  <si>
    <t xml:space="preserve">SUPPLAY MIX</t>
  </si>
  <si>
    <t xml:space="preserve"> Trichoderma harzianum, isolado IBLF 1278; Trichoderma harzianum, isolado IBLF 1282; Trichoderma viride, isolado IBLF 1275; Trichoderma viride, isolado IBLF 1276</t>
  </si>
  <si>
    <t xml:space="preserve">Indústria de Fertilizantes</t>
  </si>
  <si>
    <t xml:space="preserve">21016.003009/2025-30</t>
  </si>
  <si>
    <t xml:space="preserve">SUPPLAY</t>
  </si>
  <si>
    <t xml:space="preserve">Trichoderma harzianum, isolado IBLF 1278;  Trichoderma harzianum, isolado IBLF 1282;  Trichoderma viride, isolado IBLF 1275; Trichoderma viride, isolado IBLF 1276</t>
  </si>
  <si>
    <t xml:space="preserve">21000.056141/2020-17</t>
  </si>
  <si>
    <t xml:space="preserve">CERVINO GOLD</t>
  </si>
  <si>
    <t xml:space="preserve">Clomazona; Flumioxazina</t>
  </si>
  <si>
    <t xml:space="preserve">21000.094038/2019-23</t>
  </si>
  <si>
    <t xml:space="preserve">BUGÃO</t>
  </si>
  <si>
    <t xml:space="preserve">21000.080261/2020-27</t>
  </si>
  <si>
    <t xml:space="preserve">VICTRATO PRO</t>
  </si>
  <si>
    <t xml:space="preserve">CICLOBUTRIFLURAM</t>
  </si>
  <si>
    <t xml:space="preserve">21016.000409/2022-41</t>
  </si>
  <si>
    <t xml:space="preserve">TERZZO / DOKO / MEMPHIS</t>
  </si>
  <si>
    <t xml:space="preserve">Cletodim + Haloxifope-P-metílico</t>
  </si>
  <si>
    <t xml:space="preserve">OURO FINO</t>
  </si>
  <si>
    <t xml:space="preserve">21016.005866/2022-21</t>
  </si>
  <si>
    <t xml:space="preserve">STAY UP</t>
  </si>
  <si>
    <t xml:space="preserve">2,3,5 Ácido Triiodobenzóico (TIBA</t>
  </si>
  <si>
    <t xml:space="preserve">BIO</t>
  </si>
  <si>
    <t xml:space="preserve">Nellty do Brasil </t>
  </si>
  <si>
    <t xml:space="preserve">TC00124</t>
  </si>
  <si>
    <t xml:space="preserve">21000.096662/2021-80</t>
  </si>
  <si>
    <t xml:space="preserve">Espirodiclofeno Técnico Ihara</t>
  </si>
  <si>
    <t xml:space="preserve">Ihara</t>
  </si>
  <si>
    <t xml:space="preserve">TC00224</t>
  </si>
  <si>
    <t xml:space="preserve">21000.005803/2015-15</t>
  </si>
  <si>
    <t xml:space="preserve">Tricyclazole Técnico Indofil</t>
  </si>
  <si>
    <t xml:space="preserve">Triciclazol</t>
  </si>
  <si>
    <t xml:space="preserve">TC00324</t>
  </si>
  <si>
    <t xml:space="preserve">21000.054396/2018-12</t>
  </si>
  <si>
    <t xml:space="preserve">Cletodim Técnico YN</t>
  </si>
  <si>
    <t xml:space="preserve">TC00424</t>
  </si>
  <si>
    <t xml:space="preserve">21000.040021/2016-11</t>
  </si>
  <si>
    <t xml:space="preserve">Azoxistrobin Técnico RdB</t>
  </si>
  <si>
    <t xml:space="preserve">TC00524</t>
  </si>
  <si>
    <t xml:space="preserve">21000.097830/2021-54</t>
  </si>
  <si>
    <t xml:space="preserve">Flumioxazina Técnico Tecnomyl</t>
  </si>
  <si>
    <t xml:space="preserve">TC00624</t>
  </si>
  <si>
    <t xml:space="preserve">21000.006732/2021-16</t>
  </si>
  <si>
    <t xml:space="preserve">Acetamiprido Técnico Hailir</t>
  </si>
  <si>
    <t xml:space="preserve">Contacta</t>
  </si>
  <si>
    <t xml:space="preserve">TC00724</t>
  </si>
  <si>
    <t xml:space="preserve">21000.006132/2021-58</t>
  </si>
  <si>
    <t xml:space="preserve">Glufosinato Técnico Hailir</t>
  </si>
  <si>
    <t xml:space="preserve">TC00824</t>
  </si>
  <si>
    <t xml:space="preserve">21000.025683/2018-15</t>
  </si>
  <si>
    <t xml:space="preserve">Difenoconazole Técnico Nufarm BR</t>
  </si>
  <si>
    <t xml:space="preserve">TC00924</t>
  </si>
  <si>
    <t xml:space="preserve">21000.086470/2019-41</t>
  </si>
  <si>
    <t xml:space="preserve">Espirodiclofeno Ascensa Técnico </t>
  </si>
  <si>
    <t xml:space="preserve">TC01024</t>
  </si>
  <si>
    <t xml:space="preserve">21000.008155/2018-00</t>
  </si>
  <si>
    <t xml:space="preserve">Fipronil Técnico ZS</t>
  </si>
  <si>
    <t xml:space="preserve">TC01124</t>
  </si>
  <si>
    <t xml:space="preserve">21000.079494/2022-49</t>
  </si>
  <si>
    <t xml:space="preserve">Azoxystrobin Técnico SCH</t>
  </si>
  <si>
    <t xml:space="preserve">TC01224</t>
  </si>
  <si>
    <t xml:space="preserve">21000.018171/2023-60</t>
  </si>
  <si>
    <t xml:space="preserve">Imazapir Técnico ZS</t>
  </si>
  <si>
    <t xml:space="preserve">TC01324</t>
  </si>
  <si>
    <t xml:space="preserve">21000.001059/2015-80</t>
  </si>
  <si>
    <t xml:space="preserve">Mesotrione Técnico UPL</t>
  </si>
  <si>
    <t xml:space="preserve">TC01424</t>
  </si>
  <si>
    <t xml:space="preserve">21000.071741/2021-88</t>
  </si>
  <si>
    <t xml:space="preserve">Piriproxifem Técnico Albaugh 01</t>
  </si>
  <si>
    <t xml:space="preserve">TC01524</t>
  </si>
  <si>
    <t xml:space="preserve">21000.025376/2018-34</t>
  </si>
  <si>
    <t xml:space="preserve">Boscalid Técnico ZS</t>
  </si>
  <si>
    <t xml:space="preserve">TC01624</t>
  </si>
  <si>
    <t xml:space="preserve">21000.014881/2018-53</t>
  </si>
  <si>
    <t xml:space="preserve">Boscalida Técnico Nortox III</t>
  </si>
  <si>
    <t xml:space="preserve">TC01724</t>
  </si>
  <si>
    <t xml:space="preserve">21000.008037/2015-41</t>
  </si>
  <si>
    <t xml:space="preserve">Espirodiclofen Técnico Nortox II</t>
  </si>
  <si>
    <t xml:space="preserve">TC01824</t>
  </si>
  <si>
    <t xml:space="preserve">21000.010830/2019-33</t>
  </si>
  <si>
    <t xml:space="preserve">S-Metolachlor Técnico United</t>
  </si>
  <si>
    <t xml:space="preserve">TC01924</t>
  </si>
  <si>
    <t xml:space="preserve">21000.068537/2022-61</t>
  </si>
  <si>
    <t xml:space="preserve">Diquat Técnico Albaugh</t>
  </si>
  <si>
    <t xml:space="preserve">TC02024</t>
  </si>
  <si>
    <t xml:space="preserve">21000.022066/2020-82</t>
  </si>
  <si>
    <t xml:space="preserve">S-Metolachlor Técnico SAU</t>
  </si>
  <si>
    <t xml:space="preserve">TC02124</t>
  </si>
  <si>
    <t xml:space="preserve">21000.005976/2023-43</t>
  </si>
  <si>
    <t xml:space="preserve">Diquat Técnico EA</t>
  </si>
  <si>
    <t xml:space="preserve">Dibrometo de Diquate </t>
  </si>
  <si>
    <t xml:space="preserve">TC02224</t>
  </si>
  <si>
    <t xml:space="preserve">21000.072222/2023-07</t>
  </si>
  <si>
    <t xml:space="preserve">Tiofanato-Metílico Técnico AGX</t>
  </si>
  <si>
    <t xml:space="preserve">Tiofanato-metílico</t>
  </si>
  <si>
    <t xml:space="preserve">TC02324</t>
  </si>
  <si>
    <t xml:space="preserve">21000.004098/2022-68</t>
  </si>
  <si>
    <t xml:space="preserve">Diquat Técnico Tecnomyl II</t>
  </si>
  <si>
    <t xml:space="preserve">TC02424</t>
  </si>
  <si>
    <t xml:space="preserve">21000.020935/2022-04</t>
  </si>
  <si>
    <t xml:space="preserve">Difeconazole Técnico SAU</t>
  </si>
  <si>
    <t xml:space="preserve">TC02524</t>
  </si>
  <si>
    <t xml:space="preserve">21000.069723/2020-55</t>
  </si>
  <si>
    <t xml:space="preserve">Imazapyr Técnico SD</t>
  </si>
  <si>
    <t xml:space="preserve">TC02624</t>
  </si>
  <si>
    <t xml:space="preserve">21000.016355/2023-95</t>
  </si>
  <si>
    <t xml:space="preserve">Protioconazole Técnico OF II</t>
  </si>
  <si>
    <t xml:space="preserve">TC02724</t>
  </si>
  <si>
    <t xml:space="preserve">21000.071492/2023-92</t>
  </si>
  <si>
    <t xml:space="preserve">Picloram T´pecnico Avilive II</t>
  </si>
  <si>
    <t xml:space="preserve">TC02824</t>
  </si>
  <si>
    <t xml:space="preserve">21000.031041/2021-51</t>
  </si>
  <si>
    <t xml:space="preserve">Saflufenacil Técnico CropChem II</t>
  </si>
  <si>
    <t xml:space="preserve">TC02924</t>
  </si>
  <si>
    <t xml:space="preserve">21000.091040/2022-46</t>
  </si>
  <si>
    <t xml:space="preserve">Saflufenacil Técnico CHDS</t>
  </si>
  <si>
    <t xml:space="preserve">TC03024</t>
  </si>
  <si>
    <t xml:space="preserve">21000.055685/2023-04</t>
  </si>
  <si>
    <t xml:space="preserve">Prothioconazole Técnico Xin Yinbang </t>
  </si>
  <si>
    <t xml:space="preserve">TC03124</t>
  </si>
  <si>
    <t xml:space="preserve">21000.051820/2017-96</t>
  </si>
  <si>
    <t xml:space="preserve">2,4-D Tecnico EA</t>
  </si>
  <si>
    <t xml:space="preserve">TC03224</t>
  </si>
  <si>
    <t xml:space="preserve">21000.050886/2018-40</t>
  </si>
  <si>
    <t xml:space="preserve">Isoxaflutol Técnico OF</t>
  </si>
  <si>
    <t xml:space="preserve">Ouro fino</t>
  </si>
  <si>
    <t xml:space="preserve">TC03324</t>
  </si>
  <si>
    <t xml:space="preserve">21000.001138/2023-09</t>
  </si>
  <si>
    <t xml:space="preserve">Protioconazol Técnico HB 1</t>
  </si>
  <si>
    <t xml:space="preserve">TC03424</t>
  </si>
  <si>
    <t xml:space="preserve">21000.001908/2023-13</t>
  </si>
  <si>
    <t xml:space="preserve">Protioconazol Técnico HB 2</t>
  </si>
  <si>
    <t xml:space="preserve">TC03524</t>
  </si>
  <si>
    <t xml:space="preserve">21000.006214/2023-64</t>
  </si>
  <si>
    <t xml:space="preserve">Protioconazol Técnico HB3</t>
  </si>
  <si>
    <t xml:space="preserve">TC03624</t>
  </si>
  <si>
    <t xml:space="preserve">21000.041202/2022-03</t>
  </si>
  <si>
    <t xml:space="preserve">Bifentrina Técnico Sulphur Mills</t>
  </si>
  <si>
    <t xml:space="preserve">TC03724</t>
  </si>
  <si>
    <t xml:space="preserve">21000.082114/2021-72</t>
  </si>
  <si>
    <t xml:space="preserve">Amicarbazone Técnico Avgust</t>
  </si>
  <si>
    <t xml:space="preserve">TC03824</t>
  </si>
  <si>
    <t xml:space="preserve">21000.032804/2021-81</t>
  </si>
  <si>
    <t xml:space="preserve">Saflufenacil técnico Nortox II</t>
  </si>
  <si>
    <t xml:space="preserve">TC03924</t>
  </si>
  <si>
    <t xml:space="preserve">21000.002749/2019-80</t>
  </si>
  <si>
    <t xml:space="preserve">Imazapir Técnico Rainbow</t>
  </si>
  <si>
    <t xml:space="preserve">TC04024</t>
  </si>
  <si>
    <t xml:space="preserve">21000.059851/2016-12</t>
  </si>
  <si>
    <t xml:space="preserve">Amicarbazona Técnico Nortox II</t>
  </si>
  <si>
    <t xml:space="preserve">TC04124</t>
  </si>
  <si>
    <t xml:space="preserve">21000.067572/2019-67</t>
  </si>
  <si>
    <t xml:space="preserve">Bifentrin Técnico gilmore</t>
  </si>
  <si>
    <t xml:space="preserve">Gimore</t>
  </si>
  <si>
    <t xml:space="preserve">TC04224</t>
  </si>
  <si>
    <t xml:space="preserve">21000.061414/2021-18</t>
  </si>
  <si>
    <t xml:space="preserve">Saflufenacil Técnico Alta</t>
  </si>
  <si>
    <t xml:space="preserve">TC04324</t>
  </si>
  <si>
    <t xml:space="preserve">21000.002984/2015-28</t>
  </si>
  <si>
    <t xml:space="preserve">Isoxaflutol Técnico HS-Cropchem</t>
  </si>
  <si>
    <t xml:space="preserve">TC04424</t>
  </si>
  <si>
    <t xml:space="preserve">21000.033672/2018-17</t>
  </si>
  <si>
    <t xml:space="preserve">Triclopir Técnico OF</t>
  </si>
  <si>
    <t xml:space="preserve">TC04524</t>
  </si>
  <si>
    <t xml:space="preserve">21000.055023/2017-88</t>
  </si>
  <si>
    <t xml:space="preserve">Protioconazol Técnico Proventis</t>
  </si>
  <si>
    <t xml:space="preserve">TC04624</t>
  </si>
  <si>
    <t xml:space="preserve">21000.021303/2022-50</t>
  </si>
  <si>
    <t xml:space="preserve">Triclopir Técnico CropChem III</t>
  </si>
  <si>
    <t xml:space="preserve">TC04724</t>
  </si>
  <si>
    <t xml:space="preserve">21000.020700/2018-28</t>
  </si>
  <si>
    <t xml:space="preserve">Pimetrozine Técnico Nortox II</t>
  </si>
  <si>
    <t xml:space="preserve">TC04824</t>
  </si>
  <si>
    <t xml:space="preserve">21000.054562/2017-08</t>
  </si>
  <si>
    <t xml:space="preserve">Protioconazol Técnico ALS </t>
  </si>
  <si>
    <t xml:space="preserve">Arysta </t>
  </si>
  <si>
    <t xml:space="preserve">TC04924</t>
  </si>
  <si>
    <t xml:space="preserve">21000.005385/2014-85</t>
  </si>
  <si>
    <t xml:space="preserve">Triclopyr-Butotyl Technical UPL</t>
  </si>
  <si>
    <t xml:space="preserve">TC05024</t>
  </si>
  <si>
    <t xml:space="preserve">21000.007692/2014-09</t>
  </si>
  <si>
    <t xml:space="preserve">Ciproconazol Técnico Ouro Fino</t>
  </si>
  <si>
    <t xml:space="preserve">TC05124</t>
  </si>
  <si>
    <t xml:space="preserve">21000.002293/2015-24</t>
  </si>
  <si>
    <t xml:space="preserve">Azoxistrobina Técnico Agrolead</t>
  </si>
  <si>
    <t xml:space="preserve">TC05224</t>
  </si>
  <si>
    <t xml:space="preserve">21000.008001/2023-77</t>
  </si>
  <si>
    <t xml:space="preserve">Triclopir-Butotílico Albaugh FGS</t>
  </si>
  <si>
    <t xml:space="preserve">TC05324</t>
  </si>
  <si>
    <t xml:space="preserve">21000.022834/2021-89</t>
  </si>
  <si>
    <t xml:space="preserve">Amicarbazone Técnico Albaugh  JAL 02</t>
  </si>
  <si>
    <t xml:space="preserve">TC05424</t>
  </si>
  <si>
    <t xml:space="preserve">21000.054261/2017-76</t>
  </si>
  <si>
    <t xml:space="preserve">Dicamba Técnico Albaugh</t>
  </si>
  <si>
    <t xml:space="preserve">Albaugh Agro Brasil</t>
  </si>
  <si>
    <t xml:space="preserve">TC05524</t>
  </si>
  <si>
    <t xml:space="preserve">21000.099143/2021-73</t>
  </si>
  <si>
    <t xml:space="preserve">Triclopyr Técnico Ihara III</t>
  </si>
  <si>
    <t xml:space="preserve">TC05624</t>
  </si>
  <si>
    <t xml:space="preserve">21000.055085/2018-71</t>
  </si>
  <si>
    <t xml:space="preserve">Ciproconazol Técnico Adama</t>
  </si>
  <si>
    <t xml:space="preserve">TC05724</t>
  </si>
  <si>
    <t xml:space="preserve">21000.048153/2016-83</t>
  </si>
  <si>
    <t xml:space="preserve">Glifosato Técnico Adama</t>
  </si>
  <si>
    <t xml:space="preserve">TC05824</t>
  </si>
  <si>
    <t xml:space="preserve">21000.018567/2021-45</t>
  </si>
  <si>
    <t xml:space="preserve">Triclopir-Butotílico Técnico Adama 2</t>
  </si>
  <si>
    <t xml:space="preserve">TC05924</t>
  </si>
  <si>
    <t xml:space="preserve">21000.015424/2016-14</t>
  </si>
  <si>
    <t xml:space="preserve">Azoxistrobina Técnico Adama BR</t>
  </si>
  <si>
    <t xml:space="preserve">TC06024</t>
  </si>
  <si>
    <t xml:space="preserve">21000.040948/2019-96</t>
  </si>
  <si>
    <t xml:space="preserve">Difenoconazol Técnico Adama 2</t>
  </si>
  <si>
    <t xml:space="preserve">TC06124</t>
  </si>
  <si>
    <t xml:space="preserve">21000.011834/2018-58</t>
  </si>
  <si>
    <t xml:space="preserve">Aimco Bykill Técnico </t>
  </si>
  <si>
    <t xml:space="preserve">TC06224</t>
  </si>
  <si>
    <t xml:space="preserve">21000.105582/2021-22</t>
  </si>
  <si>
    <t xml:space="preserve">Triclopir Técnico Ihara I</t>
  </si>
  <si>
    <t xml:space="preserve">TC06324</t>
  </si>
  <si>
    <t xml:space="preserve">21000.037216/2018-38</t>
  </si>
  <si>
    <t xml:space="preserve">Lufenuron Técnico CHD'S</t>
  </si>
  <si>
    <t xml:space="preserve">TC06424</t>
  </si>
  <si>
    <t xml:space="preserve">21000.018476/2021-18</t>
  </si>
  <si>
    <t xml:space="preserve">Acetamiprid Técnico Wynca</t>
  </si>
  <si>
    <t xml:space="preserve">TC06524</t>
  </si>
  <si>
    <t xml:space="preserve">21000.045843/2016-81</t>
  </si>
  <si>
    <t xml:space="preserve">Clethodim Técnico ALS JY</t>
  </si>
  <si>
    <t xml:space="preserve">TC06624</t>
  </si>
  <si>
    <t xml:space="preserve">21000.016708/2019-71</t>
  </si>
  <si>
    <t xml:space="preserve">Ametrina Técnico Adama BR</t>
  </si>
  <si>
    <t xml:space="preserve">Ametrina</t>
  </si>
  <si>
    <t xml:space="preserve">TC06724</t>
  </si>
  <si>
    <t xml:space="preserve">21000.000399/2015-93</t>
  </si>
  <si>
    <t xml:space="preserve">Azoxystrobin Técnico Proventis II</t>
  </si>
  <si>
    <t xml:space="preserve">TC06824</t>
  </si>
  <si>
    <t xml:space="preserve">21000.073945/2021-53</t>
  </si>
  <si>
    <t xml:space="preserve">Triclopir Butotílico Técnico Nortox V</t>
  </si>
  <si>
    <t xml:space="preserve">TC06924</t>
  </si>
  <si>
    <t xml:space="preserve">21000.039084/2022-65</t>
  </si>
  <si>
    <t xml:space="preserve">Triclopir Técnico Proventis</t>
  </si>
  <si>
    <t xml:space="preserve">TC07024</t>
  </si>
  <si>
    <t xml:space="preserve">21000.044786/2017-01</t>
  </si>
  <si>
    <t xml:space="preserve">Clethodim Técnico Agrolead</t>
  </si>
  <si>
    <t xml:space="preserve">TC07124</t>
  </si>
  <si>
    <t xml:space="preserve">21000.052358/2017-44</t>
  </si>
  <si>
    <t xml:space="preserve">Cletodim Técnico Nortox II</t>
  </si>
  <si>
    <t xml:space="preserve">TC07224</t>
  </si>
  <si>
    <t xml:space="preserve">21000.004455/2020-26</t>
  </si>
  <si>
    <t xml:space="preserve">Clethodim Technical SD</t>
  </si>
  <si>
    <t xml:space="preserve">TC07324</t>
  </si>
  <si>
    <t xml:space="preserve">21000.027082/2017-66</t>
  </si>
  <si>
    <t xml:space="preserve">Triclopir Técnico Cropchem</t>
  </si>
  <si>
    <t xml:space="preserve">TC07424</t>
  </si>
  <si>
    <t xml:space="preserve">21000.005106/2020-21</t>
  </si>
  <si>
    <t xml:space="preserve">Aminopiralide Técnico Nortox II</t>
  </si>
  <si>
    <t xml:space="preserve">TC07524</t>
  </si>
  <si>
    <t xml:space="preserve">21000.033343/2019-49</t>
  </si>
  <si>
    <t xml:space="preserve">Aminopyralid Técnico AT</t>
  </si>
  <si>
    <t xml:space="preserve">TC07624</t>
  </si>
  <si>
    <t xml:space="preserve">21000.072389/2023-60</t>
  </si>
  <si>
    <t xml:space="preserve">Imazethapyr Técnico XF</t>
  </si>
  <si>
    <t xml:space="preserve">TC07724</t>
  </si>
  <si>
    <t xml:space="preserve">21000.090953/2021-64</t>
  </si>
  <si>
    <t xml:space="preserve">Aminopiralide Técnico Ihara</t>
  </si>
  <si>
    <t xml:space="preserve">TC07824</t>
  </si>
  <si>
    <t xml:space="preserve">21000.123839/2022-17</t>
  </si>
  <si>
    <t xml:space="preserve">Imazapir Técnico Brilliance I</t>
  </si>
  <si>
    <t xml:space="preserve">TC07924</t>
  </si>
  <si>
    <t xml:space="preserve">21000.050792/2018-71</t>
  </si>
  <si>
    <t xml:space="preserve">Prothioconazole Technical CAC</t>
  </si>
  <si>
    <t xml:space="preserve">TC08024</t>
  </si>
  <si>
    <t xml:space="preserve">21000.040848/2021-84</t>
  </si>
  <si>
    <t xml:space="preserve">Prothioconazole Technical II CAC</t>
  </si>
  <si>
    <t xml:space="preserve">CAC </t>
  </si>
  <si>
    <t xml:space="preserve">TC08124</t>
  </si>
  <si>
    <t xml:space="preserve">21000.119528/2022-45</t>
  </si>
  <si>
    <t xml:space="preserve">Alfa-Cipermetrina Técnico Rainbow</t>
  </si>
  <si>
    <t xml:space="preserve">TC08224</t>
  </si>
  <si>
    <t xml:space="preserve">21000.010967/2018-15</t>
  </si>
  <si>
    <t xml:space="preserve">Azoxystrobin Técnico Coromandel</t>
  </si>
  <si>
    <t xml:space="preserve">TC08324</t>
  </si>
  <si>
    <t xml:space="preserve">21000.074459/2019-38</t>
  </si>
  <si>
    <t xml:space="preserve">Dicamba Técnico Crop</t>
  </si>
  <si>
    <t xml:space="preserve">TC08424</t>
  </si>
  <si>
    <t xml:space="preserve">21000.063584/2021-37</t>
  </si>
  <si>
    <t xml:space="preserve">Clethodim Técnico YNX</t>
  </si>
  <si>
    <t xml:space="preserve">TC08524</t>
  </si>
  <si>
    <t xml:space="preserve">21000.037216/2017-57</t>
  </si>
  <si>
    <t xml:space="preserve">Clethodim Técnico Agrogill</t>
  </si>
  <si>
    <t xml:space="preserve">TC08624</t>
  </si>
  <si>
    <t xml:space="preserve">21000.002743/2015-89</t>
  </si>
  <si>
    <t xml:space="preserve">Ciproconazole Técnico CT</t>
  </si>
  <si>
    <t xml:space="preserve">TC08724</t>
  </si>
  <si>
    <t xml:space="preserve">21000.027470/2022-12</t>
  </si>
  <si>
    <t xml:space="preserve">Diquat Técnico Sinon</t>
  </si>
  <si>
    <t xml:space="preserve">Diprometo de diquat</t>
  </si>
  <si>
    <t xml:space="preserve">TC08824</t>
  </si>
  <si>
    <t xml:space="preserve">21000.042324/2017-41</t>
  </si>
  <si>
    <t xml:space="preserve">Fluazinam Técnico Fluz</t>
  </si>
  <si>
    <t xml:space="preserve">TC08924</t>
  </si>
  <si>
    <t xml:space="preserve">21000.060411/2020-86</t>
  </si>
  <si>
    <t xml:space="preserve">Fluoxapiprolin Técnico</t>
  </si>
  <si>
    <t xml:space="preserve">TC09024</t>
  </si>
  <si>
    <t xml:space="preserve">21000.043361/2023-15</t>
  </si>
  <si>
    <t xml:space="preserve">Triclopyr Técnico Agrogill</t>
  </si>
  <si>
    <t xml:space="preserve">TC09124</t>
  </si>
  <si>
    <t xml:space="preserve">21000.058224/2020-32</t>
  </si>
  <si>
    <t xml:space="preserve">Aminopiralide Técnico Sumitomo</t>
  </si>
  <si>
    <t xml:space="preserve">TC09224</t>
  </si>
  <si>
    <t xml:space="preserve">21000.035404/2020-46</t>
  </si>
  <si>
    <t xml:space="preserve">Mesotrione Técnico Limin</t>
  </si>
  <si>
    <t xml:space="preserve">TC09324</t>
  </si>
  <si>
    <t xml:space="preserve">21000.042028/2023-99</t>
  </si>
  <si>
    <t xml:space="preserve">Etiprole Técnico Ihara II</t>
  </si>
  <si>
    <t xml:space="preserve">TC09424</t>
  </si>
  <si>
    <t xml:space="preserve">21000.061450/2019-67</t>
  </si>
  <si>
    <t xml:space="preserve">Trinexapaque-Etílico Y Técnico Helm</t>
  </si>
  <si>
    <t xml:space="preserve">TC09524</t>
  </si>
  <si>
    <t xml:space="preserve">21000.050594/2021-11</t>
  </si>
  <si>
    <t xml:space="preserve">Trinexapac Técnico Yangnong</t>
  </si>
  <si>
    <t xml:space="preserve">TC09624</t>
  </si>
  <si>
    <t xml:space="preserve">21000.000751/2015-91</t>
  </si>
  <si>
    <t xml:space="preserve">Trinexapac V Técnico Helm</t>
  </si>
  <si>
    <t xml:space="preserve">TC09724</t>
  </si>
  <si>
    <t xml:space="preserve">21000.102770/2022-80</t>
  </si>
  <si>
    <t xml:space="preserve">Trinexapaque Técnico Tecnomyl II</t>
  </si>
  <si>
    <t xml:space="preserve">TC09824</t>
  </si>
  <si>
    <t xml:space="preserve">21000.081517/2020-13</t>
  </si>
  <si>
    <t xml:space="preserve">Trinexapaque-Etílico Técnico Adama BR</t>
  </si>
  <si>
    <t xml:space="preserve">TC09924</t>
  </si>
  <si>
    <t xml:space="preserve">21000.051480/2020-07</t>
  </si>
  <si>
    <t xml:space="preserve">Mesotriona Técnico CropChem</t>
  </si>
  <si>
    <t xml:space="preserve">TC10024</t>
  </si>
  <si>
    <t xml:space="preserve">21000.024197/2020-02</t>
  </si>
  <si>
    <t xml:space="preserve">Mesotrione Técnico Nortox V</t>
  </si>
  <si>
    <t xml:space="preserve">TC10124</t>
  </si>
  <si>
    <t xml:space="preserve">21000.055466/2019-31</t>
  </si>
  <si>
    <t xml:space="preserve">Mesotriona Técnico Ada</t>
  </si>
  <si>
    <t xml:space="preserve">TC10224</t>
  </si>
  <si>
    <t xml:space="preserve">21000.064454/2019-05</t>
  </si>
  <si>
    <t xml:space="preserve">Metribuzin Técnico SYN</t>
  </si>
  <si>
    <t xml:space="preserve">TC10324</t>
  </si>
  <si>
    <t xml:space="preserve">21000.079316/2019-12</t>
  </si>
  <si>
    <t xml:space="preserve">Azoxystrobin Técnico FB III</t>
  </si>
  <si>
    <t xml:space="preserve">TC10424</t>
  </si>
  <si>
    <t xml:space="preserve">21000.022740/2021-18</t>
  </si>
  <si>
    <t xml:space="preserve">Saflufenacil Técnico FB</t>
  </si>
  <si>
    <t xml:space="preserve">TC10524</t>
  </si>
  <si>
    <t xml:space="preserve">21000.019970/2024-34</t>
  </si>
  <si>
    <t xml:space="preserve">Mesotrione Técnico Tenomyl</t>
  </si>
  <si>
    <t xml:space="preserve">TC10624</t>
  </si>
  <si>
    <t xml:space="preserve">21000.024497/2018-69</t>
  </si>
  <si>
    <t xml:space="preserve">Golero Técnico</t>
  </si>
  <si>
    <t xml:space="preserve">TC10724</t>
  </si>
  <si>
    <t xml:space="preserve">21000.093835/2019-93</t>
  </si>
  <si>
    <t xml:space="preserve">Azoxystrobin Técnico CCAB II</t>
  </si>
  <si>
    <t xml:space="preserve">TC10824</t>
  </si>
  <si>
    <t xml:space="preserve">21000.002225/2014-84</t>
  </si>
  <si>
    <t xml:space="preserve">Clorotalonil Técnico SD</t>
  </si>
  <si>
    <t xml:space="preserve">TC10924</t>
  </si>
  <si>
    <t xml:space="preserve">21000.059660/2020-29</t>
  </si>
  <si>
    <t xml:space="preserve">Quizalofop-P-Ethyl Technical SD</t>
  </si>
  <si>
    <t xml:space="preserve">TC11024</t>
  </si>
  <si>
    <t xml:space="preserve">21000.025883/2021-73</t>
  </si>
  <si>
    <t xml:space="preserve">Espiromesifeno Técnico Tecnomyl</t>
  </si>
  <si>
    <t xml:space="preserve">TC11124</t>
  </si>
  <si>
    <t xml:space="preserve">21000.022049/2018-21</t>
  </si>
  <si>
    <t xml:space="preserve">Spiromesifen Técnico FB</t>
  </si>
  <si>
    <t xml:space="preserve">TC11224</t>
  </si>
  <si>
    <t xml:space="preserve">21000.072592/2020-93</t>
  </si>
  <si>
    <t xml:space="preserve">Clorfenapir Técnico UPL</t>
  </si>
  <si>
    <t xml:space="preserve">TC11324</t>
  </si>
  <si>
    <t xml:space="preserve">21000.006052/2015-54</t>
  </si>
  <si>
    <t xml:space="preserve">Espirodiclofeno Técnico UPL</t>
  </si>
  <si>
    <t xml:space="preserve">TC11424</t>
  </si>
  <si>
    <t xml:space="preserve">21000.076667/2020-13</t>
  </si>
  <si>
    <t xml:space="preserve">Clorfenapir Técnico Rainbow</t>
  </si>
  <si>
    <t xml:space="preserve">TC11524</t>
  </si>
  <si>
    <t xml:space="preserve">21000.049963/2021-14</t>
  </si>
  <si>
    <t xml:space="preserve">Axalion Técnico</t>
  </si>
  <si>
    <t xml:space="preserve">Dimpropiridaz</t>
  </si>
  <si>
    <t xml:space="preserve">TC11624</t>
  </si>
  <si>
    <t xml:space="preserve">21000.072581/2019-70</t>
  </si>
  <si>
    <t xml:space="preserve">Espiromesifeno Técnico CropChem</t>
  </si>
  <si>
    <t xml:space="preserve">TC11724</t>
  </si>
  <si>
    <t xml:space="preserve">21000.002442/2015-55</t>
  </si>
  <si>
    <t xml:space="preserve">Cipermetrina Técnica Nortox IN</t>
  </si>
  <si>
    <t xml:space="preserve">TC11824</t>
  </si>
  <si>
    <t xml:space="preserve">21000.038200/2018-42</t>
  </si>
  <si>
    <t xml:space="preserve">Acetamiprid Técnico SYN</t>
  </si>
  <si>
    <t xml:space="preserve">TC11924</t>
  </si>
  <si>
    <t xml:space="preserve">21000.046602/2018-11</t>
  </si>
  <si>
    <t xml:space="preserve">Acetamiprido Técnico Adama</t>
  </si>
  <si>
    <t xml:space="preserve">TC12024</t>
  </si>
  <si>
    <t xml:space="preserve">21000.070049/2020-51</t>
  </si>
  <si>
    <t xml:space="preserve">Methoxyfenozide Técnico SJ</t>
  </si>
  <si>
    <t xml:space="preserve">TC12124</t>
  </si>
  <si>
    <t xml:space="preserve">21000.020940/2022-17</t>
  </si>
  <si>
    <t xml:space="preserve">Dimetomorfe Técnico SAU</t>
  </si>
  <si>
    <t xml:space="preserve">TC12224</t>
  </si>
  <si>
    <t xml:space="preserve">21000.105805/2022-32</t>
  </si>
  <si>
    <t xml:space="preserve">Metoxifenozida H técnico Helm</t>
  </si>
  <si>
    <t xml:space="preserve">TC12324</t>
  </si>
  <si>
    <t xml:space="preserve">21000.025682/2021-76</t>
  </si>
  <si>
    <t xml:space="preserve">Cletodim QI Técnico Tide</t>
  </si>
  <si>
    <t xml:space="preserve">TC12424</t>
  </si>
  <si>
    <t xml:space="preserve">21000.087391/2019-57</t>
  </si>
  <si>
    <t xml:space="preserve">Tiodicarbe Técnico  Rainbow</t>
  </si>
  <si>
    <t xml:space="preserve">TC12524</t>
  </si>
  <si>
    <t xml:space="preserve">21000.070054/2020-64</t>
  </si>
  <si>
    <t xml:space="preserve">A-Star Técnico</t>
  </si>
  <si>
    <t xml:space="preserve">TC12624</t>
  </si>
  <si>
    <t xml:space="preserve">21000.017110/2024-66</t>
  </si>
  <si>
    <t xml:space="preserve">Fluazinam  Técnico  Alta</t>
  </si>
  <si>
    <t xml:space="preserve">TC12724</t>
  </si>
  <si>
    <t xml:space="preserve">21000.008068/2014-11</t>
  </si>
  <si>
    <t xml:space="preserve">Azoxystrobin Técnico HG</t>
  </si>
  <si>
    <t xml:space="preserve">TC12824</t>
  </si>
  <si>
    <t xml:space="preserve">21000.000455/2015-90</t>
  </si>
  <si>
    <t xml:space="preserve">Isoxaflutole Técnico Adama BR</t>
  </si>
  <si>
    <t xml:space="preserve">TC12924</t>
  </si>
  <si>
    <t xml:space="preserve">21000.007362/2019-10</t>
  </si>
  <si>
    <t xml:space="preserve">Piraclostrobina Técnico NG</t>
  </si>
  <si>
    <t xml:space="preserve">TC13024</t>
  </si>
  <si>
    <t xml:space="preserve">21000.087408/2019-76</t>
  </si>
  <si>
    <t xml:space="preserve">Aminopyralid Técnico CCAB</t>
  </si>
  <si>
    <t xml:space="preserve">TC13124</t>
  </si>
  <si>
    <t xml:space="preserve">21000.030548/2019-72</t>
  </si>
  <si>
    <t xml:space="preserve">Clorotalonil Tech CX</t>
  </si>
  <si>
    <t xml:space="preserve">TC13224</t>
  </si>
  <si>
    <t xml:space="preserve">21000.044023/2021-39</t>
  </si>
  <si>
    <t xml:space="preserve">Forward Ametryn Técnico</t>
  </si>
  <si>
    <t xml:space="preserve">TC13324</t>
  </si>
  <si>
    <t xml:space="preserve">21000.028376/2021-91</t>
  </si>
  <si>
    <t xml:space="preserve">Cletodim Técnico  Albaugh 02</t>
  </si>
  <si>
    <t xml:space="preserve">TC13424</t>
  </si>
  <si>
    <t xml:space="preserve">21000.108957/2021-14</t>
  </si>
  <si>
    <t xml:space="preserve">Fluazinam Técnico Wuhai</t>
  </si>
  <si>
    <t xml:space="preserve">TC13524</t>
  </si>
  <si>
    <t xml:space="preserve">21000.009077/2014-29</t>
  </si>
  <si>
    <t xml:space="preserve">Trifluralina Técnico Adama</t>
  </si>
  <si>
    <t xml:space="preserve">TC13624</t>
  </si>
  <si>
    <t xml:space="preserve">21000.074685/2019-19</t>
  </si>
  <si>
    <t xml:space="preserve">Trifluralin Técnico FB</t>
  </si>
  <si>
    <t xml:space="preserve">TC13724</t>
  </si>
  <si>
    <t xml:space="preserve">21000.011050/2018-20</t>
  </si>
  <si>
    <t xml:space="preserve">Quizalofop-P-Ethyl Técnico Basf</t>
  </si>
  <si>
    <t xml:space="preserve">TC13824</t>
  </si>
  <si>
    <t xml:space="preserve">21000.001410/2014-51</t>
  </si>
  <si>
    <t xml:space="preserve">Quizalofop-P-Ethyl Técnico Helm</t>
  </si>
  <si>
    <t xml:space="preserve">TC13924</t>
  </si>
  <si>
    <t xml:space="preserve">21000.006583/2024-38</t>
  </si>
  <si>
    <t xml:space="preserve">Fluazinam  Técnico  Tecnomyl II</t>
  </si>
  <si>
    <t xml:space="preserve">TC14024</t>
  </si>
  <si>
    <t xml:space="preserve">21000.031991/2018-80</t>
  </si>
  <si>
    <t xml:space="preserve">Clorantraniliprole Técnico UPL</t>
  </si>
  <si>
    <t xml:space="preserve">TC14124</t>
  </si>
  <si>
    <t xml:space="preserve">21000.052812/2018-48</t>
  </si>
  <si>
    <t xml:space="preserve">Fluazinam Técnico Pilarquim</t>
  </si>
  <si>
    <t xml:space="preserve">TC14224</t>
  </si>
  <si>
    <t xml:space="preserve">21000.109217/2022-78</t>
  </si>
  <si>
    <t xml:space="preserve">Fluazinam Técnico Tide</t>
  </si>
  <si>
    <t xml:space="preserve">TC14324</t>
  </si>
  <si>
    <t xml:space="preserve">21000.055026/2017-11</t>
  </si>
  <si>
    <t xml:space="preserve">Fluazinam Técnico Oxon II</t>
  </si>
  <si>
    <t xml:space="preserve">TC14424</t>
  </si>
  <si>
    <t xml:space="preserve">21000.073733/2020-95</t>
  </si>
  <si>
    <t xml:space="preserve">Fluazinam Técnico NGC</t>
  </si>
  <si>
    <t xml:space="preserve">TC14524</t>
  </si>
  <si>
    <t xml:space="preserve">21000.091516/2019-43</t>
  </si>
  <si>
    <t xml:space="preserve">Fluazinam Técnico Ada</t>
  </si>
  <si>
    <t xml:space="preserve">TC14624</t>
  </si>
  <si>
    <t xml:space="preserve">21000.020280/2018-80</t>
  </si>
  <si>
    <t xml:space="preserve">Fluazinam Técnico SA</t>
  </si>
  <si>
    <t xml:space="preserve">TC14724</t>
  </si>
  <si>
    <t xml:space="preserve">21000.033839/2018-31</t>
  </si>
  <si>
    <t xml:space="preserve">Fluazinam Técnico Nufarm BR</t>
  </si>
  <si>
    <t xml:space="preserve">TC14824</t>
  </si>
  <si>
    <t xml:space="preserve">21000.019627/2021-47</t>
  </si>
  <si>
    <t xml:space="preserve">Fluazinam Técnico Wynca</t>
  </si>
  <si>
    <t xml:space="preserve">TC14924</t>
  </si>
  <si>
    <t xml:space="preserve">21000.063137/2021-88</t>
  </si>
  <si>
    <t xml:space="preserve">Fluazinam Técnico Nortox IV</t>
  </si>
  <si>
    <t xml:space="preserve">TC15024</t>
  </si>
  <si>
    <t xml:space="preserve">21000.063018/2019-19</t>
  </si>
  <si>
    <t xml:space="preserve">Diuron Técnico Nortox III</t>
  </si>
  <si>
    <t xml:space="preserve">TC15124</t>
  </si>
  <si>
    <t xml:space="preserve">21000.053858/2020-07</t>
  </si>
  <si>
    <t xml:space="preserve">Prothioconazole Técnico Udragon</t>
  </si>
  <si>
    <t xml:space="preserve">TC15224</t>
  </si>
  <si>
    <t xml:space="preserve">21000.022463/2020-54</t>
  </si>
  <si>
    <t xml:space="preserve">Protioconazol Técnico CropChem IV</t>
  </si>
  <si>
    <t xml:space="preserve">TC15324</t>
  </si>
  <si>
    <t xml:space="preserve">21000.011508/2019-21</t>
  </si>
  <si>
    <t xml:space="preserve">Protioconazole Técnico Oxon III</t>
  </si>
  <si>
    <t xml:space="preserve">TC15424</t>
  </si>
  <si>
    <t xml:space="preserve">21000.025161/2018-13</t>
  </si>
  <si>
    <t xml:space="preserve">Clorantraniliprole Técnico Nufarm</t>
  </si>
  <si>
    <t xml:space="preserve">TC15524</t>
  </si>
  <si>
    <t xml:space="preserve">21000.073281/2020-41</t>
  </si>
  <si>
    <t xml:space="preserve">Ciproconazol Técnico Albaugh 01</t>
  </si>
  <si>
    <t xml:space="preserve">TC15624</t>
  </si>
  <si>
    <t xml:space="preserve">21000.006987/2014-50</t>
  </si>
  <si>
    <t xml:space="preserve">Clethodim Técnico Consagro</t>
  </si>
  <si>
    <t xml:space="preserve">Consagro</t>
  </si>
  <si>
    <t xml:space="preserve">TC15724</t>
  </si>
  <si>
    <t xml:space="preserve">21000.040993/2018-60</t>
  </si>
  <si>
    <t xml:space="preserve">Protioconazol Técnico Adama 2</t>
  </si>
  <si>
    <t xml:space="preserve">TC15824</t>
  </si>
  <si>
    <t xml:space="preserve">21000.004314/2024-37</t>
  </si>
  <si>
    <t xml:space="preserve">Protioconazole Técnico Ciagropa</t>
  </si>
  <si>
    <t xml:space="preserve">Gaia Agro Solutions</t>
  </si>
  <si>
    <t xml:space="preserve">TC15924</t>
  </si>
  <si>
    <t xml:space="preserve">21000.082706/2023-56</t>
  </si>
  <si>
    <t xml:space="preserve">Cloreto de Mepiquate Técnico Proventis</t>
  </si>
  <si>
    <t xml:space="preserve">Cloreto de Mepiquate</t>
  </si>
  <si>
    <t xml:space="preserve">TC16024</t>
  </si>
  <si>
    <t xml:space="preserve">21000.043831/2021-89</t>
  </si>
  <si>
    <t xml:space="preserve">Piroxsulam Técnico Rainbow</t>
  </si>
  <si>
    <t xml:space="preserve">TC16124</t>
  </si>
  <si>
    <t xml:space="preserve">21000.019141/2024-51</t>
  </si>
  <si>
    <t xml:space="preserve">Fluazinam  Técnico  Junkai</t>
  </si>
  <si>
    <t xml:space="preserve">TC16224</t>
  </si>
  <si>
    <t xml:space="preserve">21000.070044/2020-29</t>
  </si>
  <si>
    <t xml:space="preserve">Prothioconazole Técnico CCAB III</t>
  </si>
  <si>
    <t xml:space="preserve">TC16324</t>
  </si>
  <si>
    <t xml:space="preserve">21000.071525/2020-51</t>
  </si>
  <si>
    <t xml:space="preserve">Protioconazole Técnico Nortox VI</t>
  </si>
  <si>
    <t xml:space="preserve">TC16424</t>
  </si>
  <si>
    <t xml:space="preserve">21000.006119/2020-18</t>
  </si>
  <si>
    <t xml:space="preserve">Prothioconazole Técnico SJ</t>
  </si>
  <si>
    <t xml:space="preserve">TC16524</t>
  </si>
  <si>
    <t xml:space="preserve">21000.026861/2023-92</t>
  </si>
  <si>
    <t xml:space="preserve">Prothioconazole Técnico Yongtai</t>
  </si>
  <si>
    <t xml:space="preserve">TC16624</t>
  </si>
  <si>
    <t xml:space="preserve">21000.006944/2019-89</t>
  </si>
  <si>
    <t xml:space="preserve">Artabin Técnico </t>
  </si>
  <si>
    <t xml:space="preserve">Gilmore</t>
  </si>
  <si>
    <t xml:space="preserve">TC16724</t>
  </si>
  <si>
    <t xml:space="preserve">21000.119463/2022-38</t>
  </si>
  <si>
    <t xml:space="preserve">Fluazinam técnico ZS</t>
  </si>
  <si>
    <t xml:space="preserve">TC16824</t>
  </si>
  <si>
    <t xml:space="preserve">21000.075742/2019-87</t>
  </si>
  <si>
    <t xml:space="preserve">Glufosinato de Amônio Técnico CX</t>
  </si>
  <si>
    <t xml:space="preserve">TC16924</t>
  </si>
  <si>
    <t xml:space="preserve">21000.094026/2019-07</t>
  </si>
  <si>
    <t xml:space="preserve">Cletodim Técnico NGC</t>
  </si>
  <si>
    <t xml:space="preserve">TC17024</t>
  </si>
  <si>
    <t xml:space="preserve">21000.053646/2020-11</t>
  </si>
  <si>
    <t xml:space="preserve">Cletodim Técnico Ada 4</t>
  </si>
  <si>
    <t xml:space="preserve">TC17124</t>
  </si>
  <si>
    <t xml:space="preserve">21000.033406/2020-09</t>
  </si>
  <si>
    <t xml:space="preserve">Azoxistrobina Técnico CropChem III</t>
  </si>
  <si>
    <t xml:space="preserve">TC17224</t>
  </si>
  <si>
    <t xml:space="preserve">21000.036344/2017-83</t>
  </si>
  <si>
    <t xml:space="preserve">Metamitrona Técnico Adama</t>
  </si>
  <si>
    <t xml:space="preserve">Metamitrona</t>
  </si>
  <si>
    <t xml:space="preserve">TC17324</t>
  </si>
  <si>
    <t xml:space="preserve">21000.023183/2019-20</t>
  </si>
  <si>
    <t xml:space="preserve">Fluazinam Técnico Gilmore</t>
  </si>
  <si>
    <t xml:space="preserve">TC17424</t>
  </si>
  <si>
    <t xml:space="preserve">21000.055708/2018-13</t>
  </si>
  <si>
    <t xml:space="preserve">Lufenuron Técnico Adama</t>
  </si>
  <si>
    <t xml:space="preserve">TC17524</t>
  </si>
  <si>
    <t xml:space="preserve">21000.075169/2023-98</t>
  </si>
  <si>
    <t xml:space="preserve">Fluazinam Técnico Corechem</t>
  </si>
  <si>
    <t xml:space="preserve">TC17624</t>
  </si>
  <si>
    <t xml:space="preserve">21000.058297/2020-24</t>
  </si>
  <si>
    <t xml:space="preserve">Fluazinam Técnico Ada BR</t>
  </si>
  <si>
    <t xml:space="preserve">TC17724</t>
  </si>
  <si>
    <t xml:space="preserve">21000.047295/2017-12</t>
  </si>
  <si>
    <t xml:space="preserve">Fluazinam Técnico Sino-Agri</t>
  </si>
  <si>
    <t xml:space="preserve">TC17824</t>
  </si>
  <si>
    <t xml:space="preserve">21000.007810/2015-51</t>
  </si>
  <si>
    <t xml:space="preserve">Lufenuron Técnico CCAB III</t>
  </si>
  <si>
    <t xml:space="preserve">TC17924</t>
  </si>
  <si>
    <t xml:space="preserve">21000.014400/2020-24</t>
  </si>
  <si>
    <t xml:space="preserve">Fluazinam Técnico CCAB II</t>
  </si>
  <si>
    <t xml:space="preserve">TC18024</t>
  </si>
  <si>
    <t xml:space="preserve">21000.062314/2022-90</t>
  </si>
  <si>
    <t xml:space="preserve">Fluazinam C Técnico Helm</t>
  </si>
  <si>
    <t xml:space="preserve">TC18124</t>
  </si>
  <si>
    <t xml:space="preserve">21000.042721/2016-32</t>
  </si>
  <si>
    <t xml:space="preserve">Fluazinam Técnico Nortox III</t>
  </si>
  <si>
    <t xml:space="preserve">TC18224</t>
  </si>
  <si>
    <t xml:space="preserve">21000.109240/2021-81</t>
  </si>
  <si>
    <t xml:space="preserve">Tidiazurom Técnico Rainbow</t>
  </si>
  <si>
    <t xml:space="preserve">TC18324</t>
  </si>
  <si>
    <t xml:space="preserve">21000.036532/2018-92</t>
  </si>
  <si>
    <t xml:space="preserve">Acetamiprid Técnico HY-GREEN</t>
  </si>
  <si>
    <t xml:space="preserve">TC18424</t>
  </si>
  <si>
    <t xml:space="preserve">21000.028740/2024-66</t>
  </si>
  <si>
    <t xml:space="preserve">Azoxystrobin Técnico Limin</t>
  </si>
  <si>
    <t xml:space="preserve">TC18524</t>
  </si>
  <si>
    <t xml:space="preserve">21000.043281/2020-17</t>
  </si>
  <si>
    <t xml:space="preserve">Hexazinone Technical Wynca</t>
  </si>
  <si>
    <t xml:space="preserve">TC18624</t>
  </si>
  <si>
    <t xml:space="preserve">21000.087414/2019-23</t>
  </si>
  <si>
    <t xml:space="preserve">Triclopyr Técnico CCAB II</t>
  </si>
  <si>
    <t xml:space="preserve">TC18724</t>
  </si>
  <si>
    <t xml:space="preserve">21000.008438/2014-10</t>
  </si>
  <si>
    <t xml:space="preserve">Alfa Cipermetrina Técnico Cropchem </t>
  </si>
  <si>
    <t xml:space="preserve">TC18824</t>
  </si>
  <si>
    <t xml:space="preserve">21000.093392/2019-31</t>
  </si>
  <si>
    <t xml:space="preserve">Diafentiuron Técnico Rainbow</t>
  </si>
  <si>
    <t xml:space="preserve">TC18924</t>
  </si>
  <si>
    <t xml:space="preserve">21000.041247/2021-99</t>
  </si>
  <si>
    <t xml:space="preserve">Cloreto de Clormequate Técnico Ihara</t>
  </si>
  <si>
    <t xml:space="preserve">TC19024</t>
  </si>
  <si>
    <t xml:space="preserve">21000.077681/2020-26</t>
  </si>
  <si>
    <t xml:space="preserve">Clethodim YF 50 TK</t>
  </si>
  <si>
    <t xml:space="preserve">III - Medianamente Tóxico</t>
  </si>
  <si>
    <t xml:space="preserve">TC19124</t>
  </si>
  <si>
    <t xml:space="preserve">21000.077869/2021-55</t>
  </si>
  <si>
    <t xml:space="preserve">Picloram Técnico Ihara</t>
  </si>
  <si>
    <t xml:space="preserve">TC19224</t>
  </si>
  <si>
    <t xml:space="preserve">21000.081275/2020-11</t>
  </si>
  <si>
    <t xml:space="preserve">Adavelt Técnico</t>
  </si>
  <si>
    <t xml:space="preserve">TC19324</t>
  </si>
  <si>
    <t xml:space="preserve">21000.006762/2020-41</t>
  </si>
  <si>
    <t xml:space="preserve">Amicarb Técnico Max</t>
  </si>
  <si>
    <t xml:space="preserve">TC19424</t>
  </si>
  <si>
    <t xml:space="preserve">21000.000871/2014-15</t>
  </si>
  <si>
    <t xml:space="preserve">Lufenuron Técnico Biorisk</t>
  </si>
  <si>
    <t xml:space="preserve">TC19524</t>
  </si>
  <si>
    <t xml:space="preserve">21000.044419/2018-81</t>
  </si>
  <si>
    <t xml:space="preserve">Diurom Técnico ZS</t>
  </si>
  <si>
    <t xml:space="preserve">TC19624</t>
  </si>
  <si>
    <t xml:space="preserve">21000.043239/2019-62</t>
  </si>
  <si>
    <t xml:space="preserve">Epoxiconazole Técnico Cropchem II</t>
  </si>
  <si>
    <t xml:space="preserve">TC19724</t>
  </si>
  <si>
    <t xml:space="preserve">21000.116869/2022-69</t>
  </si>
  <si>
    <t xml:space="preserve">Hexazinona Técnico Perterra</t>
  </si>
  <si>
    <t xml:space="preserve">Hexazinona </t>
  </si>
  <si>
    <t xml:space="preserve">TC19824</t>
  </si>
  <si>
    <t xml:space="preserve">21000.033599/2018-75</t>
  </si>
  <si>
    <t xml:space="preserve">Prothioconazole Técnico PT</t>
  </si>
  <si>
    <t xml:space="preserve">TC19924</t>
  </si>
  <si>
    <t xml:space="preserve">21000.033510/2018-71</t>
  </si>
  <si>
    <t xml:space="preserve">Diclosulam Técnico FB</t>
  </si>
  <si>
    <t xml:space="preserve">Agrollianz</t>
  </si>
  <si>
    <t xml:space="preserve">21000.010085/2019-22</t>
  </si>
  <si>
    <t xml:space="preserve">REVENT</t>
  </si>
  <si>
    <t xml:space="preserve">21000.003085/2017-12</t>
  </si>
  <si>
    <t xml:space="preserve">PROVENCE 750 WG A</t>
  </si>
  <si>
    <t xml:space="preserve">21000.034642/2020-34</t>
  </si>
  <si>
    <t xml:space="preserve"> GLIFOSATO CHDS 720 WG</t>
  </si>
  <si>
    <t xml:space="preserve">21016.002395/2023-81</t>
  </si>
  <si>
    <t xml:space="preserve">PEREGRINO</t>
  </si>
  <si>
    <t xml:space="preserve">Bacillus subtilis, ESALQ- EpD2-5; Bacillus velezensis, ESALQ-RZ1MS9</t>
  </si>
  <si>
    <t xml:space="preserve">Bionat</t>
  </si>
  <si>
    <t xml:space="preserve">21000.016965/2019-11</t>
  </si>
  <si>
    <t xml:space="preserve">PENBOTEC 400 SC</t>
  </si>
  <si>
    <t xml:space="preserve">21000.080487/2019-94</t>
  </si>
  <si>
    <t xml:space="preserve">GLYSIN-XA</t>
  </si>
  <si>
    <t xml:space="preserve">Glifosato potássio</t>
  </si>
  <si>
    <t xml:space="preserve">21000.053511/2020-56</t>
  </si>
  <si>
    <t xml:space="preserve"> PRIMORDIM II</t>
  </si>
  <si>
    <t xml:space="preserve"> CHDS</t>
  </si>
  <si>
    <t xml:space="preserve">21016.001442/2023-79</t>
  </si>
  <si>
    <t xml:space="preserve">SUPERGUARD</t>
  </si>
  <si>
    <r>
      <rPr>
        <sz val="11"/>
        <color rgb="FF274E13"/>
        <rFont val="Arial"/>
        <family val="2"/>
        <charset val="1"/>
      </rPr>
      <t xml:space="preserve">Bacillus subtillis </t>
    </r>
    <r>
      <rPr>
        <sz val="12"/>
        <color rgb="FF000000"/>
        <rFont val="Calibri"/>
        <family val="2"/>
        <charset val="1"/>
      </rPr>
      <t xml:space="preserve">BAC059</t>
    </r>
    <r>
      <rPr>
        <i val="true"/>
        <sz val="12"/>
        <color rgb="FF000000"/>
        <rFont val="Calibri"/>
        <family val="2"/>
        <charset val="1"/>
      </rPr>
      <t xml:space="preserve">; Bacillus subtillis </t>
    </r>
    <r>
      <rPr>
        <sz val="12"/>
        <color rgb="FF000000"/>
        <rFont val="Calibri"/>
        <family val="2"/>
        <charset val="1"/>
      </rPr>
      <t xml:space="preserve">BAC116</t>
    </r>
    <r>
      <rPr>
        <i val="true"/>
        <sz val="12"/>
        <color rgb="FF000000"/>
        <rFont val="Calibri"/>
        <family val="2"/>
        <charset val="1"/>
      </rPr>
      <t xml:space="preserve">; Bacillus amyloliquefaciens </t>
    </r>
    <r>
      <rPr>
        <sz val="12"/>
        <color rgb="FF000000"/>
        <rFont val="Calibri"/>
        <family val="2"/>
        <charset val="1"/>
      </rPr>
      <t xml:space="preserve">BAC076</t>
    </r>
    <r>
      <rPr>
        <i val="true"/>
        <sz val="12"/>
        <color rgb="FF000000"/>
        <rFont val="Calibri"/>
        <family val="2"/>
        <charset val="1"/>
      </rPr>
      <t xml:space="preserve">; Bacilus amyloliquefaciens </t>
    </r>
    <r>
      <rPr>
        <sz val="12"/>
        <color rgb="FF000000"/>
        <rFont val="Calibri"/>
        <family val="2"/>
        <charset val="1"/>
      </rPr>
      <t xml:space="preserve">BAC077</t>
    </r>
  </si>
  <si>
    <t xml:space="preserve">21016.002063/2023-04</t>
  </si>
  <si>
    <t xml:space="preserve">SPAITERAN</t>
  </si>
  <si>
    <t xml:space="preserve"> Beauveria bassiana, isolado CG 1420</t>
  </si>
  <si>
    <t xml:space="preserve">Bionat </t>
  </si>
  <si>
    <t xml:space="preserve">21016.003348/2022-73</t>
  </si>
  <si>
    <t xml:space="preserve">HAKUDA</t>
  </si>
  <si>
    <t xml:space="preserve">(Z)-tricos-9-ene</t>
  </si>
  <si>
    <t xml:space="preserve">21016.001589/2023-69</t>
  </si>
  <si>
    <t xml:space="preserve">SUPERSHIELD</t>
  </si>
  <si>
    <t xml:space="preserve">Bacillus subtillis BAC004; Bacillus velezensis BAC079; Bacillus amyloliquefaciens BAC105; Bacillus licheniformis BAC 112</t>
  </si>
  <si>
    <t xml:space="preserve"> Superbac</t>
  </si>
  <si>
    <t xml:space="preserve">21000.006640/2014-15</t>
  </si>
  <si>
    <t xml:space="preserve"> TOTALCORN</t>
  </si>
  <si>
    <t xml:space="preserve">Nicossulfurom</t>
  </si>
  <si>
    <t xml:space="preserve">21000.000896/2020-59</t>
  </si>
  <si>
    <t xml:space="preserve">ZETHAPYR HL</t>
  </si>
  <si>
    <t xml:space="preserve">lmazetapir</t>
  </si>
  <si>
    <t xml:space="preserve">21000.056275/2018-13</t>
  </si>
  <si>
    <t xml:space="preserve">FOLICAP 250 SL</t>
  </si>
  <si>
    <t xml:space="preserve">Fomesafem </t>
  </si>
  <si>
    <t xml:space="preserve">21000.017009/2019-48</t>
  </si>
  <si>
    <t xml:space="preserve">FERUS</t>
  </si>
  <si>
    <t xml:space="preserve">Fluindapir; Azoxistrobina; Difenoconazol</t>
  </si>
  <si>
    <t xml:space="preserve">21000.000899/2020-92</t>
  </si>
  <si>
    <t xml:space="preserve">PISTOL HL</t>
  </si>
  <si>
    <t xml:space="preserve">21016.002400/2023-55</t>
  </si>
  <si>
    <t xml:space="preserve">ORANGEL</t>
  </si>
  <si>
    <t xml:space="preserve">Beauveria bassiana, isolado ESALQ 1432</t>
  </si>
  <si>
    <t xml:space="preserve">21000.023317/2020-46</t>
  </si>
  <si>
    <t xml:space="preserve">BELT SMART</t>
  </si>
  <si>
    <t xml:space="preserve">Flubendiamida; Triflumurom</t>
  </si>
  <si>
    <t xml:space="preserve"> Bayer</t>
  </si>
  <si>
    <t xml:space="preserve">21000.043329/2020-97</t>
  </si>
  <si>
    <t xml:space="preserve">FORCEPS</t>
  </si>
  <si>
    <t xml:space="preserve">Acetamiprido; Bifentrina</t>
  </si>
  <si>
    <t xml:space="preserve">21000.005510/2019-61</t>
  </si>
  <si>
    <t xml:space="preserve">THIOPHANATE METHYL 500 SC YONON</t>
  </si>
  <si>
    <t xml:space="preserve">21000.049900/2017-81</t>
  </si>
  <si>
    <t xml:space="preserve">PRO CURE</t>
  </si>
  <si>
    <t xml:space="preserve">Mancozebe; Protioconazol</t>
  </si>
  <si>
    <t xml:space="preserve">21016.002594/2023-99</t>
  </si>
  <si>
    <t xml:space="preserve"> BIOTRINSIC D451 FP; BIOTRINSIC HAMATUM; BIOTRINSIC FITOCONTROL; INDIGO 451; INDIGO HAMATUM</t>
  </si>
  <si>
    <r>
      <rPr>
        <sz val="11"/>
        <color rgb="FF274E13"/>
        <rFont val="Arial"/>
        <family val="2"/>
        <charset val="1"/>
      </rPr>
      <t xml:space="preserve">Trichoderma hamatum</t>
    </r>
    <r>
      <rPr>
        <sz val="12"/>
        <color rgb="FF000000"/>
        <rFont val="Calibri"/>
        <family val="2"/>
        <charset val="1"/>
      </rPr>
      <t xml:space="preserve">, Cepa SYM37537</t>
    </r>
  </si>
  <si>
    <t xml:space="preserve"> Indigo</t>
  </si>
  <si>
    <t xml:space="preserve">21000.034696/2019-66</t>
  </si>
  <si>
    <t xml:space="preserve">FOSFETO DE ALUMÍNIO BIORISK II</t>
  </si>
  <si>
    <t xml:space="preserve">Fosfeto de alumínio</t>
  </si>
  <si>
    <t xml:space="preserve">21000.017802/2020-81</t>
  </si>
  <si>
    <t xml:space="preserve"> SCIROCCO 360 CS</t>
  </si>
  <si>
    <t xml:space="preserve">21000.013493/2020-70</t>
  </si>
  <si>
    <t xml:space="preserve">BRERA 360 CS</t>
  </si>
  <si>
    <t xml:space="preserve">21000.010786/2020-03</t>
  </si>
  <si>
    <t xml:space="preserve">STELVIO 360 CS</t>
  </si>
  <si>
    <t xml:space="preserve">21000.018556/2020-84</t>
  </si>
  <si>
    <t xml:space="preserve"> ZELIG 360 CS</t>
  </si>
  <si>
    <t xml:space="preserve">21000.017804/2020-70</t>
  </si>
  <si>
    <t xml:space="preserve"> LIBECCIO 360 CS</t>
  </si>
  <si>
    <t xml:space="preserve">21000.078737/2019-26</t>
  </si>
  <si>
    <t xml:space="preserve">FOSFAL</t>
  </si>
  <si>
    <t xml:space="preserve">Allierbrasil</t>
  </si>
  <si>
    <t xml:space="preserve">21016.005189/2021-61</t>
  </si>
  <si>
    <t xml:space="preserve">OXI 0104 BF (Clone A)</t>
  </si>
  <si>
    <t xml:space="preserve">21016.006172/2021-21</t>
  </si>
  <si>
    <t xml:space="preserve">OXI 0111 BF (CLONE A)</t>
  </si>
  <si>
    <t xml:space="preserve">Ciproconazol; Picoxistrobina; Oxicloreto de Cobre</t>
  </si>
  <si>
    <t xml:space="preserve">21000.091200/2019-51</t>
  </si>
  <si>
    <t xml:space="preserve">CHLOROTHALONIL 720 SC YONON</t>
  </si>
  <si>
    <t xml:space="preserve">21000.030437/2020-08</t>
  </si>
  <si>
    <t xml:space="preserve">GLYSATE 608 DMA</t>
  </si>
  <si>
    <t xml:space="preserve">Glifosato, sal de Dimetilamina</t>
  </si>
  <si>
    <t xml:space="preserve">21016.001336/2021-23</t>
  </si>
  <si>
    <t xml:space="preserve">TORBAN</t>
  </si>
  <si>
    <t xml:space="preserve">Picloram, sal triisopropilamina</t>
  </si>
  <si>
    <t xml:space="preserve">21000.029217/2020-23</t>
  </si>
  <si>
    <t xml:space="preserve">GLUFOSINATO 200 SL ALAMOS</t>
  </si>
  <si>
    <t xml:space="preserve">Glufosinato</t>
  </si>
  <si>
    <t xml:space="preserve">21000.007230/2015-64</t>
  </si>
  <si>
    <t xml:space="preserve">ABMECTIN NORTOX 72 EC</t>
  </si>
  <si>
    <t xml:space="preserve">21016.002526/2023-20</t>
  </si>
  <si>
    <t xml:space="preserve">STIMU PROTECTION</t>
  </si>
  <si>
    <r>
      <rPr>
        <sz val="11"/>
        <color rgb="FF274E13"/>
        <rFont val="Arial"/>
        <family val="2"/>
        <charset val="1"/>
      </rPr>
      <t xml:space="preserve">Trichoderma harzianum</t>
    </r>
    <r>
      <rPr>
        <sz val="12"/>
        <color rgb="FF000000"/>
        <rFont val="Calibri"/>
        <family val="2"/>
        <charset val="1"/>
      </rPr>
      <t xml:space="preserve">, cepa CCT 7589</t>
    </r>
  </si>
  <si>
    <t xml:space="preserve">21000.031814/2016-31</t>
  </si>
  <si>
    <t xml:space="preserve">GLYPHOSATE IPA 480 G/L SL</t>
  </si>
  <si>
    <t xml:space="preserve">21016.000074/2023-41</t>
  </si>
  <si>
    <t xml:space="preserve">DNAP-R1</t>
  </si>
  <si>
    <t xml:space="preserve">Ácido giberélico</t>
  </si>
  <si>
    <t xml:space="preserve">21000.032226/2018-87</t>
  </si>
  <si>
    <t xml:space="preserve">OXICLORETO DE COBRE NORTOX</t>
  </si>
  <si>
    <t xml:space="preserve"> Oxicloreto de Cobre</t>
  </si>
  <si>
    <t xml:space="preserve">21000.049671/2017-03</t>
  </si>
  <si>
    <t xml:space="preserve">BOSCALID NORTOX</t>
  </si>
  <si>
    <t xml:space="preserve">21000.006385/2015-83</t>
  </si>
  <si>
    <t xml:space="preserve">IMIDACLOPRID 600 FS QH</t>
  </si>
  <si>
    <t xml:space="preserve">21000.011660/2018-23</t>
  </si>
  <si>
    <t xml:space="preserve">DIMAX</t>
  </si>
  <si>
    <t xml:space="preserve">21000.043186/2020-13</t>
  </si>
  <si>
    <t xml:space="preserve">PORTAL</t>
  </si>
  <si>
    <t xml:space="preserve">Fenpiroximato</t>
  </si>
  <si>
    <t xml:space="preserve">Nichino</t>
  </si>
  <si>
    <t xml:space="preserve">21000.051408/2017-76</t>
  </si>
  <si>
    <t xml:space="preserve">ZELTERA</t>
  </si>
  <si>
    <t xml:space="preserve"> Impirfluxam </t>
  </si>
  <si>
    <t xml:space="preserve">21000.040915/2020-80</t>
  </si>
  <si>
    <t xml:space="preserve">AZUGRO</t>
  </si>
  <si>
    <t xml:space="preserve">Bixlozone</t>
  </si>
  <si>
    <t xml:space="preserve">21000.003890/2017-38</t>
  </si>
  <si>
    <t xml:space="preserve">EXPECTRUM</t>
  </si>
  <si>
    <t xml:space="preserve">Diurom; Trifluralina</t>
  </si>
  <si>
    <t xml:space="preserve">21000.082213/2019-30</t>
  </si>
  <si>
    <t xml:space="preserve">VALENTE BR, ALPES CHDS</t>
  </si>
  <si>
    <t xml:space="preserve">21000.001128/2013-93</t>
  </si>
  <si>
    <t xml:space="preserve">NUPRID BR</t>
  </si>
  <si>
    <t xml:space="preserve">21000.016449/2018-05</t>
  </si>
  <si>
    <t xml:space="preserve">BRINE</t>
  </si>
  <si>
    <t xml:space="preserve">21000.023420/2016-18</t>
  </si>
  <si>
    <t xml:space="preserve">ACEDEMAR</t>
  </si>
  <si>
    <t xml:space="preserve"> Rainbow</t>
  </si>
  <si>
    <t xml:space="preserve">21000.067846/2019-18</t>
  </si>
  <si>
    <t xml:space="preserve">ATESALOR XTRA</t>
  </si>
  <si>
    <t xml:space="preserve">21000.000317/2018-53</t>
  </si>
  <si>
    <t xml:space="preserve">DHARMA 100 SL</t>
  </si>
  <si>
    <t xml:space="preserve"> Ciproconazol</t>
  </si>
  <si>
    <t xml:space="preserve">21000.033684/2018-33</t>
  </si>
  <si>
    <t xml:space="preserve">OLATAZON</t>
  </si>
  <si>
    <t xml:space="preserve">21000.024313/2019-41</t>
  </si>
  <si>
    <t xml:space="preserve">ETHROLE</t>
  </si>
  <si>
    <t xml:space="preserve">21000.084529/2020-08</t>
  </si>
  <si>
    <t xml:space="preserve">EZANYA</t>
  </si>
  <si>
    <t xml:space="preserve">Bixlozone; Sulfentrazona</t>
  </si>
  <si>
    <t xml:space="preserve">21016.010167/2021-12</t>
  </si>
  <si>
    <t xml:space="preserve">COASTER BR; COASTER FMC</t>
  </si>
  <si>
    <t xml:space="preserve">Bixlozona</t>
  </si>
  <si>
    <t xml:space="preserve">21000.027859/2019-54</t>
  </si>
  <si>
    <t xml:space="preserve">POLESTAR XTRA</t>
  </si>
  <si>
    <t xml:space="preserve">Trifloxistrobina; Ciproconazol</t>
  </si>
  <si>
    <t xml:space="preserve">21000.034727/2020-12</t>
  </si>
  <si>
    <t xml:space="preserve">ACEWAY</t>
  </si>
  <si>
    <t xml:space="preserve">21000.073517/2019-14</t>
  </si>
  <si>
    <t xml:space="preserve">COMPRAY FULL</t>
  </si>
  <si>
    <t xml:space="preserve">21000.054138/2016-74</t>
  </si>
  <si>
    <t xml:space="preserve">CATTAR</t>
  </si>
  <si>
    <t xml:space="preserve">21016.006035/2022-77</t>
  </si>
  <si>
    <t xml:space="preserve">BN45.001/19</t>
  </si>
  <si>
    <r>
      <rPr>
        <sz val="11"/>
        <color rgb="FF274E13"/>
        <rFont val="Arial"/>
        <family val="2"/>
        <charset val="1"/>
      </rPr>
      <t xml:space="preserve">Paecilomyces lilacinus</t>
    </r>
    <r>
      <rPr>
        <sz val="12"/>
        <color rgb="FF000000"/>
        <rFont val="Calibri"/>
        <family val="2"/>
        <charset val="1"/>
      </rPr>
      <t xml:space="preserve"> cepa URM 7661; </t>
    </r>
    <r>
      <rPr>
        <i val="true"/>
        <sz val="12"/>
        <color rgb="FF000000"/>
        <rFont val="Calibri"/>
        <family val="2"/>
        <charset val="1"/>
      </rPr>
      <t xml:space="preserve">Pochonia chlamydosporia </t>
    </r>
    <r>
      <rPr>
        <sz val="12"/>
        <color rgb="FF000000"/>
        <rFont val="Calibri"/>
        <family val="2"/>
        <charset val="1"/>
      </rPr>
      <t xml:space="preserve">cepa URM 8121  </t>
    </r>
  </si>
  <si>
    <t xml:space="preserve">21016.005363/2022-56</t>
  </si>
  <si>
    <t xml:space="preserve">VOLUTO  </t>
  </si>
  <si>
    <t xml:space="preserve">21000.027399/2020-06</t>
  </si>
  <si>
    <t xml:space="preserve">GLIFOSATO K 660 SL ALAMOS</t>
  </si>
  <si>
    <t xml:space="preserve">Glifosato - Sal de potássio</t>
  </si>
  <si>
    <t xml:space="preserve">21016.001176/2023-84</t>
  </si>
  <si>
    <t xml:space="preserve">BTP 0159-21AB</t>
  </si>
  <si>
    <t xml:space="preserve">Bacillus thuringiensis, isolados CCTB22 e CCTB25; Brevibacillus laterosporus, isolado CCT492</t>
  </si>
  <si>
    <t xml:space="preserve">21000.049391/2020-92</t>
  </si>
  <si>
    <t xml:space="preserve"> NUF150F300  </t>
  </si>
  <si>
    <t xml:space="preserve">Picloram; Triclopir-butotílico</t>
  </si>
  <si>
    <t xml:space="preserve">21000.090632/2019-45</t>
  </si>
  <si>
    <t xml:space="preserve">VIPERMAXX</t>
  </si>
  <si>
    <t xml:space="preserve">Tebutiurom; Flumioxazina </t>
  </si>
  <si>
    <t xml:space="preserve">21016.004706/2022-65</t>
  </si>
  <si>
    <t xml:space="preserve">PHERODIS FURÃO</t>
  </si>
  <si>
    <t xml:space="preserve">Acetato de (E)-8-dodecenila; (E)-8-Dodecenol</t>
  </si>
  <si>
    <t xml:space="preserve">21000.033241/2018-42</t>
  </si>
  <si>
    <t xml:space="preserve">MAXUQUICK 400 EC</t>
  </si>
  <si>
    <t xml:space="preserve">Carfentrazona Etílica</t>
  </si>
  <si>
    <t xml:space="preserve">21000.052682/2020-68</t>
  </si>
  <si>
    <t xml:space="preserve">MEGREZ</t>
  </si>
  <si>
    <t xml:space="preserve"> Flonicamida</t>
  </si>
  <si>
    <t xml:space="preserve"> ISK Biosciences</t>
  </si>
  <si>
    <t xml:space="preserve">21016.008075/2021-72</t>
  </si>
  <si>
    <t xml:space="preserve">OPTIBEX; GLUFOSINATO 880 SG NGC</t>
  </si>
  <si>
    <t xml:space="preserve">21000.049396/2020-15</t>
  </si>
  <si>
    <t xml:space="preserve">CONQUEROR</t>
  </si>
  <si>
    <t xml:space="preserve">Picloram; Triclopir-butotílico</t>
  </si>
  <si>
    <t xml:space="preserve">21000.057355/2016-16</t>
  </si>
  <si>
    <t xml:space="preserve">CIPROCONAZOLE NORTOX</t>
  </si>
  <si>
    <t xml:space="preserve">Cipronazocol</t>
  </si>
  <si>
    <t xml:space="preserve">21000.052330/2017-15</t>
  </si>
  <si>
    <t xml:space="preserve">DESTROYER NORTOX</t>
  </si>
  <si>
    <t xml:space="preserve">21000.044001/2020-98</t>
  </si>
  <si>
    <t xml:space="preserve">BREEZES</t>
  </si>
  <si>
    <t xml:space="preserve">21016.004875/2022-03</t>
  </si>
  <si>
    <t xml:space="preserve">CANINDÉ</t>
  </si>
  <si>
    <t xml:space="preserve">21000.001765/2013-60</t>
  </si>
  <si>
    <t xml:space="preserve">AGRIMURON</t>
  </si>
  <si>
    <t xml:space="preserve">Clorimurom-etílico</t>
  </si>
  <si>
    <t xml:space="preserve">21000.051209/2017-68</t>
  </si>
  <si>
    <t xml:space="preserve">RÉDEA 700 WG</t>
  </si>
  <si>
    <t xml:space="preserve">21000.027970/2018-60</t>
  </si>
  <si>
    <t xml:space="preserve">VALPURA</t>
  </si>
  <si>
    <t xml:space="preserve">Bixafem</t>
  </si>
  <si>
    <t xml:space="preserve">21000.000312/2016-69</t>
  </si>
  <si>
    <t xml:space="preserve">ISOXAFLUTOLE 750 WG UPL BR</t>
  </si>
  <si>
    <t xml:space="preserve">21016.007144/2022-10</t>
  </si>
  <si>
    <t xml:space="preserve">HOLZEM; VISMAX  </t>
  </si>
  <si>
    <t xml:space="preserve">Peptídeo Flg22-Bt (Flg22-Bt Peptide)</t>
  </si>
  <si>
    <t xml:space="preserve">21000.023114/2018-35</t>
  </si>
  <si>
    <t xml:space="preserve">MAXAPAC</t>
  </si>
  <si>
    <t xml:space="preserve">Trinexapaque-Etílico</t>
  </si>
  <si>
    <t xml:space="preserve">21000.045050/2020-48</t>
  </si>
  <si>
    <t xml:space="preserve">ZORVEC VINABEL</t>
  </si>
  <si>
    <t xml:space="preserve">Oxatiapiprolina; Zoxamida</t>
  </si>
  <si>
    <t xml:space="preserve">Corteva</t>
  </si>
  <si>
    <t xml:space="preserve">21000.093210/2019-21</t>
  </si>
  <si>
    <t xml:space="preserve">CYPROS 250 EC</t>
  </si>
  <si>
    <t xml:space="preserve">21000.094361/2019-05</t>
  </si>
  <si>
    <t xml:space="preserve">BALTIC</t>
  </si>
  <si>
    <t xml:space="preserve">Amicarbazona; Isoxaflutol</t>
  </si>
  <si>
    <t xml:space="preserve">21016.004482/2023-72</t>
  </si>
  <si>
    <t xml:space="preserve">BOVCOMBAT MAX</t>
  </si>
  <si>
    <t xml:space="preserve"> Beauveria bassiana, Isolado IBCB 66</t>
  </si>
  <si>
    <t xml:space="preserve">21000.003830/2018-04</t>
  </si>
  <si>
    <t xml:space="preserve"> VILORA</t>
  </si>
  <si>
    <t xml:space="preserve">21000.037658/2020-07</t>
  </si>
  <si>
    <t xml:space="preserve">SOLUSOL EXTRA</t>
  </si>
  <si>
    <t xml:space="preserve">Dibrometo de diquate </t>
  </si>
  <si>
    <t xml:space="preserve">21000.086763/2019-28</t>
  </si>
  <si>
    <t xml:space="preserve">NIMITZ CF</t>
  </si>
  <si>
    <t xml:space="preserve">Fluensulfona</t>
  </si>
  <si>
    <t xml:space="preserve">21000.076853/2019-19</t>
  </si>
  <si>
    <t xml:space="preserve">ABSOLUT BR</t>
  </si>
  <si>
    <t xml:space="preserve">21016.001621/2021-44</t>
  </si>
  <si>
    <t xml:space="preserve">FANTASTIC SUPRA</t>
  </si>
  <si>
    <t xml:space="preserve">Bifentrina; Sulfoxaflor</t>
  </si>
  <si>
    <t xml:space="preserve">21000.063641/2016-11</t>
  </si>
  <si>
    <t xml:space="preserve">CANAL 806 SL</t>
  </si>
  <si>
    <t xml:space="preserve">21000.083131/2020-46</t>
  </si>
  <si>
    <t xml:space="preserve">GLUFOS-WYN 880</t>
  </si>
  <si>
    <t xml:space="preserve">Glufosinato - sal de amônio</t>
  </si>
  <si>
    <t xml:space="preserve">21000.007986/2017-75</t>
  </si>
  <si>
    <t xml:space="preserve">CLOTIP</t>
  </si>
  <si>
    <t xml:space="preserve">21000.006632/2012-07</t>
  </si>
  <si>
    <t xml:space="preserve">SIMANEX COMBI</t>
  </si>
  <si>
    <t xml:space="preserve">Atrazina; Simazina</t>
  </si>
  <si>
    <t xml:space="preserve">21000.023946/2018-51</t>
  </si>
  <si>
    <t xml:space="preserve">SIVANTO FUSION B</t>
  </si>
  <si>
    <t xml:space="preserve">Flupiradifurona; Espiromesifeno</t>
  </si>
  <si>
    <t xml:space="preserve">21000.023943/2018-18</t>
  </si>
  <si>
    <t xml:space="preserve">SIVANTO FUSION A</t>
  </si>
  <si>
    <t xml:space="preserve">Flupiradifurona; Espiromesifeno</t>
  </si>
  <si>
    <t xml:space="preserve">21000.007075/2021-24</t>
  </si>
  <si>
    <t xml:space="preserve">SQUADRA</t>
  </si>
  <si>
    <t xml:space="preserve">21000.061940/2020-05</t>
  </si>
  <si>
    <t xml:space="preserve">GLI-UP 720 WG II CROPCHEM</t>
  </si>
  <si>
    <t xml:space="preserve">Glifosato, sal de Amônio</t>
  </si>
  <si>
    <t xml:space="preserve">21016.002552/2023-58</t>
  </si>
  <si>
    <t xml:space="preserve">BTP 002-18A</t>
  </si>
  <si>
    <t xml:space="preserve"> Bacillus subtilis, isolado CCTB 04</t>
  </si>
  <si>
    <t xml:space="preserve">21016.002692/2023-26</t>
  </si>
  <si>
    <t xml:space="preserve">BTP 500-21A</t>
  </si>
  <si>
    <t xml:space="preserve">Bacillus subtilis, isolado CBMAI1680 e CNPSo 2657</t>
  </si>
  <si>
    <t xml:space="preserve">21016.002653/2023-29</t>
  </si>
  <si>
    <t xml:space="preserve">BTP 068-20 SC-A</t>
  </si>
  <si>
    <t xml:space="preserve">21000.045812/2018-91</t>
  </si>
  <si>
    <t xml:space="preserve">PARCERO 240 EC</t>
  </si>
  <si>
    <t xml:space="preserve">21000.021755/2018-55</t>
  </si>
  <si>
    <t xml:space="preserve">MAXULFEN 500 SC</t>
  </si>
  <si>
    <t xml:space="preserve"> Sulfentrazona</t>
  </si>
  <si>
    <t xml:space="preserve">21000.055364/2017-53</t>
  </si>
  <si>
    <t xml:space="preserve">LIBERTADOR 500 SC</t>
  </si>
  <si>
    <t xml:space="preserve">21000.054413/2020-36</t>
  </si>
  <si>
    <t xml:space="preserve">GLIFOSATO CHDS 720 WG II</t>
  </si>
  <si>
    <t xml:space="preserve"> Glifosato, sal de Amônio</t>
  </si>
  <si>
    <t xml:space="preserve">CHD’S</t>
  </si>
  <si>
    <t xml:space="preserve">21000.075599/2019-23</t>
  </si>
  <si>
    <t xml:space="preserve">CRONNOS ULTRA OD</t>
  </si>
  <si>
    <t xml:space="preserve">Picoxistrobina; Tebuconazol; Mancozebe</t>
  </si>
  <si>
    <t xml:space="preserve">21000.007944/2012-20</t>
  </si>
  <si>
    <t xml:space="preserve">SEEDOPRID</t>
  </si>
  <si>
    <t xml:space="preserve">21000.051337/2018-92</t>
  </si>
  <si>
    <t xml:space="preserve">ALFA SUPER 100 EC</t>
  </si>
  <si>
    <t xml:space="preserve">Alfa Cipermetrina</t>
  </si>
  <si>
    <t xml:space="preserve">21000.069262/2020-11</t>
  </si>
  <si>
    <t xml:space="preserve">GLIFA 720WG</t>
  </si>
  <si>
    <t xml:space="preserve">Glifosato - sal de amônio</t>
  </si>
  <si>
    <t xml:space="preserve">Xingfa</t>
  </si>
  <si>
    <t xml:space="preserve">21000.026356/2019-61</t>
  </si>
  <si>
    <t xml:space="preserve">TORDPIC XTRA</t>
  </si>
  <si>
    <t xml:space="preserve">Trifloxistrobina; Tebuconazol</t>
  </si>
  <si>
    <t xml:space="preserve">21000.003677/2012-11</t>
  </si>
  <si>
    <t xml:space="preserve">TRAPEZE 700 WG</t>
  </si>
  <si>
    <t xml:space="preserve"> Imidacloprido</t>
  </si>
  <si>
    <t xml:space="preserve">21000.034257/2018-72</t>
  </si>
  <si>
    <t xml:space="preserve"> LIBERTADOR 750 WG</t>
  </si>
  <si>
    <t xml:space="preserve">21000.054620/2016-12</t>
  </si>
  <si>
    <t xml:space="preserve">MAYORAL SL</t>
  </si>
  <si>
    <t xml:space="preserve">Imazapique; Imazapir </t>
  </si>
  <si>
    <t xml:space="preserve">21000.000839/2015-11</t>
  </si>
  <si>
    <t xml:space="preserve"> ODEON</t>
  </si>
  <si>
    <t xml:space="preserve">21000.031829/2018-61</t>
  </si>
  <si>
    <t xml:space="preserve">CHUST 250 CS</t>
  </si>
  <si>
    <t xml:space="preserve">21000.049394/2020-26</t>
  </si>
  <si>
    <t xml:space="preserve">NUF150F200 </t>
  </si>
  <si>
    <t xml:space="preserve">Triclopir-butotílico; Picloram</t>
  </si>
  <si>
    <t xml:space="preserve">21000.063333/2016-95</t>
  </si>
  <si>
    <t xml:space="preserve">2,4-D NKC 806 SL</t>
  </si>
  <si>
    <t xml:space="preserve">21000.091198/2019-11</t>
  </si>
  <si>
    <t xml:space="preserve">PICLORAM 240 SL YONON</t>
  </si>
  <si>
    <t xml:space="preserve">21016.005287/2023-60</t>
  </si>
  <si>
    <t xml:space="preserve">TRICHOTAURUS JCO</t>
  </si>
  <si>
    <r>
      <rPr>
        <sz val="11"/>
        <color rgb="FF274E13"/>
        <rFont val="Arial"/>
        <family val="2"/>
        <charset val="1"/>
      </rPr>
      <t xml:space="preserve">Trichoderma harzianum,</t>
    </r>
    <r>
      <rPr>
        <sz val="12"/>
        <color rgb="FF000000"/>
        <rFont val="Calibri"/>
        <family val="2"/>
        <charset val="1"/>
      </rPr>
      <t xml:space="preserve"> isolado IB19/17</t>
    </r>
  </si>
  <si>
    <t xml:space="preserve">21000.054716/2018-34</t>
  </si>
  <si>
    <t xml:space="preserve">CARIMBO 360 CS</t>
  </si>
  <si>
    <t xml:space="preserve">21000.083479/2019-08</t>
  </si>
  <si>
    <t xml:space="preserve">MARA 1000 EC</t>
  </si>
  <si>
    <t xml:space="preserve">21000.063640/2016-76</t>
  </si>
  <si>
    <t xml:space="preserve">DICOTIL</t>
  </si>
  <si>
    <t xml:space="preserve">21000.024310/2019-16</t>
  </si>
  <si>
    <t xml:space="preserve">FURAFLAG</t>
  </si>
  <si>
    <t xml:space="preserve">21000.075906/2020-18</t>
  </si>
  <si>
    <t xml:space="preserve">GRID</t>
  </si>
  <si>
    <t xml:space="preserve">Ciproconazol; Oxicloreto de Cobre</t>
  </si>
  <si>
    <t xml:space="preserve">21000.038099/2017-49</t>
  </si>
  <si>
    <t xml:space="preserve">ARMERO</t>
  </si>
  <si>
    <t xml:space="preserve"> Protioconazol; Mancozebe </t>
  </si>
  <si>
    <t xml:space="preserve">21016.003212/2022-63</t>
  </si>
  <si>
    <t xml:space="preserve">ANSIP-G</t>
  </si>
  <si>
    <t xml:space="preserve">Lytone</t>
  </si>
  <si>
    <t xml:space="preserve">21000.013149/2016-02</t>
  </si>
  <si>
    <t xml:space="preserve">ARGOS</t>
  </si>
  <si>
    <t xml:space="preserve">21000.050456/2020-42</t>
  </si>
  <si>
    <t xml:space="preserve">COH WG ALBAUGH 01</t>
  </si>
  <si>
    <t xml:space="preserve">Hidróxido de cobre</t>
  </si>
  <si>
    <t xml:space="preserve">21000.005820/2015-52</t>
  </si>
  <si>
    <t xml:space="preserve">EXEMPT</t>
  </si>
  <si>
    <t xml:space="preserve">21000.008369/2015-25</t>
  </si>
  <si>
    <t xml:space="preserve">MABRAS 800 WP</t>
  </si>
  <si>
    <t xml:space="preserve">Indofil </t>
  </si>
  <si>
    <t xml:space="preserve">21000.009908/2010-39</t>
  </si>
  <si>
    <t xml:space="preserve">VALOR SC</t>
  </si>
  <si>
    <t xml:space="preserve">21000.040399/2021-74</t>
  </si>
  <si>
    <t xml:space="preserve">BIONEMAT</t>
  </si>
  <si>
    <t xml:space="preserve">Purpureocillium lilacinum isolado PUR 1709</t>
  </si>
  <si>
    <t xml:space="preserve">Innova</t>
  </si>
  <si>
    <t xml:space="preserve">21016.004120/2023-81</t>
  </si>
  <si>
    <t xml:space="preserve">KELUD</t>
  </si>
  <si>
    <t xml:space="preserve">Metarhizium anisopliae, cepa IBCB 425</t>
  </si>
  <si>
    <t xml:space="preserve">Biocross</t>
  </si>
  <si>
    <t xml:space="preserve">21000.075902/2020-21</t>
  </si>
  <si>
    <t xml:space="preserve">OXI 0095 BF (Clone A​)</t>
  </si>
  <si>
    <t xml:space="preserve">Ciproconazol; Oxicloreto de Cobre</t>
  </si>
  <si>
    <t xml:space="preserve">21000.044098/2020-39</t>
  </si>
  <si>
    <t xml:space="preserve">POCHONYD FR 25</t>
  </si>
  <si>
    <r>
      <rPr>
        <sz val="11"/>
        <color rgb="FF274E13"/>
        <rFont val="Arial"/>
        <family val="2"/>
        <charset val="1"/>
      </rPr>
      <t xml:space="preserve">Pochonia chlamydosporia, </t>
    </r>
    <r>
      <rPr>
        <sz val="12"/>
        <color rgb="FF000000"/>
        <rFont val="Calibri"/>
        <family val="2"/>
        <charset val="1"/>
      </rPr>
      <t xml:space="preserve">Isolado CCT 4077</t>
    </r>
  </si>
  <si>
    <t xml:space="preserve">TZ Biotech</t>
  </si>
  <si>
    <t xml:space="preserve">21016.010158/2021-21</t>
  </si>
  <si>
    <t xml:space="preserve">MBI-206 EP</t>
  </si>
  <si>
    <t xml:space="preserve">Células de Burkholderia rinojensis cepa A396, inativadas por calor, em seu meio de fermentação</t>
  </si>
  <si>
    <t xml:space="preserve">Prophyto </t>
  </si>
  <si>
    <t xml:space="preserve">21016.008781/2021-14</t>
  </si>
  <si>
    <t xml:space="preserve">EMENENCE TS</t>
  </si>
  <si>
    <r>
      <rPr>
        <sz val="11"/>
        <color rgb="FF274E13"/>
        <rFont val="Arial"/>
        <family val="2"/>
        <charset val="1"/>
      </rPr>
      <t xml:space="preserve">Células de </t>
    </r>
    <r>
      <rPr>
        <i val="true"/>
        <sz val="12"/>
        <color rgb="FF000000"/>
        <rFont val="Calibri"/>
        <family val="2"/>
        <charset val="1"/>
      </rPr>
      <t xml:space="preserve">Burkholderia rinojensis</t>
    </r>
    <r>
      <rPr>
        <sz val="12"/>
        <color rgb="FF000000"/>
        <rFont val="Calibri"/>
        <family val="2"/>
        <charset val="1"/>
      </rPr>
      <t xml:space="preserve"> cepa A396, inativadas por calor, em seu meio de fermentação</t>
    </r>
  </si>
  <si>
    <t xml:space="preserve">21016.008992/2021-57</t>
  </si>
  <si>
    <t xml:space="preserve">RIZONEMA</t>
  </si>
  <si>
    <r>
      <rPr>
        <sz val="11"/>
        <color rgb="FF274E13"/>
        <rFont val="Arial"/>
        <family val="2"/>
        <charset val="1"/>
      </rPr>
      <t xml:space="preserve">Células de </t>
    </r>
    <r>
      <rPr>
        <i val="true"/>
        <sz val="12"/>
        <color rgb="FF000000"/>
        <rFont val="Calibri"/>
        <family val="2"/>
        <charset val="1"/>
      </rPr>
      <t xml:space="preserve">Burkholderia rinojensis</t>
    </r>
    <r>
      <rPr>
        <sz val="12"/>
        <color rgb="FF000000"/>
        <rFont val="Calibri"/>
        <family val="2"/>
        <charset val="1"/>
      </rPr>
      <t xml:space="preserve"> cepa A396, inativadas por calor, em seu meio de fermentação.</t>
    </r>
  </si>
  <si>
    <t xml:space="preserve">21000.056076/2020-11</t>
  </si>
  <si>
    <t xml:space="preserve">ETHIPROLE 200 SC YONON ​ </t>
  </si>
  <si>
    <t xml:space="preserve">21000.019955/2018-48</t>
  </si>
  <si>
    <t xml:space="preserve">OLASUL</t>
  </si>
  <si>
    <t xml:space="preserve">21016.004122/2023-71</t>
  </si>
  <si>
    <r>
      <rPr>
        <sz val="11"/>
        <color rgb="FF274E13"/>
        <rFont val="Arial"/>
        <family val="2"/>
        <charset val="1"/>
      </rPr>
      <t xml:space="preserve"> </t>
    </r>
    <r>
      <rPr>
        <sz val="12"/>
        <color rgb="FF000000"/>
        <rFont val="Calibri"/>
        <family val="2"/>
        <charset val="1"/>
      </rPr>
      <t xml:space="preserve">LASSEN</t>
    </r>
  </si>
  <si>
    <r>
      <rPr>
        <sz val="11"/>
        <color rgb="FF274E13"/>
        <rFont val="Arial"/>
        <family val="2"/>
        <charset val="1"/>
      </rPr>
      <t xml:space="preserve">Beauveria bassiana</t>
    </r>
    <r>
      <rPr>
        <sz val="12"/>
        <color rgb="FF000000"/>
        <rFont val="Calibri"/>
        <family val="2"/>
        <charset val="1"/>
      </rPr>
      <t xml:space="preserve"> isolado IBCB 66</t>
    </r>
  </si>
  <si>
    <t xml:space="preserve">21016.004543/2023-00</t>
  </si>
  <si>
    <t xml:space="preserve">P&amp;D 149</t>
  </si>
  <si>
    <t xml:space="preserve">Beauveria bassiana IBCB 66</t>
  </si>
  <si>
    <t xml:space="preserve">21016.004027/2023-77</t>
  </si>
  <si>
    <t xml:space="preserve">METACOMBAT PRO</t>
  </si>
  <si>
    <r>
      <rPr>
        <sz val="11"/>
        <color rgb="FF274E13"/>
        <rFont val="Arial"/>
        <family val="2"/>
        <charset val="1"/>
      </rPr>
      <t xml:space="preserve">Metarhizium anisopliae </t>
    </r>
    <r>
      <rPr>
        <sz val="12"/>
        <color rgb="FF000000"/>
        <rFont val="Calibri"/>
        <family val="2"/>
        <charset val="1"/>
      </rPr>
      <t xml:space="preserve">isolado IBCB 425</t>
    </r>
  </si>
  <si>
    <t xml:space="preserve">21000.007188/2014-09</t>
  </si>
  <si>
    <t xml:space="preserve">HDB 94</t>
  </si>
  <si>
    <t xml:space="preserve">Nicossulfurom </t>
  </si>
  <si>
    <t xml:space="preserve">21000.048682/2020-63</t>
  </si>
  <si>
    <t xml:space="preserve">CORTINA GOLD</t>
  </si>
  <si>
    <t xml:space="preserve">Protioconazol; Clorotalonil</t>
  </si>
  <si>
    <t xml:space="preserve">21016.002606/2023-85</t>
  </si>
  <si>
    <t xml:space="preserve">BTP 167-21A  </t>
  </si>
  <si>
    <t xml:space="preserve">Paenibacillus azotofixans, isolado CCT4719; Bacillus subtilis, isolado CCTB04; Bacillus licheniformis, isolado CCTB07; Bacillus circulans, isolado CCT0026</t>
  </si>
  <si>
    <t xml:space="preserve">21000.022201/2018-75</t>
  </si>
  <si>
    <t xml:space="preserve">OLAPAQUE 250 EC</t>
  </si>
  <si>
    <t xml:space="preserve">21000.022403/2020-31</t>
  </si>
  <si>
    <t xml:space="preserve">ESPIRODICLOFENO ASCENZA 240 SC</t>
  </si>
  <si>
    <t xml:space="preserve">21000.035546/2016-27</t>
  </si>
  <si>
    <t xml:space="preserve">IMIDACLOPRID F NORTOX</t>
  </si>
  <si>
    <t xml:space="preserve">Imidacloprido; Flutriafol </t>
  </si>
  <si>
    <t xml:space="preserve">21016.006293/2023-34</t>
  </si>
  <si>
    <t xml:space="preserve">MENTHAR</t>
  </si>
  <si>
    <t xml:space="preserve">21016.005525/2021-75</t>
  </si>
  <si>
    <t xml:space="preserve">EREDITÀ</t>
  </si>
  <si>
    <t xml:space="preserve">21000.004846/2015-83</t>
  </si>
  <si>
    <t xml:space="preserve">FENCER 700 WG</t>
  </si>
  <si>
    <t xml:space="preserve">21000.054616/2017-27</t>
  </si>
  <si>
    <t xml:space="preserve">PIRIPROXIFEM 200 EC CROPCHEM</t>
  </si>
  <si>
    <t xml:space="preserve">21000.008706/2015-84</t>
  </si>
  <si>
    <t xml:space="preserve"> CYBIN 215 SL</t>
  </si>
  <si>
    <t xml:space="preserve">21000.078416/2020-65</t>
  </si>
  <si>
    <t xml:space="preserve">LUMITREO</t>
  </si>
  <si>
    <t xml:space="preserve">Oxatiapiprolina; lpconazol; Picoxistrobina</t>
  </si>
  <si>
    <t xml:space="preserve">21016.002495/2023-15</t>
  </si>
  <si>
    <t xml:space="preserve">METHA EXTREME</t>
  </si>
  <si>
    <t xml:space="preserve">Metarhizium anisopliae cepa IBCB 425</t>
  </si>
  <si>
    <t xml:space="preserve">Solefert</t>
  </si>
  <si>
    <t xml:space="preserve">21000.055524/2018-45</t>
  </si>
  <si>
    <t xml:space="preserve">ARMIS</t>
  </si>
  <si>
    <t xml:space="preserve">21000.037313/2016-69</t>
  </si>
  <si>
    <t xml:space="preserve">TIODICARBE 350 SC PROVENTIS</t>
  </si>
  <si>
    <t xml:space="preserve">21000.053860/2017-72</t>
  </si>
  <si>
    <t xml:space="preserve">ACEFATO MAX NORTOX</t>
  </si>
  <si>
    <t xml:space="preserve">21000.046923/2020-30</t>
  </si>
  <si>
    <t xml:space="preserve">ALTO 400 SC</t>
  </si>
  <si>
    <t xml:space="preserve">21000.040562/2018-01</t>
  </si>
  <si>
    <t xml:space="preserve">PEÃO 200 EC</t>
  </si>
  <si>
    <t xml:space="preserve">21000.008616/2015-93</t>
  </si>
  <si>
    <t xml:space="preserve">METRIBUZIM 480 SC A</t>
  </si>
  <si>
    <t xml:space="preserve">21000.055452/2017-55</t>
  </si>
  <si>
    <t xml:space="preserve">SOLEADO 50 WG</t>
  </si>
  <si>
    <t xml:space="preserve">21000.081698/2020-88</t>
  </si>
  <si>
    <t xml:space="preserve">ALLURE BR</t>
  </si>
  <si>
    <t xml:space="preserve">Clomazona; Diurom; Hexazinona </t>
  </si>
  <si>
    <t xml:space="preserve">21000.015514/2018-77</t>
  </si>
  <si>
    <t xml:space="preserve">TIOFANIL SNB</t>
  </si>
  <si>
    <t xml:space="preserve">21000.094866/2021-86</t>
  </si>
  <si>
    <t xml:space="preserve">FLUAZINAM LOVELAND</t>
  </si>
  <si>
    <t xml:space="preserve">21000.017170/2018-31</t>
  </si>
  <si>
    <t xml:space="preserve">TROIA 750 WG</t>
  </si>
  <si>
    <t xml:space="preserve">Mancozebe </t>
  </si>
  <si>
    <t xml:space="preserve">21000.010514/2011-12</t>
  </si>
  <si>
    <t xml:space="preserve">PRIMEPLUS 125 SC</t>
  </si>
  <si>
    <t xml:space="preserve">Flumetralina</t>
  </si>
  <si>
    <t xml:space="preserve">21016.009015/2021-77</t>
  </si>
  <si>
    <t xml:space="preserve">GLIFOSATO 720 WG PERTERRA</t>
  </si>
  <si>
    <t xml:space="preserve">21000.016598/2021-61</t>
  </si>
  <si>
    <t xml:space="preserve">DANTOTSU</t>
  </si>
  <si>
    <t xml:space="preserve">21000.016599/2021-14</t>
  </si>
  <si>
    <t xml:space="preserve">LUMISURE</t>
  </si>
  <si>
    <t xml:space="preserve">21000.055590/2016-53</t>
  </si>
  <si>
    <t xml:space="preserve">ELIOS WG</t>
  </si>
  <si>
    <t xml:space="preserve">Imidacloprido; Flutriafol</t>
  </si>
  <si>
    <t xml:space="preserve">21000.045998/2016-17</t>
  </si>
  <si>
    <t xml:space="preserve">CROPSTAR FLEXX</t>
  </si>
  <si>
    <t xml:space="preserve">Imidacloprido; Tiodicarbe</t>
  </si>
  <si>
    <t xml:space="preserve">21000.016159/2019-34</t>
  </si>
  <si>
    <t xml:space="preserve"> SUMIRODY</t>
  </si>
  <si>
    <t xml:space="preserve">Fenpropatrina</t>
  </si>
  <si>
    <t xml:space="preserve">21000.018007/2016-23</t>
  </si>
  <si>
    <t xml:space="preserve">SONUTRIR</t>
  </si>
  <si>
    <t xml:space="preserve">21000.023418/2016-31</t>
  </si>
  <si>
    <t xml:space="preserve">TECANOA</t>
  </si>
  <si>
    <t xml:space="preserve">21000.049389/2020-13</t>
  </si>
  <si>
    <t xml:space="preserve">NUF150F400</t>
  </si>
  <si>
    <t xml:space="preserve">Triclopir butotílico; Picloram</t>
  </si>
  <si>
    <t xml:space="preserve">21000.001283/2012-29</t>
  </si>
  <si>
    <t xml:space="preserve">CIFRÃO</t>
  </si>
  <si>
    <t xml:space="preserve">21016.006402/2023-13</t>
  </si>
  <si>
    <t xml:space="preserve">P&amp;D 149 B</t>
  </si>
  <si>
    <t xml:space="preserve">21016.005847/2023-86</t>
  </si>
  <si>
    <t xml:space="preserve">EVOLUT DUO</t>
  </si>
  <si>
    <t xml:space="preserve">Alfa</t>
  </si>
  <si>
    <t xml:space="preserve">21016.003319/2023-92</t>
  </si>
  <si>
    <t xml:space="preserve">FUNGUS HIZIUM </t>
  </si>
  <si>
    <t xml:space="preserve">Organoplant</t>
  </si>
  <si>
    <t xml:space="preserve">21016.004077/2023-54</t>
  </si>
  <si>
    <t xml:space="preserve">Paecilomyces lilacinus CCT 8068</t>
  </si>
  <si>
    <t xml:space="preserve">21000.010458/2019-65</t>
  </si>
  <si>
    <t xml:space="preserve">Phosal</t>
  </si>
  <si>
    <t xml:space="preserve">Fosfeto de Alumínio</t>
  </si>
  <si>
    <t xml:space="preserve">21000.008417/2021-23</t>
  </si>
  <si>
    <t xml:space="preserve">BRADOOCK 72 WG BR</t>
  </si>
  <si>
    <t xml:space="preserve">21000.113686/2021-19</t>
  </si>
  <si>
    <t xml:space="preserve">ORSA 400 EC; BIFENTRINA 400 EC TECNOMYL; BIFENTRINA 400 EC TECNOMYL I; BIFENTRINA 400 EC TECNOMYL II; BIFENTRINA 400 EC TECNOMYL III</t>
  </si>
  <si>
    <t xml:space="preserve">21000.009393/2018-24</t>
  </si>
  <si>
    <t xml:space="preserve">PYRIPROXYFEN WOOD 100 EC</t>
  </si>
  <si>
    <t xml:space="preserve">21000.093797/2019-79</t>
  </si>
  <si>
    <t xml:space="preserve">TKI-15 BR</t>
  </si>
  <si>
    <t xml:space="preserve">Silicato de alumínio anidro</t>
  </si>
  <si>
    <t xml:space="preserve">21000.022800/2018-99</t>
  </si>
  <si>
    <t xml:space="preserve">TRINEXAPAC 250 EC MAXUNITECH</t>
  </si>
  <si>
    <t xml:space="preserve">21000.004435/2012-45</t>
  </si>
  <si>
    <t xml:space="preserve">CALIZI</t>
  </si>
  <si>
    <t xml:space="preserve">21000.079492/2020-98</t>
  </si>
  <si>
    <t xml:space="preserve">FLUTRIAFOL AS 500 SC</t>
  </si>
  <si>
    <t xml:space="preserve">21000.022925/2016-57</t>
  </si>
  <si>
    <t xml:space="preserve">ZOOM TOP 500 SC  </t>
  </si>
  <si>
    <t xml:space="preserve">21000.070864/2020-11</t>
  </si>
  <si>
    <t xml:space="preserve">MESOTRIONA SOLUS 480 SC</t>
  </si>
  <si>
    <t xml:space="preserve">Mesotriona </t>
  </si>
  <si>
    <t xml:space="preserve">21000.002142/2020-33</t>
  </si>
  <si>
    <t xml:space="preserve">TRINEXAPAQUE ASCENZA EC</t>
  </si>
  <si>
    <t xml:space="preserve">Trinexapaque etílico</t>
  </si>
  <si>
    <t xml:space="preserve">21000.063639/2016-41</t>
  </si>
  <si>
    <t xml:space="preserve">CARAVANA 806 SL</t>
  </si>
  <si>
    <t xml:space="preserve">21000.068470/2020-01</t>
  </si>
  <si>
    <t xml:space="preserve">PIRIPROXIFEM BRX</t>
  </si>
  <si>
    <t xml:space="preserve">21000.081320/2020-84</t>
  </si>
  <si>
    <t xml:space="preserve">SONET</t>
  </si>
  <si>
    <t xml:space="preserve">Dinotefuram; Lambda-Cialotrina</t>
  </si>
  <si>
    <t xml:space="preserve">21000.013235/2021-74</t>
  </si>
  <si>
    <t xml:space="preserve">AHEAD</t>
  </si>
  <si>
    <t xml:space="preserve">Dinotefuram; Piriproxifem</t>
  </si>
  <si>
    <t xml:space="preserve">21000.026270/2021-53</t>
  </si>
  <si>
    <t xml:space="preserve">DOPPIO</t>
  </si>
  <si>
    <t xml:space="preserve">Dibrometo de diquate; Amicarbazona</t>
  </si>
  <si>
    <t xml:space="preserve">Iharabras </t>
  </si>
  <si>
    <t xml:space="preserve">21000.013234/2021-20</t>
  </si>
  <si>
    <t xml:space="preserve">DANTAI</t>
  </si>
  <si>
    <t xml:space="preserve">Bentiavalicarbe Isopropílico; Clorotalonil</t>
  </si>
  <si>
    <t xml:space="preserve">21016.001890/2021-19</t>
  </si>
  <si>
    <t xml:space="preserve">TEBUTIURON 800 WG PERTERRA</t>
  </si>
  <si>
    <t xml:space="preserve">21000.018269/2021-55</t>
  </si>
  <si>
    <t xml:space="preserve">PRO-PIC 720 WG</t>
  </si>
  <si>
    <t xml:space="preserve">21000.022441/2018-70</t>
  </si>
  <si>
    <t xml:space="preserve">OLAPAQUE</t>
  </si>
  <si>
    <t xml:space="preserve">21000.018271/2021-24</t>
  </si>
  <si>
    <t xml:space="preserve">BIOPAK 720 WG</t>
  </si>
  <si>
    <t xml:space="preserve">21000.063637/2016-52</t>
  </si>
  <si>
    <t xml:space="preserve">NAVEGANTE 806 SL</t>
  </si>
  <si>
    <t xml:space="preserve">21000.008819/2014-07</t>
  </si>
  <si>
    <t xml:space="preserve">CISHA 250 EC</t>
  </si>
  <si>
    <t xml:space="preserve">21000.014323/2018-98</t>
  </si>
  <si>
    <t xml:space="preserve"> GLUFORCE  </t>
  </si>
  <si>
    <t xml:space="preserve">Glufosinato-sal de Amónio</t>
  </si>
  <si>
    <t xml:space="preserve">Dinagro</t>
  </si>
  <si>
    <t xml:space="preserve">21016.007512/2023-01</t>
  </si>
  <si>
    <t xml:space="preserve">BIOMETATRIL</t>
  </si>
  <si>
    <t xml:space="preserve">21000.017954/2016-05</t>
  </si>
  <si>
    <t xml:space="preserve">FOLPEC 50</t>
  </si>
  <si>
    <t xml:space="preserve">21016.006611/2023-67</t>
  </si>
  <si>
    <t xml:space="preserve">METABOV; ATLASMIX; GRIFOS  </t>
  </si>
  <si>
    <t xml:space="preserve">Alisson </t>
  </si>
  <si>
    <t xml:space="preserve">21000.091425/2019-16</t>
  </si>
  <si>
    <t xml:space="preserve">TRATTARE </t>
  </si>
  <si>
    <t xml:space="preserve">21000.072638/2019-31</t>
  </si>
  <si>
    <t xml:space="preserve">ECLIPSE  </t>
  </si>
  <si>
    <t xml:space="preserve">21016.008091/2023-27</t>
  </si>
  <si>
    <t xml:space="preserve"> TRICHO-HARMAX</t>
  </si>
  <si>
    <r>
      <rPr>
        <sz val="11"/>
        <color rgb="FF274E13"/>
        <rFont val="Arial"/>
        <family val="2"/>
        <charset val="1"/>
      </rPr>
      <t xml:space="preserve">Trichoderma harzianum</t>
    </r>
    <r>
      <rPr>
        <sz val="12"/>
        <color rgb="FF000000"/>
        <rFont val="Calibri"/>
        <family val="2"/>
        <charset val="1"/>
      </rPr>
      <t xml:space="preserve">, isolado IB19/17</t>
    </r>
  </si>
  <si>
    <t xml:space="preserve">21016.004162/2023-12</t>
  </si>
  <si>
    <t xml:space="preserve"> ÉGIDE</t>
  </si>
  <si>
    <t xml:space="preserve">Companhia Nitro</t>
  </si>
  <si>
    <t xml:space="preserve">21016.005481/2023-45</t>
  </si>
  <si>
    <t xml:space="preserve">MAVIC BIO  </t>
  </si>
  <si>
    <r>
      <rPr>
        <sz val="11"/>
        <color rgb="FF274E13"/>
        <rFont val="Arial"/>
        <family val="2"/>
        <charset val="1"/>
      </rPr>
      <t xml:space="preserve">Metarhizium anisopliae</t>
    </r>
    <r>
      <rPr>
        <sz val="12"/>
        <color rgb="FF000000"/>
        <rFont val="Calibri"/>
        <family val="2"/>
        <charset val="1"/>
      </rPr>
      <t xml:space="preserve">, isolado IBCB 425</t>
    </r>
  </si>
  <si>
    <t xml:space="preserve">21000.027544/2018-26</t>
  </si>
  <si>
    <t xml:space="preserve">GRANT 970 WG  </t>
  </si>
  <si>
    <t xml:space="preserve">21000.077406/2020-11</t>
  </si>
  <si>
    <t xml:space="preserve">ORONDIS OPTI  </t>
  </si>
  <si>
    <t xml:space="preserve">Clorotalonil; Oxatiapiprolim</t>
  </si>
  <si>
    <t xml:space="preserve">21000.035703/2018-66</t>
  </si>
  <si>
    <t xml:space="preserve">CLOROTALONIL NORTOX 720 SC</t>
  </si>
  <si>
    <t xml:space="preserve">21016.003219/2021-02</t>
  </si>
  <si>
    <t xml:space="preserve">FRONDEO</t>
  </si>
  <si>
    <t xml:space="preserve">Isocicloseram</t>
  </si>
  <si>
    <t xml:space="preserve">21016.003317/2023-01</t>
  </si>
  <si>
    <t xml:space="preserve">FUNGUS BVERIA; FUNGUS BVERIA RBR; FUNGUS BVERIA INC; FUNGUS BVERIA MAX; FUNGUS BVERIA OGN; FUNGUS BVERIA GOLD</t>
  </si>
  <si>
    <t xml:space="preserve">21000.011259/2021-99</t>
  </si>
  <si>
    <t xml:space="preserve">GLUFO 200 SL</t>
  </si>
  <si>
    <t xml:space="preserve">21000.011255/2021-19</t>
  </si>
  <si>
    <t xml:space="preserve">GLUFOSINATO 200 SL</t>
  </si>
  <si>
    <t xml:space="preserve">21000.000970/2013-16</t>
  </si>
  <si>
    <t xml:space="preserve"> IMIDACLOPRIDO HS 700 WG</t>
  </si>
  <si>
    <t xml:space="preserve">21000.005964/2015-17</t>
  </si>
  <si>
    <t xml:space="preserve">CHAKAY 125 SC</t>
  </si>
  <si>
    <t xml:space="preserve">21000.055573/2016-16</t>
  </si>
  <si>
    <t xml:space="preserve">FOMESAFEN 250 SL PROVENTIS</t>
  </si>
  <si>
    <t xml:space="preserve">21000.011257/2021-08</t>
  </si>
  <si>
    <t xml:space="preserve">GLUFO WYNCA 200 SL</t>
  </si>
  <si>
    <t xml:space="preserve">21000.011260/2021-13</t>
  </si>
  <si>
    <t xml:space="preserve">GLUFOS BESTAR SL</t>
  </si>
  <si>
    <t xml:space="preserve"> Wynca</t>
  </si>
  <si>
    <t xml:space="preserve">21000.005457/2020-32</t>
  </si>
  <si>
    <t xml:space="preserve"> FLAIL 480 SC</t>
  </si>
  <si>
    <t xml:space="preserve">21000.080486/2019-40</t>
  </si>
  <si>
    <t xml:space="preserve">MESOFORCE</t>
  </si>
  <si>
    <t xml:space="preserve">21016.002517/2021-77</t>
  </si>
  <si>
    <t xml:space="preserve">RAINIOR</t>
  </si>
  <si>
    <t xml:space="preserve">21000.023664/2021-50</t>
  </si>
  <si>
    <t xml:space="preserve"> SOUL</t>
  </si>
  <si>
    <t xml:space="preserve">Acetamiprido; Fenpropatrina</t>
  </si>
  <si>
    <t xml:space="preserve">21000.009076/2019-99</t>
  </si>
  <si>
    <t xml:space="preserve">HATHOR 400 EC</t>
  </si>
  <si>
    <t xml:space="preserve">21016.001436/2021-50</t>
  </si>
  <si>
    <t xml:space="preserve">FLUROXIPIR + PICLORAM NORTOX</t>
  </si>
  <si>
    <t xml:space="preserve">Fluroxipir-meptílico; Picloram</t>
  </si>
  <si>
    <t xml:space="preserve">21016.001326/2021-98</t>
  </si>
  <si>
    <t xml:space="preserve">FLUROXIPIR + TRICLOPIR NORTOX</t>
  </si>
  <si>
    <t xml:space="preserve">Fluroxipir-meptílico; Triclopir-butotílico</t>
  </si>
  <si>
    <t xml:space="preserve">21000.069922/2020-63</t>
  </si>
  <si>
    <t xml:space="preserve"> VIOVAN BR</t>
  </si>
  <si>
    <t xml:space="preserve">21000.068995/2020-38</t>
  </si>
  <si>
    <t xml:space="preserve">FLUAZINAM 500 SC CROP</t>
  </si>
  <si>
    <t xml:space="preserve">21000.021626/2020-81</t>
  </si>
  <si>
    <t xml:space="preserve">CHLORGUARD</t>
  </si>
  <si>
    <t xml:space="preserve"> Gharda</t>
  </si>
  <si>
    <t xml:space="preserve">21000.069033/2020-04</t>
  </si>
  <si>
    <t xml:space="preserve">ROAD FOUR 806 SL</t>
  </si>
  <si>
    <t xml:space="preserve">21000.008300/2015-00</t>
  </si>
  <si>
    <t xml:space="preserve">CIPRO 100</t>
  </si>
  <si>
    <t xml:space="preserve"> Ouro Fino</t>
  </si>
  <si>
    <t xml:space="preserve">21000.044776/2020-63</t>
  </si>
  <si>
    <t xml:space="preserve"> CLEFANDIM 360 EC</t>
  </si>
  <si>
    <t xml:space="preserve">21016.007714/2023-44</t>
  </si>
  <si>
    <t xml:space="preserve">NODUDERMA</t>
  </si>
  <si>
    <t xml:space="preserve">21000.022530/2016-54</t>
  </si>
  <si>
    <t xml:space="preserve">GRANDPRID</t>
  </si>
  <si>
    <t xml:space="preserve">Imidacloprido; Piriproxifem </t>
  </si>
  <si>
    <t xml:space="preserve">21000.008005/2017-15</t>
  </si>
  <si>
    <t xml:space="preserve">PROCYMIDONE 500 SC PROVENTIS</t>
  </si>
  <si>
    <t xml:space="preserve">Procimidona</t>
  </si>
  <si>
    <t xml:space="preserve">21016.000294/2023-75</t>
  </si>
  <si>
    <t xml:space="preserve">METHAPROTECTION EVOLUTION</t>
  </si>
  <si>
    <t xml:space="preserve">21000.043559/2019-12</t>
  </si>
  <si>
    <t xml:space="preserve">HANZÔ</t>
  </si>
  <si>
    <t xml:space="preserve">Flazassulfurom </t>
  </si>
  <si>
    <t xml:space="preserve">21016.002689/2023-11</t>
  </si>
  <si>
    <t xml:space="preserve">PHEROGEN GRANULO FAW</t>
  </si>
  <si>
    <t xml:space="preserve">Acetato de (Z)-9-tetradecenila; Acetato de (Z)-11-hexadecenila</t>
  </si>
  <si>
    <t xml:space="preserve">Provivi</t>
  </si>
  <si>
    <t xml:space="preserve">21000.062603/2020-27</t>
  </si>
  <si>
    <t xml:space="preserve">TOVEOR </t>
  </si>
  <si>
    <t xml:space="preserve">Ametoctradina </t>
  </si>
  <si>
    <t xml:space="preserve">21000.040299/2018-42</t>
  </si>
  <si>
    <t xml:space="preserve">CARFENTRAZONE NORTOX</t>
  </si>
  <si>
    <t xml:space="preserve">21000.009546/2017-52</t>
  </si>
  <si>
    <t xml:space="preserve">FIPRONIL YONON</t>
  </si>
  <si>
    <t xml:space="preserve">21000.050230/2018-27</t>
  </si>
  <si>
    <t xml:space="preserve">EPOXICONAZOLE NORTOX</t>
  </si>
  <si>
    <t xml:space="preserve">21000.005548/2013-49</t>
  </si>
  <si>
    <t xml:space="preserve"> LUFENURON NORTOX 50 EC</t>
  </si>
  <si>
    <t xml:space="preserve">21016.005093/2021-01</t>
  </si>
  <si>
    <t xml:space="preserve">CLETODIM 240 EC BRILLIANCE</t>
  </si>
  <si>
    <t xml:space="preserve">21016.009016/2021-11</t>
  </si>
  <si>
    <t xml:space="preserve">FLUMIOXAZIN 800 WG PERTERRA</t>
  </si>
  <si>
    <t xml:space="preserve">Flumioxazina </t>
  </si>
  <si>
    <t xml:space="preserve">21016.006165/2023-91</t>
  </si>
  <si>
    <t xml:space="preserve">METTABASSI</t>
  </si>
  <si>
    <r>
      <rPr>
        <sz val="11"/>
        <color rgb="FF274E13"/>
        <rFont val="Arial"/>
        <family val="2"/>
        <charset val="1"/>
      </rPr>
      <t xml:space="preserve">Beauveria bassiana </t>
    </r>
    <r>
      <rPr>
        <sz val="12"/>
        <color rgb="FF000000"/>
        <rFont val="Calibri"/>
        <family val="2"/>
        <charset val="1"/>
      </rPr>
      <t xml:space="preserve">IBCB 66; </t>
    </r>
    <r>
      <rPr>
        <i val="true"/>
        <sz val="12"/>
        <color rgb="FF000000"/>
        <rFont val="Calibri"/>
        <family val="2"/>
        <charset val="1"/>
      </rPr>
      <t xml:space="preserve">Metarhizium anisopliae</t>
    </r>
    <r>
      <rPr>
        <sz val="12"/>
        <color rgb="FF000000"/>
        <rFont val="Calibri"/>
        <family val="2"/>
        <charset val="1"/>
      </rPr>
      <t xml:space="preserve"> isolado IBCB 425</t>
    </r>
  </si>
  <si>
    <t xml:space="preserve">Café Brasil </t>
  </si>
  <si>
    <t xml:space="preserve">21016.007833/2023-05</t>
  </si>
  <si>
    <t xml:space="preserve">QUERO-QUERO</t>
  </si>
  <si>
    <t xml:space="preserve">VSF </t>
  </si>
  <si>
    <t xml:space="preserve">21000.036830/2017-00</t>
  </si>
  <si>
    <t xml:space="preserve">DIFLUBENZURON 480 SC PROVENTIS</t>
  </si>
  <si>
    <t xml:space="preserve">21000.006574/2014-75</t>
  </si>
  <si>
    <t xml:space="preserve">CAPTIP</t>
  </si>
  <si>
    <t xml:space="preserve">21016.007194/2022-99</t>
  </si>
  <si>
    <t xml:space="preserve">BIO RAIZ NORTOX</t>
  </si>
  <si>
    <t xml:space="preserve">Folcisteína</t>
  </si>
  <si>
    <t xml:space="preserve">21000.021988/2020-72</t>
  </si>
  <si>
    <t xml:space="preserve">AZBANY MAXX</t>
  </si>
  <si>
    <t xml:space="preserve">21000.014931/2017-11</t>
  </si>
  <si>
    <t xml:space="preserve">ACEFATO CCAB 950 SG </t>
  </si>
  <si>
    <t xml:space="preserve">21000.023490/2021-25</t>
  </si>
  <si>
    <t xml:space="preserve">MIRAVIS OPTI</t>
  </si>
  <si>
    <t xml:space="preserve">21000.034612/2019-94</t>
  </si>
  <si>
    <t xml:space="preserve">RAJADA SC</t>
  </si>
  <si>
    <t xml:space="preserve">21000.001574/2019-93</t>
  </si>
  <si>
    <t xml:space="preserve">FOLIM 720 SC</t>
  </si>
  <si>
    <t xml:space="preserve">CAC Química</t>
  </si>
  <si>
    <t xml:space="preserve">21000.038166/2017-25</t>
  </si>
  <si>
    <t xml:space="preserve">Epoxiconazole</t>
  </si>
  <si>
    <t xml:space="preserve">21000.008247/2020-04</t>
  </si>
  <si>
    <t xml:space="preserve">PERCY DUO EC</t>
  </si>
  <si>
    <t xml:space="preserve">Profenofós; Cipermetrina</t>
  </si>
  <si>
    <t xml:space="preserve">21016.001565/2022-29</t>
  </si>
  <si>
    <t xml:space="preserve">BAFEX</t>
  </si>
  <si>
    <t xml:space="preserve">Bacillus thuringiensis cepa Anemophila; Bacillus thuringiensis cepa N3</t>
  </si>
  <si>
    <t xml:space="preserve">21016.004420/2023-61</t>
  </si>
  <si>
    <t xml:space="preserve">BIO GALL</t>
  </si>
  <si>
    <t xml:space="preserve">Purpureocillium lilacinum CCT 8029</t>
  </si>
  <si>
    <t xml:space="preserve">21000.061559/2020-38</t>
  </si>
  <si>
    <t xml:space="preserve">ARAPOTY</t>
  </si>
  <si>
    <t xml:space="preserve">21000.028011/2018-61</t>
  </si>
  <si>
    <t xml:space="preserve">CHLOROCIL</t>
  </si>
  <si>
    <t xml:space="preserve">21000.006570/2014-97</t>
  </si>
  <si>
    <t xml:space="preserve">TANCAP</t>
  </si>
  <si>
    <t xml:space="preserve">21016.002097/2021-29</t>
  </si>
  <si>
    <t xml:space="preserve">S-METOLACLOR R 960 EC PERTERRA</t>
  </si>
  <si>
    <t xml:space="preserve">21000.028968/2017-27</t>
  </si>
  <si>
    <t xml:space="preserve"> SPIRODICLOFEN YONON </t>
  </si>
  <si>
    <t xml:space="preserve">21016.002611/2021-26</t>
  </si>
  <si>
    <t xml:space="preserve">GLUFOSINATO R 200 SL PERTERRA</t>
  </si>
  <si>
    <t xml:space="preserve">21000.032287/2017-63</t>
  </si>
  <si>
    <t xml:space="preserve">BORDALO</t>
  </si>
  <si>
    <t xml:space="preserve">21016.005569/2023-67</t>
  </si>
  <si>
    <t xml:space="preserve">ALERIS</t>
  </si>
  <si>
    <t xml:space="preserve">21000.016276/2018-17</t>
  </si>
  <si>
    <t xml:space="preserve">TAUS</t>
  </si>
  <si>
    <t xml:space="preserve">Imidacloprido </t>
  </si>
  <si>
    <t xml:space="preserve">21000.007521/2012-18</t>
  </si>
  <si>
    <t xml:space="preserve">CHEFER 700 WG</t>
  </si>
  <si>
    <t xml:space="preserve">21000.033807/2019-17</t>
  </si>
  <si>
    <t xml:space="preserve">LAKE</t>
  </si>
  <si>
    <t xml:space="preserve">Clorotalonil </t>
  </si>
  <si>
    <t xml:space="preserve">21016.005392/2023-07</t>
  </si>
  <si>
    <t xml:space="preserve">SIL-DRY</t>
  </si>
  <si>
    <t xml:space="preserve">Dióxido de Silício (Terra Diatomácea)</t>
  </si>
  <si>
    <t xml:space="preserve">Tech Crop</t>
  </si>
  <si>
    <t xml:space="preserve">21000.016015/2018-05</t>
  </si>
  <si>
    <t xml:space="preserve">TRIFLOXYSTROBIN 500 WG YONON</t>
  </si>
  <si>
    <t xml:space="preserve">21016.002700/2021-72</t>
  </si>
  <si>
    <t xml:space="preserve"> LUFENURON 50 EC PERTERRA</t>
  </si>
  <si>
    <t xml:space="preserve">21000.050532/2021-09</t>
  </si>
  <si>
    <t xml:space="preserve">INCITRO</t>
  </si>
  <si>
    <t xml:space="preserve">Espinetoram</t>
  </si>
  <si>
    <t xml:space="preserve">21000.050535/2021-34</t>
  </si>
  <si>
    <t xml:space="preserve">INCITRO WG</t>
  </si>
  <si>
    <t xml:space="preserve">21000.000222/2014-14</t>
  </si>
  <si>
    <t xml:space="preserve">KAMAZOLE</t>
  </si>
  <si>
    <t xml:space="preserve">21000.040605/2017-60</t>
  </si>
  <si>
    <t xml:space="preserve">REQUAT</t>
  </si>
  <si>
    <t xml:space="preserve">Diquate </t>
  </si>
  <si>
    <t xml:space="preserve">21000.000010/2014-29</t>
  </si>
  <si>
    <t xml:space="preserve">TEBUZOL</t>
  </si>
  <si>
    <t xml:space="preserve">21016.005747/2022-79</t>
  </si>
  <si>
    <t xml:space="preserve">VECTOR PROTECTION 2</t>
  </si>
  <si>
    <r>
      <rPr>
        <sz val="11"/>
        <color rgb="FF274E13"/>
        <rFont val="Arial"/>
        <family val="2"/>
        <charset val="1"/>
      </rPr>
      <t xml:space="preserve">Beauveria bassiana</t>
    </r>
    <r>
      <rPr>
        <sz val="12"/>
        <color rgb="FF000000"/>
        <rFont val="Calibri"/>
        <family val="2"/>
        <charset val="1"/>
      </rPr>
      <t xml:space="preserve">, isolado CBMAI 2359</t>
    </r>
  </si>
  <si>
    <t xml:space="preserve">21016.005423/2023-11</t>
  </si>
  <si>
    <t xml:space="preserve">TEC ISARIA  </t>
  </si>
  <si>
    <t xml:space="preserve">Isaria fumosorosea FUNG 14</t>
  </si>
  <si>
    <t xml:space="preserve">21000.043230/2018-71</t>
  </si>
  <si>
    <t xml:space="preserve">TEBUCO T NORTOX</t>
  </si>
  <si>
    <t xml:space="preserve">Tebuconazol; Trifloxistrobina</t>
  </si>
  <si>
    <t xml:space="preserve">21000.028539/2017-50</t>
  </si>
  <si>
    <t xml:space="preserve">SPIRODICLOFEN 240 SC YONON</t>
  </si>
  <si>
    <t xml:space="preserve">21016.007886/2023-18</t>
  </si>
  <si>
    <t xml:space="preserve">NODUVERIA L</t>
  </si>
  <si>
    <t xml:space="preserve">21000.055977/2018-71</t>
  </si>
  <si>
    <t xml:space="preserve">VERDENIL 720 SC</t>
  </si>
  <si>
    <t xml:space="preserve">21016.002568/2023-61</t>
  </si>
  <si>
    <t xml:space="preserve">VIR PROTECTION H.A</t>
  </si>
  <si>
    <t xml:space="preserve">Helicoverpa armigera nucleopolyhedrovírus (HearSNPV)</t>
  </si>
  <si>
    <t xml:space="preserve">21016.004419/2023-36</t>
  </si>
  <si>
    <t xml:space="preserve"> X-CYTE</t>
  </si>
  <si>
    <t xml:space="preserve">Stoller </t>
  </si>
  <si>
    <t xml:space="preserve">21000.109203/2021-73</t>
  </si>
  <si>
    <t xml:space="preserve">AVERT MAX</t>
  </si>
  <si>
    <t xml:space="preserve">Clorotalonil; Ciproconazol; Azoxistrobina </t>
  </si>
  <si>
    <t xml:space="preserve">21000.032337/2018-93</t>
  </si>
  <si>
    <t xml:space="preserve">LAREDO</t>
  </si>
  <si>
    <t xml:space="preserve">21016.004740/2022-30</t>
  </si>
  <si>
    <t xml:space="preserve">AVIZON; AVIZON BR</t>
  </si>
  <si>
    <t xml:space="preserve">Bacillus thuringiensis cepa RTI545</t>
  </si>
  <si>
    <t xml:space="preserve">21016.007891/2023-21</t>
  </si>
  <si>
    <t xml:space="preserve">NODURHIZIUM L</t>
  </si>
  <si>
    <t xml:space="preserve">21016.007707/2023-42</t>
  </si>
  <si>
    <t xml:space="preserve">NODURHIZIUM</t>
  </si>
  <si>
    <t xml:space="preserve">21016.007771/2023-23</t>
  </si>
  <si>
    <t xml:space="preserve">FORCETY WP</t>
  </si>
  <si>
    <t xml:space="preserve">21000.022304/2019-16</t>
  </si>
  <si>
    <t xml:space="preserve">TIMULON</t>
  </si>
  <si>
    <t xml:space="preserve">Fluxapiroxade; Mefentrifluconazol </t>
  </si>
  <si>
    <t xml:space="preserve">21000.005355/2015-50</t>
  </si>
  <si>
    <t xml:space="preserve">IMIDACLOPRID 700 WG QH</t>
  </si>
  <si>
    <t xml:space="preserve">21000.000007/2012-43</t>
  </si>
  <si>
    <t xml:space="preserve">RAVINA</t>
  </si>
  <si>
    <t xml:space="preserve">21000.017361/2018-01</t>
  </si>
  <si>
    <t xml:space="preserve">XEIQUE</t>
  </si>
  <si>
    <t xml:space="preserve">Dicamba Sal de Monomelilamina</t>
  </si>
  <si>
    <t xml:space="preserve">21000.046000/2020-88</t>
  </si>
  <si>
    <t xml:space="preserve">NUF105F500</t>
  </si>
  <si>
    <t xml:space="preserve"> Fluroxipir-meptílico</t>
  </si>
  <si>
    <t xml:space="preserve">21000.094803/2019-13</t>
  </si>
  <si>
    <t xml:space="preserve">MISSIL ULTRA</t>
  </si>
  <si>
    <t xml:space="preserve">Dow AgroSciences</t>
  </si>
  <si>
    <t xml:space="preserve">21016.002761/2021-30</t>
  </si>
  <si>
    <t xml:space="preserve">DICAMBA 700 WG PERTERRA</t>
  </si>
  <si>
    <t xml:space="preserve">21000.094039/2019-78</t>
  </si>
  <si>
    <t xml:space="preserve">LISTO</t>
  </si>
  <si>
    <t xml:space="preserve">21016.002613/2021-15</t>
  </si>
  <si>
    <t xml:space="preserve">METOXIFENOZIDE R 240 SC PERTERRA</t>
  </si>
  <si>
    <t xml:space="preserve">21016.002971/2021-28</t>
  </si>
  <si>
    <t xml:space="preserve">FLUROXIPIR 200 EC PERTERRA</t>
  </si>
  <si>
    <t xml:space="preserve">21000.054002/2018-26</t>
  </si>
  <si>
    <t xml:space="preserve">BRASCAL</t>
  </si>
  <si>
    <t xml:space="preserve">21000.009396/2018-68</t>
  </si>
  <si>
    <t xml:space="preserve">PYRIPROXYFEN WWOOD 100 EC</t>
  </si>
  <si>
    <t xml:space="preserve">21000.055030/2016-07</t>
  </si>
  <si>
    <t xml:space="preserve">PRAVDA 750 WG </t>
  </si>
  <si>
    <t xml:space="preserve">Sulfometurom-metílico</t>
  </si>
  <si>
    <t xml:space="preserve">CropChem </t>
  </si>
  <si>
    <t xml:space="preserve">21000.023657/2021-58</t>
  </si>
  <si>
    <t xml:space="preserve">ROMPER</t>
  </si>
  <si>
    <t xml:space="preserve">21000.070028/2020-36</t>
  </si>
  <si>
    <t xml:space="preserve">ZETA 106 SL</t>
  </si>
  <si>
    <t xml:space="preserve"> Imazetapir, Sal de Amônio</t>
  </si>
  <si>
    <t xml:space="preserve">21000.043387/2017-15</t>
  </si>
  <si>
    <t xml:space="preserve">ZAGAL 500 EC</t>
  </si>
  <si>
    <t xml:space="preserve">21000.040246/2017-41</t>
  </si>
  <si>
    <t xml:space="preserve">AMAZE MZ</t>
  </si>
  <si>
    <t xml:space="preserve">Cimoxanil; Mancozebe </t>
  </si>
  <si>
    <t xml:space="preserve">Isk</t>
  </si>
  <si>
    <t xml:space="preserve">21000.071466/2021-01</t>
  </si>
  <si>
    <t xml:space="preserve">BESTAR 280 SL</t>
  </si>
  <si>
    <t xml:space="preserve">21000.005365/2018-38</t>
  </si>
  <si>
    <t xml:space="preserve">OLASOJA WG</t>
  </si>
  <si>
    <t xml:space="preserve">21016.001905/2021-31</t>
  </si>
  <si>
    <t xml:space="preserve">IMAZETAPIR 700 WG PERTERRA</t>
  </si>
  <si>
    <t xml:space="preserve">21016.002508/2021-86</t>
  </si>
  <si>
    <t xml:space="preserve">ATRAZINA 900 WG PERTERRA</t>
  </si>
  <si>
    <t xml:space="preserve">21000.004406/2017-98</t>
  </si>
  <si>
    <t xml:space="preserve">PYRIPROXYFEN 100 g/L EC</t>
  </si>
  <si>
    <t xml:space="preserve">21016.007711/2023-19</t>
  </si>
  <si>
    <t xml:space="preserve">NODUMIX</t>
  </si>
  <si>
    <t xml:space="preserve">Beauveria bassiana, isolado IBCB 66; Metarhizium anisopliae, isolado IBCB 425</t>
  </si>
  <si>
    <t xml:space="preserve">21000.093218/2019-98</t>
  </si>
  <si>
    <t xml:space="preserve">TORMENTO</t>
  </si>
  <si>
    <t xml:space="preserve">21016.002059/2021-76</t>
  </si>
  <si>
    <t xml:space="preserve">LONGGOR</t>
  </si>
  <si>
    <t xml:space="preserve">Benzoato de Emamectina; Isocicloseram</t>
  </si>
  <si>
    <t xml:space="preserve">21000.051770/2018-28</t>
  </si>
  <si>
    <t xml:space="preserve">MILTOP-M 50% SC</t>
  </si>
  <si>
    <t xml:space="preserve">21000.005577/2016-53</t>
  </si>
  <si>
    <t xml:space="preserve">TRUDOR</t>
  </si>
  <si>
    <t xml:space="preserve">Imidacloprido; Tiodicarbe </t>
  </si>
  <si>
    <t xml:space="preserve">21000.045999/2020-48</t>
  </si>
  <si>
    <t xml:space="preserve">NUF105F400</t>
  </si>
  <si>
    <t xml:space="preserve">21000.053496/2021-27</t>
  </si>
  <si>
    <t xml:space="preserve">BESTAR 500 SG</t>
  </si>
  <si>
    <t xml:space="preserve">21016.002699/2021-86</t>
  </si>
  <si>
    <t xml:space="preserve">SUFENCE</t>
  </si>
  <si>
    <t xml:space="preserve">21016.002695/2021-06</t>
  </si>
  <si>
    <t xml:space="preserve">SUNZONE</t>
  </si>
  <si>
    <t xml:space="preserve">21016.005594/2023-41</t>
  </si>
  <si>
    <t xml:space="preserve">TRICHOCOMBAT</t>
  </si>
  <si>
    <r>
      <rPr>
        <b val="true"/>
        <i val="true"/>
        <sz val="11"/>
        <color rgb="FF274E13"/>
        <rFont val="Arial"/>
        <family val="2"/>
        <charset val="1"/>
      </rPr>
      <t xml:space="preserve">Trichoderma harzianum</t>
    </r>
    <r>
      <rPr>
        <b val="true"/>
        <sz val="11"/>
        <color rgb="FF274E13"/>
        <rFont val="Arial"/>
        <family val="2"/>
        <charset val="1"/>
      </rPr>
      <t xml:space="preserve"> isolado IB19/17</t>
    </r>
  </si>
  <si>
    <t xml:space="preserve">21016.003865/2023-23</t>
  </si>
  <si>
    <t xml:space="preserve">DUOSHOCK</t>
  </si>
  <si>
    <t xml:space="preserve">Metarhizium anisopliae ASN 054; Beauveria bassiana ASN 053</t>
  </si>
  <si>
    <t xml:space="preserve">21016.000019/2023-51</t>
  </si>
  <si>
    <t xml:space="preserve">SANKARI</t>
  </si>
  <si>
    <t xml:space="preserve">Ácido Nonanóico</t>
  </si>
  <si>
    <t xml:space="preserve">21000.055024/2017-22</t>
  </si>
  <si>
    <t xml:space="preserve">MADISON</t>
  </si>
  <si>
    <t xml:space="preserve">21000.060611/2021-10</t>
  </si>
  <si>
    <t xml:space="preserve"> CYBORG</t>
  </si>
  <si>
    <t xml:space="preserve">21016.004452/2023-66</t>
  </si>
  <si>
    <t xml:space="preserve">BIO POCH</t>
  </si>
  <si>
    <t xml:space="preserve">Pochonia chlamydosporia CCT 8030</t>
  </si>
  <si>
    <t xml:space="preserve">21016.002204/2022-08</t>
  </si>
  <si>
    <t xml:space="preserve"> SC07719</t>
  </si>
  <si>
    <t xml:space="preserve"> Enxofre; Carbonato de Cobre</t>
  </si>
  <si>
    <t xml:space="preserve">21000.003697/2020-01</t>
  </si>
  <si>
    <t xml:space="preserve">GALLANT ULTRA</t>
  </si>
  <si>
    <t xml:space="preserve"> CTVA </t>
  </si>
  <si>
    <t xml:space="preserve">21000.011077/2021-18</t>
  </si>
  <si>
    <t xml:space="preserve">GLUFOS PRO 880</t>
  </si>
  <si>
    <t xml:space="preserve">21000.043413/2017-13</t>
  </si>
  <si>
    <t xml:space="preserve">DIFENOCONAZOL NORTOX 250 SC</t>
  </si>
  <si>
    <t xml:space="preserve">21016.008434/2021-91</t>
  </si>
  <si>
    <t xml:space="preserve"> MESTRONG</t>
  </si>
  <si>
    <t xml:space="preserve">21016.002612/2021-71</t>
  </si>
  <si>
    <t xml:space="preserve">TRICLOPIR R 480 EC PERTERRA</t>
  </si>
  <si>
    <t xml:space="preserve">21000.019817/2017-88</t>
  </si>
  <si>
    <t xml:space="preserve">SHYPER</t>
  </si>
  <si>
    <t xml:space="preserve">21000.024646/2017-17</t>
  </si>
  <si>
    <t xml:space="preserve">SHYPER SD 250 EC</t>
  </si>
  <si>
    <t xml:space="preserve">21000.003696/2020-58</t>
  </si>
  <si>
    <t xml:space="preserve">VERDICT ULTRA</t>
  </si>
  <si>
    <t xml:space="preserve">21000.008191/2013-51</t>
  </si>
  <si>
    <t xml:space="preserve"> SOYAGUARD  </t>
  </si>
  <si>
    <t xml:space="preserve">Imazetapir  </t>
  </si>
  <si>
    <t xml:space="preserve">21000.054830/2017-83</t>
  </si>
  <si>
    <t xml:space="preserve">FLUMIOXAZINA 500 WP CROPCHEM </t>
  </si>
  <si>
    <t xml:space="preserve">21016.007691/2023-78</t>
  </si>
  <si>
    <t xml:space="preserve">NODUVERIA</t>
  </si>
  <si>
    <t xml:space="preserve">Beauveria bassiana isolado IBCB 66</t>
  </si>
  <si>
    <t xml:space="preserve">21000.018715/2018-26</t>
  </si>
  <si>
    <t xml:space="preserve">RUBILA 500 WG</t>
  </si>
  <si>
    <t xml:space="preserve">21000.020081/2017-91</t>
  </si>
  <si>
    <t xml:space="preserve">SHIPER EC</t>
  </si>
  <si>
    <t xml:space="preserve">Allierbrasil </t>
  </si>
  <si>
    <t xml:space="preserve">21016.006288/2023-21</t>
  </si>
  <si>
    <t xml:space="preserve">BIO FOLHA NORTOX  </t>
  </si>
  <si>
    <t xml:space="preserve">Folcisteína; Quitosana</t>
  </si>
  <si>
    <t xml:space="preserve">21000.082967/2020-23</t>
  </si>
  <si>
    <t xml:space="preserve">KANDÍ</t>
  </si>
  <si>
    <t xml:space="preserve">Flazassulfurom</t>
  </si>
  <si>
    <t xml:space="preserve">21000.109952/2021-09</t>
  </si>
  <si>
    <t xml:space="preserve">EXALT SC</t>
  </si>
  <si>
    <t xml:space="preserve">21000.019068/2018-70</t>
  </si>
  <si>
    <t xml:space="preserve">ESMERO</t>
  </si>
  <si>
    <t xml:space="preserve">21000.000639/2019-83</t>
  </si>
  <si>
    <t xml:space="preserve">CLORMAX 480 EC</t>
  </si>
  <si>
    <t xml:space="preserve">21000.034609/2019-71</t>
  </si>
  <si>
    <t xml:space="preserve">RAJADA 150</t>
  </si>
  <si>
    <t xml:space="preserve">21000.033805/2019-28</t>
  </si>
  <si>
    <t xml:space="preserve">RAJADA</t>
  </si>
  <si>
    <t xml:space="preserve">21016.007121/2021-16</t>
  </si>
  <si>
    <t xml:space="preserve">INNOVARE</t>
  </si>
  <si>
    <t xml:space="preserve">Glufosinato - sal de amônio; Carfentrazona-etílica</t>
  </si>
  <si>
    <t xml:space="preserve">21016.002514/2023-03</t>
  </si>
  <si>
    <t xml:space="preserve">BTP 177-21A</t>
  </si>
  <si>
    <t xml:space="preserve">Bacillus firmus CCT0227</t>
  </si>
  <si>
    <t xml:space="preserve">21000.034605/2019-92</t>
  </si>
  <si>
    <t xml:space="preserve">LAKE SC</t>
  </si>
  <si>
    <t xml:space="preserve">21000.080643/2020-51</t>
  </si>
  <si>
    <t xml:space="preserve">FLASHER</t>
  </si>
  <si>
    <t xml:space="preserve">21000.034604/2019-48</t>
  </si>
  <si>
    <t xml:space="preserve">LAKE 720</t>
  </si>
  <si>
    <t xml:space="preserve">21000.033799/2019-17</t>
  </si>
  <si>
    <t xml:space="preserve">BIOKING</t>
  </si>
  <si>
    <t xml:space="preserve">21000.034601/2019-12</t>
  </si>
  <si>
    <t xml:space="preserve">BIOKING 240 SC</t>
  </si>
  <si>
    <t xml:space="preserve">21016.002091/2021-51</t>
  </si>
  <si>
    <t xml:space="preserve">MIRAVIS TRIO</t>
  </si>
  <si>
    <t xml:space="preserve">21000.003613/2020-21</t>
  </si>
  <si>
    <t xml:space="preserve">CHARRUA MAX SC</t>
  </si>
  <si>
    <t xml:space="preserve">Tebuconazol; Trifloxistrobina </t>
  </si>
  <si>
    <t xml:space="preserve">21000.009619/2018-97</t>
  </si>
  <si>
    <t xml:space="preserve">FLUARYS</t>
  </si>
  <si>
    <t xml:space="preserve">Fluindapir; Protioconazol </t>
  </si>
  <si>
    <t xml:space="preserve">Gowan</t>
  </si>
  <si>
    <t xml:space="preserve">21016.006593/2023-13</t>
  </si>
  <si>
    <t xml:space="preserve">SANGAR BR</t>
  </si>
  <si>
    <t xml:space="preserve">Azadirachta indica</t>
  </si>
  <si>
    <t xml:space="preserve">21016.000237/2024-77</t>
  </si>
  <si>
    <t xml:space="preserve">MERITA</t>
  </si>
  <si>
    <t xml:space="preserve">Metarhizium anisopliae</t>
  </si>
  <si>
    <t xml:space="preserve">21016.006532/2023-56</t>
  </si>
  <si>
    <t xml:space="preserve">BIO ELIPSO</t>
  </si>
  <si>
    <t xml:space="preserve">Bacillus licheniformis</t>
  </si>
  <si>
    <t xml:space="preserve">21016.003819/2023-24</t>
  </si>
  <si>
    <t xml:space="preserve">SHIELDSHOCK; AMYLOTRIX</t>
  </si>
  <si>
    <t xml:space="preserve">Bacillus velezensis</t>
  </si>
  <si>
    <t xml:space="preserve">21016.005160/2023-41</t>
  </si>
  <si>
    <t xml:space="preserve">MIRA</t>
  </si>
  <si>
    <t xml:space="preserve">Extrato de óleo de café + Extrato de óleo de Eucalipto</t>
  </si>
  <si>
    <t xml:space="preserve">21016.002489/2023-50</t>
  </si>
  <si>
    <t xml:space="preserve">BVR LEWIS</t>
  </si>
  <si>
    <t xml:space="preserve">Beauveria bassiana</t>
  </si>
  <si>
    <t xml:space="preserve">21016.004509/2021-65</t>
  </si>
  <si>
    <t xml:space="preserve">WEEDWIPE</t>
  </si>
  <si>
    <t xml:space="preserve">21016.008379/2023-00</t>
  </si>
  <si>
    <t xml:space="preserve">SIGOLI</t>
  </si>
  <si>
    <t xml:space="preserve">21000.026670/2020-88</t>
  </si>
  <si>
    <t xml:space="preserve">GLIFUMAX TURBO</t>
  </si>
  <si>
    <t xml:space="preserve">Fuhua</t>
  </si>
  <si>
    <t xml:space="preserve">21000.026678/2020-44</t>
  </si>
  <si>
    <t xml:space="preserve">GLIFOX HL</t>
  </si>
  <si>
    <t xml:space="preserve">21016.009712/2021-28</t>
  </si>
  <si>
    <t xml:space="preserve">XIVANA SMART</t>
  </si>
  <si>
    <t xml:space="preserve">Fluoxapiprolina + Fluopicolida</t>
  </si>
  <si>
    <t xml:space="preserve">21000.086450/2019-70</t>
  </si>
  <si>
    <t xml:space="preserve">DOTTE</t>
  </si>
  <si>
    <t xml:space="preserve">21000.039341/2021-88</t>
  </si>
  <si>
    <t xml:space="preserve">PESTOXIM</t>
  </si>
  <si>
    <t xml:space="preserve">Viahum</t>
  </si>
  <si>
    <t xml:space="preserve">21000.014753/2018-18</t>
  </si>
  <si>
    <t xml:space="preserve">ZORFIX 200 SL</t>
  </si>
  <si>
    <t xml:space="preserve">21000.026689/2020-24</t>
  </si>
  <si>
    <t xml:space="preserve">GLIFOX TURBO</t>
  </si>
  <si>
    <t xml:space="preserve">21000.019913/2018-15</t>
  </si>
  <si>
    <t xml:space="preserve">GLISTER OFF</t>
  </si>
  <si>
    <t xml:space="preserve">Glifosato - Sal de Isopropilamina</t>
  </si>
  <si>
    <t xml:space="preserve">21000.001747/2015-40</t>
  </si>
  <si>
    <t xml:space="preserve">TRIBINA</t>
  </si>
  <si>
    <t xml:space="preserve">21000.006616/2013-97</t>
  </si>
  <si>
    <t xml:space="preserve">VOLTRON</t>
  </si>
  <si>
    <t xml:space="preserve">21016.006335/2023-37</t>
  </si>
  <si>
    <t xml:space="preserve">EE-G296</t>
  </si>
  <si>
    <t xml:space="preserve">21000.039098/2018-01</t>
  </si>
  <si>
    <t xml:space="preserve">DIQUAT SUNO</t>
  </si>
  <si>
    <t xml:space="preserve">21000.037869/2018-17</t>
  </si>
  <si>
    <t xml:space="preserve">CLOROTALONIL ALTA 720 SC</t>
  </si>
  <si>
    <t xml:space="preserve">21016.008081/2021-20</t>
  </si>
  <si>
    <t xml:space="preserve">EFFICON (EX-KADRION)</t>
  </si>
  <si>
    <t xml:space="preserve">DIMPROPIRIDAZ</t>
  </si>
  <si>
    <t xml:space="preserve">21016.006214/2023-95</t>
  </si>
  <si>
    <t xml:space="preserve">BIF2023-02</t>
  </si>
  <si>
    <r>
      <rPr>
        <sz val="11"/>
        <color rgb="FF274E13"/>
        <rFont val="Arial"/>
        <family val="2"/>
        <charset val="1"/>
      </rPr>
      <t xml:space="preserve">Extrato de </t>
    </r>
    <r>
      <rPr>
        <i val="true"/>
        <sz val="11"/>
        <color rgb="FF274E13"/>
        <rFont val="Arial"/>
        <family val="2"/>
        <charset val="1"/>
      </rPr>
      <t xml:space="preserve">Cinnamomum verum</t>
    </r>
  </si>
  <si>
    <t xml:space="preserve">21000.089353/2023-15</t>
  </si>
  <si>
    <t xml:space="preserve">GLIFORTE SG</t>
  </si>
  <si>
    <t xml:space="preserve">Acrom </t>
  </si>
  <si>
    <t xml:space="preserve">21016.002952/2024-44</t>
  </si>
  <si>
    <t xml:space="preserve">ACCURATE S</t>
  </si>
  <si>
    <t xml:space="preserve">Bacillus thuringiensis</t>
  </si>
  <si>
    <t xml:space="preserve">21000.011064/2021-49</t>
  </si>
  <si>
    <t xml:space="preserve">TRIFLOXISTROBINA+TEBUCONAZOL WG ALBAUGH 01</t>
  </si>
  <si>
    <t xml:space="preserve">21000.001985/2015-55</t>
  </si>
  <si>
    <t xml:space="preserve">GEMINISTAR</t>
  </si>
  <si>
    <t xml:space="preserve">RAINBOW</t>
  </si>
  <si>
    <t xml:space="preserve">21016.000092/2024-12</t>
  </si>
  <si>
    <t xml:space="preserve"> T-SHIELD WP</t>
  </si>
  <si>
    <t xml:space="preserve">21016.006213/2023-41</t>
  </si>
  <si>
    <t xml:space="preserve">BIF2023-01</t>
  </si>
  <si>
    <t xml:space="preserve">Extrato de Cinnamomum verum</t>
  </si>
  <si>
    <t xml:space="preserve">21016.002251/2024-13</t>
  </si>
  <si>
    <t xml:space="preserve">BPT-03; MEAN</t>
  </si>
  <si>
    <t xml:space="preserve">21016.002206/2024-51</t>
  </si>
  <si>
    <t xml:space="preserve">BPT-01; BOME</t>
  </si>
  <si>
    <r>
      <rPr>
        <i val="true"/>
        <sz val="11"/>
        <color rgb="FF274E13"/>
        <rFont val="Arial"/>
        <family val="2"/>
        <charset val="1"/>
      </rPr>
      <t xml:space="preserve">Beauveria bassiana</t>
    </r>
    <r>
      <rPr>
        <sz val="12"/>
        <color rgb="FF000000"/>
        <rFont val="Calibri"/>
        <family val="2"/>
        <charset val="1"/>
      </rPr>
      <t xml:space="preserve">, isolado IBCB 66; </t>
    </r>
    <r>
      <rPr>
        <i val="true"/>
        <sz val="12"/>
        <color rgb="FF000000"/>
        <rFont val="Calibri"/>
        <family val="2"/>
        <charset val="1"/>
      </rPr>
      <t xml:space="preserve">Metarhizium anisopliae</t>
    </r>
    <r>
      <rPr>
        <sz val="12"/>
        <color rgb="FF000000"/>
        <rFont val="Calibri"/>
        <family val="2"/>
        <charset val="1"/>
      </rPr>
      <t xml:space="preserve">, isolado IBCB 425</t>
    </r>
  </si>
  <si>
    <t xml:space="preserve"> B Plant</t>
  </si>
  <si>
    <t xml:space="preserve">21000.029127/2019-07</t>
  </si>
  <si>
    <t xml:space="preserve">KROMSTAR</t>
  </si>
  <si>
    <t xml:space="preserve">Ciproconazol; Picoxistrobina </t>
  </si>
  <si>
    <t xml:space="preserve">21016.004741/2022-84</t>
  </si>
  <si>
    <t xml:space="preserve">ROVISAR, ROVISAR BR</t>
  </si>
  <si>
    <t xml:space="preserve"> Bacillus thuringiensis cepa RTI545</t>
  </si>
  <si>
    <t xml:space="preserve"> FMC</t>
  </si>
  <si>
    <t xml:space="preserve">21000.080866/2020-18</t>
  </si>
  <si>
    <t xml:space="preserve">PIRIPROXIFEN 100 EC PERTERRA</t>
  </si>
  <si>
    <t xml:space="preserve">21000.055611/2018-01</t>
  </si>
  <si>
    <t xml:space="preserve">ALSIP 100 EC</t>
  </si>
  <si>
    <t xml:space="preserve">21000.055612/2018-47</t>
  </si>
  <si>
    <t xml:space="preserve">ALFASECT 100 EC</t>
  </si>
  <si>
    <t xml:space="preserve"> Alfa-Cipermetrina</t>
  </si>
  <si>
    <t xml:space="preserve">21000.018230/2022-19</t>
  </si>
  <si>
    <t xml:space="preserve">CAPEX; MANCOZEB 400 + TEBUCONAZOL 35</t>
  </si>
  <si>
    <t xml:space="preserve">Mancozebe; Tebuconazol; Picoxistrobina </t>
  </si>
  <si>
    <t xml:space="preserve">21000.009706/2019-25</t>
  </si>
  <si>
    <t xml:space="preserve">CLORPIRIFOS SM 480 EC</t>
  </si>
  <si>
    <t xml:space="preserve">21000.032611/2017-43</t>
  </si>
  <si>
    <t xml:space="preserve">SUNPHOSATE 757 WG</t>
  </si>
  <si>
    <t xml:space="preserve">Glifosato (Sal de Amônio) </t>
  </si>
  <si>
    <t xml:space="preserve">21016.003444/2022-11</t>
  </si>
  <si>
    <t xml:space="preserve">DREAM</t>
  </si>
  <si>
    <t xml:space="preserve">Etofenproxi</t>
  </si>
  <si>
    <t xml:space="preserve">21016.007118/2021-01</t>
  </si>
  <si>
    <t xml:space="preserve">EXAME</t>
  </si>
  <si>
    <t xml:space="preserve">Glufosinato, sal de amônio; Carfentrazona etílica</t>
  </si>
  <si>
    <t xml:space="preserve">21000.055040/2017-15</t>
  </si>
  <si>
    <t xml:space="preserve">HOPROLE</t>
  </si>
  <si>
    <t xml:space="preserve">21000.034459/2017-33</t>
  </si>
  <si>
    <t xml:space="preserve">TRICLOPYR-BUTOTYL 667 g/l EC</t>
  </si>
  <si>
    <t xml:space="preserve">21016.000135/2024-51</t>
  </si>
  <si>
    <t xml:space="preserve">T-SHIELD SC</t>
  </si>
  <si>
    <r>
      <rPr>
        <sz val="11"/>
        <color rgb="FF274E13"/>
        <rFont val="Arial"/>
        <family val="2"/>
        <charset val="1"/>
      </rPr>
      <t xml:space="preserve">Trichoderma harzianum</t>
    </r>
    <r>
      <rPr>
        <sz val="12"/>
        <color rgb="FF000000"/>
        <rFont val="Calibri"/>
        <family val="2"/>
        <charset val="1"/>
      </rPr>
      <t xml:space="preserve"> isolado IB19/17</t>
    </r>
  </si>
  <si>
    <t xml:space="preserve">21000.083935/2021-26</t>
  </si>
  <si>
    <t xml:space="preserve">PROCLAIM WG</t>
  </si>
  <si>
    <t xml:space="preserve">21000.047372/2021-11</t>
  </si>
  <si>
    <t xml:space="preserve">ALVOFIX I</t>
  </si>
  <si>
    <t xml:space="preserve">21000.056805/2022-00</t>
  </si>
  <si>
    <t xml:space="preserve">TRICLOPYR 480 EC LIER</t>
  </si>
  <si>
    <t xml:space="preserve">21000.014611/2018-42</t>
  </si>
  <si>
    <t xml:space="preserve">METRIBUZIM ALTA 480 SC</t>
  </si>
  <si>
    <t xml:space="preserve"> Metribuzim</t>
  </si>
  <si>
    <t xml:space="preserve">21000.039041/2018-01</t>
  </si>
  <si>
    <t xml:space="preserve"> SPIRODICLOFEN 240 SC YNG</t>
  </si>
  <si>
    <t xml:space="preserve">21016.000872/2024-54</t>
  </si>
  <si>
    <t xml:space="preserve">KOJI</t>
  </si>
  <si>
    <t xml:space="preserve">Toyobo</t>
  </si>
  <si>
    <t xml:space="preserve">21016.007325/2023-19</t>
  </si>
  <si>
    <t xml:space="preserve">TEC FINISH OF</t>
  </si>
  <si>
    <t xml:space="preserve">21000.067879/2019-68</t>
  </si>
  <si>
    <t xml:space="preserve">MOL BIFENTHRIN 100 EC</t>
  </si>
  <si>
    <t xml:space="preserve">21016.002201/2024-28</t>
  </si>
  <si>
    <t xml:space="preserve">BPT-02; BEBA</t>
  </si>
  <si>
    <t xml:space="preserve">Beauveria bassiana isolado IBCB 66</t>
  </si>
  <si>
    <t xml:space="preserve">21016.001984/2024-22</t>
  </si>
  <si>
    <t xml:space="preserve">BT TURBO</t>
  </si>
  <si>
    <t xml:space="preserve">Bacillus thuringiensis kurstaki S1450 Btk</t>
  </si>
  <si>
    <t xml:space="preserve"> Bem da Terra</t>
  </si>
  <si>
    <t xml:space="preserve">21016.007741/2023-17</t>
  </si>
  <si>
    <t xml:space="preserve">BVF1523</t>
  </si>
  <si>
    <t xml:space="preserve">Beauveria bassiana BVF15</t>
  </si>
  <si>
    <t xml:space="preserve">21016.003604/2024-94</t>
  </si>
  <si>
    <t xml:space="preserve">GUARDIAN BIO</t>
  </si>
  <si>
    <t xml:space="preserve"> Trichoderma harzianum, isolado IB19/17</t>
  </si>
  <si>
    <t xml:space="preserve"> Alfa</t>
  </si>
  <si>
    <t xml:space="preserve">21016.000687/2024-60</t>
  </si>
  <si>
    <t xml:space="preserve">ZIANO</t>
  </si>
  <si>
    <r>
      <rPr>
        <i val="true"/>
        <sz val="12"/>
        <color rgb="FF000000"/>
        <rFont val="Calibri"/>
        <family val="2"/>
        <charset val="1"/>
      </rPr>
      <t xml:space="preserve">Trichoderma harzianum</t>
    </r>
    <r>
      <rPr>
        <sz val="12"/>
        <color rgb="FF000000"/>
        <rFont val="Calibri"/>
        <family val="2"/>
        <charset val="1"/>
      </rPr>
      <t xml:space="preserve">, isolado IB19/17</t>
    </r>
  </si>
  <si>
    <t xml:space="preserve">21016.002208/2024-40</t>
  </si>
  <si>
    <t xml:space="preserve">BPT-04; TRHA</t>
  </si>
  <si>
    <t xml:space="preserve">21016.008529/2023-77</t>
  </si>
  <si>
    <t xml:space="preserve">BOVETA</t>
  </si>
  <si>
    <t xml:space="preserve">21016.003543/2023-84</t>
  </si>
  <si>
    <t xml:space="preserve">ASPEMAX</t>
  </si>
  <si>
    <t xml:space="preserve">Bacillus amyloliquefaciens, isolado IMA 412; Trichoderma asperellum, isolado URM 8117</t>
  </si>
  <si>
    <t xml:space="preserve">COMDEAGRO</t>
  </si>
  <si>
    <t xml:space="preserve">21000.038698/2018-43</t>
  </si>
  <si>
    <t xml:space="preserve">BOX 50 EC</t>
  </si>
  <si>
    <t xml:space="preserve">21000.006630/2012-18</t>
  </si>
  <si>
    <t xml:space="preserve">SIMANEX</t>
  </si>
  <si>
    <t xml:space="preserve">Simazina</t>
  </si>
  <si>
    <t xml:space="preserve">21016.004001/2024-18</t>
  </si>
  <si>
    <t xml:space="preserve">METABIO SC</t>
  </si>
  <si>
    <t xml:space="preserve">21016.004012/2024-90</t>
  </si>
  <si>
    <t xml:space="preserve">TRICOBIO SC</t>
  </si>
  <si>
    <t xml:space="preserve"> Trichoderma harzianum, isolado IB19/17</t>
  </si>
  <si>
    <t xml:space="preserve">21016.002054/2024-96</t>
  </si>
  <si>
    <t xml:space="preserve">SFMNPV ABT 02</t>
  </si>
  <si>
    <t xml:space="preserve">Vírus SfMNPV - Spodoptera frugiperda nucleopolyhedrovirus</t>
  </si>
  <si>
    <t xml:space="preserve">AgBiTech</t>
  </si>
  <si>
    <t xml:space="preserve">21016.001349/2024-45</t>
  </si>
  <si>
    <t xml:space="preserve">CARTUGEN MAX</t>
  </si>
  <si>
    <t xml:space="preserve">21000.109949/2021-87</t>
  </si>
  <si>
    <t xml:space="preserve">EXALT BR</t>
  </si>
  <si>
    <t xml:space="preserve">21000.061288/2020-11</t>
  </si>
  <si>
    <t xml:space="preserve">NEMATHORIN</t>
  </si>
  <si>
    <t xml:space="preserve">Isk Biosciences</t>
  </si>
  <si>
    <t xml:space="preserve">21000.059919/2021-12</t>
  </si>
  <si>
    <t xml:space="preserve">IRONMAX PRO</t>
  </si>
  <si>
    <t xml:space="preserve">Fosfato Férrico</t>
  </si>
  <si>
    <t xml:space="preserve">De Sangosse</t>
  </si>
  <si>
    <t xml:space="preserve">21000.079912/2021-17</t>
  </si>
  <si>
    <t xml:space="preserve"> ALTACOR WG</t>
  </si>
  <si>
    <t xml:space="preserve">FMC Química</t>
  </si>
  <si>
    <t xml:space="preserve">21016.001986/2024-11</t>
  </si>
  <si>
    <t xml:space="preserve">EASY BBASSI</t>
  </si>
  <si>
    <t xml:space="preserve">21016.004186/2024-52</t>
  </si>
  <si>
    <t xml:space="preserve">SERQUIBIOKOMBAT</t>
  </si>
  <si>
    <t xml:space="preserve">21016.006034/2021-41</t>
  </si>
  <si>
    <t xml:space="preserve">BIFENTRINA A BRX</t>
  </si>
  <si>
    <t xml:space="preserve">Acetamiprido; Bifentrina </t>
  </si>
  <si>
    <t xml:space="preserve">21016.006735/2021-81</t>
  </si>
  <si>
    <t xml:space="preserve">TERBUTILAZINA OXON 500 SC II</t>
  </si>
  <si>
    <t xml:space="preserve">21016.008031/2023-12</t>
  </si>
  <si>
    <t xml:space="preserve">BV-BIO WP</t>
  </si>
  <si>
    <t xml:space="preserve">21000.013614/2018-69</t>
  </si>
  <si>
    <t xml:space="preserve">DUSTER 800 WG</t>
  </si>
  <si>
    <t xml:space="preserve">21000.011501/2019-18</t>
  </si>
  <si>
    <t xml:space="preserve">ELATUS ERA</t>
  </si>
  <si>
    <t xml:space="preserve">Benzovindiflupir; Protioconazol</t>
  </si>
  <si>
    <t xml:space="preserve">21016.002878/2024-66</t>
  </si>
  <si>
    <t xml:space="preserve">BDTBIO_TRI</t>
  </si>
  <si>
    <t xml:space="preserve">21000.047462/2016-36</t>
  </si>
  <si>
    <t xml:space="preserve">ISOXAFLUTOL NORTOX</t>
  </si>
  <si>
    <t xml:space="preserve"> Isoxaflutol </t>
  </si>
  <si>
    <t xml:space="preserve">21016.008076/2023-89</t>
  </si>
  <si>
    <t xml:space="preserve">FORCETY SC</t>
  </si>
  <si>
    <t xml:space="preserve">Metarhizium anisopliae cepa IBCB 425</t>
  </si>
  <si>
    <t xml:space="preserve">21000.010848/2011-88</t>
  </si>
  <si>
    <t xml:space="preserve">2,4-D ACID 866 SL</t>
  </si>
  <si>
    <t xml:space="preserve">21000.043149/2016-29</t>
  </si>
  <si>
    <t xml:space="preserve">BALLA</t>
  </si>
  <si>
    <t xml:space="preserve">21016.002688/2024-49</t>
  </si>
  <si>
    <t xml:space="preserve">AGBTI</t>
  </si>
  <si>
    <r>
      <rPr>
        <sz val="11"/>
        <color rgb="FF274E13"/>
        <rFont val="Arial"/>
        <family val="2"/>
        <charset val="1"/>
      </rPr>
      <t xml:space="preserve">Bacillus thuringiensis</t>
    </r>
    <r>
      <rPr>
        <sz val="12"/>
        <color rgb="FF000000"/>
        <rFont val="Calibri"/>
        <family val="2"/>
        <charset val="1"/>
      </rPr>
      <t xml:space="preserve"> var. kurstaki, isolado HD-1 (S1450)​</t>
    </r>
  </si>
  <si>
    <t xml:space="preserve">Binova</t>
  </si>
  <si>
    <t xml:space="preserve">21000.058474/2021-53</t>
  </si>
  <si>
    <t xml:space="preserve">ALVOFIX II</t>
  </si>
  <si>
    <t xml:space="preserve">21000.042740/2021-26</t>
  </si>
  <si>
    <t xml:space="preserve"> DIQUATE 200 SL DEZHOU II</t>
  </si>
  <si>
    <t xml:space="preserve">AllierBrasil </t>
  </si>
  <si>
    <t xml:space="preserve">21000.042786/2021-45</t>
  </si>
  <si>
    <t xml:space="preserve">DIQUATE 200 SL DEZHOU IV</t>
  </si>
  <si>
    <t xml:space="preserve">21016.006546/2023-70</t>
  </si>
  <si>
    <t xml:space="preserve">SOLU SHIELD</t>
  </si>
  <si>
    <t xml:space="preserve">Bacillus pumilus cepa S2907</t>
  </si>
  <si>
    <t xml:space="preserve">21000.042744/2021-12</t>
  </si>
  <si>
    <t xml:space="preserve">DIQUATE 200 SL DEZHOU III</t>
  </si>
  <si>
    <t xml:space="preserve">21000.010851/2017-97</t>
  </si>
  <si>
    <t xml:space="preserve">UPL 2001 FP</t>
  </si>
  <si>
    <t xml:space="preserve">21000.085283/2020-83</t>
  </si>
  <si>
    <t xml:space="preserve">FLUMI GUARDIAN</t>
  </si>
  <si>
    <t xml:space="preserve">21000.085001/2020-48</t>
  </si>
  <si>
    <t xml:space="preserve">ZETHAMAXX EVO</t>
  </si>
  <si>
    <t xml:space="preserve"> Imazetapir; Flumioxazina; S-metolacloro; </t>
  </si>
  <si>
    <t xml:space="preserve">21000.013412/2017-36</t>
  </si>
  <si>
    <t xml:space="preserve">UPL 2001 FP BR  </t>
  </si>
  <si>
    <t xml:space="preserve">21000.048101/2016-15</t>
  </si>
  <si>
    <t xml:space="preserve">SULFENTRAZONE CCAB 500 SC</t>
  </si>
  <si>
    <t xml:space="preserve">SULFENTRAZONA</t>
  </si>
  <si>
    <t xml:space="preserve"> CCAB</t>
  </si>
  <si>
    <t xml:space="preserve">21016.003988/2024-45</t>
  </si>
  <si>
    <t xml:space="preserve">BOVECOOP</t>
  </si>
  <si>
    <r>
      <rPr>
        <i val="true"/>
        <sz val="11"/>
        <color rgb="FF274E13"/>
        <rFont val="Arial"/>
        <family val="2"/>
        <charset val="1"/>
      </rPr>
      <t xml:space="preserve">Beauveria bassiana</t>
    </r>
    <r>
      <rPr>
        <sz val="11"/>
        <color rgb="FF274E13"/>
        <rFont val="Arial"/>
        <family val="2"/>
        <charset val="1"/>
      </rPr>
      <t xml:space="preserve">, isolado IBCB 66</t>
    </r>
  </si>
  <si>
    <t xml:space="preserve">COOPAVEL </t>
  </si>
  <si>
    <t xml:space="preserve">21000.028482/2021-75</t>
  </si>
  <si>
    <t xml:space="preserve">AGEMAX</t>
  </si>
  <si>
    <t xml:space="preserve">Óleo Mineral </t>
  </si>
  <si>
    <t xml:space="preserve">ENERGIS 8</t>
  </si>
  <si>
    <t xml:space="preserve">21016.007900/2023-83</t>
  </si>
  <si>
    <t xml:space="preserve">CANABOVEBIO </t>
  </si>
  <si>
    <t xml:space="preserve">Associação dos Plantadores de Cana</t>
  </si>
  <si>
    <t xml:space="preserve">TC00123</t>
  </si>
  <si>
    <t xml:space="preserve">21000.049125/2017-64</t>
  </si>
  <si>
    <t xml:space="preserve">Picoxistrobina Técnico Nufarm</t>
  </si>
  <si>
    <t xml:space="preserve">Classe II - Produto muito perigoso ao meio ambiente</t>
  </si>
  <si>
    <t xml:space="preserve">TC00223</t>
  </si>
  <si>
    <t xml:space="preserve">21000.048182/2019-98</t>
  </si>
  <si>
    <t xml:space="preserve">Metribuzin Técnico Bharat</t>
  </si>
  <si>
    <t xml:space="preserve">TC00323</t>
  </si>
  <si>
    <t xml:space="preserve">21000.071224/2022-90</t>
  </si>
  <si>
    <t xml:space="preserve">Imazetapir Técnico ZS</t>
  </si>
  <si>
    <t xml:space="preserve">Classe III - Produto perigoso ao meio ambiente</t>
  </si>
  <si>
    <t xml:space="preserve">TC00423</t>
  </si>
  <si>
    <t xml:space="preserve">21000.025116/2019-40</t>
  </si>
  <si>
    <t xml:space="preserve">Clodinafop-Propargyl Técnico Lier</t>
  </si>
  <si>
    <t xml:space="preserve">Clodinafope</t>
  </si>
  <si>
    <t xml:space="preserve">TC00523</t>
  </si>
  <si>
    <t xml:space="preserve">21000.016513/2018-40</t>
  </si>
  <si>
    <t xml:space="preserve">2,4-D TC Técnico Prentiss II</t>
  </si>
  <si>
    <t xml:space="preserve">Prentiss</t>
  </si>
  <si>
    <t xml:space="preserve">TC00623</t>
  </si>
  <si>
    <t xml:space="preserve">21000.011639/2017-47</t>
  </si>
  <si>
    <t xml:space="preserve">2,4-D Técnico Nortox V</t>
  </si>
  <si>
    <t xml:space="preserve">TC00723</t>
  </si>
  <si>
    <t xml:space="preserve">21000.008638/2018-04</t>
  </si>
  <si>
    <t xml:space="preserve">Ciproconazole Cy Técnico Helm</t>
  </si>
  <si>
    <t xml:space="preserve">TC00823</t>
  </si>
  <si>
    <t xml:space="preserve">21000.010109/2017-81</t>
  </si>
  <si>
    <t xml:space="preserve">Ciproconazol Técnico Gilmore</t>
  </si>
  <si>
    <t xml:space="preserve">TC00923</t>
  </si>
  <si>
    <t xml:space="preserve">21000.091880/2021-28</t>
  </si>
  <si>
    <t xml:space="preserve">Lambda-Cialotrina Técnico OF</t>
  </si>
  <si>
    <t xml:space="preserve">TC01023</t>
  </si>
  <si>
    <t xml:space="preserve">21000.089136/2019-49</t>
  </si>
  <si>
    <t xml:space="preserve">Flumioxazim Técnico CHDS</t>
  </si>
  <si>
    <t xml:space="preserve">TC01123</t>
  </si>
  <si>
    <t xml:space="preserve">21000.056317/2018-16</t>
  </si>
  <si>
    <t xml:space="preserve">Cyproconazole  LCH Técnico </t>
  </si>
  <si>
    <t xml:space="preserve">TC01223</t>
  </si>
  <si>
    <t xml:space="preserve">21000.051190/2022-17</t>
  </si>
  <si>
    <t xml:space="preserve">Picoxystrobin Técnico ABT</t>
  </si>
  <si>
    <t xml:space="preserve">TC01323</t>
  </si>
  <si>
    <t xml:space="preserve">21000.008663/2021-85</t>
  </si>
  <si>
    <t xml:space="preserve">Flumioxazin Técnico Alamos</t>
  </si>
  <si>
    <t xml:space="preserve">TC01423</t>
  </si>
  <si>
    <t xml:space="preserve">21000.083089/2020-63</t>
  </si>
  <si>
    <t xml:space="preserve">Dimethomorph Técnico Brilliance I</t>
  </si>
  <si>
    <t xml:space="preserve">TC01523</t>
  </si>
  <si>
    <t xml:space="preserve">21000.003132/2015-58</t>
  </si>
  <si>
    <t xml:space="preserve">Picoxystrobin Técnico Proventis</t>
  </si>
  <si>
    <t xml:space="preserve">TC01623</t>
  </si>
  <si>
    <t xml:space="preserve">21000.002357/2015-97</t>
  </si>
  <si>
    <t xml:space="preserve">Thiamethoxam SR Técnico Helm</t>
  </si>
  <si>
    <t xml:space="preserve">TC01723</t>
  </si>
  <si>
    <t xml:space="preserve">21000.003923/2015-88</t>
  </si>
  <si>
    <t xml:space="preserve">Thiamethoxam Técnico Sino-Agri</t>
  </si>
  <si>
    <t xml:space="preserve">TC01823</t>
  </si>
  <si>
    <t xml:space="preserve">21000.015884/2018-12</t>
  </si>
  <si>
    <t xml:space="preserve">Tiametoxam Técnico Sulphur Mills II</t>
  </si>
  <si>
    <t xml:space="preserve">Sulphur Mills</t>
  </si>
  <si>
    <t xml:space="preserve">TC01923</t>
  </si>
  <si>
    <t xml:space="preserve">21000.090851/2021-49</t>
  </si>
  <si>
    <t xml:space="preserve">Lamba-Cialotrina Técnico Ihara BHA</t>
  </si>
  <si>
    <t xml:space="preserve">TC02023</t>
  </si>
  <si>
    <t xml:space="preserve">21000.035383/2018-44</t>
  </si>
  <si>
    <t xml:space="preserve">Protioconazol Técnico ZS</t>
  </si>
  <si>
    <t xml:space="preserve">TC02123</t>
  </si>
  <si>
    <t xml:space="preserve">21000.005227/2014-25</t>
  </si>
  <si>
    <t xml:space="preserve">Boscalid Técnico Oxon</t>
  </si>
  <si>
    <t xml:space="preserve">TC02223</t>
  </si>
  <si>
    <t xml:space="preserve">21000.014619/2019-90</t>
  </si>
  <si>
    <t xml:space="preserve">Etiprole Técnico Rainbow</t>
  </si>
  <si>
    <t xml:space="preserve">TC02323</t>
  </si>
  <si>
    <t xml:space="preserve">21000.074778/2019-43</t>
  </si>
  <si>
    <t xml:space="preserve">Diflubenzurom Técnico Rainbow</t>
  </si>
  <si>
    <t xml:space="preserve">TC02423</t>
  </si>
  <si>
    <t xml:space="preserve">21000.048192/2019-23</t>
  </si>
  <si>
    <t xml:space="preserve">Clodinafope Técnico CropChem</t>
  </si>
  <si>
    <t xml:space="preserve">TC02523</t>
  </si>
  <si>
    <t xml:space="preserve">21000.010994/2009-99</t>
  </si>
  <si>
    <t xml:space="preserve">Benalaxyl-M Técnico Isagro</t>
  </si>
  <si>
    <t xml:space="preserve">Benalaxil-M</t>
  </si>
  <si>
    <t xml:space="preserve">Isagro</t>
  </si>
  <si>
    <t xml:space="preserve">TC02623</t>
  </si>
  <si>
    <t xml:space="preserve">21000.045150/2018-50</t>
  </si>
  <si>
    <t xml:space="preserve">Isoxaflutole Técnico Albaugh</t>
  </si>
  <si>
    <t xml:space="preserve">TC02723</t>
  </si>
  <si>
    <t xml:space="preserve">21000.010626/2011-65</t>
  </si>
  <si>
    <t xml:space="preserve">Ciproconazol Técnico SD</t>
  </si>
  <si>
    <t xml:space="preserve">TC02823</t>
  </si>
  <si>
    <t xml:space="preserve">21000.091813/2019-99</t>
  </si>
  <si>
    <t xml:space="preserve">Isocycloseram Técnico </t>
  </si>
  <si>
    <t xml:space="preserve">TC02923</t>
  </si>
  <si>
    <t xml:space="preserve">21000.002123/2015-40</t>
  </si>
  <si>
    <t xml:space="preserve">Fomesafen Técnico RTM</t>
  </si>
  <si>
    <t xml:space="preserve">TC03023</t>
  </si>
  <si>
    <t xml:space="preserve">21000.020327/2016-43</t>
  </si>
  <si>
    <t xml:space="preserve">Piraclostrobina Técnico CropChem</t>
  </si>
  <si>
    <t xml:space="preserve">TC03123</t>
  </si>
  <si>
    <t xml:space="preserve">21000.093391/2019-96</t>
  </si>
  <si>
    <t xml:space="preserve">Acetamiprido Técnico Rainbow</t>
  </si>
  <si>
    <t xml:space="preserve">TC03223</t>
  </si>
  <si>
    <t xml:space="preserve">21000.013654/2016-49</t>
  </si>
  <si>
    <t xml:space="preserve">Piraclostrobin Técnico PT</t>
  </si>
  <si>
    <t xml:space="preserve">TC03323</t>
  </si>
  <si>
    <t xml:space="preserve">21000.034539/2019-51</t>
  </si>
  <si>
    <t xml:space="preserve">Amicarbazona Técnico Rainbow</t>
  </si>
  <si>
    <t xml:space="preserve">TC03423</t>
  </si>
  <si>
    <t xml:space="preserve">21000.043782/2019-60</t>
  </si>
  <si>
    <t xml:space="preserve">Clodinafop Propargyl Técnico Sino-Agri</t>
  </si>
  <si>
    <t xml:space="preserve">TC03523</t>
  </si>
  <si>
    <t xml:space="preserve">21000.000651/2016-45</t>
  </si>
  <si>
    <t xml:space="preserve">Dicamba Técnico Tide</t>
  </si>
  <si>
    <t xml:space="preserve">TC03623</t>
  </si>
  <si>
    <t xml:space="preserve">21000.007673/2015-55</t>
  </si>
  <si>
    <t xml:space="preserve">Piraclostrobin Técnico Proventis</t>
  </si>
  <si>
    <t xml:space="preserve">TC03723</t>
  </si>
  <si>
    <t xml:space="preserve">21000.068718/2020-25</t>
  </si>
  <si>
    <t xml:space="preserve">26/10/2020</t>
  </si>
  <si>
    <t xml:space="preserve">Trifloxistrobin Técnico Perterra</t>
  </si>
  <si>
    <t xml:space="preserve">TC03823</t>
  </si>
  <si>
    <t xml:space="preserve">21000.020228/2016-61</t>
  </si>
  <si>
    <t xml:space="preserve">Piraclostrobina Sapec Técnico</t>
  </si>
  <si>
    <t xml:space="preserve">Sapec</t>
  </si>
  <si>
    <t xml:space="preserve">TC03923</t>
  </si>
  <si>
    <t xml:space="preserve">21000.038735/2017-32</t>
  </si>
  <si>
    <t xml:space="preserve">Protioconazol Técnico GHA</t>
  </si>
  <si>
    <t xml:space="preserve">TC04023</t>
  </si>
  <si>
    <t xml:space="preserve">21000.009702/2013-51</t>
  </si>
  <si>
    <t xml:space="preserve">25/11/2013</t>
  </si>
  <si>
    <t xml:space="preserve">Cipermetrina Técnico Hil</t>
  </si>
  <si>
    <t xml:space="preserve">TC04123</t>
  </si>
  <si>
    <t xml:space="preserve">21000.002827/2014-51</t>
  </si>
  <si>
    <t xml:space="preserve">Cletodim Técnico SH</t>
  </si>
  <si>
    <t xml:space="preserve">TC04223</t>
  </si>
  <si>
    <t xml:space="preserve">21000.038848/2016-57</t>
  </si>
  <si>
    <t xml:space="preserve">Isoxaflutole Técnico Proventis</t>
  </si>
  <si>
    <t xml:space="preserve">TC04323</t>
  </si>
  <si>
    <t xml:space="preserve">21000.019294/2017-70</t>
  </si>
  <si>
    <t xml:space="preserve">Maxipir Técnico</t>
  </si>
  <si>
    <t xml:space="preserve">TC04423</t>
  </si>
  <si>
    <t xml:space="preserve">21000.004081/2015-81</t>
  </si>
  <si>
    <t xml:space="preserve">13/07/2015</t>
  </si>
  <si>
    <t xml:space="preserve">Triclopir Butotilico Técnico FMC</t>
  </si>
  <si>
    <t xml:space="preserve">TC04523</t>
  </si>
  <si>
    <t xml:space="preserve">21000.043168/2016-55</t>
  </si>
  <si>
    <t xml:space="preserve">Isoxaflutole Técnico Proventis II </t>
  </si>
  <si>
    <t xml:space="preserve">TC04623</t>
  </si>
  <si>
    <t xml:space="preserve">21000.036109/2016-21</t>
  </si>
  <si>
    <t xml:space="preserve">25/07/2016</t>
  </si>
  <si>
    <t xml:space="preserve">Isoxaflutole Tecnico Adama Brasil</t>
  </si>
  <si>
    <t xml:space="preserve">TC04723</t>
  </si>
  <si>
    <t xml:space="preserve">21000.024514/2016-04</t>
  </si>
  <si>
    <t xml:space="preserve">17/05/2016</t>
  </si>
  <si>
    <t xml:space="preserve">Brodal Técnico</t>
  </si>
  <si>
    <t xml:space="preserve">TC04823</t>
  </si>
  <si>
    <t xml:space="preserve">21000.015775/2018-97</t>
  </si>
  <si>
    <t xml:space="preserve">27/04/2018</t>
  </si>
  <si>
    <t xml:space="preserve">Prothioconazole Técnico FB</t>
  </si>
  <si>
    <t xml:space="preserve">TC04923</t>
  </si>
  <si>
    <t xml:space="preserve">21000.025714/2019-19</t>
  </si>
  <si>
    <t xml:space="preserve">25/04/2019</t>
  </si>
  <si>
    <t xml:space="preserve">Prothioconazole Técnico HH</t>
  </si>
  <si>
    <t xml:space="preserve">TC05023</t>
  </si>
  <si>
    <t xml:space="preserve">21000.031063/2020-30</t>
  </si>
  <si>
    <t xml:space="preserve">Prothioconazole Técnico NGC</t>
  </si>
  <si>
    <t xml:space="preserve">TC05123</t>
  </si>
  <si>
    <t xml:space="preserve">21000.005185/2018-56</t>
  </si>
  <si>
    <t xml:space="preserve">15/02/2018</t>
  </si>
  <si>
    <t xml:space="preserve">Prothioconazole Técnico Rotam</t>
  </si>
  <si>
    <t xml:space="preserve">TC05223</t>
  </si>
  <si>
    <t xml:space="preserve">21000.009997/2018-71</t>
  </si>
  <si>
    <t xml:space="preserve">19/03/2018</t>
  </si>
  <si>
    <t xml:space="preserve">Prothioconazole Técnico Sino-Agri</t>
  </si>
  <si>
    <t xml:space="preserve">TC05323</t>
  </si>
  <si>
    <t xml:space="preserve">21000.045318/2017-46</t>
  </si>
  <si>
    <t xml:space="preserve">20/10/2017</t>
  </si>
  <si>
    <t xml:space="preserve">Protioconazol Técnico Alta</t>
  </si>
  <si>
    <t xml:space="preserve">TC05423</t>
  </si>
  <si>
    <t xml:space="preserve">21000.022109/2017-24</t>
  </si>
  <si>
    <t xml:space="preserve">17/05/2017</t>
  </si>
  <si>
    <t xml:space="preserve">Protioconazole Técnico Nortox</t>
  </si>
  <si>
    <t xml:space="preserve">TC05523</t>
  </si>
  <si>
    <t xml:space="preserve">21000.052899/2017-72</t>
  </si>
  <si>
    <t xml:space="preserve">Protioconazole Técnico Nufarm Br</t>
  </si>
  <si>
    <t xml:space="preserve">TC05623</t>
  </si>
  <si>
    <t xml:space="preserve">21000.029791/2018-67</t>
  </si>
  <si>
    <t xml:space="preserve">Protioconazole YH Técnico Helm</t>
  </si>
  <si>
    <t xml:space="preserve">TC05723</t>
  </si>
  <si>
    <t xml:space="preserve">21000.053323/2016-41</t>
  </si>
  <si>
    <t xml:space="preserve">31/10/2016</t>
  </si>
  <si>
    <t xml:space="preserve">Pyraclostrobin Técnico Sino-Agri </t>
  </si>
  <si>
    <t xml:space="preserve">TC05823</t>
  </si>
  <si>
    <t xml:space="preserve">21000.016564/2017-91</t>
  </si>
  <si>
    <t xml:space="preserve">30/03/2017</t>
  </si>
  <si>
    <t xml:space="preserve">Comasu Técnico</t>
  </si>
  <si>
    <t xml:space="preserve">TC05923</t>
  </si>
  <si>
    <t xml:space="preserve">21000.022667/2018-71</t>
  </si>
  <si>
    <t xml:space="preserve">20/06/2018</t>
  </si>
  <si>
    <t xml:space="preserve">Malathion Técnico Agrolead</t>
  </si>
  <si>
    <t xml:space="preserve">TC06023</t>
  </si>
  <si>
    <t xml:space="preserve">21000.004044/2014-92</t>
  </si>
  <si>
    <t xml:space="preserve">16/06/2014</t>
  </si>
  <si>
    <t xml:space="preserve">Tiametoxam Técnico Agristar</t>
  </si>
  <si>
    <t xml:space="preserve">Atanor</t>
  </si>
  <si>
    <t xml:space="preserve">TC06123</t>
  </si>
  <si>
    <t xml:space="preserve">21000.003274/2018-68</t>
  </si>
  <si>
    <t xml:space="preserve">30/01/2018</t>
  </si>
  <si>
    <t xml:space="preserve">Fluindapyr Técnico FMC</t>
  </si>
  <si>
    <t xml:space="preserve">Fluindapyr</t>
  </si>
  <si>
    <t xml:space="preserve">18/05/2023</t>
  </si>
  <si>
    <t xml:space="preserve">TC06223</t>
  </si>
  <si>
    <t xml:space="preserve">21000.012797/2011-29</t>
  </si>
  <si>
    <t xml:space="preserve">Everest Técnico</t>
  </si>
  <si>
    <t xml:space="preserve">Flucarbazone</t>
  </si>
  <si>
    <t xml:space="preserve">TC06323</t>
  </si>
  <si>
    <t xml:space="preserve">21000.001895/2016-45</t>
  </si>
  <si>
    <t xml:space="preserve">29/01/2016</t>
  </si>
  <si>
    <t xml:space="preserve">    Benalaxyl-M Técnico Syncrom</t>
  </si>
  <si>
    <t xml:space="preserve">Benalaxyl-M</t>
  </si>
  <si>
    <t xml:space="preserve">24/05/2023</t>
  </si>
  <si>
    <t xml:space="preserve">TC06423</t>
  </si>
  <si>
    <t xml:space="preserve">21000.000225/2019-54</t>
  </si>
  <si>
    <t xml:space="preserve">Protioconazol Técnico OF</t>
  </si>
  <si>
    <t xml:space="preserve">TC06523</t>
  </si>
  <si>
    <t xml:space="preserve">21000.085687/2021-58</t>
  </si>
  <si>
    <t xml:space="preserve">Clorpirifós Técnico Nortox V</t>
  </si>
  <si>
    <t xml:space="preserve">26/05/2023</t>
  </si>
  <si>
    <t xml:space="preserve">TC06623</t>
  </si>
  <si>
    <t xml:space="preserve">21000.069664/2021-04</t>
  </si>
  <si>
    <t xml:space="preserve">25/08/2021</t>
  </si>
  <si>
    <t xml:space="preserve">Pimetrozina Técnico Perterra</t>
  </si>
  <si>
    <t xml:space="preserve">TC06723</t>
  </si>
  <si>
    <t xml:space="preserve">21000.078344/2022-18</t>
  </si>
  <si>
    <t xml:space="preserve">Bifentrina Técnico Ihara II</t>
  </si>
  <si>
    <t xml:space="preserve">TC06823</t>
  </si>
  <si>
    <t xml:space="preserve">21000.052749/2020-64</t>
  </si>
  <si>
    <t xml:space="preserve">14/08/2020</t>
  </si>
  <si>
    <t xml:space="preserve"> Bifenthrin Técnico SD</t>
  </si>
  <si>
    <t xml:space="preserve">TC06923</t>
  </si>
  <si>
    <t xml:space="preserve">21000.016325/2018-11</t>
  </si>
  <si>
    <t xml:space="preserve">Mesotriona Técnico BRA</t>
  </si>
  <si>
    <t xml:space="preserve">16/06/2023</t>
  </si>
  <si>
    <t xml:space="preserve">TC07023</t>
  </si>
  <si>
    <t xml:space="preserve">21000.019616/2016-08</t>
  </si>
  <si>
    <t xml:space="preserve">27/04/2016</t>
  </si>
  <si>
    <t xml:space="preserve">Difenoconazol Técnico CropChem</t>
  </si>
  <si>
    <t xml:space="preserve">TC07123</t>
  </si>
  <si>
    <t xml:space="preserve">21000.040570/2018-40</t>
  </si>
  <si>
    <t xml:space="preserve">Piriproxifen Técnico Lier</t>
  </si>
  <si>
    <t xml:space="preserve">19/06/2023</t>
  </si>
  <si>
    <t xml:space="preserve">TC07223</t>
  </si>
  <si>
    <t xml:space="preserve">21000.002005/2015-31</t>
  </si>
  <si>
    <t xml:space="preserve">Cletodim Técnico Adama BR</t>
  </si>
  <si>
    <t xml:space="preserve">TC07323</t>
  </si>
  <si>
    <t xml:space="preserve">21000.049244/2019-89</t>
  </si>
  <si>
    <t xml:space="preserve">19/07/2019</t>
  </si>
  <si>
    <t xml:space="preserve">Metribuzim Técnico Ada</t>
  </si>
  <si>
    <t xml:space="preserve">TC07423</t>
  </si>
  <si>
    <t xml:space="preserve">21000.039723/2018-14</t>
  </si>
  <si>
    <t xml:space="preserve">Piriproxifen Técnico Adama Brasil</t>
  </si>
  <si>
    <t xml:space="preserve">TC07523</t>
  </si>
  <si>
    <t xml:space="preserve">21000.011191/2018-42</t>
  </si>
  <si>
    <t xml:space="preserve">26/03/2018</t>
  </si>
  <si>
    <t xml:space="preserve">Protioconazol Técnico CropChem II</t>
  </si>
  <si>
    <t xml:space="preserve">30/06/2023</t>
  </si>
  <si>
    <t xml:space="preserve">TC07623</t>
  </si>
  <si>
    <t xml:space="preserve">21000.004434/2021-91</t>
  </si>
  <si>
    <t xml:space="preserve">19/01/2021</t>
  </si>
  <si>
    <t xml:space="preserve">2,4-D Técnico CropChem III</t>
  </si>
  <si>
    <t xml:space="preserve">TC07723</t>
  </si>
  <si>
    <t xml:space="preserve">21000.016824/2017-28</t>
  </si>
  <si>
    <t xml:space="preserve">Piriproxifen Técnico Nortox II </t>
  </si>
  <si>
    <t xml:space="preserve">TC07823</t>
  </si>
  <si>
    <t xml:space="preserve">21000.006561/2021-25</t>
  </si>
  <si>
    <t xml:space="preserve">27/01/2021</t>
  </si>
  <si>
    <t xml:space="preserve">Sulfentrazone Técnico Red Surcos</t>
  </si>
  <si>
    <t xml:space="preserve">TC07923</t>
  </si>
  <si>
    <t xml:space="preserve">21000.031599/2020-55</t>
  </si>
  <si>
    <t xml:space="preserve">Imidacloprid Técnico United</t>
  </si>
  <si>
    <t xml:space="preserve">TC08023</t>
  </si>
  <si>
    <t xml:space="preserve">21000.051705/2018-01</t>
  </si>
  <si>
    <t xml:space="preserve">30/11/2018</t>
  </si>
  <si>
    <t xml:space="preserve">Fluazinam Técnico Adama BR</t>
  </si>
  <si>
    <t xml:space="preserve">TC08123</t>
  </si>
  <si>
    <t xml:space="preserve">21000.006714/2015-96</t>
  </si>
  <si>
    <t xml:space="preserve">2,4-D Técnico Pilarquim</t>
  </si>
  <si>
    <t xml:space="preserve">25/07/2023</t>
  </si>
  <si>
    <t xml:space="preserve">TC08223</t>
  </si>
  <si>
    <t xml:space="preserve">21000.070086/2020-60</t>
  </si>
  <si>
    <t xml:space="preserve">29/10/2020</t>
  </si>
  <si>
    <t xml:space="preserve">Clethodim Técnico Brilliance I</t>
  </si>
  <si>
    <t xml:space="preserve">TC08323</t>
  </si>
  <si>
    <t xml:space="preserve">21000.021332/2020-50</t>
  </si>
  <si>
    <t xml:space="preserve">24/03/2020</t>
  </si>
  <si>
    <t xml:space="preserve">TC08423</t>
  </si>
  <si>
    <t xml:space="preserve">21000.005271/2015-16</t>
  </si>
  <si>
    <t xml:space="preserve">14/08/2015</t>
  </si>
  <si>
    <t xml:space="preserve">Epoxiconazol Técnico Rainbow</t>
  </si>
  <si>
    <t xml:space="preserve">TC08523</t>
  </si>
  <si>
    <t xml:space="preserve">21000.051816/2017-28</t>
  </si>
  <si>
    <t xml:space="preserve">Protioconazole Técnico Oxon</t>
  </si>
  <si>
    <t xml:space="preserve">TC08623</t>
  </si>
  <si>
    <t xml:space="preserve">21000.078957/2022-55</t>
  </si>
  <si>
    <t xml:space="preserve">2,4-D Técnico Albaugh 02 HF</t>
  </si>
  <si>
    <t xml:space="preserve">TC08723</t>
  </si>
  <si>
    <t xml:space="preserve">21000.033592/2019-34</t>
  </si>
  <si>
    <t xml:space="preserve">28/05/2019</t>
  </si>
  <si>
    <t xml:space="preserve">Prothioconazole Técnico RDB</t>
  </si>
  <si>
    <t xml:space="preserve">TC08823</t>
  </si>
  <si>
    <t xml:space="preserve">21000.031727/2018-46</t>
  </si>
  <si>
    <t xml:space="preserve">21/08/2018</t>
  </si>
  <si>
    <t xml:space="preserve">Azoxistrobina Técnico Ada BR</t>
  </si>
  <si>
    <t xml:space="preserve">TC08923</t>
  </si>
  <si>
    <t xml:space="preserve">21000.041861/2020-70</t>
  </si>
  <si>
    <t xml:space="preserve">29/06/2020</t>
  </si>
  <si>
    <t xml:space="preserve">Prothioconazole Técnico Ihara</t>
  </si>
  <si>
    <t xml:space="preserve">TC09023</t>
  </si>
  <si>
    <t xml:space="preserve">21000.029851/2017-61</t>
  </si>
  <si>
    <t xml:space="preserve">Azoxistrobina Técnica Fersol</t>
  </si>
  <si>
    <t xml:space="preserve">Ameribrás</t>
  </si>
  <si>
    <t xml:space="preserve">TC09123</t>
  </si>
  <si>
    <t xml:space="preserve">21000.009039/2014-76</t>
  </si>
  <si>
    <t xml:space="preserve">26/12/2014</t>
  </si>
  <si>
    <t xml:space="preserve">Azoxystrobin Técnico Nortox CH</t>
  </si>
  <si>
    <t xml:space="preserve">26/07/2023</t>
  </si>
  <si>
    <t xml:space="preserve">TC09223</t>
  </si>
  <si>
    <t xml:space="preserve">21000.003275/2018-11</t>
  </si>
  <si>
    <t xml:space="preserve">Fluindapyr Técnico Isagro</t>
  </si>
  <si>
    <t xml:space="preserve">Isagro Brasil</t>
  </si>
  <si>
    <t xml:space="preserve">TC09323</t>
  </si>
  <si>
    <t xml:space="preserve">21000.036223/2017-31</t>
  </si>
  <si>
    <t xml:space="preserve">17/08/2017</t>
  </si>
  <si>
    <t xml:space="preserve">Picloram Técnico Nortox IV</t>
  </si>
  <si>
    <t xml:space="preserve">28/07/2023</t>
  </si>
  <si>
    <t xml:space="preserve">TC09423</t>
  </si>
  <si>
    <t xml:space="preserve">21000.040784/2019-05</t>
  </si>
  <si>
    <t xml:space="preserve">14/06/2019</t>
  </si>
  <si>
    <t xml:space="preserve">Picloram Técnico FB</t>
  </si>
  <si>
    <t xml:space="preserve">TC09523</t>
  </si>
  <si>
    <t xml:space="preserve">21000.079371/2019-11</t>
  </si>
  <si>
    <t xml:space="preserve">Picloram Técnico Adama 2</t>
  </si>
  <si>
    <t xml:space="preserve">TC09623</t>
  </si>
  <si>
    <t xml:space="preserve">21000.036165/2020-41</t>
  </si>
  <si>
    <t xml:space="preserve">Protioconazol Técnico JYJBL</t>
  </si>
  <si>
    <t xml:space="preserve">TC09723</t>
  </si>
  <si>
    <t xml:space="preserve">21000.031356/2016-31</t>
  </si>
  <si>
    <t xml:space="preserve">29/06/2016</t>
  </si>
  <si>
    <t xml:space="preserve">Tolpyralate Técnico ISK </t>
  </si>
  <si>
    <t xml:space="preserve">Tolpyralate</t>
  </si>
  <si>
    <t xml:space="preserve">31/07/2023</t>
  </si>
  <si>
    <t xml:space="preserve">TC09823</t>
  </si>
  <si>
    <t xml:space="preserve">21000.038386/2022-16</t>
  </si>
  <si>
    <t xml:space="preserve">28/04/2022</t>
  </si>
  <si>
    <t xml:space="preserve">2,4-D Técnico Hanfu</t>
  </si>
  <si>
    <t xml:space="preserve">TC09923</t>
  </si>
  <si>
    <t xml:space="preserve">21000.033600/2017-81</t>
  </si>
  <si>
    <t xml:space="preserve">31/07/2017</t>
  </si>
  <si>
    <t xml:space="preserve">2,4-D Técnico Nortox IV</t>
  </si>
  <si>
    <t xml:space="preserve">TC10023</t>
  </si>
  <si>
    <t xml:space="preserve">21000.062217/2020-35</t>
  </si>
  <si>
    <t xml:space="preserve">29/09/2020</t>
  </si>
  <si>
    <t xml:space="preserve">2,4-D Técnico Xinlong</t>
  </si>
  <si>
    <t xml:space="preserve">TC10123</t>
  </si>
  <si>
    <t xml:space="preserve">21000.080882/2020-19</t>
  </si>
  <si>
    <t xml:space="preserve">14/12/2020</t>
  </si>
  <si>
    <t xml:space="preserve">2,4-D Técnico Tide</t>
  </si>
  <si>
    <t xml:space="preserve">TC10223</t>
  </si>
  <si>
    <t xml:space="preserve">21000.030763/2018-92</t>
  </si>
  <si>
    <t xml:space="preserve">15/08/2018</t>
  </si>
  <si>
    <t xml:space="preserve">Clethodim Técnico FB</t>
  </si>
  <si>
    <t xml:space="preserve">TC10323</t>
  </si>
  <si>
    <t xml:space="preserve">21000.003218/2021-29</t>
  </si>
  <si>
    <t xml:space="preserve">14/01/2021</t>
  </si>
  <si>
    <t xml:space="preserve">Prothioconazole Técnico Indofil</t>
  </si>
  <si>
    <t xml:space="preserve">TC10423</t>
  </si>
  <si>
    <t xml:space="preserve">21000.018325/2019-37</t>
  </si>
  <si>
    <t xml:space="preserve">29/03/2019</t>
  </si>
  <si>
    <t xml:space="preserve">Protioconazole AJ Técnico Helm</t>
  </si>
  <si>
    <t xml:space="preserve">TC10523</t>
  </si>
  <si>
    <t xml:space="preserve">21000.069446/2019-47</t>
  </si>
  <si>
    <t xml:space="preserve">27/09/2019</t>
  </si>
  <si>
    <t xml:space="preserve">Cletodim Técnico Nortox V</t>
  </si>
  <si>
    <t xml:space="preserve">TC10623</t>
  </si>
  <si>
    <t xml:space="preserve">21000.050315/2016-43</t>
  </si>
  <si>
    <t xml:space="preserve">13/10/2016</t>
  </si>
  <si>
    <t xml:space="preserve">Fluazinam Técnico Finchimica</t>
  </si>
  <si>
    <t xml:space="preserve">Legisnovo </t>
  </si>
  <si>
    <t xml:space="preserve">TC10723</t>
  </si>
  <si>
    <t xml:space="preserve">21000.079370/2019-68</t>
  </si>
  <si>
    <t xml:space="preserve">Protioconazol Técnico Adama 4</t>
  </si>
  <si>
    <t xml:space="preserve">TC10823</t>
  </si>
  <si>
    <t xml:space="preserve">21000.079312/2019-34</t>
  </si>
  <si>
    <t xml:space="preserve">ProthioconazoleTécnico FB III</t>
  </si>
  <si>
    <t xml:space="preserve">TC10923</t>
  </si>
  <si>
    <t xml:space="preserve">21000.011804/2020-66</t>
  </si>
  <si>
    <t xml:space="preserve">17/02/2020</t>
  </si>
  <si>
    <t xml:space="preserve">Trifloxistrobina Técnico CAC</t>
  </si>
  <si>
    <t xml:space="preserve">TC11023</t>
  </si>
  <si>
    <t xml:space="preserve">21000.002305/2015-11</t>
  </si>
  <si>
    <t xml:space="preserve">24/04/2015</t>
  </si>
  <si>
    <t xml:space="preserve">Tiametoxan Técnico Nortox CH </t>
  </si>
  <si>
    <t xml:space="preserve">14/08/2023</t>
  </si>
  <si>
    <t xml:space="preserve">TC11123</t>
  </si>
  <si>
    <t xml:space="preserve">21000.000572/2015-53</t>
  </si>
  <si>
    <t xml:space="preserve">Lambda-Cialotrina Técnica Nortox</t>
  </si>
  <si>
    <t xml:space="preserve">TC11223</t>
  </si>
  <si>
    <t xml:space="preserve">21000.036818/2016-14</t>
  </si>
  <si>
    <t xml:space="preserve">Piraclostrobin Técnico Nortox IV</t>
  </si>
  <si>
    <t xml:space="preserve">17/08/2023</t>
  </si>
  <si>
    <t xml:space="preserve">TC11323</t>
  </si>
  <si>
    <t xml:space="preserve">21000.031454/2016-78</t>
  </si>
  <si>
    <t xml:space="preserve">23/06/2016</t>
  </si>
  <si>
    <t xml:space="preserve">Tebuconazol Técnico Rainbow</t>
  </si>
  <si>
    <t xml:space="preserve">TC11423</t>
  </si>
  <si>
    <t xml:space="preserve">21000.035918/2020-00</t>
  </si>
  <si>
    <t xml:space="preserve">Fluazinam Técnico CropChem</t>
  </si>
  <si>
    <t xml:space="preserve">TC11523</t>
  </si>
  <si>
    <t xml:space="preserve">21000.047682/2017-41</t>
  </si>
  <si>
    <t xml:space="preserve">Protioconazol Técnico Cropchem </t>
  </si>
  <si>
    <t xml:space="preserve">TC11623</t>
  </si>
  <si>
    <t xml:space="preserve">21000.042807/2019-16</t>
  </si>
  <si>
    <t xml:space="preserve">25/06/2019</t>
  </si>
  <si>
    <t xml:space="preserve">Picloram  Técnico Albaugh</t>
  </si>
  <si>
    <t xml:space="preserve">18/08/2023</t>
  </si>
  <si>
    <t xml:space="preserve">TC11723</t>
  </si>
  <si>
    <t xml:space="preserve">21000.014879/2018-84</t>
  </si>
  <si>
    <t xml:space="preserve">20/04/2018</t>
  </si>
  <si>
    <t xml:space="preserve">Boscalid Técnico Nortox IV</t>
  </si>
  <si>
    <t xml:space="preserve">TC11823</t>
  </si>
  <si>
    <t xml:space="preserve">21000.023113/2018-91</t>
  </si>
  <si>
    <t xml:space="preserve">25/06/2018</t>
  </si>
  <si>
    <t xml:space="preserve">Protioconazol técnico SD</t>
  </si>
  <si>
    <t xml:space="preserve">TC11923</t>
  </si>
  <si>
    <t xml:space="preserve">21000.037621/2017-75</t>
  </si>
  <si>
    <t xml:space="preserve">28/08/2017</t>
  </si>
  <si>
    <t xml:space="preserve">Protioconazole técnico Nortox II</t>
  </si>
  <si>
    <t xml:space="preserve">TC12023</t>
  </si>
  <si>
    <t xml:space="preserve">21000.079318/2019-10</t>
  </si>
  <si>
    <t xml:space="preserve">ProthioconazoleTécnico FB IV</t>
  </si>
  <si>
    <t xml:space="preserve">TC12123</t>
  </si>
  <si>
    <t xml:space="preserve">21000.043278/2020-01</t>
  </si>
  <si>
    <t xml:space="preserve">2,4-D Technical Wynca</t>
  </si>
  <si>
    <t xml:space="preserve">TC12223</t>
  </si>
  <si>
    <t xml:space="preserve">21000.059413/2020-22</t>
  </si>
  <si>
    <t xml:space="preserve">17/09/2020</t>
  </si>
  <si>
    <t xml:space="preserve">Fomesafen Técnico Albaugh BN</t>
  </si>
  <si>
    <t xml:space="preserve">TC12323</t>
  </si>
  <si>
    <t xml:space="preserve">21000.041662/2019-28</t>
  </si>
  <si>
    <t xml:space="preserve">18/06/2019</t>
  </si>
  <si>
    <t xml:space="preserve">Etefon Técnico Nortox</t>
  </si>
  <si>
    <t xml:space="preserve">25/08/2023</t>
  </si>
  <si>
    <t xml:space="preserve">TC12423</t>
  </si>
  <si>
    <t xml:space="preserve">21000.035730/2020-53</t>
  </si>
  <si>
    <t xml:space="preserve">28/05/2020</t>
  </si>
  <si>
    <t xml:space="preserve">Etefon Técnico Nortox II</t>
  </si>
  <si>
    <t xml:space="preserve">TC12523</t>
  </si>
  <si>
    <t xml:space="preserve">21000.008033/2015-62</t>
  </si>
  <si>
    <t xml:space="preserve">30/11/2015</t>
  </si>
  <si>
    <t xml:space="preserve">Difenoconazole Técnico Nortox</t>
  </si>
  <si>
    <t xml:space="preserve">TC12623</t>
  </si>
  <si>
    <t xml:space="preserve">21000.017907/2019-04</t>
  </si>
  <si>
    <t xml:space="preserve">Etefom técnico BRA</t>
  </si>
  <si>
    <t xml:space="preserve">TC12723</t>
  </si>
  <si>
    <t xml:space="preserve">21000.077131/2020-15</t>
  </si>
  <si>
    <t xml:space="preserve">27/11/2020</t>
  </si>
  <si>
    <t xml:space="preserve">Fomesafen Técnico Binnong</t>
  </si>
  <si>
    <t xml:space="preserve">TC12823</t>
  </si>
  <si>
    <t xml:space="preserve">21000.007226/2020-63</t>
  </si>
  <si>
    <t xml:space="preserve">31/01/2020</t>
  </si>
  <si>
    <t xml:space="preserve">Etefom Técnico BCS</t>
  </si>
  <si>
    <t xml:space="preserve">TC12923</t>
  </si>
  <si>
    <t xml:space="preserve">21000.024433/2018-68</t>
  </si>
  <si>
    <t xml:space="preserve">Etiprole Técnico CHD'S</t>
  </si>
  <si>
    <t xml:space="preserve">TC13023</t>
  </si>
  <si>
    <t xml:space="preserve">21000.101553/2021-91</t>
  </si>
  <si>
    <t xml:space="preserve">26/11/2021</t>
  </si>
  <si>
    <t xml:space="preserve">Etefom Técnico RB</t>
  </si>
  <si>
    <t xml:space="preserve">30/08/2023</t>
  </si>
  <si>
    <t xml:space="preserve">TC13123</t>
  </si>
  <si>
    <t xml:space="preserve">21000.019289/2020-62</t>
  </si>
  <si>
    <t xml:space="preserve">16/03/2020</t>
  </si>
  <si>
    <t xml:space="preserve">Ethiprole Técnico ET</t>
  </si>
  <si>
    <t xml:space="preserve">TC13223</t>
  </si>
  <si>
    <t xml:space="preserve">21000.019679/2017-37</t>
  </si>
  <si>
    <t xml:space="preserve">20/04/2017</t>
  </si>
  <si>
    <t xml:space="preserve">Dicamba Técnico Stockton</t>
  </si>
  <si>
    <t xml:space="preserve">TC13323</t>
  </si>
  <si>
    <t xml:space="preserve">21000.023448/2017-28</t>
  </si>
  <si>
    <t xml:space="preserve">26/05/2017</t>
  </si>
  <si>
    <t xml:space="preserve">Dicamba Técnico AgroLead</t>
  </si>
  <si>
    <t xml:space="preserve">TC13423</t>
  </si>
  <si>
    <t xml:space="preserve">21000.029359/2021-71</t>
  </si>
  <si>
    <t xml:space="preserve">23/04/2021</t>
  </si>
  <si>
    <t xml:space="preserve">Dicamba Técnico SAL</t>
  </si>
  <si>
    <t xml:space="preserve">TC13523</t>
  </si>
  <si>
    <t xml:space="preserve">21000.017114/2018-04</t>
  </si>
  <si>
    <t xml:space="preserve">Fluazinam Técnico BRA</t>
  </si>
  <si>
    <t xml:space="preserve">TC13623</t>
  </si>
  <si>
    <t xml:space="preserve">21000.075728/2020-17</t>
  </si>
  <si>
    <t xml:space="preserve">23/11/2020</t>
  </si>
  <si>
    <t xml:space="preserve">Fluazinam Técnico RTM</t>
  </si>
  <si>
    <t xml:space="preserve">TC13723</t>
  </si>
  <si>
    <t xml:space="preserve">21000.086368/2021-60</t>
  </si>
  <si>
    <t xml:space="preserve">14/10/2021</t>
  </si>
  <si>
    <t xml:space="preserve">Etefom Técnico Sumitomo</t>
  </si>
  <si>
    <t xml:space="preserve">TC13823</t>
  </si>
  <si>
    <t xml:space="preserve">21000.037047/2016-74</t>
  </si>
  <si>
    <t xml:space="preserve">28/07/2016</t>
  </si>
  <si>
    <t xml:space="preserve">Fludioxonil Técnico Rainbow</t>
  </si>
  <si>
    <t xml:space="preserve">Fludioxonil </t>
  </si>
  <si>
    <t xml:space="preserve">TC13923</t>
  </si>
  <si>
    <t xml:space="preserve">21000.059761/2021-81</t>
  </si>
  <si>
    <t xml:space="preserve">28/07/2021</t>
  </si>
  <si>
    <t xml:space="preserve">Fomesafen Técnico Nortox II</t>
  </si>
  <si>
    <t xml:space="preserve">31/08/2023</t>
  </si>
  <si>
    <t xml:space="preserve">TC14023</t>
  </si>
  <si>
    <t xml:space="preserve">21000.035003/2020-96</t>
  </si>
  <si>
    <t xml:space="preserve">25/05/2020</t>
  </si>
  <si>
    <t xml:space="preserve">Fluazinam Técnico Ouro Fino</t>
  </si>
  <si>
    <t xml:space="preserve">TC14123</t>
  </si>
  <si>
    <t xml:space="preserve">21000.046079/2017-41</t>
  </si>
  <si>
    <t xml:space="preserve">26/10/2017</t>
  </si>
  <si>
    <t xml:space="preserve">Protioconazole JY Técnico Helm</t>
  </si>
  <si>
    <t xml:space="preserve">TC14223</t>
  </si>
  <si>
    <t xml:space="preserve">21000.034378/2017-33</t>
  </si>
  <si>
    <t xml:space="preserve">Protioconazol Técnico Gilmore</t>
  </si>
  <si>
    <t xml:space="preserve">Gilmore </t>
  </si>
  <si>
    <t xml:space="preserve">TC14323</t>
  </si>
  <si>
    <t xml:space="preserve">21000.028394/2022-54</t>
  </si>
  <si>
    <t xml:space="preserve">30/03/2022</t>
  </si>
  <si>
    <t xml:space="preserve">Boscalid Técnico ABT</t>
  </si>
  <si>
    <t xml:space="preserve">TC14423</t>
  </si>
  <si>
    <t xml:space="preserve">21000.025074/2017-85</t>
  </si>
  <si>
    <t xml:space="preserve">Imazapic técnico Rainbow</t>
  </si>
  <si>
    <t xml:space="preserve">TC14523</t>
  </si>
  <si>
    <t xml:space="preserve">21000.018816/2017-16</t>
  </si>
  <si>
    <t xml:space="preserve">24/04/2017</t>
  </si>
  <si>
    <t xml:space="preserve">Boscalida Técnico Sharda</t>
  </si>
  <si>
    <t xml:space="preserve">TC14623</t>
  </si>
  <si>
    <t xml:space="preserve">21000.016938/2021-54</t>
  </si>
  <si>
    <t xml:space="preserve">Boscalid Técnico FB</t>
  </si>
  <si>
    <t xml:space="preserve">TC14723</t>
  </si>
  <si>
    <t xml:space="preserve">21000.014554/2023-69</t>
  </si>
  <si>
    <t xml:space="preserve">23/02/2023</t>
  </si>
  <si>
    <t xml:space="preserve">Boscalid Técnico Wynca</t>
  </si>
  <si>
    <t xml:space="preserve">TC14823</t>
  </si>
  <si>
    <t xml:space="preserve">21000.031000/2020-83</t>
  </si>
  <si>
    <t xml:space="preserve">Fluazinam Técnico Nufarm II</t>
  </si>
  <si>
    <t xml:space="preserve">TC14923</t>
  </si>
  <si>
    <t xml:space="preserve">21000.054394/2018-23</t>
  </si>
  <si>
    <t xml:space="preserve">14/12/2018</t>
  </si>
  <si>
    <t xml:space="preserve">Protioconazole Técnico YN</t>
  </si>
  <si>
    <t xml:space="preserve">TC15023</t>
  </si>
  <si>
    <t xml:space="preserve">21000.022708/2019-18</t>
  </si>
  <si>
    <t xml:space="preserve">15/04/2019</t>
  </si>
  <si>
    <t xml:space="preserve">Aminopiralide Técnico Rainbow</t>
  </si>
  <si>
    <t xml:space="preserve">TC15123</t>
  </si>
  <si>
    <t xml:space="preserve"> 21000.004368/2014-21</t>
  </si>
  <si>
    <t xml:space="preserve">Tiametoxam Técnico Cropchem</t>
  </si>
  <si>
    <t xml:space="preserve">TC15223</t>
  </si>
  <si>
    <t xml:space="preserve">21000.006926/2018-16</t>
  </si>
  <si>
    <t xml:space="preserve">Metribuzim técnico UPL Brasil</t>
  </si>
  <si>
    <t xml:space="preserve">TC15323</t>
  </si>
  <si>
    <t xml:space="preserve">21000.094425/2022-65</t>
  </si>
  <si>
    <t xml:space="preserve">Metribuzim Técnico JSSC</t>
  </si>
  <si>
    <t xml:space="preserve">Voagri</t>
  </si>
  <si>
    <t xml:space="preserve">TC15423</t>
  </si>
  <si>
    <t xml:space="preserve">21000.042231/2017-17</t>
  </si>
  <si>
    <t xml:space="preserve">Metribuzim Técnico Alta</t>
  </si>
  <si>
    <t xml:space="preserve">TC15523</t>
  </si>
  <si>
    <t xml:space="preserve">21000.035421/2020-83</t>
  </si>
  <si>
    <t xml:space="preserve">Metribuzim Técnico Albaugh</t>
  </si>
  <si>
    <t xml:space="preserve">TC15623</t>
  </si>
  <si>
    <t xml:space="preserve">21000.020447/2017-21</t>
  </si>
  <si>
    <t xml:space="preserve">Glufosinato-sal de Amônio Técnico Agrolead</t>
  </si>
  <si>
    <t xml:space="preserve">Glufosinato-sal de Amônio</t>
  </si>
  <si>
    <t xml:space="preserve">TC15723</t>
  </si>
  <si>
    <t xml:space="preserve">21000.000010/2016-91</t>
  </si>
  <si>
    <t xml:space="preserve">Epoxiconazole Técnico Nortox II</t>
  </si>
  <si>
    <t xml:space="preserve">TC15823</t>
  </si>
  <si>
    <t xml:space="preserve">21000.006080/2015-71</t>
  </si>
  <si>
    <t xml:space="preserve">Alfa-Cipermetrina Técnico SD</t>
  </si>
  <si>
    <t xml:space="preserve">TC15923</t>
  </si>
  <si>
    <t xml:space="preserve">21000.019153/2020-52</t>
  </si>
  <si>
    <t xml:space="preserve">Saflufenacil Técnico Rainbow</t>
  </si>
  <si>
    <t xml:space="preserve">TC16023</t>
  </si>
  <si>
    <t xml:space="preserve">21000.033246/2017-94</t>
  </si>
  <si>
    <t xml:space="preserve">Prothioconazole Técnico Agrogill</t>
  </si>
  <si>
    <t xml:space="preserve">TC16123</t>
  </si>
  <si>
    <t xml:space="preserve">21000.007610/2014-18</t>
  </si>
  <si>
    <t xml:space="preserve">Tiametoxam Técnico Sulphur Mills </t>
  </si>
  <si>
    <t xml:space="preserve">TC16223</t>
  </si>
  <si>
    <t xml:space="preserve">21000.035229/2020-97</t>
  </si>
  <si>
    <t xml:space="preserve">Epoxiconazol Técnico Adama 2</t>
  </si>
  <si>
    <t xml:space="preserve">TC16323</t>
  </si>
  <si>
    <t xml:space="preserve">21000.045076/2020-96</t>
  </si>
  <si>
    <t xml:space="preserve">Epoxiconazol Técnico NGC</t>
  </si>
  <si>
    <t xml:space="preserve">TC16423</t>
  </si>
  <si>
    <t xml:space="preserve">21000.041459/2017-90</t>
  </si>
  <si>
    <t xml:space="preserve">25/09/2017</t>
  </si>
  <si>
    <t xml:space="preserve">Metribuzim Técnico Adama BR</t>
  </si>
  <si>
    <t xml:space="preserve">Metribuzim </t>
  </si>
  <si>
    <t xml:space="preserve">24/10/2023</t>
  </si>
  <si>
    <t xml:space="preserve">TC16523</t>
  </si>
  <si>
    <t xml:space="preserve">21000.064406/2019-17</t>
  </si>
  <si>
    <t xml:space="preserve">Isoxaflutol Técnico Ada BR</t>
  </si>
  <si>
    <t xml:space="preserve">TC16623</t>
  </si>
  <si>
    <t xml:space="preserve">21000.055090/2018-83</t>
  </si>
  <si>
    <t xml:space="preserve">19/12/2018</t>
  </si>
  <si>
    <t xml:space="preserve">Metribuzim Técnico Adama Brasil</t>
  </si>
  <si>
    <t xml:space="preserve">TC16723</t>
  </si>
  <si>
    <t xml:space="preserve">21000.014839/2021-38</t>
  </si>
  <si>
    <t xml:space="preserve">27/02/2021</t>
  </si>
  <si>
    <t xml:space="preserve">Etefom Técnico Adama Brasil</t>
  </si>
  <si>
    <t xml:space="preserve">26/10/2023</t>
  </si>
  <si>
    <t xml:space="preserve">TC16823</t>
  </si>
  <si>
    <t xml:space="preserve">21000.013246/2019-30</t>
  </si>
  <si>
    <t xml:space="preserve">Isoxaflutol Técnico UPL BR</t>
  </si>
  <si>
    <t xml:space="preserve">TC16923</t>
  </si>
  <si>
    <t xml:space="preserve">21000.007232/2015-53</t>
  </si>
  <si>
    <t xml:space="preserve">26/10/2015</t>
  </si>
  <si>
    <t xml:space="preserve">Isoxaflutol Técnico Nortox</t>
  </si>
  <si>
    <t xml:space="preserve">TC17023</t>
  </si>
  <si>
    <t xml:space="preserve">21000.036035/2018-94</t>
  </si>
  <si>
    <t xml:space="preserve">13/09/2018</t>
  </si>
  <si>
    <t xml:space="preserve">Metribuzim Técnico Mega</t>
  </si>
  <si>
    <t xml:space="preserve">TC17123</t>
  </si>
  <si>
    <t xml:space="preserve">21000.022053/2018-99</t>
  </si>
  <si>
    <t xml:space="preserve">15/06/2018</t>
  </si>
  <si>
    <t xml:space="preserve">Isoxaflutole Técnico FB</t>
  </si>
  <si>
    <t xml:space="preserve">27/10/2023</t>
  </si>
  <si>
    <t xml:space="preserve">TC17223</t>
  </si>
  <si>
    <t xml:space="preserve">21000.051775/2018-51</t>
  </si>
  <si>
    <t xml:space="preserve">Metribuzim Técnico CHD'S</t>
  </si>
  <si>
    <t xml:space="preserve">TC17323</t>
  </si>
  <si>
    <t xml:space="preserve">21000.012528/2023-04</t>
  </si>
  <si>
    <t xml:space="preserve">Tetraconazole Técnico Udragon</t>
  </si>
  <si>
    <t xml:space="preserve">Tetraconazole</t>
  </si>
  <si>
    <t xml:space="preserve">TC17423</t>
  </si>
  <si>
    <t xml:space="preserve">21000.029616/2020-94</t>
  </si>
  <si>
    <t xml:space="preserve">Isoflex Active Técnico</t>
  </si>
  <si>
    <t xml:space="preserve">TC17523</t>
  </si>
  <si>
    <t xml:space="preserve">21000.014308/2021-45</t>
  </si>
  <si>
    <t xml:space="preserve">Malathion Técnico Dezhou Luba</t>
  </si>
  <si>
    <t xml:space="preserve">TC17623</t>
  </si>
  <si>
    <t xml:space="preserve">21000.070955/2020-56</t>
  </si>
  <si>
    <t xml:space="preserve">Malation Técnico Tide</t>
  </si>
  <si>
    <t xml:space="preserve">TC17723</t>
  </si>
  <si>
    <t xml:space="preserve">21000.014388/2018-33</t>
  </si>
  <si>
    <t xml:space="preserve">Terrad'or TGAI</t>
  </si>
  <si>
    <t xml:space="preserve">Tiafenacil</t>
  </si>
  <si>
    <t xml:space="preserve">ISK Biosciences</t>
  </si>
  <si>
    <t xml:space="preserve">TC17823</t>
  </si>
  <si>
    <t xml:space="preserve">21000.003723/2015-25</t>
  </si>
  <si>
    <t xml:space="preserve">Mandestrobin Técnico</t>
  </si>
  <si>
    <t xml:space="preserve">Mandestrobin </t>
  </si>
  <si>
    <t xml:space="preserve">TC17923</t>
  </si>
  <si>
    <t xml:space="preserve">21000.005387/2014-74</t>
  </si>
  <si>
    <t xml:space="preserve">Pyriofenone Técnico ISK</t>
  </si>
  <si>
    <t xml:space="preserve">TC18023</t>
  </si>
  <si>
    <t xml:space="preserve">21000.070775/2021-55</t>
  </si>
  <si>
    <t xml:space="preserve">Ethephon Técnico CCAB</t>
  </si>
  <si>
    <t xml:space="preserve">TC18123</t>
  </si>
  <si>
    <t xml:space="preserve">21000.038339/2019-77</t>
  </si>
  <si>
    <t xml:space="preserve">Etefom Técnico Rainbow</t>
  </si>
  <si>
    <t xml:space="preserve">TC18223</t>
  </si>
  <si>
    <t xml:space="preserve">21000.037949/2016-19</t>
  </si>
  <si>
    <t xml:space="preserve">Metribuzim Técnico CCAB</t>
  </si>
  <si>
    <t xml:space="preserve">TC18323</t>
  </si>
  <si>
    <t xml:space="preserve">21000.087413/2019-89</t>
  </si>
  <si>
    <t xml:space="preserve">Malathion Técnico CCAB III</t>
  </si>
  <si>
    <t xml:space="preserve">TC18423</t>
  </si>
  <si>
    <t xml:space="preserve">21000.059429/2019-00</t>
  </si>
  <si>
    <t xml:space="preserve">Malation Técnico Nortox</t>
  </si>
  <si>
    <t xml:space="preserve">TC18523</t>
  </si>
  <si>
    <t xml:space="preserve">21000.022352/2021-29</t>
  </si>
  <si>
    <t xml:space="preserve">Dicamba Técnico FB III</t>
  </si>
  <si>
    <t xml:space="preserve">TC18623</t>
  </si>
  <si>
    <t xml:space="preserve">21000.040747/2017-27</t>
  </si>
  <si>
    <t xml:space="preserve">Tetraconazole Técnico ZB</t>
  </si>
  <si>
    <t xml:space="preserve">TC18723</t>
  </si>
  <si>
    <t xml:space="preserve">21000.047291/2017-26</t>
  </si>
  <si>
    <t xml:space="preserve">Isoxaflutole Tecnico SINO-AGRI</t>
  </si>
  <si>
    <t xml:space="preserve">TC18823</t>
  </si>
  <si>
    <t xml:space="preserve">21000.040907/2017-38</t>
  </si>
  <si>
    <t xml:space="preserve">Protioconazole Técnico BRA</t>
  </si>
  <si>
    <t xml:space="preserve">TC18923</t>
  </si>
  <si>
    <t xml:space="preserve">21000.006019/2018-77</t>
  </si>
  <si>
    <t xml:space="preserve">Metribuzim técnico Nortox III</t>
  </si>
  <si>
    <t xml:space="preserve">TC19023</t>
  </si>
  <si>
    <t xml:space="preserve">21000.112105/2022-02</t>
  </si>
  <si>
    <t xml:space="preserve">Protioconazol Técnico Veyong</t>
  </si>
  <si>
    <t xml:space="preserve">21000.016731/2019-65</t>
  </si>
  <si>
    <t xml:space="preserve">ELESTAL NEO</t>
  </si>
  <si>
    <t xml:space="preserve">Espiropidiona; Acetamiprido</t>
  </si>
  <si>
    <t xml:space="preserve">21000.001133/2017-20</t>
  </si>
  <si>
    <t xml:space="preserve">NOVALURON NORTOX</t>
  </si>
  <si>
    <t xml:space="preserve">21000.014271/2016-98</t>
  </si>
  <si>
    <t xml:space="preserve">FLUROXIPIR NORTOX 200 EC</t>
  </si>
  <si>
    <t xml:space="preserve">21000.094037/2019-89</t>
  </si>
  <si>
    <t xml:space="preserve">TELUX</t>
  </si>
  <si>
    <t xml:space="preserve">21000.033591/2018-17</t>
  </si>
  <si>
    <t xml:space="preserve">ARPO 800 WG</t>
  </si>
  <si>
    <t xml:space="preserve">21000.008184/2011-97</t>
  </si>
  <si>
    <t xml:space="preserve">NUPRID STAR</t>
  </si>
  <si>
    <t xml:space="preserve">21000.000254/2011-69</t>
  </si>
  <si>
    <t xml:space="preserve">PRATICO SC</t>
  </si>
  <si>
    <t xml:space="preserve">Imidacloprido; Flutriafol</t>
  </si>
  <si>
    <t xml:space="preserve">21016.000148/2022-69</t>
  </si>
  <si>
    <t xml:space="preserve">BTP 037-19</t>
  </si>
  <si>
    <t xml:space="preserve">Ácido Indolacético</t>
  </si>
  <si>
    <t xml:space="preserve">Biotrop</t>
  </si>
  <si>
    <t xml:space="preserve">21016.000149/2022-11</t>
  </si>
  <si>
    <t xml:space="preserve">SIMETRIA</t>
  </si>
  <si>
    <t xml:space="preserve">21000.038580/2018-15</t>
  </si>
  <si>
    <t xml:space="preserve">BLANES 240 SC</t>
  </si>
  <si>
    <t xml:space="preserve"> Metoxifenozida</t>
  </si>
  <si>
    <t xml:space="preserve">21000.051783/2020-11</t>
  </si>
  <si>
    <t xml:space="preserve">WEEDFORCE</t>
  </si>
  <si>
    <t xml:space="preserve">21000.032777/2016-89</t>
  </si>
  <si>
    <t xml:space="preserve"> FULLGUARD</t>
  </si>
  <si>
    <t xml:space="preserve">21000.053921/2016-11</t>
  </si>
  <si>
    <t xml:space="preserve">LAMBDA CIALOTRIN CCAB 250 CS</t>
  </si>
  <si>
    <t xml:space="preserve">21016.002299/2022-51</t>
  </si>
  <si>
    <t xml:space="preserve">PRESENCE FLEX; KALIVAR</t>
  </si>
  <si>
    <t xml:space="preserve">Bacillus subtilis, linhagem FMCH002(DSM32155); Bacillus licheniformis, linhagem FMCH001(DSM32154)</t>
  </si>
  <si>
    <t xml:space="preserve">21016.005498/2022-11</t>
  </si>
  <si>
    <t xml:space="preserve">TEC MINT</t>
  </si>
  <si>
    <t xml:space="preserve">21016.004911/2022-21</t>
  </si>
  <si>
    <t xml:space="preserve">METATRIL</t>
  </si>
  <si>
    <t xml:space="preserve">21016.005735/2022-44</t>
  </si>
  <si>
    <t xml:space="preserve">GRATTO BOVER</t>
  </si>
  <si>
    <t xml:space="preserve">UBY</t>
  </si>
  <si>
    <t xml:space="preserve">21016.005761/2022-72</t>
  </si>
  <si>
    <t xml:space="preserve">SLT 06</t>
  </si>
  <si>
    <t xml:space="preserve">Trichoderma harzianum, cepa IBLF1278; Trichoderma harzianum, cepa IBLF 1282; Trichoderma viride, cepa IBLF1275; Trichoderma viride, cepa IBLF1276</t>
  </si>
  <si>
    <t xml:space="preserve"> Prophyto</t>
  </si>
  <si>
    <t xml:space="preserve">21000.082792/2020-54</t>
  </si>
  <si>
    <t xml:space="preserve">PARACHUTE</t>
  </si>
  <si>
    <t xml:space="preserve"> Clorotalonil; Difenoconazol; Trifloxistrobina</t>
  </si>
  <si>
    <t xml:space="preserve">Partner </t>
  </si>
  <si>
    <t xml:space="preserve">21016.001919/2022-35</t>
  </si>
  <si>
    <t xml:space="preserve">SPODOVIR PLUS</t>
  </si>
  <si>
    <t xml:space="preserve">Spodoptera frugiperda nucleopolyhedrovirus (SfMNPV isolado 19)</t>
  </si>
  <si>
    <t xml:space="preserve">21000.005957/2019-31</t>
  </si>
  <si>
    <t xml:space="preserve">TERRAD'OR 300 WG</t>
  </si>
  <si>
    <t xml:space="preserve">21000.054362/2018-28</t>
  </si>
  <si>
    <t xml:space="preserve">BARUS 300 WG</t>
  </si>
  <si>
    <t xml:space="preserve">21016.005244/2022-01</t>
  </si>
  <si>
    <t xml:space="preserve">LAPHY PROTECTION</t>
  </si>
  <si>
    <t xml:space="preserve">21016.004674/2022-06</t>
  </si>
  <si>
    <t xml:space="preserve">RETHAX</t>
  </si>
  <si>
    <t xml:space="preserve">Hubio</t>
  </si>
  <si>
    <t xml:space="preserve">21016.005052/2022-97</t>
  </si>
  <si>
    <t xml:space="preserve">HARZIMIP</t>
  </si>
  <si>
    <t xml:space="preserve">PROMIP</t>
  </si>
  <si>
    <t xml:space="preserve">21000.003167/2018-30</t>
  </si>
  <si>
    <t xml:space="preserve">FOX SC</t>
  </si>
  <si>
    <t xml:space="preserve">21000.079916/2021-03</t>
  </si>
  <si>
    <t xml:space="preserve">BENEVIA OD</t>
  </si>
  <si>
    <t xml:space="preserve">21016.001058/2022-95</t>
  </si>
  <si>
    <t xml:space="preserve">ACCEDE</t>
  </si>
  <si>
    <t xml:space="preserve">Ácido 1-Aminociclopropano-1-carboxylic acid </t>
  </si>
  <si>
    <t xml:space="preserve">21000.006814/2014-31</t>
  </si>
  <si>
    <t xml:space="preserve">ABA 400 WG NORTOX</t>
  </si>
  <si>
    <t xml:space="preserve">21000.047844/2016-60</t>
  </si>
  <si>
    <t xml:space="preserve">TRINEXAPAC 250 EC PROVENTIS</t>
  </si>
  <si>
    <t xml:space="preserve">21000.010108/2010-61</t>
  </si>
  <si>
    <t xml:space="preserve"> IMIDACLOPRID NORTOX 480 SC</t>
  </si>
  <si>
    <t xml:space="preserve">21000.011532/2008-16</t>
  </si>
  <si>
    <t xml:space="preserve">DINAMO</t>
  </si>
  <si>
    <t xml:space="preserve">Imidacloprido; Bifentrina</t>
  </si>
  <si>
    <t xml:space="preserve">21016.002484/2022-46</t>
  </si>
  <si>
    <t xml:space="preserve"> OLIGOS 4 T</t>
  </si>
  <si>
    <t xml:space="preserve">Trichoderma viride, cepa IBLF1275; Trichoderma viride, cepa IBLF1276; Trichoderma harzianum, cepa IBLF1278; Trichoderma harzianum, cepa IBLF 1282</t>
  </si>
  <si>
    <t xml:space="preserve">21016.008671/2021-52</t>
  </si>
  <si>
    <t xml:space="preserve">Biotrinsic N11 FP</t>
  </si>
  <si>
    <t xml:space="preserve">Pseudomonas oryzihabitans, Cepa SYM23945</t>
  </si>
  <si>
    <t xml:space="preserve">Indigo Brazil</t>
  </si>
  <si>
    <t xml:space="preserve">21016.004720/2022-69</t>
  </si>
  <si>
    <t xml:space="preserve">VIVUS PENTA</t>
  </si>
  <si>
    <t xml:space="preserve"> Telenomus podisi Ashmead (isolados IBCBE 007236 a IBCBE 007255)</t>
  </si>
  <si>
    <t xml:space="preserve">Vivus Agro</t>
  </si>
  <si>
    <t xml:space="preserve">21000.043860/2019-26</t>
  </si>
  <si>
    <t xml:space="preserve">SUNGAIN PLUS</t>
  </si>
  <si>
    <t xml:space="preserve">21000.011774/2018-73</t>
  </si>
  <si>
    <t xml:space="preserve"> ZOLTAX</t>
  </si>
  <si>
    <t xml:space="preserve">Benzoato de Emamectina; Lufenurom</t>
  </si>
  <si>
    <t xml:space="preserve">21000.004762/2013-88</t>
  </si>
  <si>
    <t xml:space="preserve">NAVIUS BR</t>
  </si>
  <si>
    <t xml:space="preserve">Aminociclopiracloro; Metsulfurom-Metílico</t>
  </si>
  <si>
    <t xml:space="preserve"> Corteva</t>
  </si>
  <si>
    <t xml:space="preserve">21000.001644/2012-37</t>
  </si>
  <si>
    <t xml:space="preserve">NAVIUS </t>
  </si>
  <si>
    <t xml:space="preserve">21000.055391/2020-21</t>
  </si>
  <si>
    <t xml:space="preserve">HELVA</t>
  </si>
  <si>
    <t xml:space="preserve">21000.013779/2016-79</t>
  </si>
  <si>
    <t xml:space="preserve">OZEAN</t>
  </si>
  <si>
    <t xml:space="preserve">21000.094733/2019-95</t>
  </si>
  <si>
    <t xml:space="preserve">FOX ULTRA</t>
  </si>
  <si>
    <t xml:space="preserve">Protioconazol; Impirfluxam; Trifloxistrobina</t>
  </si>
  <si>
    <t xml:space="preserve">21000.024359/2016-18</t>
  </si>
  <si>
    <t xml:space="preserve">FORCANE</t>
  </si>
  <si>
    <t xml:space="preserve">2,4-D - Sal de dimetilamina; Picloram - Sal de dimetilamina</t>
  </si>
  <si>
    <t xml:space="preserve">21000.023228/2016-13</t>
  </si>
  <si>
    <t xml:space="preserve"> AZOXY YONON</t>
  </si>
  <si>
    <t xml:space="preserve">21000.014265/2016-31</t>
  </si>
  <si>
    <t xml:space="preserve">METSULFURON NORTOX</t>
  </si>
  <si>
    <t xml:space="preserve">Metsulfurom-metílico</t>
  </si>
  <si>
    <t xml:space="preserve">21000.022330/2016-00</t>
  </si>
  <si>
    <t xml:space="preserve">WEXITE</t>
  </si>
  <si>
    <t xml:space="preserve"> Rainbow</t>
  </si>
  <si>
    <t xml:space="preserve">21000.094356/2019-94</t>
  </si>
  <si>
    <t xml:space="preserve">KLINNER BR</t>
  </si>
  <si>
    <t xml:space="preserve">21016.002967/2021-60</t>
  </si>
  <si>
    <t xml:space="preserve">SULFENTRAZONE 500 SC PERTERRA</t>
  </si>
  <si>
    <t xml:space="preserve">Sulfentrazona </t>
  </si>
  <si>
    <t xml:space="preserve">21000.032573/2016-48</t>
  </si>
  <si>
    <t xml:space="preserve">EXPOENTE</t>
  </si>
  <si>
    <t xml:space="preserve">21000.007389/2016-60</t>
  </si>
  <si>
    <t xml:space="preserve">GLUFOSINATE 200 SL YNG</t>
  </si>
  <si>
    <t xml:space="preserve">Glufosinato, Sal de Amônio</t>
  </si>
  <si>
    <t xml:space="preserve">21000.009059/2014-47</t>
  </si>
  <si>
    <t xml:space="preserve">FORWASATE 480 SL</t>
  </si>
  <si>
    <t xml:space="preserve">21000.003180/2012-01</t>
  </si>
  <si>
    <t xml:space="preserve">PRINCE  </t>
  </si>
  <si>
    <t xml:space="preserve">21000.010597/2011-31</t>
  </si>
  <si>
    <t xml:space="preserve">REJUVRA</t>
  </si>
  <si>
    <t xml:space="preserve">21016.002535/2022-30</t>
  </si>
  <si>
    <t xml:space="preserve">ATROVERDE 77; T-77 </t>
  </si>
  <si>
    <t xml:space="preserve">Trichoderma atroviride, estirpe 77B</t>
  </si>
  <si>
    <t xml:space="preserve"> Andermatt</t>
  </si>
  <si>
    <t xml:space="preserve">21000.007765/2020-01</t>
  </si>
  <si>
    <t xml:space="preserve">GLIFOX MAX K</t>
  </si>
  <si>
    <t xml:space="preserve">Glifosato, Sal de Potárssio</t>
  </si>
  <si>
    <t xml:space="preserve">21000.002414/2015-38</t>
  </si>
  <si>
    <t xml:space="preserve">CATTEROLE</t>
  </si>
  <si>
    <t xml:space="preserve">21000.009371/2011-98</t>
  </si>
  <si>
    <t xml:space="preserve">MIXTAN 600 SC</t>
  </si>
  <si>
    <t xml:space="preserve">21000.010130/2016-04</t>
  </si>
  <si>
    <t xml:space="preserve">GLIFOSATO CCAB 620 SL</t>
  </si>
  <si>
    <t xml:space="preserve"> Glifosato, Sal de potássio</t>
  </si>
  <si>
    <t xml:space="preserve">21000.044663/2021-49</t>
  </si>
  <si>
    <t xml:space="preserve">GALOPEIRO</t>
  </si>
  <si>
    <t xml:space="preserve"> 2,4-D, Sal de Trietanolamina; Picloram, Sal de Trietanolamina</t>
  </si>
  <si>
    <t xml:space="preserve">21000.025434/2016-68</t>
  </si>
  <si>
    <t xml:space="preserve">S-METOLACHLOR CCAB 960 EC</t>
  </si>
  <si>
    <t xml:space="preserve">21016.001858/2022-14</t>
  </si>
  <si>
    <t xml:space="preserve">PREMIO STAR</t>
  </si>
  <si>
    <t xml:space="preserve">Clorantraniliprole; Bifentrina </t>
  </si>
  <si>
    <t xml:space="preserve">21000.083798/2020-49</t>
  </si>
  <si>
    <t xml:space="preserve">RIDOWN FULL </t>
  </si>
  <si>
    <t xml:space="preserve">21000.007279/2015-17</t>
  </si>
  <si>
    <t xml:space="preserve">HEREU  </t>
  </si>
  <si>
    <t xml:space="preserve">21000.004807/2012-33</t>
  </si>
  <si>
    <t xml:space="preserve">ZACK SL  </t>
  </si>
  <si>
    <t xml:space="preserve">Picloram; 2,4-D, sal trietanolamina</t>
  </si>
  <si>
    <t xml:space="preserve">21000.015446/2018-46</t>
  </si>
  <si>
    <t xml:space="preserve">ORO-COP  </t>
  </si>
  <si>
    <t xml:space="preserve">Oxicloreto de Cobre</t>
  </si>
  <si>
    <t xml:space="preserve">Oro Agri</t>
  </si>
  <si>
    <t xml:space="preserve">21000.018005/2016-34</t>
  </si>
  <si>
    <t xml:space="preserve">ESBRILHA</t>
  </si>
  <si>
    <t xml:space="preserve">21000.069445/2019-01</t>
  </si>
  <si>
    <t xml:space="preserve">FLUMIOXAZIN IC NORTOX</t>
  </si>
  <si>
    <t xml:space="preserve">Flumioxazina; Imazetapir; Clorimurom-etílico</t>
  </si>
  <si>
    <t xml:space="preserve">21000.018249/2018-89</t>
  </si>
  <si>
    <t xml:space="preserve">ISCA FORMICIDA ATTA MEX-S2</t>
  </si>
  <si>
    <t xml:space="preserve">Sulfluramida</t>
  </si>
  <si>
    <t xml:space="preserve">Unibrás </t>
  </si>
  <si>
    <t xml:space="preserve">21000.018246/2018-45</t>
  </si>
  <si>
    <t xml:space="preserve">DINAGRO-S2 </t>
  </si>
  <si>
    <t xml:space="preserve">21000.008690/2015-18</t>
  </si>
  <si>
    <t xml:space="preserve">TORINO</t>
  </si>
  <si>
    <t xml:space="preserve">Tiofanato-metílico; Fluazinam</t>
  </si>
  <si>
    <t xml:space="preserve">21016.002709/2022-64</t>
  </si>
  <si>
    <t xml:space="preserve">BETK-03</t>
  </si>
  <si>
    <t xml:space="preserve">Bacillus thuringiensis cepa N1; Bacillus thuringiensis cepa N2; Bacillus thuringiensis cepa N3 </t>
  </si>
  <si>
    <t xml:space="preserve">21000.008580/2015-48</t>
  </si>
  <si>
    <t xml:space="preserve">ONRICE XTRA  </t>
  </si>
  <si>
    <t xml:space="preserve">Propanil</t>
  </si>
  <si>
    <t xml:space="preserve">21000.011769/2018-61</t>
  </si>
  <si>
    <t xml:space="preserve"> INZAK ZEON  </t>
  </si>
  <si>
    <t xml:space="preserve">Acetamiprido; Lambda-Cialotrina</t>
  </si>
  <si>
    <t xml:space="preserve">21000.034209/2018-84</t>
  </si>
  <si>
    <t xml:space="preserve">EMERITUS MAX 720 SC</t>
  </si>
  <si>
    <t xml:space="preserve">21000.011755/2018-47</t>
  </si>
  <si>
    <t xml:space="preserve">NEW FOX A</t>
  </si>
  <si>
    <t xml:space="preserve">21000.017811/2018-57</t>
  </si>
  <si>
    <t xml:space="preserve">BARUS 700 WG™  </t>
  </si>
  <si>
    <t xml:space="preserve">21000.031990/2021-31</t>
  </si>
  <si>
    <t xml:space="preserve">ALVOFIX</t>
  </si>
  <si>
    <t xml:space="preserve">21000.014391/2020-71</t>
  </si>
  <si>
    <t xml:space="preserve">INÉDITO</t>
  </si>
  <si>
    <t xml:space="preserve"> Glufosinato-Sal de Amônio; Carfentrazona-etílica</t>
  </si>
  <si>
    <t xml:space="preserve">Ouro</t>
  </si>
  <si>
    <t xml:space="preserve">21000.051752/2022-22</t>
  </si>
  <si>
    <t xml:space="preserve">EVOMULT  </t>
  </si>
  <si>
    <t xml:space="preserve">Chrysodeixis includens nucleopolyhedrovirus (ChinNPV); Helicoverpa armígera nucleopolihedrovirus (HANPV = HEARNPV)</t>
  </si>
  <si>
    <t xml:space="preserve">21016.005105/2021-99</t>
  </si>
  <si>
    <t xml:space="preserve">HIRSUNYD FR 25</t>
  </si>
  <si>
    <r>
      <rPr>
        <i val="true"/>
        <sz val="11"/>
        <color rgb="FF274E13"/>
        <rFont val="Arial"/>
        <family val="2"/>
        <charset val="1"/>
      </rPr>
      <t xml:space="preserve">HirsutelIa thompsonii</t>
    </r>
    <r>
      <rPr>
        <sz val="11"/>
        <color rgb="FF274E13"/>
        <rFont val="Arial"/>
        <family val="2"/>
        <charset val="1"/>
      </rPr>
      <t xml:space="preserve"> Cepa 4466</t>
    </r>
  </si>
  <si>
    <t xml:space="preserve">TZ Biotec </t>
  </si>
  <si>
    <t xml:space="preserve">21016.002560/2022-13</t>
  </si>
  <si>
    <t xml:space="preserve">NOMU-PROTEC </t>
  </si>
  <si>
    <t xml:space="preserve">Metarhizium rileyi estirpe PHP1705 </t>
  </si>
  <si>
    <t xml:space="preserve">Andermatt </t>
  </si>
  <si>
    <t xml:space="preserve">21016.005895/2022-93</t>
  </si>
  <si>
    <t xml:space="preserve">NEM PHOCO  </t>
  </si>
  <si>
    <t xml:space="preserve"> Trichoderma harzianum cepa IBLF1278;  Trichoderma harzianum cepa IBLF 1282; Trichoderma viride cepa IBLF1275; Trichoderma viride cepa IBLF1276    </t>
  </si>
  <si>
    <t xml:space="preserve">Elo Simbiotica</t>
  </si>
  <si>
    <t xml:space="preserve">21016.005849/2022-94</t>
  </si>
  <si>
    <t xml:space="preserve">TEC CATP 2.8</t>
  </si>
  <si>
    <t xml:space="preserve">Bacillus thuringiensis, Isolado CBMAI 1398</t>
  </si>
  <si>
    <t xml:space="preserve">Solubio </t>
  </si>
  <si>
    <t xml:space="preserve">21016.006302/2021-25</t>
  </si>
  <si>
    <t xml:space="preserve">CABURÉ</t>
  </si>
  <si>
    <t xml:space="preserve">VSF</t>
  </si>
  <si>
    <t xml:space="preserve">21016.004711/2021-97</t>
  </si>
  <si>
    <t xml:space="preserve">GIFT  </t>
  </si>
  <si>
    <t xml:space="preserve">OXIQUÍMICA</t>
  </si>
  <si>
    <t xml:space="preserve">21000.017848/2016-13</t>
  </si>
  <si>
    <t xml:space="preserve">UNIKO  </t>
  </si>
  <si>
    <t xml:space="preserve">Rawell </t>
  </si>
  <si>
    <t xml:space="preserve">21000.055982/2016-12</t>
  </si>
  <si>
    <t xml:space="preserve">ASBELTO PRO</t>
  </si>
  <si>
    <t xml:space="preserve">Dimetomorfe; Cloridrato de Propamocarbe</t>
  </si>
  <si>
    <t xml:space="preserve">21000.005414/2013-28</t>
  </si>
  <si>
    <t xml:space="preserve">HEXAPAX SUPER </t>
  </si>
  <si>
    <t xml:space="preserve">21016.002963/2022-62</t>
  </si>
  <si>
    <t xml:space="preserve">CURACRON </t>
  </si>
  <si>
    <t xml:space="preserve">21000.008640/2015-22</t>
  </si>
  <si>
    <t xml:space="preserve">METRIBUZIM 480 SC B</t>
  </si>
  <si>
    <t xml:space="preserve">21000.027946/2018-21</t>
  </si>
  <si>
    <t xml:space="preserve">NEW FOX B</t>
  </si>
  <si>
    <t xml:space="preserve">21000.048979/2016-42</t>
  </si>
  <si>
    <t xml:space="preserve">ONBORD 240 SC </t>
  </si>
  <si>
    <t xml:space="preserve">21000.002404/2015-01</t>
  </si>
  <si>
    <t xml:space="preserve">CLOUD</t>
  </si>
  <si>
    <t xml:space="preserve">21000.014745/2021-69</t>
  </si>
  <si>
    <t xml:space="preserve"> LANCET  </t>
  </si>
  <si>
    <t xml:space="preserve"> Diquate </t>
  </si>
  <si>
    <t xml:space="preserve">21000.050290/2019-21</t>
  </si>
  <si>
    <t xml:space="preserve">DIQUATE 200 SL ALAMOS</t>
  </si>
  <si>
    <t xml:space="preserve">21000.038085/2021-10</t>
  </si>
  <si>
    <t xml:space="preserve">RESPECTOR</t>
  </si>
  <si>
    <t xml:space="preserve">21016.003778/2022-95</t>
  </si>
  <si>
    <t xml:space="preserve">BB-PROTEC, BEAUVISAN</t>
  </si>
  <si>
    <r>
      <rPr>
        <i val="true"/>
        <sz val="11"/>
        <color rgb="FF274E13"/>
        <rFont val="Arial"/>
        <family val="2"/>
        <charset val="1"/>
      </rPr>
      <t xml:space="preserve">Beauveria bassiana</t>
    </r>
    <r>
      <rPr>
        <sz val="11"/>
        <color rgb="FF274E13"/>
        <rFont val="Arial"/>
        <family val="2"/>
        <charset val="1"/>
      </rPr>
      <t xml:space="preserve">, Isolado R444</t>
    </r>
  </si>
  <si>
    <t xml:space="preserve">21000.071947/2019-93</t>
  </si>
  <si>
    <t xml:space="preserve">OLASOJA 500 SC</t>
  </si>
  <si>
    <t xml:space="preserve">21000.045872/2016-42</t>
  </si>
  <si>
    <t xml:space="preserve">CALIZI TOP 500 SC</t>
  </si>
  <si>
    <t xml:space="preserve">21000.007768/2020-36</t>
  </si>
  <si>
    <t xml:space="preserve">GLIFUMAX  </t>
  </si>
  <si>
    <t xml:space="preserve"> Fuhua</t>
  </si>
  <si>
    <t xml:space="preserve">21000.015536/2020-51</t>
  </si>
  <si>
    <t xml:space="preserve">PANZER DUO WG</t>
  </si>
  <si>
    <t xml:space="preserve">Flumioxazina; Clorimurom-etílico</t>
  </si>
  <si>
    <t xml:space="preserve">21016.006676/2022-21</t>
  </si>
  <si>
    <t xml:space="preserve"> CRISOBASE-E</t>
  </si>
  <si>
    <t xml:space="preserve">Chrysoperla externa
</t>
  </si>
  <si>
    <t xml:space="preserve">Base</t>
  </si>
  <si>
    <t xml:space="preserve">21000.031207/2016-71</t>
  </si>
  <si>
    <t xml:space="preserve">GLIFOSATO WYNCA 480 SL   </t>
  </si>
  <si>
    <t xml:space="preserve">21000.006612/2014-90</t>
  </si>
  <si>
    <t xml:space="preserve">BOIADEIRO 250 FS</t>
  </si>
  <si>
    <t xml:space="preserve">21000.042267/2021-87</t>
  </si>
  <si>
    <t xml:space="preserve">TECNUP SUPER 608</t>
  </si>
  <si>
    <t xml:space="preserve"> Glifosato, Sal de Dimetilamina</t>
  </si>
  <si>
    <t xml:space="preserve">21000.059861/2020-26</t>
  </si>
  <si>
    <t xml:space="preserve">S-METOLACLOR 960 EC SOLUS </t>
  </si>
  <si>
    <t xml:space="preserve">21000.038458/2016-87</t>
  </si>
  <si>
    <t xml:space="preserve"> INITIATE</t>
  </si>
  <si>
    <t xml:space="preserve">21000.028860/2017-34</t>
  </si>
  <si>
    <t xml:space="preserve">FIPRONIL 800 g/Kg WG  </t>
  </si>
  <si>
    <t xml:space="preserve">Fipronil </t>
  </si>
  <si>
    <t xml:space="preserve">21016.005299/2022-11</t>
  </si>
  <si>
    <t xml:space="preserve">BIONATURE TRICHO </t>
  </si>
  <si>
    <t xml:space="preserve">Agronatural </t>
  </si>
  <si>
    <t xml:space="preserve">21000.043244/2016-22</t>
  </si>
  <si>
    <t xml:space="preserve">DIHA WG </t>
  </si>
  <si>
    <t xml:space="preserve">21016.006440/2022-95</t>
  </si>
  <si>
    <t xml:space="preserve">MBC VETOR  </t>
  </si>
  <si>
    <t xml:space="preserve">Beauveria bassiana, IBCB 66; Metarhizium anisopliae, IBCB 425  </t>
  </si>
  <si>
    <t xml:space="preserve">21000.034790/2020-59</t>
  </si>
  <si>
    <t xml:space="preserve">ATEXZO ANT-F</t>
  </si>
  <si>
    <t xml:space="preserve">Isocicloseram </t>
  </si>
  <si>
    <t xml:space="preserve">21000.042539/2016-81</t>
  </si>
  <si>
    <t xml:space="preserve">MELODY WG  </t>
  </si>
  <si>
    <t xml:space="preserve">21000.029132/2020-45</t>
  </si>
  <si>
    <t xml:space="preserve">SPONTA</t>
  </si>
  <si>
    <t xml:space="preserve">21000.093759/2019-16</t>
  </si>
  <si>
    <t xml:space="preserve">JOINER</t>
  </si>
  <si>
    <t xml:space="preserve">21000.029135/2020-89</t>
  </si>
  <si>
    <t xml:space="preserve">VERDAVIS  </t>
  </si>
  <si>
    <t xml:space="preserve"> Isocicloseram; Lambda-Cialotrina</t>
  </si>
  <si>
    <t xml:space="preserve">21000.101213/2021-61</t>
  </si>
  <si>
    <t xml:space="preserve">TRICHOBACH  </t>
  </si>
  <si>
    <t xml:space="preserve">Trichoderma viride, cepa IBLF 1275; Trichoderma viride, cepa IBLF 1276; Trichoderma harzianum, cepa IBLF 1278; Trichoderma harzianum, cepa IBLF 1282</t>
  </si>
  <si>
    <t xml:space="preserve">HB Industria</t>
  </si>
  <si>
    <t xml:space="preserve">21016.003801/2022-41</t>
  </si>
  <si>
    <t xml:space="preserve">BVMACE</t>
  </si>
  <si>
    <t xml:space="preserve"> JB Biotecnologia </t>
  </si>
  <si>
    <t xml:space="preserve">21000.023428/2017-57</t>
  </si>
  <si>
    <t xml:space="preserve">CHLOROTHALONIL SINO-AGRI 720 g/L SC </t>
  </si>
  <si>
    <t xml:space="preserve">21000.026599/2016-57</t>
  </si>
  <si>
    <t xml:space="preserve">BOMBER</t>
  </si>
  <si>
    <t xml:space="preserve">21000.053435/2018-64</t>
  </si>
  <si>
    <t xml:space="preserve"> PERAK 100 EC  </t>
  </si>
  <si>
    <t xml:space="preserve">21016.004300/2022-82</t>
  </si>
  <si>
    <t xml:space="preserve">SOLETRA</t>
  </si>
  <si>
    <t xml:space="preserve">21000.042833/2018-55</t>
  </si>
  <si>
    <t xml:space="preserve">ROTAONE 500 SC</t>
  </si>
  <si>
    <t xml:space="preserve">21000.005607/2013-89</t>
  </si>
  <si>
    <t xml:space="preserve">HEXAPAX DRY  </t>
  </si>
  <si>
    <t xml:space="preserve">21016.003410/2022-27</t>
  </si>
  <si>
    <t xml:space="preserve">TAEGRO e KRIVESTA</t>
  </si>
  <si>
    <t xml:space="preserve">Bacillus amyloliquefaciens, cepa FZB24</t>
  </si>
  <si>
    <t xml:space="preserve">21000.020901/2016-63</t>
  </si>
  <si>
    <t xml:space="preserve">FLUTRIAFOL 500 SC PROVENTIS  </t>
  </si>
  <si>
    <t xml:space="preserve">21000.001186/2014-06</t>
  </si>
  <si>
    <t xml:space="preserve">HEXAGOLD </t>
  </si>
  <si>
    <t xml:space="preserve">21000.063484/2016-43</t>
  </si>
  <si>
    <t xml:space="preserve">HUCK</t>
  </si>
  <si>
    <t xml:space="preserve">HELM </t>
  </si>
  <si>
    <t xml:space="preserve">21016.005188/2021-16</t>
  </si>
  <si>
    <t xml:space="preserve">OXI 0104 BF </t>
  </si>
  <si>
    <t xml:space="preserve">21000.059542/2016-34</t>
  </si>
  <si>
    <t xml:space="preserve">BITMEX 250 SL </t>
  </si>
  <si>
    <t xml:space="preserve">21000.005604/2013-45</t>
  </si>
  <si>
    <t xml:space="preserve">HEXPAR SUPER</t>
  </si>
  <si>
    <t xml:space="preserve">21000.003224/2019-61</t>
  </si>
  <si>
    <t xml:space="preserve">ORO-SOLVE</t>
  </si>
  <si>
    <t xml:space="preserve">Enxofre   </t>
  </si>
  <si>
    <t xml:space="preserve">21000.005522/2021-19</t>
  </si>
  <si>
    <t xml:space="preserve">ACETAMIPRIDO+BIFENTRINA SC ALBAUGH 01  </t>
  </si>
  <si>
    <t xml:space="preserve">21000.054969/2018-16</t>
  </si>
  <si>
    <t xml:space="preserve">UPL 2013 FP  </t>
  </si>
  <si>
    <t xml:space="preserve">Azoxistrobina; Mancozebe; Protioconazol</t>
  </si>
  <si>
    <t xml:space="preserve">21000.036497/2016-40</t>
  </si>
  <si>
    <t xml:space="preserve">DEFLEXO</t>
  </si>
  <si>
    <t xml:space="preserve">21000.016055/2019-20</t>
  </si>
  <si>
    <t xml:space="preserve">MIRAVIS PRO</t>
  </si>
  <si>
    <t xml:space="preserve">Pidiflumetofem; Protioconazol</t>
  </si>
  <si>
    <t xml:space="preserve">21000.003987/2012-36</t>
  </si>
  <si>
    <t xml:space="preserve">CORSÁRIO 700 WG  </t>
  </si>
  <si>
    <t xml:space="preserve">21000.031981/2021-40</t>
  </si>
  <si>
    <t xml:space="preserve">CLOROTALONIL 720 SC TECNOMYL</t>
  </si>
  <si>
    <t xml:space="preserve">21000.054433/2017-10</t>
  </si>
  <si>
    <t xml:space="preserve">AUG 126 EC</t>
  </si>
  <si>
    <t xml:space="preserve">21016.003771/2022-73</t>
  </si>
  <si>
    <t xml:space="preserve">ROW-Vispo</t>
  </si>
  <si>
    <t xml:space="preserve"> Bacillus subtilis, cepa IAB/BS03</t>
  </si>
  <si>
    <t xml:space="preserve">21016.000962/2023-64</t>
  </si>
  <si>
    <t xml:space="preserve">BIOIN-LONGICAU-D  </t>
  </si>
  <si>
    <t xml:space="preserve">Diachasmimorpha longicaudata</t>
  </si>
  <si>
    <t xml:space="preserve">BioIn </t>
  </si>
  <si>
    <t xml:space="preserve">21000.056732/2020-86</t>
  </si>
  <si>
    <t xml:space="preserve">DEDALO ELITE  </t>
  </si>
  <si>
    <t xml:space="preserve">21000.052063/2017-78</t>
  </si>
  <si>
    <t xml:space="preserve"> CLORPIRIFÓS ALTA 480 EC </t>
  </si>
  <si>
    <t xml:space="preserve"> Clorpirifós</t>
  </si>
  <si>
    <t xml:space="preserve">ALTA </t>
  </si>
  <si>
    <t xml:space="preserve">21000.014010/2020-54</t>
  </si>
  <si>
    <t xml:space="preserve">QUATY  </t>
  </si>
  <si>
    <t xml:space="preserve">21000.054641/2017-19</t>
  </si>
  <si>
    <t xml:space="preserve"> AUG 126 EC BR </t>
  </si>
  <si>
    <t xml:space="preserve"> Avgust </t>
  </si>
  <si>
    <t xml:space="preserve">21000.049195/2016-31</t>
  </si>
  <si>
    <t xml:space="preserve">MILHA  </t>
  </si>
  <si>
    <t xml:space="preserve">21016.005468/2022-13</t>
  </si>
  <si>
    <t xml:space="preserve">GNC 006-4</t>
  </si>
  <si>
    <t xml:space="preserve">Trichoderma asperellum, isolado CBMAI 1622</t>
  </si>
  <si>
    <t xml:space="preserve">21000.016596/2021-72</t>
  </si>
  <si>
    <t xml:space="preserve">DANTOP</t>
  </si>
  <si>
    <t xml:space="preserve">21000.007122/2019-15</t>
  </si>
  <si>
    <t xml:space="preserve">SEGONIS®</t>
  </si>
  <si>
    <t xml:space="preserve">Mefentrifluconazol; Piraclostrobina</t>
  </si>
  <si>
    <t xml:space="preserve">21000.008605/2019-37</t>
  </si>
  <si>
    <t xml:space="preserve">TONAC</t>
  </si>
  <si>
    <t xml:space="preserve">Mefentrifluconazol</t>
  </si>
  <si>
    <t xml:space="preserve">21016.005726/2022-53</t>
  </si>
  <si>
    <t xml:space="preserve">BTP 173-21A  </t>
  </si>
  <si>
    <t xml:space="preserve">21000.001451/2014-48</t>
  </si>
  <si>
    <t xml:space="preserve">JUVIX BR</t>
  </si>
  <si>
    <t xml:space="preserve">Aminociclopiracloro, Sal de Potássio</t>
  </si>
  <si>
    <t xml:space="preserve">21000.007421/2012-83</t>
  </si>
  <si>
    <t xml:space="preserve">JUVIX</t>
  </si>
  <si>
    <t xml:space="preserve">21000.038574/2018-68</t>
  </si>
  <si>
    <t xml:space="preserve">MINOS CAPS 360 CS</t>
  </si>
  <si>
    <t xml:space="preserve">21000.047803/2017-54</t>
  </si>
  <si>
    <t xml:space="preserve">AUDACE  </t>
  </si>
  <si>
    <t xml:space="preserve">21000.004843/2020-15</t>
  </si>
  <si>
    <t xml:space="preserve">TUCANO</t>
  </si>
  <si>
    <t xml:space="preserve">21000.048978/2016-06</t>
  </si>
  <si>
    <t xml:space="preserve">ROTACHLOR 960 EC</t>
  </si>
  <si>
    <t xml:space="preserve">21016.005769/2022-39</t>
  </si>
  <si>
    <t xml:space="preserve">GRATTO META</t>
  </si>
  <si>
    <t xml:space="preserve">21000.009142/2017-69</t>
  </si>
  <si>
    <t xml:space="preserve">ELIOS 800 WG</t>
  </si>
  <si>
    <t xml:space="preserve">21000.081321/2020-29</t>
  </si>
  <si>
    <t xml:space="preserve"> FEAT</t>
  </si>
  <si>
    <t xml:space="preserve">Amicarbazona, Sal de dietanolamina do 2,4-D</t>
  </si>
  <si>
    <t xml:space="preserve">21000.063678/2016-49</t>
  </si>
  <si>
    <t xml:space="preserve">XEQUE MATE WG  </t>
  </si>
  <si>
    <t xml:space="preserve">21000.084512/2019-17</t>
  </si>
  <si>
    <t xml:space="preserve">COMPRAY </t>
  </si>
  <si>
    <t xml:space="preserve">21016.001333/2023-51</t>
  </si>
  <si>
    <t xml:space="preserve">MIRAH</t>
  </si>
  <si>
    <t xml:space="preserve">21016.001340/2023-53</t>
  </si>
  <si>
    <t xml:space="preserve">TITÃ  </t>
  </si>
  <si>
    <t xml:space="preserve">Bem da Terra</t>
  </si>
  <si>
    <t xml:space="preserve">21016.001377/2022-09</t>
  </si>
  <si>
    <t xml:space="preserve">OPENEEM VALENTE</t>
  </si>
  <si>
    <t xml:space="preserve">Extrato de Azadirachta indica</t>
  </si>
  <si>
    <t xml:space="preserve">Openeem</t>
  </si>
  <si>
    <t xml:space="preserve">21016.005288/2022-23</t>
  </si>
  <si>
    <t xml:space="preserve">BIONATURE BM </t>
  </si>
  <si>
    <t xml:space="preserve">21000.044346/2016-65</t>
  </si>
  <si>
    <t xml:space="preserve">SAPEK 200 SL</t>
  </si>
  <si>
    <t xml:space="preserve">21000.026684/2020-00</t>
  </si>
  <si>
    <t xml:space="preserve">GLIFUMAX 72% HL</t>
  </si>
  <si>
    <t xml:space="preserve">21000.100959/2021-57</t>
  </si>
  <si>
    <t xml:space="preserve">FrontierControl</t>
  </si>
  <si>
    <t xml:space="preserve">Bacillus velezensis (Cepa Labim 40)</t>
  </si>
  <si>
    <t xml:space="preserve">21016.005398/2022-95</t>
  </si>
  <si>
    <t xml:space="preserve">BTP 173-21  </t>
  </si>
  <si>
    <t xml:space="preserve">21016.003919/2022-70</t>
  </si>
  <si>
    <t xml:space="preserve">BTP 156-21</t>
  </si>
  <si>
    <t xml:space="preserve">21016.003921/2022-49</t>
  </si>
  <si>
    <t xml:space="preserve">BTP 156-21A</t>
  </si>
  <si>
    <t xml:space="preserve">21016.003927/2022-16</t>
  </si>
  <si>
    <t xml:space="preserve">BTP 156-21B  </t>
  </si>
  <si>
    <t xml:space="preserve">Extrato de Azadiractina indica </t>
  </si>
  <si>
    <t xml:space="preserve">21016.004169/2022-53</t>
  </si>
  <si>
    <t xml:space="preserve">BTP 152-21</t>
  </si>
  <si>
    <t xml:space="preserve">21016.004220/2022-27</t>
  </si>
  <si>
    <t xml:space="preserve"> BTP 152-21A  </t>
  </si>
  <si>
    <t xml:space="preserve"> Extrato de Azadiractina indica </t>
  </si>
  <si>
    <t xml:space="preserve">21016.004238/2022-29</t>
  </si>
  <si>
    <t xml:space="preserve">BTP 152-21B  </t>
  </si>
  <si>
    <t xml:space="preserve">21016.005950/2022-45</t>
  </si>
  <si>
    <t xml:space="preserve">BTP 066-20 SC  </t>
  </si>
  <si>
    <t xml:space="preserve">21000.047170/2016-01</t>
  </si>
  <si>
    <t xml:space="preserve"> SULFOMETURON NORTOX  </t>
  </si>
  <si>
    <t xml:space="preserve">Sulfometurom metílico</t>
  </si>
  <si>
    <t xml:space="preserve">21000.001976/2020-21</t>
  </si>
  <si>
    <t xml:space="preserve">GLYSATE 608 PRO  </t>
  </si>
  <si>
    <t xml:space="preserve">Glifosato, sal dimetilamina</t>
  </si>
  <si>
    <t xml:space="preserve">21000.080647/2020-39</t>
  </si>
  <si>
    <t xml:space="preserve">S- METOLACLOR 960 EC PERTERRA  </t>
  </si>
  <si>
    <t xml:space="preserve">21016.006169/2021-15</t>
  </si>
  <si>
    <t xml:space="preserve">OXI 0111 BF</t>
  </si>
  <si>
    <t xml:space="preserve">Ciproconazol; Picoxistrobina; Oxicloreto de Cobre</t>
  </si>
  <si>
    <t xml:space="preserve">21016.005197/2022-98</t>
  </si>
  <si>
    <t xml:space="preserve">PHC 25279 WP </t>
  </si>
  <si>
    <t xml:space="preserve">Peptídeo Derivado de Proteína Harpin (PDPH)</t>
  </si>
  <si>
    <t xml:space="preserve">Plant Health</t>
  </si>
  <si>
    <t xml:space="preserve">21000.015433/2018-77</t>
  </si>
  <si>
    <t xml:space="preserve">DESTREZ</t>
  </si>
  <si>
    <t xml:space="preserve">Lambda-cialotrina; Acetamiprido</t>
  </si>
  <si>
    <t xml:space="preserve">21000.038733/2018-24</t>
  </si>
  <si>
    <t xml:space="preserve">APICE</t>
  </si>
  <si>
    <t xml:space="preserve">Terbutilazina; Tolpiralate</t>
  </si>
  <si>
    <t xml:space="preserve">21000.049697/2020-49</t>
  </si>
  <si>
    <t xml:space="preserve">PRIMORDIM</t>
  </si>
  <si>
    <t xml:space="preserve">21000.093760/2019-41</t>
  </si>
  <si>
    <t xml:space="preserve">AVOLTEC</t>
  </si>
  <si>
    <t xml:space="preserve"> Isocycloseram</t>
  </si>
  <si>
    <t xml:space="preserve">21000.036825/2016-16</t>
  </si>
  <si>
    <t xml:space="preserve">S-METOLACLORO NORTOX</t>
  </si>
  <si>
    <t xml:space="preserve">21000.058798/2016-24</t>
  </si>
  <si>
    <t xml:space="preserve">RAKER</t>
  </si>
  <si>
    <t xml:space="preserve">Tolpiralate</t>
  </si>
  <si>
    <t xml:space="preserve">21000.023905/2020-80</t>
  </si>
  <si>
    <t xml:space="preserve">ESBRILHA MIXX</t>
  </si>
  <si>
    <t xml:space="preserve">Atrazina; Mesotriona; S-Metolacloro</t>
  </si>
  <si>
    <t xml:space="preserve">21000.010032/2018-21</t>
  </si>
  <si>
    <t xml:space="preserve">BELEAF</t>
  </si>
  <si>
    <t xml:space="preserve">21000.023507/2017-68</t>
  </si>
  <si>
    <t xml:space="preserve">BRUCIA</t>
  </si>
  <si>
    <t xml:space="preserve"> Tolpiralate</t>
  </si>
  <si>
    <t xml:space="preserve">21000.052726/2017-54</t>
  </si>
  <si>
    <t xml:space="preserve"> SFAGI​</t>
  </si>
  <si>
    <t xml:space="preserve">21000.038920/2018-16</t>
  </si>
  <si>
    <t xml:space="preserve">DELROS 25 EC</t>
  </si>
  <si>
    <t xml:space="preserve">Deltametrina</t>
  </si>
  <si>
    <t xml:space="preserve">21000.015793/2018-79</t>
  </si>
  <si>
    <t xml:space="preserve">PROTECPHOS 56</t>
  </si>
  <si>
    <t xml:space="preserve">Protec </t>
  </si>
  <si>
    <t xml:space="preserve">21016.010012/2021-86</t>
  </si>
  <si>
    <t xml:space="preserve"> DISSARA</t>
  </si>
  <si>
    <t xml:space="preserve">Bacillus thuringiensis S 234; Metarhizium rileyi CG 1153</t>
  </si>
  <si>
    <t xml:space="preserve"> Bionat </t>
  </si>
  <si>
    <t xml:space="preserve">21016.001612/2021-53</t>
  </si>
  <si>
    <t xml:space="preserve">TORBAN PLUS</t>
  </si>
  <si>
    <t xml:space="preserve">Picloram, sal tri-isopropanolamina; 2,4-D,  sal tri-isopropanolamina</t>
  </si>
  <si>
    <t xml:space="preserve">21016.006755/2022-32</t>
  </si>
  <si>
    <t xml:space="preserve">OPENEEM VIVAZ</t>
  </si>
  <si>
    <r>
      <rPr>
        <sz val="11"/>
        <color rgb="FF274E13"/>
        <rFont val="Arial"/>
        <family val="2"/>
        <charset val="1"/>
      </rPr>
      <t xml:space="preserve">Extrato de </t>
    </r>
    <r>
      <rPr>
        <i val="true"/>
        <sz val="11"/>
        <color rgb="FF274E13"/>
        <rFont val="Arial"/>
        <family val="2"/>
        <charset val="1"/>
      </rPr>
      <t xml:space="preserve">Azadirachta indica</t>
    </r>
  </si>
  <si>
    <t xml:space="preserve"> Openeem </t>
  </si>
  <si>
    <t xml:space="preserve">21016.004341/2022-79</t>
  </si>
  <si>
    <t xml:space="preserve">BV1418</t>
  </si>
  <si>
    <t xml:space="preserve">Isaria javanica,  Isolado BV14</t>
  </si>
  <si>
    <t xml:space="preserve">21000.053664/2019-60</t>
  </si>
  <si>
    <t xml:space="preserve">PIZIN XTRA</t>
  </si>
  <si>
    <t xml:space="preserve">21000.004883/2010-87</t>
  </si>
  <si>
    <t xml:space="preserve">PICLORAM NORTOX  </t>
  </si>
  <si>
    <t xml:space="preserve"> Picloram</t>
  </si>
  <si>
    <t xml:space="preserve">21016.006177/2022-34</t>
  </si>
  <si>
    <t xml:space="preserve">COTESIABUG  </t>
  </si>
  <si>
    <t xml:space="preserve">21000.003120/2019-57</t>
  </si>
  <si>
    <t xml:space="preserve">MIBELYA</t>
  </si>
  <si>
    <t xml:space="preserve">Fluxapiroxade; Mefentrifluconazole</t>
  </si>
  <si>
    <t xml:space="preserve">21016.003772/2022-18</t>
  </si>
  <si>
    <t xml:space="preserve">MILAGRUM PLUS</t>
  </si>
  <si>
    <t xml:space="preserve">Bacillus subtilis cepa IABBS03</t>
  </si>
  <si>
    <t xml:space="preserve">Agrotecnologia</t>
  </si>
  <si>
    <t xml:space="preserve">21000.003883/2012-21</t>
  </si>
  <si>
    <t xml:space="preserve">KAISO MAX</t>
  </si>
  <si>
    <t xml:space="preserve">21000.012432/2010-13</t>
  </si>
  <si>
    <t xml:space="preserve"> GLIFOSATO G 480 HELM</t>
  </si>
  <si>
    <t xml:space="preserve">Glifosato, sal de isopropilamina</t>
  </si>
  <si>
    <t xml:space="preserve">21000.019554/2018-98</t>
  </si>
  <si>
    <t xml:space="preserve">TERRAD'OR 700 WG</t>
  </si>
  <si>
    <t xml:space="preserve">Tiafenacil </t>
  </si>
  <si>
    <t xml:space="preserve">21000.083844/2019-76</t>
  </si>
  <si>
    <t xml:space="preserve">ACEMIP</t>
  </si>
  <si>
    <t xml:space="preserve">21000.076480/2019-78</t>
  </si>
  <si>
    <t xml:space="preserve">PILARTROBIN</t>
  </si>
  <si>
    <t xml:space="preserve">21016.004910/2022-86</t>
  </si>
  <si>
    <t xml:space="preserve">AUBA (ARTEFATO, TEROS e NERUT)</t>
  </si>
  <si>
    <t xml:space="preserve">Bacillus amyloliquefaciens, CEPA CN-307</t>
  </si>
  <si>
    <t xml:space="preserve">Nooa</t>
  </si>
  <si>
    <t xml:space="preserve">21000.056402/2016-12</t>
  </si>
  <si>
    <t xml:space="preserve">MOL 2,4D 806 SL  </t>
  </si>
  <si>
    <t xml:space="preserve">2,4-D Amina</t>
  </si>
  <si>
    <t xml:space="preserve">21000.008544/2015-84</t>
  </si>
  <si>
    <t xml:space="preserve">GALAPUS</t>
  </si>
  <si>
    <t xml:space="preserve">21000.008754/2018-15</t>
  </si>
  <si>
    <t xml:space="preserve">BRAVE</t>
  </si>
  <si>
    <t xml:space="preserve">Haloxifope-P-metílico; Glufosinato</t>
  </si>
  <si>
    <t xml:space="preserve">21016.005892/2022-50</t>
  </si>
  <si>
    <t xml:space="preserve">SOLUBIO RAIZ PERFORMANCE</t>
  </si>
  <si>
    <t xml:space="preserve">Bacillus subtilis, isolado CCT 7993</t>
  </si>
  <si>
    <t xml:space="preserve">21000.031753/2016-11</t>
  </si>
  <si>
    <t xml:space="preserve">PIRACLOSTROBIN 250 EC YONON </t>
  </si>
  <si>
    <t xml:space="preserve">21000.036179/2017-60</t>
  </si>
  <si>
    <t xml:space="preserve">TOLLEN</t>
  </si>
  <si>
    <t xml:space="preserve">21000.036184/2017-72</t>
  </si>
  <si>
    <t xml:space="preserve">UNIZEB GOLD BR</t>
  </si>
  <si>
    <t xml:space="preserve">21000.021653/2016-78</t>
  </si>
  <si>
    <t xml:space="preserve">UPL 3150 FP</t>
  </si>
  <si>
    <t xml:space="preserve">21000.054949/2018-37</t>
  </si>
  <si>
    <t xml:space="preserve">RUSTOP</t>
  </si>
  <si>
    <t xml:space="preserve">Fluindapyr; Azoxistrobina</t>
  </si>
  <si>
    <t xml:space="preserve">21000.044534/2020-70</t>
  </si>
  <si>
    <t xml:space="preserve">RESURIS</t>
  </si>
  <si>
    <t xml:space="preserve">Fluindapyr; Clorotalonil</t>
  </si>
  <si>
    <t xml:space="preserve">21000.008075/2017-65</t>
  </si>
  <si>
    <t xml:space="preserve">TEBUCONAZOLE 430 g/L SC  </t>
  </si>
  <si>
    <t xml:space="preserve">21016.002732/2022-59</t>
  </si>
  <si>
    <t xml:space="preserve">NACILLUS MAX</t>
  </si>
  <si>
    <t xml:space="preserve">Bacillus subtilis cepa N5; Bacillus licheniformis cepa Copihue; Brevibacillus parabrevis cepa N4</t>
  </si>
  <si>
    <t xml:space="preserve">21016.004022/2022-63</t>
  </si>
  <si>
    <t xml:space="preserve">BIOTRIX</t>
  </si>
  <si>
    <t xml:space="preserve">Trichoderma harzianum, Cepa BRM 29600</t>
  </si>
  <si>
    <t xml:space="preserve">21016.003770/2022-29</t>
  </si>
  <si>
    <t xml:space="preserve">OSPO Vi55</t>
  </si>
  <si>
    <t xml:space="preserve"> Bacillus subtilis cepa IAB/BS03</t>
  </si>
  <si>
    <t xml:space="preserve">21016.006536/2022-53</t>
  </si>
  <si>
    <t xml:space="preserve">NEMAX</t>
  </si>
  <si>
    <t xml:space="preserve">Bacillus amyloliquefaciens, isolado CBMAI 2356</t>
  </si>
  <si>
    <t xml:space="preserve">21016.006493/2022-14</t>
  </si>
  <si>
    <t xml:space="preserve">BIOMA - B.Bv 10</t>
  </si>
  <si>
    <t xml:space="preserve">Bacillus velezensis,  isolado CCT 7944</t>
  </si>
  <si>
    <t xml:space="preserve">21016.006007/2022-50</t>
  </si>
  <si>
    <t xml:space="preserve">BIAGRO RAIZ</t>
  </si>
  <si>
    <t xml:space="preserve">Bacillus velezensis, isolado CCT 7943</t>
  </si>
  <si>
    <t xml:space="preserve">21000.040618/2016-58</t>
  </si>
  <si>
    <t xml:space="preserve">PATRULHA</t>
  </si>
  <si>
    <t xml:space="preserve">21000.036494/2016-14</t>
  </si>
  <si>
    <t xml:space="preserve">ZILLA</t>
  </si>
  <si>
    <t xml:space="preserve">21000.030299/2018-34</t>
  </si>
  <si>
    <t xml:space="preserve">ONSUVA</t>
  </si>
  <si>
    <t xml:space="preserve">Fluindapyr; Difenoconazol</t>
  </si>
  <si>
    <t xml:space="preserve">21000.060768/2019-21</t>
  </si>
  <si>
    <t xml:space="preserve">TRUSINATE XTRA</t>
  </si>
  <si>
    <t xml:space="preserve">21016.006965/2022-21</t>
  </si>
  <si>
    <t xml:space="preserve">BTP 167-21</t>
  </si>
  <si>
    <t xml:space="preserve">21000.083932/2021-92</t>
  </si>
  <si>
    <t xml:space="preserve">TRIZEB</t>
  </si>
  <si>
    <t xml:space="preserve">21000.017028/2016-21</t>
  </si>
  <si>
    <t xml:space="preserve">TESLA 750 WG</t>
  </si>
  <si>
    <t xml:space="preserve">21000.004810/2012-57</t>
  </si>
  <si>
    <t xml:space="preserve">EVIDENCE ENERGY</t>
  </si>
  <si>
    <t xml:space="preserve">21016.005986/2022-29</t>
  </si>
  <si>
    <t xml:space="preserve">TRYBA</t>
  </si>
  <si>
    <t xml:space="preserve">Trichoderma harzianum, isolado SVG-00003-F; Trichoderma asperellum, isolado SVG-00124-F; Bacillus amyloliquefaciens, isolado SVG-0036-B; Bacillus subtilis, isolado SVG-0037-B </t>
  </si>
  <si>
    <t xml:space="preserve">21000.010591/2018-31</t>
  </si>
  <si>
    <t xml:space="preserve">GLIMOR WG</t>
  </si>
  <si>
    <t xml:space="preserve">21000.005669/2018-03</t>
  </si>
  <si>
    <t xml:space="preserve">TRICLOPIR TIDE 480 EC</t>
  </si>
  <si>
    <t xml:space="preserve">21016.001344/2023-31</t>
  </si>
  <si>
    <t xml:space="preserve">GARANTTE</t>
  </si>
  <si>
    <r>
      <rPr>
        <i val="true"/>
        <sz val="11"/>
        <color rgb="FF274E13"/>
        <rFont val="Arial"/>
        <family val="2"/>
        <charset val="1"/>
      </rPr>
      <t xml:space="preserve">Trichoderma harzianum</t>
    </r>
    <r>
      <rPr>
        <sz val="11"/>
        <color rgb="FF274E13"/>
        <rFont val="Arial"/>
        <family val="2"/>
        <charset val="1"/>
      </rPr>
      <t xml:space="preserve">, isolado IB19/17</t>
    </r>
  </si>
  <si>
    <t xml:space="preserve">Bem Da Terra </t>
  </si>
  <si>
    <t xml:space="preserve">21000.070580/2020-24</t>
  </si>
  <si>
    <t xml:space="preserve">DICAVEL</t>
  </si>
  <si>
    <t xml:space="preserve">Dicamba </t>
  </si>
  <si>
    <t xml:space="preserve">21000.005144/2019-41</t>
  </si>
  <si>
    <t xml:space="preserve">FARRUCA</t>
  </si>
  <si>
    <t xml:space="preserve">21016.002018/2023-41</t>
  </si>
  <si>
    <t xml:space="preserve">THEROS</t>
  </si>
  <si>
    <t xml:space="preserve"> Telenomus podisi</t>
  </si>
  <si>
    <t xml:space="preserve">21000.023908/2020-13</t>
  </si>
  <si>
    <t xml:space="preserve">COMPRENIL MIXX</t>
  </si>
  <si>
    <t xml:space="preserve">Clorotalonil; Trifloxistrobina; Ciproconazol</t>
  </si>
  <si>
    <t xml:space="preserve">21016.001914/2023-93</t>
  </si>
  <si>
    <t xml:space="preserve">HARZ WP</t>
  </si>
  <si>
    <t xml:space="preserve">21016.001424/2023-97</t>
  </si>
  <si>
    <t xml:space="preserve">BIO SOLUBILIZE</t>
  </si>
  <si>
    <t xml:space="preserve">Priestia megaterium, isolado CCT 7987</t>
  </si>
  <si>
    <t xml:space="preserve">21000.053767/2016-87</t>
  </si>
  <si>
    <t xml:space="preserve">PROVENCE DUO</t>
  </si>
  <si>
    <t xml:space="preserve">Isoxaflutol; Metribuzim</t>
  </si>
  <si>
    <t xml:space="preserve">21000.062153/2016-96</t>
  </si>
  <si>
    <t xml:space="preserve">GLYPHOSH 480 SL</t>
  </si>
  <si>
    <t xml:space="preserve">21000.044490/2020-88</t>
  </si>
  <si>
    <t xml:space="preserve">ACETA CROP 200 SP</t>
  </si>
  <si>
    <t xml:space="preserve">21000.025936/2017-70</t>
  </si>
  <si>
    <t xml:space="preserve">OLASUL 500 SC</t>
  </si>
  <si>
    <t xml:space="preserve">21000.009620/2018-11</t>
  </si>
  <si>
    <t xml:space="preserve">ZALTUS</t>
  </si>
  <si>
    <t xml:space="preserve">Tetraconazol; Fluindapyr</t>
  </si>
  <si>
    <t xml:space="preserve">21000.008964/2014-80</t>
  </si>
  <si>
    <t xml:space="preserve">CYMPLE 250 EC</t>
  </si>
  <si>
    <t xml:space="preserve">21000.008897/2014-01</t>
  </si>
  <si>
    <t xml:space="preserve">CYP 250 EC</t>
  </si>
  <si>
    <t xml:space="preserve">21000.042832/2016-49</t>
  </si>
  <si>
    <t xml:space="preserve">HEDA WG</t>
  </si>
  <si>
    <t xml:space="preserve">21000.043246/2016-11</t>
  </si>
  <si>
    <t xml:space="preserve">SHAHADUR WG</t>
  </si>
  <si>
    <t xml:space="preserve">21000.012235/2018-51</t>
  </si>
  <si>
    <t xml:space="preserve">BIOFRESH 200 SL</t>
  </si>
  <si>
    <t xml:space="preserve">21000.001009/2015-01</t>
  </si>
  <si>
    <t xml:space="preserve">AZOXY + CYPRO 280 SC PLS CL1</t>
  </si>
  <si>
    <t xml:space="preserve">21016.006579/2022-39</t>
  </si>
  <si>
    <t xml:space="preserve">BIO STENOMA</t>
  </si>
  <si>
    <t xml:space="preserve">(Z)-9,13-Tetradecadienal</t>
  </si>
  <si>
    <t xml:space="preserve">21016.006809/2022-60</t>
  </si>
  <si>
    <t xml:space="preserve">BIOTURIM  </t>
  </si>
  <si>
    <t xml:space="preserve">21000.015842/2011-05</t>
  </si>
  <si>
    <t xml:space="preserve">GALIL</t>
  </si>
  <si>
    <t xml:space="preserve"> Imidacloprido; Bifentrina</t>
  </si>
  <si>
    <t xml:space="preserve">21016.006506/2022-47</t>
  </si>
  <si>
    <t xml:space="preserve">BIOASIS POWER</t>
  </si>
  <si>
    <t xml:space="preserve">Bacillus aryabhattai, isolado CBMAI1120; Bacillus haynesii, isolado CCT7926; Bacillus circulans, isolado CCT0026   </t>
  </si>
  <si>
    <t xml:space="preserve">21016.008005/2021-14</t>
  </si>
  <si>
    <t xml:space="preserve">APALEO</t>
  </si>
  <si>
    <t xml:space="preserve">Agro-lead</t>
  </si>
  <si>
    <t xml:space="preserve">21000.003066/2020-83</t>
  </si>
  <si>
    <t xml:space="preserve">ELEVORE</t>
  </si>
  <si>
    <t xml:space="preserve">Halauxifen-metil</t>
  </si>
  <si>
    <t xml:space="preserve">CTVA Proteção de Cultivos Ltda.</t>
  </si>
  <si>
    <t xml:space="preserve">21000.056084/2021-49</t>
  </si>
  <si>
    <t xml:space="preserve">ARCEUS</t>
  </si>
  <si>
    <t xml:space="preserve"> Indoxacarbe</t>
  </si>
  <si>
    <t xml:space="preserve">21000.008574/2018-33</t>
  </si>
  <si>
    <t xml:space="preserve">ELIOS WG SNB</t>
  </si>
  <si>
    <t xml:space="preserve">21016.001266/2023-75</t>
  </si>
  <si>
    <t xml:space="preserve">BTP 0159-21 AC</t>
  </si>
  <si>
    <t xml:space="preserve">Bacillus thuringiensis, isolados CCTB22 e CCTB25; Brevibacillus laterosporus, isolado CCT492</t>
  </si>
  <si>
    <t xml:space="preserve">21016.007188/2022-31</t>
  </si>
  <si>
    <t xml:space="preserve">BV1219</t>
  </si>
  <si>
    <t xml:space="preserve"> Metarhizium anisopliae BV12</t>
  </si>
  <si>
    <t xml:space="preserve">21000.027646/2018-41</t>
  </si>
  <si>
    <t xml:space="preserve">ALTO ELITE</t>
  </si>
  <si>
    <t xml:space="preserve">Ciproconazol; Clorotalonil</t>
  </si>
  <si>
    <t xml:space="preserve">21000.007389/2018-21</t>
  </si>
  <si>
    <t xml:space="preserve">UPL 1022 FP</t>
  </si>
  <si>
    <t xml:space="preserve">21016.005154/2022-11</t>
  </si>
  <si>
    <t xml:space="preserve">EXC 5500</t>
  </si>
  <si>
    <t xml:space="preserve">21016.002118/2023-78</t>
  </si>
  <si>
    <t xml:space="preserve">CRYPER</t>
  </si>
  <si>
    <t xml:space="preserve"> Bacillus thuringiensis, var. kurstaki, Isolado HD-1 (S1450)</t>
  </si>
  <si>
    <t xml:space="preserve">21016.001374/2022-67</t>
  </si>
  <si>
    <t xml:space="preserve">SCUDEIRO NORTOX</t>
  </si>
  <si>
    <t xml:space="preserve">Protioconazol; Tebuconazol</t>
  </si>
  <si>
    <t xml:space="preserve">21000.056707/2020-01</t>
  </si>
  <si>
    <t xml:space="preserve">WEEDCLEAN</t>
  </si>
  <si>
    <t xml:space="preserve">21000.001738/2010-44</t>
  </si>
  <si>
    <t xml:space="preserve">IMIDACLOPRIDO 200 SC AGRIA</t>
  </si>
  <si>
    <t xml:space="preserve">21000.018379/2020-36</t>
  </si>
  <si>
    <t xml:space="preserve">ACEGOL</t>
  </si>
  <si>
    <t xml:space="preserve">21000.007767/2020-91</t>
  </si>
  <si>
    <t xml:space="preserve">TUCANO 2</t>
  </si>
  <si>
    <t xml:space="preserve">21000.075567/2019-28</t>
  </si>
  <si>
    <t xml:space="preserve">CARTAZ 500 SC</t>
  </si>
  <si>
    <t xml:space="preserve">21000.057268/2016-69</t>
  </si>
  <si>
    <t xml:space="preserve">MIL FH 0602/13</t>
  </si>
  <si>
    <t xml:space="preserve">Imazetapir; Sulfentrazona</t>
  </si>
  <si>
    <t xml:space="preserve">21000.017906/2017-90</t>
  </si>
  <si>
    <t xml:space="preserve">MALATHOR</t>
  </si>
  <si>
    <t xml:space="preserve">21000.051344/2018-94</t>
  </si>
  <si>
    <t xml:space="preserve">CLOFOS 480 EC</t>
  </si>
  <si>
    <t xml:space="preserve">21000.042349/2018-26</t>
  </si>
  <si>
    <t xml:space="preserve">GINETE 212 SL</t>
  </si>
  <si>
    <t xml:space="preserve">21000.062869/2016-93</t>
  </si>
  <si>
    <t xml:space="preserve">BAKTI-BIO 480 SL</t>
  </si>
  <si>
    <t xml:space="preserve">21000.053996/2020-88</t>
  </si>
  <si>
    <t xml:space="preserve">TERRA FORTE NF</t>
  </si>
  <si>
    <t xml:space="preserve">21000.000319/2018-42</t>
  </si>
  <si>
    <t xml:space="preserve"> GYPSY 800 WG </t>
  </si>
  <si>
    <t xml:space="preserve">21000.009979/2021-94</t>
  </si>
  <si>
    <t xml:space="preserve"> TIMBER 500 SC</t>
  </si>
  <si>
    <t xml:space="preserve">21000.010791/2020-16</t>
  </si>
  <si>
    <t xml:space="preserve">SERVAL 790 WG</t>
  </si>
  <si>
    <t xml:space="preserve">21000.044341/2016-32</t>
  </si>
  <si>
    <t xml:space="preserve">ALBA</t>
  </si>
  <si>
    <t xml:space="preserve">21000.091202/2019-41</t>
  </si>
  <si>
    <t xml:space="preserve">PICLORAM YONON</t>
  </si>
  <si>
    <t xml:space="preserve">21000.000372/2010-96</t>
  </si>
  <si>
    <t xml:space="preserve">IMIDACLOPRID 700 WG D`VERDE</t>
  </si>
  <si>
    <t xml:space="preserve">D´Verde</t>
  </si>
  <si>
    <t xml:space="preserve">21000.008639/2015-06</t>
  </si>
  <si>
    <t xml:space="preserve">METRIBUZIM 480 SC C</t>
  </si>
  <si>
    <t xml:space="preserve">21000.083637/2020-55</t>
  </si>
  <si>
    <t xml:space="preserve">PREVENTIS</t>
  </si>
  <si>
    <t xml:space="preserve">21000.074512/2019-09</t>
  </si>
  <si>
    <t xml:space="preserve"> SUNPHOSATE PREMIER</t>
  </si>
  <si>
    <t xml:space="preserve">Glifosato Potássio</t>
  </si>
  <si>
    <t xml:space="preserve">21000.076418/2020-10</t>
  </si>
  <si>
    <t xml:space="preserve">TRINEXAPAQUE-ETÍLICO EC ALBAUGH 01</t>
  </si>
  <si>
    <t xml:space="preserve">Trinexapaque-etílico </t>
  </si>
  <si>
    <t xml:space="preserve">21016.001359/2023-08</t>
  </si>
  <si>
    <t xml:space="preserve">GRATTO HARZ</t>
  </si>
  <si>
    <t xml:space="preserve">21000.033430/2017-34</t>
  </si>
  <si>
    <t xml:space="preserve">PROEZA 480 EC</t>
  </si>
  <si>
    <t xml:space="preserve">21000.054490/2017-91</t>
  </si>
  <si>
    <t xml:space="preserve">RAKER TOP</t>
  </si>
  <si>
    <t xml:space="preserve">Tolpiralate; Nicossulfurom</t>
  </si>
  <si>
    <t xml:space="preserve">Isk Biosciences </t>
  </si>
  <si>
    <t xml:space="preserve">21000.091906/2019-13</t>
  </si>
  <si>
    <t xml:space="preserve">KEYRA</t>
  </si>
  <si>
    <t xml:space="preserve">Fenpropimorfe; Mefentrifluconazol</t>
  </si>
  <si>
    <t xml:space="preserve">BASF S.A.</t>
  </si>
  <si>
    <t xml:space="preserve">21000.017000/2023-13</t>
  </si>
  <si>
    <t xml:space="preserve">SINSMART</t>
  </si>
  <si>
    <t xml:space="preserve">Bacillus amyloliquefaciens, cepa CL3</t>
  </si>
  <si>
    <t xml:space="preserve">Sinon </t>
  </si>
  <si>
    <t xml:space="preserve">21000.051417/2016-86</t>
  </si>
  <si>
    <t xml:space="preserve">LEME 960 EC</t>
  </si>
  <si>
    <t xml:space="preserve">21000.075611/2019-08</t>
  </si>
  <si>
    <t xml:space="preserve">NEW ELATUS 2</t>
  </si>
  <si>
    <t xml:space="preserve">Benzovindiflupir; Ciproconazol</t>
  </si>
  <si>
    <t xml:space="preserve">21016.000919/2022-18</t>
  </si>
  <si>
    <t xml:space="preserve">PROGRANIC INSECT OUT</t>
  </si>
  <si>
    <t xml:space="preserve"> Extrato de Argemone Mexicana</t>
  </si>
  <si>
    <t xml:space="preserve">Naturacide</t>
  </si>
  <si>
    <t xml:space="preserve">21016.003869/2023-10</t>
  </si>
  <si>
    <t xml:space="preserve">CRISO-MAX</t>
  </si>
  <si>
    <t xml:space="preserve">Chrysoperla externa </t>
  </si>
  <si>
    <t xml:space="preserve">21000.031235/2020-75</t>
  </si>
  <si>
    <t xml:space="preserve">PUPENDO</t>
  </si>
  <si>
    <t xml:space="preserve">Clorotalonil; Ciproconazol; Trifloxistrobina</t>
  </si>
  <si>
    <t xml:space="preserve"> Syncrom </t>
  </si>
  <si>
    <t xml:space="preserve">21000.062875/2016-41</t>
  </si>
  <si>
    <t xml:space="preserve">GLYPHOSH SL</t>
  </si>
  <si>
    <t xml:space="preserve"> Glifosato</t>
  </si>
  <si>
    <t xml:space="preserve">21016.003304/2022-43</t>
  </si>
  <si>
    <t xml:space="preserve"> ECO2FUME FUMIGANT GAS</t>
  </si>
  <si>
    <t xml:space="preserve"> Fosfina</t>
  </si>
  <si>
    <t xml:space="preserve">21000.062872/2016-15</t>
  </si>
  <si>
    <t xml:space="preserve">GLYPHOSH</t>
  </si>
  <si>
    <t xml:space="preserve">21000.013964/2018-25</t>
  </si>
  <si>
    <t xml:space="preserve"> HARBIN 500 WG</t>
  </si>
  <si>
    <t xml:space="preserve">21000.010478/2017-74</t>
  </si>
  <si>
    <t xml:space="preserve">DIAFENTHAN 500 SC​</t>
  </si>
  <si>
    <t xml:space="preserve">21000.063189/2016-97</t>
  </si>
  <si>
    <t xml:space="preserve">GLIFOMEGA 480 SL</t>
  </si>
  <si>
    <t xml:space="preserve">21000.006541/2018-59</t>
  </si>
  <si>
    <t xml:space="preserve">PIRACLOSTROBIN NORTOX</t>
  </si>
  <si>
    <t xml:space="preserve">21000.033575/2018-16</t>
  </si>
  <si>
    <t xml:space="preserve">METRIBUZIM NORTOX</t>
  </si>
  <si>
    <t xml:space="preserve">21016.006272/2022-38</t>
  </si>
  <si>
    <t xml:space="preserve"> BIOIN-PODISI-T  </t>
  </si>
  <si>
    <t xml:space="preserve">Telenomus podisi</t>
  </si>
  <si>
    <t xml:space="preserve">Bioin</t>
  </si>
  <si>
    <t xml:space="preserve">21000.027919/2017-77</t>
  </si>
  <si>
    <t xml:space="preserve">SULFUROM NORTOX</t>
  </si>
  <si>
    <t xml:space="preserve">Clorimurom-etílico; Sulfometuron-metílico</t>
  </si>
  <si>
    <t xml:space="preserve">21000.062081/2016-87</t>
  </si>
  <si>
    <t xml:space="preserve">HEXAZINONE 750 g/Kg WG</t>
  </si>
  <si>
    <t xml:space="preserve">21000.038467/2016-78</t>
  </si>
  <si>
    <t xml:space="preserve">AMETRYN 500 g/L SC</t>
  </si>
  <si>
    <t xml:space="preserve">21016.002355/2023-39</t>
  </si>
  <si>
    <t xml:space="preserve">BTP 177-21</t>
  </si>
  <si>
    <t xml:space="preserve">21016.002543/2023-67</t>
  </si>
  <si>
    <t xml:space="preserve">T - REX, HUNGRY, UNITY, GRENADE, ANGRY, VINGADOR e REVENGE</t>
  </si>
  <si>
    <t xml:space="preserve">Trichoderma harzianum, isolado IBLF 1278; Trichoderma harzianum, isolado IBLF 1282; Trichoderma viride, isolado IBLF 1275; Trichoderma viride, isolado IBLF 1276</t>
  </si>
  <si>
    <t xml:space="preserve">Ecosolução</t>
  </si>
  <si>
    <t xml:space="preserve">21016.000178/2023-56</t>
  </si>
  <si>
    <t xml:space="preserve"> T-PROTEC</t>
  </si>
  <si>
    <t xml:space="preserve">Trichoderma asperellum estirpe kd</t>
  </si>
  <si>
    <t xml:space="preserve">21016.001563/2023-11</t>
  </si>
  <si>
    <t xml:space="preserve">KBR-S39M1-01</t>
  </si>
  <si>
    <t xml:space="preserve">Steinernema carpocapsae</t>
  </si>
  <si>
    <t xml:space="preserve">21016.001237/2023-11</t>
  </si>
  <si>
    <t xml:space="preserve">METASHOCK; METATRIX</t>
  </si>
  <si>
    <t xml:space="preserve">Metarhizium anisopliae, Cepa CCT 8094</t>
  </si>
  <si>
    <t xml:space="preserve">21016.001062/2023-34</t>
  </si>
  <si>
    <t xml:space="preserve">BIONMT</t>
  </si>
  <si>
    <t xml:space="preserve">Bacillus subtilis, cepa CCT 0480; Trichoderma harzianum, cepa CCT 2160</t>
  </si>
  <si>
    <t xml:space="preserve">Vital </t>
  </si>
  <si>
    <t xml:space="preserve">21016.001164/2023-50</t>
  </si>
  <si>
    <t xml:space="preserve">RELI3VER</t>
  </si>
  <si>
    <r>
      <rPr>
        <sz val="11"/>
        <color rgb="FF274E13"/>
        <rFont val="Arial"/>
        <family val="2"/>
        <charset val="1"/>
      </rPr>
      <t xml:space="preserve">Bacillus subtilis</t>
    </r>
    <r>
      <rPr>
        <sz val="12"/>
        <color rgb="FF000000"/>
        <rFont val="Calibri"/>
        <family val="2"/>
        <charset val="1"/>
      </rPr>
      <t xml:space="preserve">, BRA-001- isolado ATCC 6051</t>
    </r>
  </si>
  <si>
    <t xml:space="preserve">Improcrop</t>
  </si>
  <si>
    <t xml:space="preserve">21000.039850/2016-43</t>
  </si>
  <si>
    <t xml:space="preserve">HEXA 750 WG</t>
  </si>
  <si>
    <t xml:space="preserve">21000.041079/2016-74</t>
  </si>
  <si>
    <t xml:space="preserve">SAKHAR 750 WG</t>
  </si>
  <si>
    <t xml:space="preserve">21000.027007/2018-86</t>
  </si>
  <si>
    <t xml:space="preserve">OLATAZON 400 EC</t>
  </si>
  <si>
    <t xml:space="preserve">21016.000936/2023-36</t>
  </si>
  <si>
    <t xml:space="preserve">BIOBREV FULL</t>
  </si>
  <si>
    <t xml:space="preserve">21016.002305/2023-51</t>
  </si>
  <si>
    <t xml:space="preserve">BTP 002-18</t>
  </si>
  <si>
    <r>
      <rPr>
        <sz val="11"/>
        <color rgb="FF274E13"/>
        <rFont val="Arial"/>
        <family val="2"/>
        <charset val="1"/>
      </rPr>
      <t xml:space="preserve">Bacillus subtilis</t>
    </r>
    <r>
      <rPr>
        <sz val="12"/>
        <color rgb="FF000000"/>
        <rFont val="Calibri"/>
        <family val="2"/>
        <charset val="1"/>
      </rPr>
      <t xml:space="preserve">, isolado CCTB 04</t>
    </r>
  </si>
  <si>
    <t xml:space="preserve">21016.006607/2022-18</t>
  </si>
  <si>
    <t xml:space="preserve">BIOLORD</t>
  </si>
  <si>
    <r>
      <rPr>
        <sz val="11"/>
        <color rgb="FF274E13"/>
        <rFont val="Arial"/>
        <family val="2"/>
        <charset val="1"/>
      </rPr>
      <t xml:space="preserve">Bacillus aryabhattai </t>
    </r>
    <r>
      <rPr>
        <sz val="12"/>
        <color rgb="FF000000"/>
        <rFont val="Calibri"/>
        <family val="2"/>
        <charset val="1"/>
      </rPr>
      <t xml:space="preserve">CBMAI112; </t>
    </r>
    <r>
      <rPr>
        <i val="true"/>
        <sz val="12"/>
        <color rgb="FF000000"/>
        <rFont val="Calibri"/>
        <family val="2"/>
        <charset val="1"/>
      </rPr>
      <t xml:space="preserve">Bacillus haynesii</t>
    </r>
    <r>
      <rPr>
        <sz val="12"/>
        <color rgb="FF000000"/>
        <rFont val="Calibri"/>
        <family val="2"/>
        <charset val="1"/>
      </rPr>
      <t xml:space="preserve"> CCT7926; </t>
    </r>
    <r>
      <rPr>
        <i val="true"/>
        <sz val="12"/>
        <color rgb="FF000000"/>
        <rFont val="Calibri"/>
        <family val="2"/>
        <charset val="1"/>
      </rPr>
      <t xml:space="preserve">Bacillus circulans</t>
    </r>
    <r>
      <rPr>
        <sz val="12"/>
        <color rgb="FF000000"/>
        <rFont val="Calibri"/>
        <family val="2"/>
        <charset val="1"/>
      </rPr>
      <t xml:space="preserve"> CCT0026</t>
    </r>
  </si>
  <si>
    <t xml:space="preserve">21016.006123/2022-79</t>
  </si>
  <si>
    <t xml:space="preserve">BTP 066-20A SC</t>
  </si>
  <si>
    <r>
      <rPr>
        <sz val="11"/>
        <color rgb="FF274E13"/>
        <rFont val="Arial"/>
        <family val="2"/>
        <charset val="1"/>
      </rPr>
      <t xml:space="preserve">Bacillus thuringiensis</t>
    </r>
    <r>
      <rPr>
        <sz val="12"/>
        <color rgb="FF000000"/>
        <rFont val="Calibri"/>
        <family val="2"/>
        <charset val="1"/>
      </rPr>
      <t xml:space="preserve">, isolados CCTB22 e CCTB25</t>
    </r>
  </si>
  <si>
    <t xml:space="preserve">21000.040841/2016-03</t>
  </si>
  <si>
    <t xml:space="preserve">GLIFORCE SL</t>
  </si>
  <si>
    <t xml:space="preserve">21000.061972/2020-01</t>
  </si>
  <si>
    <t xml:space="preserve">FLUMIOXAZIM 480 SC SOLUS</t>
  </si>
  <si>
    <t xml:space="preserve"> Solus</t>
  </si>
  <si>
    <t xml:space="preserve">21000.013564/2018-10</t>
  </si>
  <si>
    <t xml:space="preserve"> METHOXYFENOZIDE 240 g/L SC</t>
  </si>
  <si>
    <t xml:space="preserve">Metoxifenozida </t>
  </si>
  <si>
    <t xml:space="preserve">21000.037625/2018-34</t>
  </si>
  <si>
    <t xml:space="preserve">FLUROXIPIR NORTOX</t>
  </si>
  <si>
    <t xml:space="preserve">21000.063547/2016-61</t>
  </si>
  <si>
    <t xml:space="preserve">KASHMIR</t>
  </si>
  <si>
    <t xml:space="preserve">lsoxaflutol; Hexazinona; Sulfentrazona</t>
  </si>
  <si>
    <t xml:space="preserve">21000.007948/2014-70</t>
  </si>
  <si>
    <t xml:space="preserve">SIDRAK 250 SC</t>
  </si>
  <si>
    <t xml:space="preserve">21000.039151/2016-01</t>
  </si>
  <si>
    <t xml:space="preserve">REXA 750 WG</t>
  </si>
  <si>
    <t xml:space="preserve">21000.010457/2019-11</t>
  </si>
  <si>
    <t xml:space="preserve">FASTER</t>
  </si>
  <si>
    <t xml:space="preserve">21016.002604/2023-96</t>
  </si>
  <si>
    <t xml:space="preserve">BTP 500-21</t>
  </si>
  <si>
    <t xml:space="preserve">Bacillus subtilis CBMAI1680 e CNPSo 2657</t>
  </si>
  <si>
    <t xml:space="preserve">21016.001561/2023-21</t>
  </si>
  <si>
    <t xml:space="preserve">KBR-S39M1-02</t>
  </si>
  <si>
    <t xml:space="preserve">KOPPERT</t>
  </si>
  <si>
    <t xml:space="preserve">21000.000305/2016-67</t>
  </si>
  <si>
    <t xml:space="preserve">CARFENTRAZONA 400 EC UPL</t>
  </si>
  <si>
    <t xml:space="preserve">21000.075788/2019-04</t>
  </si>
  <si>
    <t xml:space="preserve">MAXAZIN 500 SC</t>
  </si>
  <si>
    <t xml:space="preserve">21000.001226/2015-92</t>
  </si>
  <si>
    <t xml:space="preserve">KUSABI</t>
  </si>
  <si>
    <t xml:space="preserve">Piriofenona</t>
  </si>
  <si>
    <t xml:space="preserve">21016.001541/2023-51</t>
  </si>
  <si>
    <t xml:space="preserve">BIO RELEASE</t>
  </si>
  <si>
    <r>
      <rPr>
        <sz val="11"/>
        <color rgb="FF274E13"/>
        <rFont val="Arial"/>
        <family val="2"/>
        <charset val="1"/>
      </rPr>
      <t xml:space="preserve">Pseudomonas fluorescens</t>
    </r>
    <r>
      <rPr>
        <sz val="12"/>
        <color rgb="FF000000"/>
        <rFont val="Calibri"/>
        <family val="2"/>
        <charset val="1"/>
      </rPr>
      <t xml:space="preserve">, cepa CCT 7997</t>
    </r>
  </si>
  <si>
    <t xml:space="preserve">21016.001581/2023-01</t>
  </si>
  <si>
    <t xml:space="preserve"> BIO BALANCE</t>
  </si>
  <si>
    <r>
      <rPr>
        <sz val="11"/>
        <color rgb="FF274E13"/>
        <rFont val="Arial"/>
        <family val="2"/>
        <charset val="1"/>
      </rPr>
      <t xml:space="preserve">Bacillus amyloliquefaciens</t>
    </r>
    <r>
      <rPr>
        <sz val="12"/>
        <color rgb="FF000000"/>
        <rFont val="Calibri"/>
        <family val="2"/>
        <charset val="1"/>
      </rPr>
      <t xml:space="preserve">, cepa CCT 7995</t>
    </r>
  </si>
  <si>
    <t xml:space="preserve">21000.006552/2015-96</t>
  </si>
  <si>
    <t xml:space="preserve">MANDESTROBIN 430 SC</t>
  </si>
  <si>
    <t xml:space="preserve">Mandestrobina</t>
  </si>
  <si>
    <t xml:space="preserve">21000.030482/2016-78</t>
  </si>
  <si>
    <t xml:space="preserve">VELOSTAR 430 SC</t>
  </si>
  <si>
    <t xml:space="preserve">21000.051410/2020-41</t>
  </si>
  <si>
    <t xml:space="preserve">PARAPENTE</t>
  </si>
  <si>
    <t xml:space="preserve"> Clorotalonil; Difenoconazol</t>
  </si>
  <si>
    <t xml:space="preserve">21000.042738/2021-57</t>
  </si>
  <si>
    <t xml:space="preserve">DIQUATE 200 SL DEZHOU I</t>
  </si>
  <si>
    <t xml:space="preserve">21016.000188/2022-19</t>
  </si>
  <si>
    <t xml:space="preserve">CURATIS</t>
  </si>
  <si>
    <t xml:space="preserve">Mancozebe; Picoxistrobina; Protioconazol</t>
  </si>
  <si>
    <t xml:space="preserve">21016.009393/2021-51</t>
  </si>
  <si>
    <t xml:space="preserve">VOX​Y</t>
  </si>
  <si>
    <t xml:space="preserve">Tiafenacil; Sulfentrazona</t>
  </si>
  <si>
    <t xml:space="preserve">21000.063039/2016-83</t>
  </si>
  <si>
    <t xml:space="preserve">ESCALA 480 SL</t>
  </si>
  <si>
    <t xml:space="preserve"> Glifosato, sal de Isopropilamina</t>
  </si>
  <si>
    <t xml:space="preserve">21016.007039/2022-72</t>
  </si>
  <si>
    <t xml:space="preserve">PHC 68949 WP; PRATY WP; PRATY</t>
  </si>
  <si>
    <t xml:space="preserve">Peptídeos Derivados da Proteína Harpin</t>
  </si>
  <si>
    <t xml:space="preserve">21000.109634/2021-30</t>
  </si>
  <si>
    <t xml:space="preserve">THANOS  </t>
  </si>
  <si>
    <t xml:space="preserve">Tiafenacil; S-metolacloro </t>
  </si>
  <si>
    <t xml:space="preserve">21000.007789/2015-94</t>
  </si>
  <si>
    <t xml:space="preserve">PROCAMPO  </t>
  </si>
  <si>
    <t xml:space="preserve">21000.075910/2020-78</t>
  </si>
  <si>
    <t xml:space="preserve">IPPON</t>
  </si>
  <si>
    <t xml:space="preserve">21000.041386/2017-36</t>
  </si>
  <si>
    <t xml:space="preserve">ARCALIS</t>
  </si>
  <si>
    <t xml:space="preserve">21016.001807/2023-65</t>
  </si>
  <si>
    <t xml:space="preserve"> KBR-829M1-02  </t>
  </si>
  <si>
    <t xml:space="preserve">Heterorhabditis bacteriophora</t>
  </si>
  <si>
    <t xml:space="preserve">21016.001808/2023-18</t>
  </si>
  <si>
    <t xml:space="preserve">KBR-829M1-01</t>
  </si>
  <si>
    <t xml:space="preserve">21000.002649/2015-20</t>
  </si>
  <si>
    <t xml:space="preserve">PONCHOS UBS</t>
  </si>
  <si>
    <t xml:space="preserve">21000.053361/2017-85</t>
  </si>
  <si>
    <t xml:space="preserve">VELVETE </t>
  </si>
  <si>
    <t xml:space="preserve">Azoxistrobina; Difenoconazol </t>
  </si>
  <si>
    <t xml:space="preserve">21000.052993/2017-21</t>
  </si>
  <si>
    <t xml:space="preserve">FLUMIOXAZIN NORTOX</t>
  </si>
  <si>
    <t xml:space="preserve">21000.008361/2015-69</t>
  </si>
  <si>
    <t xml:space="preserve">EXIMIA</t>
  </si>
  <si>
    <t xml:space="preserve">21000.008356/2014-75</t>
  </si>
  <si>
    <t xml:space="preserve">K-ZON</t>
  </si>
  <si>
    <t xml:space="preserve">21000.006094/2014-12</t>
  </si>
  <si>
    <t xml:space="preserve">PROPERTY  </t>
  </si>
  <si>
    <t xml:space="preserve">21000.039061/2017-93</t>
  </si>
  <si>
    <t xml:space="preserve">UPL 2015 FP</t>
  </si>
  <si>
    <t xml:space="preserve">Mancozebe; Protioconazol</t>
  </si>
  <si>
    <t xml:space="preserve">21000.003318/2011-83</t>
  </si>
  <si>
    <t xml:space="preserve">IMIDACLOPRIDO 600 FS AGRIA</t>
  </si>
  <si>
    <t xml:space="preserve">21000.053862/2017-61</t>
  </si>
  <si>
    <t xml:space="preserve">UPL 4000 FP</t>
  </si>
  <si>
    <t xml:space="preserve">TC13822</t>
  </si>
  <si>
    <t xml:space="preserve">  21000.009321/2011-19</t>
  </si>
  <si>
    <t xml:space="preserve">  Acefato Técnico IN</t>
  </si>
  <si>
    <t xml:space="preserve">Ano de 2022</t>
  </si>
  <si>
    <t xml:space="preserve">TC13122</t>
  </si>
  <si>
    <t xml:space="preserve">21000.008463/2012-31
</t>
  </si>
  <si>
    <t xml:space="preserve">Carbendazim Técnico Rainbow
</t>
  </si>
  <si>
    <t xml:space="preserve">Carbendazim
</t>
  </si>
  <si>
    <t xml:space="preserve">TC19022</t>
  </si>
  <si>
    <t xml:space="preserve">21000.010394/2012-26</t>
  </si>
  <si>
    <t xml:space="preserve">Diflubenzurom Técnico Consagro</t>
  </si>
  <si>
    <t xml:space="preserve">TC20122</t>
  </si>
  <si>
    <t xml:space="preserve">21000.008754/2012-20</t>
  </si>
  <si>
    <t xml:space="preserve">Miclobutanil Tecnico SD</t>
  </si>
  <si>
    <t xml:space="preserve">TC02922</t>
  </si>
  <si>
    <t xml:space="preserve">21000.008205/2013-36
</t>
  </si>
  <si>
    <t xml:space="preserve">Glifosato Técnico Beier
</t>
  </si>
  <si>
    <t xml:space="preserve">TC03922</t>
  </si>
  <si>
    <t xml:space="preserve">21000.008773/2013-37
</t>
  </si>
  <si>
    <t xml:space="preserve">S-Metolacloro Técnico Rainbow
</t>
  </si>
  <si>
    <t xml:space="preserve">TC06122</t>
  </si>
  <si>
    <t xml:space="preserve">21000.010316/2013-11
</t>
  </si>
  <si>
    <t xml:space="preserve">Epoxiconazol Técnico SH
</t>
  </si>
  <si>
    <t xml:space="preserve">Epoxiconazol
</t>
  </si>
  <si>
    <t xml:space="preserve">TC08822</t>
  </si>
  <si>
    <t xml:space="preserve">21000.010377/2013-70
</t>
  </si>
  <si>
    <t xml:space="preserve">Dicamba Técnico SD
</t>
  </si>
  <si>
    <t xml:space="preserve">TC12922</t>
  </si>
  <si>
    <t xml:space="preserve">21000.008403/2013-08
</t>
  </si>
  <si>
    <t xml:space="preserve">Glifosato Técnico Alta III
</t>
  </si>
  <si>
    <t xml:space="preserve">TC00122</t>
  </si>
  <si>
    <t xml:space="preserve">21000.006874/2014-54</t>
  </si>
  <si>
    <t xml:space="preserve">Boscalida Ascenza Técnico</t>
  </si>
  <si>
    <t xml:space="preserve">TC01322</t>
  </si>
  <si>
    <t xml:space="preserve">21000.001933/2014-06</t>
  </si>
  <si>
    <t xml:space="preserve">Sulfometuron-Methyl Técnico Rotam</t>
  </si>
  <si>
    <t xml:space="preserve">Sulfometuron-methyl</t>
  </si>
  <si>
    <t xml:space="preserve">TC01822</t>
  </si>
  <si>
    <t xml:space="preserve">21000.006862/2014-20
</t>
  </si>
  <si>
    <t xml:space="preserve">Spirodiclofen Tecnico ST
</t>
  </si>
  <si>
    <t xml:space="preserve">TC03122</t>
  </si>
  <si>
    <t xml:space="preserve">21000.009012/2014-83
</t>
  </si>
  <si>
    <t xml:space="preserve">S-metolaclor Técnico Adama
</t>
  </si>
  <si>
    <t xml:space="preserve">TC03622</t>
  </si>
  <si>
    <t xml:space="preserve">21000.008890/2014-81</t>
  </si>
  <si>
    <t xml:space="preserve">Metribuzim Técnico OF
</t>
  </si>
  <si>
    <t xml:space="preserve">TC04422</t>
  </si>
  <si>
    <t xml:space="preserve">21000.006988/2014-02
</t>
  </si>
  <si>
    <t xml:space="preserve">Carbendazim Técnico Consagro
</t>
  </si>
  <si>
    <t xml:space="preserve">Carbendazim</t>
  </si>
  <si>
    <t xml:space="preserve">TC04722</t>
  </si>
  <si>
    <t xml:space="preserve">21000.005989/2014-21
</t>
  </si>
  <si>
    <t xml:space="preserve">Tiametoxam Técnico Adama</t>
  </si>
  <si>
    <t xml:space="preserve">TC05022</t>
  </si>
  <si>
    <t xml:space="preserve">21000.007703/2014-42
</t>
  </si>
  <si>
    <t xml:space="preserve">Imidacloprid Técnico RDB
</t>
  </si>
  <si>
    <t xml:space="preserve">TC05122</t>
  </si>
  <si>
    <t xml:space="preserve">21000.008681/2014-38
</t>
  </si>
  <si>
    <t xml:space="preserve">Carbendazim Técnico OF
</t>
  </si>
  <si>
    <t xml:space="preserve">TC01922</t>
  </si>
  <si>
    <t xml:space="preserve">21000.006393/2015-20
</t>
  </si>
  <si>
    <t xml:space="preserve">Pydiflumetofen Técnico</t>
  </si>
  <si>
    <t xml:space="preserve">Pidiflumetofem</t>
  </si>
  <si>
    <t xml:space="preserve">TC08422</t>
  </si>
  <si>
    <t xml:space="preserve">21000.006170/2014-81
</t>
  </si>
  <si>
    <t xml:space="preserve">Metomil Técnico Cropchem
</t>
  </si>
  <si>
    <t xml:space="preserve">TC10522</t>
  </si>
  <si>
    <t xml:space="preserve">21000.004857/2014-82</t>
  </si>
  <si>
    <t xml:space="preserve">Ciclanilida Técnico CCAB
</t>
  </si>
  <si>
    <t xml:space="preserve">TC11122</t>
  </si>
  <si>
    <t xml:space="preserve">21000.004722/2014-17
</t>
  </si>
  <si>
    <t xml:space="preserve">Clethodim Técnico NBL
</t>
  </si>
  <si>
    <t xml:space="preserve">Mitsui</t>
  </si>
  <si>
    <t xml:space="preserve">TC14222</t>
  </si>
  <si>
    <t xml:space="preserve">21000.004916/2014-12</t>
  </si>
  <si>
    <t xml:space="preserve">TIAMETOXAM TÉCNICO AGRISOR </t>
  </si>
  <si>
    <t xml:space="preserve"> Tiametoxam</t>
  </si>
  <si>
    <t xml:space="preserve">TC14822</t>
  </si>
  <si>
    <t xml:space="preserve">21000.002930/2014-81</t>
  </si>
  <si>
    <t xml:space="preserve">AZOXISTROBINA TÉCNICO HS</t>
  </si>
  <si>
    <t xml:space="preserve">TC15422</t>
  </si>
  <si>
    <t xml:space="preserve">21000.006668/2014-44</t>
  </si>
  <si>
    <t xml:space="preserve">Boscalid Técnico Rainbow</t>
  </si>
  <si>
    <t xml:space="preserve">TC16322</t>
  </si>
  <si>
    <t xml:space="preserve">21000.001648/2014-87</t>
  </si>
  <si>
    <t xml:space="preserve">Imidacloprid Técnico Proventis</t>
  </si>
  <si>
    <t xml:space="preserve">TC16722</t>
  </si>
  <si>
    <t xml:space="preserve">21000.006145/2014-06</t>
  </si>
  <si>
    <t xml:space="preserve">S-Metolacloro Sapec Técnico</t>
  </si>
  <si>
    <t xml:space="preserve">TC19622</t>
  </si>
  <si>
    <t xml:space="preserve">21000.004303/2014-85</t>
  </si>
  <si>
    <t xml:space="preserve">Imidacloprido Técnico Nortox BR</t>
  </si>
  <si>
    <t xml:space="preserve">TC19922</t>
  </si>
  <si>
    <t xml:space="preserve">21000.005828/2014-38</t>
  </si>
  <si>
    <t xml:space="preserve">Picloram Técnico Agrisor</t>
  </si>
  <si>
    <t xml:space="preserve">TC20022</t>
  </si>
  <si>
    <t xml:space="preserve">21000.001482/2014-07</t>
  </si>
  <si>
    <t xml:space="preserve">Carfentrazona-Etílica Técnico China</t>
  </si>
  <si>
    <t xml:space="preserve">TC20222</t>
  </si>
  <si>
    <t xml:space="preserve">21000.008239/2014-10</t>
  </si>
  <si>
    <t xml:space="preserve">Clorpirifós Técnico Nortox BR</t>
  </si>
  <si>
    <t xml:space="preserve">TC20922</t>
  </si>
  <si>
    <t xml:space="preserve">21000.003145/2014-46</t>
  </si>
  <si>
    <t xml:space="preserve">Carfentrazone-Ethyl Técnico UPL</t>
  </si>
  <si>
    <t xml:space="preserve">TC21522</t>
  </si>
  <si>
    <t xml:space="preserve">21000.002039/2014-45</t>
  </si>
  <si>
    <t xml:space="preserve">Carfentrazona-Etílica Técnico Ouro Fino</t>
  </si>
  <si>
    <t xml:space="preserve">TC25822</t>
  </si>
  <si>
    <t xml:space="preserve">21000.005373/2014-51</t>
  </si>
  <si>
    <t xml:space="preserve">Boscalid Técnico Bailly</t>
  </si>
  <si>
    <t xml:space="preserve">TC27422</t>
  </si>
  <si>
    <t xml:space="preserve">21000.008923/2014-93</t>
  </si>
  <si>
    <t xml:space="preserve">Lambda-cialotrina Técnico BR-Cropchem</t>
  </si>
  <si>
    <t xml:space="preserve">TC27522</t>
  </si>
  <si>
    <t xml:space="preserve">21000.001176/2014-62</t>
  </si>
  <si>
    <t xml:space="preserve">Nicosulfuron Técnico RTM</t>
  </si>
  <si>
    <t xml:space="preserve">TC00222</t>
  </si>
  <si>
    <t xml:space="preserve">21000.003590/2015-97</t>
  </si>
  <si>
    <t xml:space="preserve">Boscalid Técnico Nortox</t>
  </si>
  <si>
    <t xml:space="preserve">TC01022</t>
  </si>
  <si>
    <t xml:space="preserve">21000.001919/2015-85</t>
  </si>
  <si>
    <t xml:space="preserve">Epoxiconazole Técnico ET</t>
  </si>
  <si>
    <t xml:space="preserve">TC01122</t>
  </si>
  <si>
    <t xml:space="preserve">21000.003999/2015-11</t>
  </si>
  <si>
    <t xml:space="preserve">Pyraclostrobin Técnico Rainbow</t>
  </si>
  <si>
    <t xml:space="preserve">TC04022</t>
  </si>
  <si>
    <t xml:space="preserve">21000.001876/2010-23</t>
  </si>
  <si>
    <t xml:space="preserve">Hanaro Técnico</t>
  </si>
  <si>
    <t xml:space="preserve">Bistrifluron</t>
  </si>
  <si>
    <t xml:space="preserve">TC01722</t>
  </si>
  <si>
    <t xml:space="preserve">21000.007970/2015-09
</t>
  </si>
  <si>
    <t xml:space="preserve">Espirodiclofeno Técnico Sumitomo</t>
  </si>
  <si>
    <t xml:space="preserve">TC02022</t>
  </si>
  <si>
    <t xml:space="preserve">21000.005804/2015-60
</t>
  </si>
  <si>
    <t xml:space="preserve">Trifloxistrobina Técnico Sinon
</t>
  </si>
  <si>
    <t xml:space="preserve">TC02322</t>
  </si>
  <si>
    <t xml:space="preserve">21000.002415/2015-82
</t>
  </si>
  <si>
    <t xml:space="preserve">Espirodiclofeno Técnico CropChem
</t>
  </si>
  <si>
    <t xml:space="preserve">TC02422</t>
  </si>
  <si>
    <t xml:space="preserve">21000.008614/2015-02
</t>
  </si>
  <si>
    <t xml:space="preserve">Carbendazim Técnico Adama Brasil
</t>
  </si>
  <si>
    <t xml:space="preserve">TC03522</t>
  </si>
  <si>
    <t xml:space="preserve">21000.000410/2015-15
</t>
  </si>
  <si>
    <t xml:space="preserve">Espirodiclofeno Tradecorp Técnico
</t>
  </si>
  <si>
    <t xml:space="preserve">TC04922</t>
  </si>
  <si>
    <t xml:space="preserve">21000.005770/2015-11
</t>
  </si>
  <si>
    <t xml:space="preserve">Epoxiconazol Técnico Adama
</t>
  </si>
  <si>
    <t xml:space="preserve">TC05222</t>
  </si>
  <si>
    <t xml:space="preserve">21000.002498/2015-18
</t>
  </si>
  <si>
    <t xml:space="preserve">Imidacloprido Técnico OF
</t>
  </si>
  <si>
    <t xml:space="preserve">TC05422</t>
  </si>
  <si>
    <t xml:space="preserve">21000.008638/2015-53
</t>
  </si>
  <si>
    <t xml:space="preserve">Amicarbazone Técnico Proventis
</t>
  </si>
  <si>
    <t xml:space="preserve">TC05622</t>
  </si>
  <si>
    <t xml:space="preserve">21000.000850/2015-72
</t>
  </si>
  <si>
    <t xml:space="preserve">Imidacloprido Técnico Cropchem
</t>
  </si>
  <si>
    <t xml:space="preserve">TC06422</t>
  </si>
  <si>
    <t xml:space="preserve">21000.002294/2015-79
</t>
  </si>
  <si>
    <t xml:space="preserve">Ciproconazol Técnico Agrolead
</t>
  </si>
  <si>
    <t xml:space="preserve">Ciproconazol
</t>
  </si>
  <si>
    <t xml:space="preserve">Agrolead</t>
  </si>
  <si>
    <t xml:space="preserve">TC06822</t>
  </si>
  <si>
    <t xml:space="preserve">21000.006330/2015-52
</t>
  </si>
  <si>
    <t xml:space="preserve">Protioconazol Técnico Adama
</t>
  </si>
  <si>
    <t xml:space="preserve">Protioconazol
</t>
  </si>
  <si>
    <t xml:space="preserve">TC07022</t>
  </si>
  <si>
    <t xml:space="preserve">21000.004738/2015-19
</t>
  </si>
  <si>
    <t xml:space="preserve">Lambda-Cyhalothrin Technical UPL BR
</t>
  </si>
  <si>
    <t xml:space="preserve">Lambda-cialotrina
</t>
  </si>
  <si>
    <t xml:space="preserve">TC07322</t>
  </si>
  <si>
    <t xml:space="preserve">21000.008163/2015-03
</t>
  </si>
  <si>
    <t xml:space="preserve">Espirodiclofeno Técnico OF
</t>
  </si>
  <si>
    <t xml:space="preserve">TC07622</t>
  </si>
  <si>
    <t xml:space="preserve">21000.003680/2015-88
</t>
  </si>
  <si>
    <t xml:space="preserve">Spirodiclofen Y Técnico Helm
</t>
  </si>
  <si>
    <t xml:space="preserve">TC07822</t>
  </si>
  <si>
    <t xml:space="preserve">21000.006287/2015-46
</t>
  </si>
  <si>
    <t xml:space="preserve">Espirodiclofeno Técnico SRC-CropChem
</t>
  </si>
  <si>
    <t xml:space="preserve">TC09822</t>
  </si>
  <si>
    <t xml:space="preserve">21000.001088/2015-41
</t>
  </si>
  <si>
    <t xml:space="preserve">Metomil Técnico Gilmore
</t>
  </si>
  <si>
    <t xml:space="preserve">TC10022</t>
  </si>
  <si>
    <t xml:space="preserve">21000.001292/2015-62
</t>
  </si>
  <si>
    <t xml:space="preserve">Diurom Ascenza Técnico II</t>
  </si>
  <si>
    <t xml:space="preserve">TC10622</t>
  </si>
  <si>
    <t xml:space="preserve">21000.006536/2015-01
</t>
  </si>
  <si>
    <t xml:space="preserve">Ciclanilida Técnica Sumitomo</t>
  </si>
  <si>
    <t xml:space="preserve">TC11422</t>
  </si>
  <si>
    <t xml:space="preserve">21000.004139/2015-97
</t>
  </si>
  <si>
    <t xml:space="preserve">Epoxiconazole Técnico Nortox
</t>
  </si>
  <si>
    <t xml:space="preserve">TC11522</t>
  </si>
  <si>
    <t xml:space="preserve">21000.006439/2015-19
</t>
  </si>
  <si>
    <t xml:space="preserve">Epoxiconazole Tecnico Cropchem
</t>
  </si>
  <si>
    <t xml:space="preserve">TC11622</t>
  </si>
  <si>
    <t xml:space="preserve">21000.008418/2015-20
</t>
  </si>
  <si>
    <t xml:space="preserve"> Ametryn Técnico Sino-Agri
</t>
  </si>
  <si>
    <t xml:space="preserve">TC11822</t>
  </si>
  <si>
    <t xml:space="preserve">21000.000159/2015-99
</t>
  </si>
  <si>
    <t xml:space="preserve">Espirodiclofeno Técnico Adama
</t>
  </si>
  <si>
    <t xml:space="preserve">TC12022</t>
  </si>
  <si>
    <t xml:space="preserve">21000.000255/2015-37
</t>
  </si>
  <si>
    <t xml:space="preserve">Espirodiclofen Técnico Nortox 
</t>
  </si>
  <si>
    <t xml:space="preserve">TC14522</t>
  </si>
  <si>
    <t xml:space="preserve">21000.000545/2015-81</t>
  </si>
  <si>
    <t xml:space="preserve">IMIDACLOPRID TÉCNICO CCAB III</t>
  </si>
  <si>
    <t xml:space="preserve"> Imidacloprido</t>
  </si>
  <si>
    <t xml:space="preserve">TC15322</t>
  </si>
  <si>
    <t xml:space="preserve">21000.001940/2015-81</t>
  </si>
  <si>
    <t xml:space="preserve">Boscalida Técnico Adama</t>
  </si>
  <si>
    <t xml:space="preserve">TC15622</t>
  </si>
  <si>
    <t xml:space="preserve">21000.008485/2015-44</t>
  </si>
  <si>
    <t xml:space="preserve">Picloram Técnico OF</t>
  </si>
  <si>
    <t xml:space="preserve">TC15722</t>
  </si>
  <si>
    <t xml:space="preserve">21000.003725/2015-14</t>
  </si>
  <si>
    <t xml:space="preserve">Picloram Técnico Nortox BR</t>
  </si>
  <si>
    <t xml:space="preserve">TC16522</t>
  </si>
  <si>
    <t xml:space="preserve">21000.007917/2015-08</t>
  </si>
  <si>
    <t xml:space="preserve">FMX Técnico</t>
  </si>
  <si>
    <t xml:space="preserve">TC17222</t>
  </si>
  <si>
    <t xml:space="preserve">21000.008617/2015-38</t>
  </si>
  <si>
    <t xml:space="preserve">Piriproxifen Técnico Proplan</t>
  </si>
  <si>
    <t xml:space="preserve">TC18722</t>
  </si>
  <si>
    <t xml:space="preserve">21000.000805/2015-18</t>
  </si>
  <si>
    <t xml:space="preserve">Imidacloprido Técnico Stockton</t>
  </si>
  <si>
    <t xml:space="preserve">TC19422</t>
  </si>
  <si>
    <t xml:space="preserve">21000.007385/2015-09</t>
  </si>
  <si>
    <t xml:space="preserve">Propiconazole Técnico Cropchem</t>
  </si>
  <si>
    <t xml:space="preserve">TC19822</t>
  </si>
  <si>
    <t xml:space="preserve">21000.004959/2015-89</t>
  </si>
  <si>
    <t xml:space="preserve">Picloram Técnico Stockton</t>
  </si>
  <si>
    <t xml:space="preserve">TC20622</t>
  </si>
  <si>
    <t xml:space="preserve">21000.006830/2015-13</t>
  </si>
  <si>
    <t xml:space="preserve">Mesotrione Z Técnico Helm</t>
  </si>
  <si>
    <t xml:space="preserve">TC21222</t>
  </si>
  <si>
    <t xml:space="preserve">21000.007880/2015-18</t>
  </si>
  <si>
    <t xml:space="preserve"> Carfentrazona-Etílica Técnico Rainbow</t>
  </si>
  <si>
    <t xml:space="preserve">TC23022</t>
  </si>
  <si>
    <t xml:space="preserve">21000.000423/2015-94</t>
  </si>
  <si>
    <t xml:space="preserve">Trifloxystrobin Técnico JN</t>
  </si>
  <si>
    <t xml:space="preserve">TC24422</t>
  </si>
  <si>
    <t xml:space="preserve">21000.004380/2015-16</t>
  </si>
  <si>
    <t xml:space="preserve">Ciproconazole Técnico Nortox</t>
  </si>
  <si>
    <t xml:space="preserve">TC24922</t>
  </si>
  <si>
    <t xml:space="preserve">21000.007826/2015-64</t>
  </si>
  <si>
    <t xml:space="preserve">Isoxaflutole Técnico UPL</t>
  </si>
  <si>
    <t xml:space="preserve">TC26822</t>
  </si>
  <si>
    <t xml:space="preserve">21000.005750/2015-32</t>
  </si>
  <si>
    <t xml:space="preserve">Dicamba Técnico Nortox Br</t>
  </si>
  <si>
    <t xml:space="preserve">TC27822</t>
  </si>
  <si>
    <t xml:space="preserve">21000.004637/2015-30</t>
  </si>
  <si>
    <t xml:space="preserve">Tiametoxam OF I</t>
  </si>
  <si>
    <t xml:space="preserve">TC00422</t>
  </si>
  <si>
    <t xml:space="preserve">21000.018225/2016-68</t>
  </si>
  <si>
    <t xml:space="preserve">Mesotrione Técnico Nortox III</t>
  </si>
  <si>
    <t xml:space="preserve">Mesotrione</t>
  </si>
  <si>
    <t xml:space="preserve">TC00922</t>
  </si>
  <si>
    <t xml:space="preserve">21000.058497/2016-09</t>
  </si>
  <si>
    <t xml:space="preserve">Bifentrina Técnico Stockton </t>
  </si>
  <si>
    <t xml:space="preserve">TC01222</t>
  </si>
  <si>
    <t xml:space="preserve">21000.037340/2016-31</t>
  </si>
  <si>
    <t xml:space="preserve">Diafentiuron Técnico GSP</t>
  </si>
  <si>
    <t xml:space="preserve">TC01422</t>
  </si>
  <si>
    <t xml:space="preserve">21000.034178/2016-08</t>
  </si>
  <si>
    <t xml:space="preserve">Picloram Técnico HB BRA</t>
  </si>
  <si>
    <t xml:space="preserve">TC02622</t>
  </si>
  <si>
    <t xml:space="preserve">21000.011827/2016-94
</t>
  </si>
  <si>
    <t xml:space="preserve">Isoxaflutol Técnico Nortox III
</t>
  </si>
  <si>
    <t xml:space="preserve">TC03022</t>
  </si>
  <si>
    <t xml:space="preserve">21000.036105/2016-42
</t>
  </si>
  <si>
    <t xml:space="preserve">Fludioxonil Técnico Adama BR
</t>
  </si>
  <si>
    <t xml:space="preserve">TC04122</t>
  </si>
  <si>
    <t xml:space="preserve"> 21000.063809/2016-98</t>
  </si>
  <si>
    <t xml:space="preserve">Diflubenzuron Técnico SL</t>
  </si>
  <si>
    <t xml:space="preserve">Diflubenzuron</t>
  </si>
  <si>
    <t xml:space="preserve">TC04222</t>
  </si>
  <si>
    <t xml:space="preserve">21000.025460/2016-96
</t>
  </si>
  <si>
    <t xml:space="preserve">Picloram Técnico Gilmore
</t>
  </si>
  <si>
    <t xml:space="preserve">TC04522</t>
  </si>
  <si>
    <t xml:space="preserve">21000.020606/2016-15
</t>
  </si>
  <si>
    <t xml:space="preserve">Piraclostrobin Técnico Nortox III
</t>
  </si>
  <si>
    <t xml:space="preserve">TC05722</t>
  </si>
  <si>
    <t xml:space="preserve">21000.000280/2016-00
</t>
  </si>
  <si>
    <t xml:space="preserve">Imidacloprid Técnico Sino- Agri
</t>
  </si>
  <si>
    <t xml:space="preserve">TC06322</t>
  </si>
  <si>
    <t xml:space="preserve">21000.046700/2016-96
</t>
  </si>
  <si>
    <t xml:space="preserve">Pyraclostrobin Técnico Gilmore
</t>
  </si>
  <si>
    <t xml:space="preserve">Piraclostrobina
</t>
  </si>
  <si>
    <t xml:space="preserve">TC08122</t>
  </si>
  <si>
    <t xml:space="preserve">21000.056927/2016-40
</t>
  </si>
  <si>
    <t xml:space="preserve">Pimetrozine Técnico Nortox
</t>
  </si>
  <si>
    <t xml:space="preserve">TC08622</t>
  </si>
  <si>
    <t xml:space="preserve">21000.019273/2016-73
</t>
  </si>
  <si>
    <t xml:space="preserve">Spirodiclofen Técnico Rotam
</t>
  </si>
  <si>
    <t xml:space="preserve">TC10122</t>
  </si>
  <si>
    <t xml:space="preserve">21000.042849/2016-04
</t>
  </si>
  <si>
    <t xml:space="preserve">Dicamba Técnico Syn
</t>
  </si>
  <si>
    <t xml:space="preserve">TC10422</t>
  </si>
  <si>
    <t xml:space="preserve">21000.052727/2016-18</t>
  </si>
  <si>
    <t xml:space="preserve">Diurom Técnico Sino-Agri
</t>
  </si>
  <si>
    <t xml:space="preserve">TC10722</t>
  </si>
  <si>
    <t xml:space="preserve">21000.019602/2016-86
</t>
  </si>
  <si>
    <t xml:space="preserve">Diflubenzurom Técnico Gharda
</t>
  </si>
  <si>
    <t xml:space="preserve">TC10822</t>
  </si>
  <si>
    <t xml:space="preserve">21000.038003/2016-61
</t>
  </si>
  <si>
    <t xml:space="preserve">Ciclanilida Técnico Adama
</t>
  </si>
  <si>
    <t xml:space="preserve">TC11022</t>
  </si>
  <si>
    <t xml:space="preserve">21000.003831/2016-89
</t>
  </si>
  <si>
    <t xml:space="preserve">Glufosinato de Amônio Técnico Gilmore
</t>
  </si>
  <si>
    <t xml:space="preserve">TC11322</t>
  </si>
  <si>
    <t xml:space="preserve">21000.036819/2016-51
</t>
  </si>
  <si>
    <t xml:space="preserve">Epoxiconazole Técnico Nortox III 
</t>
  </si>
  <si>
    <t xml:space="preserve">TC11722</t>
  </si>
  <si>
    <t xml:space="preserve">21000.030028/2016-17
</t>
  </si>
  <si>
    <t xml:space="preserve">Spirodiclofen Técnico Sino-Agri
</t>
  </si>
  <si>
    <t xml:space="preserve">TC11922</t>
  </si>
  <si>
    <t xml:space="preserve">21000.061977/2016-49
</t>
  </si>
  <si>
    <t xml:space="preserve">Spirodiclofen R Técnico Helm 
</t>
  </si>
  <si>
    <t xml:space="preserve">TC12522</t>
  </si>
  <si>
    <t xml:space="preserve">21000.037052/2016-87
</t>
  </si>
  <si>
    <t xml:space="preserve">Picoxistrobina Técnico Rainbow
</t>
  </si>
  <si>
    <t xml:space="preserve">TC12622</t>
  </si>
  <si>
    <t xml:space="preserve">21000.013651/2016-13
</t>
  </si>
  <si>
    <t xml:space="preserve">Atrazine Técnico EAGROW
</t>
  </si>
  <si>
    <t xml:space="preserve">TC12722</t>
  </si>
  <si>
    <t xml:space="preserve">21000.015078/2016-74
</t>
  </si>
  <si>
    <t xml:space="preserve">Atrazine Técnico Sino-Agri
</t>
  </si>
  <si>
    <t xml:space="preserve">TC13222</t>
  </si>
  <si>
    <t xml:space="preserve">21000.002911/2016-17
</t>
  </si>
  <si>
    <t xml:space="preserve">Carbendazim Técnico Adama BR
</t>
  </si>
  <si>
    <t xml:space="preserve">TC16122</t>
  </si>
  <si>
    <t xml:space="preserve">21000.043659/2016-04</t>
  </si>
  <si>
    <t xml:space="preserve">Lambda-cialotrina Técnico Rainbow</t>
  </si>
  <si>
    <t xml:space="preserve">TC16622</t>
  </si>
  <si>
    <t xml:space="preserve">21000.020226/2016-72</t>
  </si>
  <si>
    <t xml:space="preserve">S- Metolacloro Sapec Técnico II</t>
  </si>
  <si>
    <t xml:space="preserve">TC17922</t>
  </si>
  <si>
    <t xml:space="preserve">21000.042865/2016-99</t>
  </si>
  <si>
    <t xml:space="preserve">Clorpirifós Técnico CCAB</t>
  </si>
  <si>
    <t xml:space="preserve">TC18122</t>
  </si>
  <si>
    <t xml:space="preserve">21000.019823/2016-54</t>
  </si>
  <si>
    <t xml:space="preserve">Metribuzim Técnico GSP</t>
  </si>
  <si>
    <t xml:space="preserve">TC18222</t>
  </si>
  <si>
    <t xml:space="preserve">21000.031755/2016-00</t>
  </si>
  <si>
    <t xml:space="preserve">Alfa-Cipermetrina Técnico Hemani</t>
  </si>
  <si>
    <t xml:space="preserve">TC19322</t>
  </si>
  <si>
    <t xml:space="preserve">21000.043895/2016-12</t>
  </si>
  <si>
    <t xml:space="preserve">Metoxifenozida Técnico Cropchem</t>
  </si>
  <si>
    <t xml:space="preserve">TC19522</t>
  </si>
  <si>
    <t xml:space="preserve">21000.005401/2016-00</t>
  </si>
  <si>
    <t xml:space="preserve">Metoxifenozide Técnico Nortox</t>
  </si>
  <si>
    <t xml:space="preserve">TC20522</t>
  </si>
  <si>
    <t xml:space="preserve">21000.059242/2016-55</t>
  </si>
  <si>
    <t xml:space="preserve">Protioconazole Técnico Nufarm</t>
  </si>
  <si>
    <t xml:space="preserve">TC21622</t>
  </si>
  <si>
    <t xml:space="preserve">21000.060655/2016-82</t>
  </si>
  <si>
    <t xml:space="preserve">Mesotriona Técnico ZS</t>
  </si>
  <si>
    <t xml:space="preserve">TC22622</t>
  </si>
  <si>
    <t xml:space="preserve">21000.017027/2016-87</t>
  </si>
  <si>
    <t xml:space="preserve">Piraclostrobin Técnico Nortox II</t>
  </si>
  <si>
    <t xml:space="preserve">TC22822</t>
  </si>
  <si>
    <t xml:space="preserve">21000.042087/2016-38</t>
  </si>
  <si>
    <t xml:space="preserve">Difenoconazol Técnico FMC</t>
  </si>
  <si>
    <t xml:space="preserve">Difenoconazole </t>
  </si>
  <si>
    <t xml:space="preserve">TC23622</t>
  </si>
  <si>
    <t xml:space="preserve">21000.052724/2016-84</t>
  </si>
  <si>
    <t xml:space="preserve">Amicarbazone Técnico Rotam</t>
  </si>
  <si>
    <t xml:space="preserve">TC23722</t>
  </si>
  <si>
    <t xml:space="preserve">21000.053557/2016-99</t>
  </si>
  <si>
    <t xml:space="preserve">Mesotrione Técnico Sinon</t>
  </si>
  <si>
    <t xml:space="preserve">TC25022</t>
  </si>
  <si>
    <t xml:space="preserve">21000.052073/2016-22</t>
  </si>
  <si>
    <t xml:space="preserve">Difenoconazole L Técnico Helm</t>
  </si>
  <si>
    <t xml:space="preserve">TC25122</t>
  </si>
  <si>
    <t xml:space="preserve">21000.049246/2016-25</t>
  </si>
  <si>
    <t xml:space="preserve">Pimetrozina Técnico Cropchem</t>
  </si>
  <si>
    <t xml:space="preserve">TC25222</t>
  </si>
  <si>
    <t xml:space="preserve">21000.010630/2016-38</t>
  </si>
  <si>
    <t xml:space="preserve">Flutriafol Técnico Adama</t>
  </si>
  <si>
    <t xml:space="preserve">TC25622</t>
  </si>
  <si>
    <t xml:space="preserve">21000.010504/2016-83</t>
  </si>
  <si>
    <t xml:space="preserve">Flutriafol Técnico Alta II</t>
  </si>
  <si>
    <t xml:space="preserve">TC27222</t>
  </si>
  <si>
    <t xml:space="preserve">21000.061812/2016-77</t>
  </si>
  <si>
    <t xml:space="preserve">Lufenuron Técnico Fersol</t>
  </si>
  <si>
    <t xml:space="preserve">TC27622</t>
  </si>
  <si>
    <t xml:space="preserve">21000.036498/2016-94</t>
  </si>
  <si>
    <t xml:space="preserve">Flumioxazim Sapec Técnico</t>
  </si>
  <si>
    <t xml:space="preserve">TC00322</t>
  </si>
  <si>
    <t xml:space="preserve">21000.035695/2017-77</t>
  </si>
  <si>
    <t xml:space="preserve">Boscalid Técnico Nortox II</t>
  </si>
  <si>
    <t xml:space="preserve">TC00522</t>
  </si>
  <si>
    <t xml:space="preserve">21000.017460/2017-01</t>
  </si>
  <si>
    <t xml:space="preserve">Boscalid Técnico Gilmore</t>
  </si>
  <si>
    <t xml:space="preserve">TC00822</t>
  </si>
  <si>
    <t xml:space="preserve">21000.013202/2017-48</t>
  </si>
  <si>
    <t xml:space="preserve">Bifenthrin Yo Técnico Helm</t>
  </si>
  <si>
    <t xml:space="preserve">TC02822</t>
  </si>
  <si>
    <t xml:space="preserve">21000.013893/2017-80</t>
  </si>
  <si>
    <t xml:space="preserve">Picloram Técnico Nortox III
</t>
  </si>
  <si>
    <t xml:space="preserve">TC03422</t>
  </si>
  <si>
    <t xml:space="preserve">21000.041197/2017-63
</t>
  </si>
  <si>
    <t xml:space="preserve">Espirodiclofeno Técnico Adama BR
</t>
  </si>
  <si>
    <t xml:space="preserve">TC03722</t>
  </si>
  <si>
    <t xml:space="preserve">21000.054482/2017-44
</t>
  </si>
  <si>
    <t xml:space="preserve">Glifosato Técnico FB
</t>
  </si>
  <si>
    <t xml:space="preserve">Glifosato
</t>
  </si>
  <si>
    <t xml:space="preserve">TC06222</t>
  </si>
  <si>
    <t xml:space="preserve">21000.054948/2017-10
</t>
  </si>
  <si>
    <t xml:space="preserve">Pyraclostrobin Técnico NGC
</t>
  </si>
  <si>
    <t xml:space="preserve">TC06922</t>
  </si>
  <si>
    <t xml:space="preserve">21000.041196/2017-19
</t>
  </si>
  <si>
    <t xml:space="preserve">Amicarbazona Técnico Adama BR
</t>
  </si>
  <si>
    <t xml:space="preserve">TC12122</t>
  </si>
  <si>
    <t xml:space="preserve">21000.040448/2017-92
</t>
  </si>
  <si>
    <t xml:space="preserve">Acefato Técnico Syncrom
</t>
  </si>
  <si>
    <t xml:space="preserve">TC13322</t>
  </si>
  <si>
    <t xml:space="preserve">21000.013335/2018-03</t>
  </si>
  <si>
    <t xml:space="preserve">Spiropidion Técnico </t>
  </si>
  <si>
    <t xml:space="preserve">TC12222</t>
  </si>
  <si>
    <t xml:space="preserve">21000.011652/2017-04</t>
  </si>
  <si>
    <t xml:space="preserve">Acefato Técnico Nortox II
</t>
  </si>
  <si>
    <t xml:space="preserve">TC13522</t>
  </si>
  <si>
    <t xml:space="preserve">  21000.006709/2017-45</t>
  </si>
  <si>
    <t xml:space="preserve">Metsulfurom-Metílico Técnico FMC</t>
  </si>
  <si>
    <t xml:space="preserve">  Metsulfurom-Metílico</t>
  </si>
  <si>
    <t xml:space="preserve">TC14322</t>
  </si>
  <si>
    <t xml:space="preserve">21000.014925/2017-64</t>
  </si>
  <si>
    <t xml:space="preserve">IMIDACLOPRID TÉCNICO CCAB V</t>
  </si>
  <si>
    <t xml:space="preserve">TC14422</t>
  </si>
  <si>
    <t xml:space="preserve">21000.014927/2017-53</t>
  </si>
  <si>
    <t xml:space="preserve">IMIDACLOPRID TÉCNICO CCAB IV</t>
  </si>
  <si>
    <t xml:space="preserve">TC14722</t>
  </si>
  <si>
    <t xml:space="preserve">21000.039699/2017-24</t>
  </si>
  <si>
    <t xml:space="preserve">THIAMETHOXAM TÉCNICO ZS</t>
  </si>
  <si>
    <t xml:space="preserve">TC15122</t>
  </si>
  <si>
    <t xml:space="preserve">21000.032747/2017-53</t>
  </si>
  <si>
    <t xml:space="preserve">Picloram Técnico CC BRA</t>
  </si>
  <si>
    <t xml:space="preserve">TC15522</t>
  </si>
  <si>
    <t xml:space="preserve">21000.042155/2017-40</t>
  </si>
  <si>
    <t xml:space="preserve">Picloram Técnico ZS</t>
  </si>
  <si>
    <t xml:space="preserve">TC14122</t>
  </si>
  <si>
    <t xml:space="preserve">21000.066381/2019-88</t>
  </si>
  <si>
    <t xml:space="preserve">Metamifop Técnico</t>
  </si>
  <si>
    <t xml:space="preserve">Metamifope</t>
  </si>
  <si>
    <t xml:space="preserve">TC15822</t>
  </si>
  <si>
    <t xml:space="preserve">21000.034382/2017-00</t>
  </si>
  <si>
    <t xml:space="preserve">Flumioxazin Técnico UPL</t>
  </si>
  <si>
    <t xml:space="preserve">TC16822</t>
  </si>
  <si>
    <t xml:space="preserve">21000.030616/2017-31</t>
  </si>
  <si>
    <t xml:space="preserve">Imidacloprid Técnico Alta II</t>
  </si>
  <si>
    <t xml:space="preserve">TC18422</t>
  </si>
  <si>
    <t xml:space="preserve">21000.004454/2017-86</t>
  </si>
  <si>
    <t xml:space="preserve">Lambda-Cialotrina Técnico Mega</t>
  </si>
  <si>
    <t xml:space="preserve">TC20722</t>
  </si>
  <si>
    <t xml:space="preserve">21000.005033/2017-72</t>
  </si>
  <si>
    <t xml:space="preserve">Fomesafem Técnico Rainbow</t>
  </si>
  <si>
    <t xml:space="preserve">TC20822</t>
  </si>
  <si>
    <t xml:space="preserve">21000.017146/2017-11</t>
  </si>
  <si>
    <t xml:space="preserve">Mesotriona Técnico Adama BR</t>
  </si>
  <si>
    <t xml:space="preserve">TC21422</t>
  </si>
  <si>
    <t xml:space="preserve">21000.046296/2017-31</t>
  </si>
  <si>
    <t xml:space="preserve">Mesotrione Técnico Oxon II</t>
  </si>
  <si>
    <t xml:space="preserve">TC22022</t>
  </si>
  <si>
    <t xml:space="preserve">21000.019139/2017-53</t>
  </si>
  <si>
    <t xml:space="preserve">Tiodicarbe Técnico Agrolead</t>
  </si>
  <si>
    <t xml:space="preserve">TC22522</t>
  </si>
  <si>
    <t xml:space="preserve">21000.048364/2017-05</t>
  </si>
  <si>
    <t xml:space="preserve">Protioconazole Técnico Nortox III</t>
  </si>
  <si>
    <t xml:space="preserve">TC22722</t>
  </si>
  <si>
    <t xml:space="preserve">21000.026678/2017-49</t>
  </si>
  <si>
    <t xml:space="preserve">Mesotrione Técnico Sino Agri</t>
  </si>
  <si>
    <t xml:space="preserve">TC25322</t>
  </si>
  <si>
    <t xml:space="preserve">21000.047181/2017-64</t>
  </si>
  <si>
    <t xml:space="preserve">Protioconazol Técnico Ouro Fino</t>
  </si>
  <si>
    <t xml:space="preserve">TC26622</t>
  </si>
  <si>
    <t xml:space="preserve">21000.028965/2017-93</t>
  </si>
  <si>
    <t xml:space="preserve">Azoxistrobin Técnico Genbra II</t>
  </si>
  <si>
    <t xml:space="preserve">TC01522</t>
  </si>
  <si>
    <t xml:space="preserve">21000.047097/2018-21
</t>
  </si>
  <si>
    <t xml:space="preserve">Flumioxazin Técnico Lier
</t>
  </si>
  <si>
    <t xml:space="preserve">TC02522</t>
  </si>
  <si>
    <t xml:space="preserve">21000.040992/2018-15
</t>
  </si>
  <si>
    <t xml:space="preserve">Epoxiconazole Técnico Adama BR
</t>
  </si>
  <si>
    <t xml:space="preserve">TC02722</t>
  </si>
  <si>
    <t xml:space="preserve">21000.041401/2018-27
</t>
  </si>
  <si>
    <t xml:space="preserve">Flumioxazin Técnico Nortox III
</t>
  </si>
  <si>
    <t xml:space="preserve">TC03322</t>
  </si>
  <si>
    <t xml:space="preserve">21000.025278/2018-05
</t>
  </si>
  <si>
    <t xml:space="preserve">Flumioxazina Técnico Adama BR
</t>
  </si>
  <si>
    <t xml:space="preserve">TC04822</t>
  </si>
  <si>
    <t xml:space="preserve">21000.047600/2018-49
</t>
  </si>
  <si>
    <t xml:space="preserve">Imidacloprido Técnico Adama BR
</t>
  </si>
  <si>
    <t xml:space="preserve">Imidacloprido
</t>
  </si>
  <si>
    <t xml:space="preserve">TC05322</t>
  </si>
  <si>
    <t xml:space="preserve">21000.004502/2018-17
</t>
  </si>
  <si>
    <t xml:space="preserve">Imidacloprid Técnico Sulphur Mills II
</t>
  </si>
  <si>
    <t xml:space="preserve">SM AGROCARE</t>
  </si>
  <si>
    <t xml:space="preserve">TC07222</t>
  </si>
  <si>
    <t xml:space="preserve">21000.023959/2018-21
</t>
  </si>
  <si>
    <t xml:space="preserve">Ciproconazol técnico Tecnomyl II
</t>
  </si>
  <si>
    <t xml:space="preserve">TC08722</t>
  </si>
  <si>
    <t xml:space="preserve">21000.020279/2018-55
</t>
  </si>
  <si>
    <t xml:space="preserve">Dicamba Técnico SA
</t>
  </si>
  <si>
    <t xml:space="preserve">TC09622</t>
  </si>
  <si>
    <t xml:space="preserve">21000.043480/2018-19
</t>
  </si>
  <si>
    <t xml:space="preserve">Amicarbazone Técnico Albaugh
</t>
  </si>
  <si>
    <t xml:space="preserve">TC10222</t>
  </si>
  <si>
    <t xml:space="preserve">21000.015885/2018-59
</t>
  </si>
  <si>
    <t xml:space="preserve">Spirodiclofeno Técnico Sulphur Mill II
</t>
  </si>
  <si>
    <t xml:space="preserve">TC10322</t>
  </si>
  <si>
    <t xml:space="preserve">21000.011516/2018-97
</t>
  </si>
  <si>
    <t xml:space="preserve">Acetamiprid Técnico Helm
</t>
  </si>
  <si>
    <t xml:space="preserve">Acetamiprido
</t>
  </si>
  <si>
    <t xml:space="preserve">TC11222</t>
  </si>
  <si>
    <t xml:space="preserve">21000.007165/2018-10
</t>
  </si>
  <si>
    <t xml:space="preserve">Carbendazim Técnico CCAB</t>
  </si>
  <si>
    <t xml:space="preserve">TC12422</t>
  </si>
  <si>
    <t xml:space="preserve">21000.015774/2018-42
</t>
  </si>
  <si>
    <t xml:space="preserve">Flumioxazin Técnico FB
</t>
  </si>
  <si>
    <t xml:space="preserve">TC13022</t>
  </si>
  <si>
    <t xml:space="preserve">21000.031597/2018-41
</t>
  </si>
  <si>
    <t xml:space="preserve">Dicamba Técnico CropChem I
</t>
  </si>
  <si>
    <t xml:space="preserve">TC14022</t>
  </si>
  <si>
    <t xml:space="preserve">21000.015873/2018-24</t>
  </si>
  <si>
    <t xml:space="preserve">Fluimoxazina Técnico Cropchem II</t>
  </si>
  <si>
    <t xml:space="preserve">TC14922</t>
  </si>
  <si>
    <t xml:space="preserve">21000.042600/2018-52</t>
  </si>
  <si>
    <t xml:space="preserve">FLUMIOXAZINA TÉCNICO BRA</t>
  </si>
  <si>
    <t xml:space="preserve">TC15022</t>
  </si>
  <si>
    <t xml:space="preserve">21000.037409/2018-99</t>
  </si>
  <si>
    <t xml:space="preserve">FLUMIOXAZIN TÉCNICO ROTAM</t>
  </si>
  <si>
    <t xml:space="preserve">TC15922</t>
  </si>
  <si>
    <t xml:space="preserve">21000.004228/2018-86</t>
  </si>
  <si>
    <t xml:space="preserve">Flumioxazina Técnico Adama Brasil</t>
  </si>
  <si>
    <t xml:space="preserve">TC16022</t>
  </si>
  <si>
    <t xml:space="preserve">21000.055089/2018-59</t>
  </si>
  <si>
    <t xml:space="preserve">Flutriafol Técnico Adama Ada</t>
  </si>
  <si>
    <t xml:space="preserve">TC18322</t>
  </si>
  <si>
    <t xml:space="preserve">21000.046654/2018-97</t>
  </si>
  <si>
    <t xml:space="preserve">Cletodim Técnico Nortox III</t>
  </si>
  <si>
    <t xml:space="preserve">TC21722</t>
  </si>
  <si>
    <t xml:space="preserve">21000.026248/2018-16</t>
  </si>
  <si>
    <t xml:space="preserve">Mesotriona Técnico AN</t>
  </si>
  <si>
    <t xml:space="preserve">TC21822</t>
  </si>
  <si>
    <t xml:space="preserve">21000.026244/2018-20</t>
  </si>
  <si>
    <t xml:space="preserve">Mesotriona Técnico ZJ</t>
  </si>
  <si>
    <t xml:space="preserve">TC21922</t>
  </si>
  <si>
    <t xml:space="preserve">21000.054869/2018-81</t>
  </si>
  <si>
    <t xml:space="preserve">Thiodicarb Técnico RDB</t>
  </si>
  <si>
    <t xml:space="preserve">TC26522</t>
  </si>
  <si>
    <t xml:space="preserve">21000.037453/2018-07</t>
  </si>
  <si>
    <t xml:space="preserve">Protioconazole Técnico Nortox V</t>
  </si>
  <si>
    <t xml:space="preserve">TC27922</t>
  </si>
  <si>
    <t xml:space="preserve">21000.004681/2018-92</t>
  </si>
  <si>
    <t xml:space="preserve">Metribuzim Técnico Nortox II</t>
  </si>
  <si>
    <t xml:space="preserve">TC01622</t>
  </si>
  <si>
    <t xml:space="preserve">21000.093837/2019-82
</t>
  </si>
  <si>
    <t xml:space="preserve">Spirodiclofen Técnico CCAB II</t>
  </si>
  <si>
    <t xml:space="preserve">TC02122</t>
  </si>
  <si>
    <t xml:space="preserve">21000.044015/2019-78
</t>
  </si>
  <si>
    <t xml:space="preserve">Espirodiclofeno Técnico Pilarquim
</t>
  </si>
  <si>
    <t xml:space="preserve">TC02222</t>
  </si>
  <si>
    <t xml:space="preserve">21000.001740/2019-51
</t>
  </si>
  <si>
    <t xml:space="preserve">Picloram Técnico Bide
</t>
  </si>
  <si>
    <t xml:space="preserve">TC03222</t>
  </si>
  <si>
    <t xml:space="preserve">21000.049246/2019-78</t>
  </si>
  <si>
    <t xml:space="preserve">Picloram  Técnico Ada
</t>
  </si>
  <si>
    <t xml:space="preserve">TC06022</t>
  </si>
  <si>
    <t xml:space="preserve">21000.080482/2019-61
</t>
  </si>
  <si>
    <t xml:space="preserve">Flumioxazin Técnico CHDS II
</t>
  </si>
  <si>
    <t xml:space="preserve">Flumioxazina
</t>
  </si>
  <si>
    <t xml:space="preserve">TC07522</t>
  </si>
  <si>
    <t xml:space="preserve">21000.086740/2019-13
</t>
  </si>
  <si>
    <t xml:space="preserve">Protioconazol HV Técnico Helm
</t>
  </si>
  <si>
    <t xml:space="preserve">TC08222</t>
  </si>
  <si>
    <t xml:space="preserve">21000.050895/2019-11
</t>
  </si>
  <si>
    <t xml:space="preserve">Pimetrozina Técnico BRA
</t>
  </si>
  <si>
    <t xml:space="preserve">TC18522</t>
  </si>
  <si>
    <t xml:space="preserve">21000.031844/2016-48</t>
  </si>
  <si>
    <t xml:space="preserve">Inscalis Técnico</t>
  </si>
  <si>
    <t xml:space="preserve">Afidopiropen</t>
  </si>
  <si>
    <t xml:space="preserve">TC09022</t>
  </si>
  <si>
    <t xml:space="preserve">21000.011327/2019-03
</t>
  </si>
  <si>
    <t xml:space="preserve">Tebutiurom Técnico Sumitomo BR</t>
  </si>
  <si>
    <t xml:space="preserve">TC09322</t>
  </si>
  <si>
    <t xml:space="preserve">21000.010831/2019-88
</t>
  </si>
  <si>
    <t xml:space="preserve">Acetamiprid Técnico United
</t>
  </si>
  <si>
    <t xml:space="preserve">TC18822</t>
  </si>
  <si>
    <t xml:space="preserve">21000.009935/2011-92</t>
  </si>
  <si>
    <t xml:space="preserve">Aminociclopiraclor Tecnico</t>
  </si>
  <si>
    <t xml:space="preserve">Aminociclopiraclor</t>
  </si>
  <si>
    <t xml:space="preserve">TC09922</t>
  </si>
  <si>
    <t xml:space="preserve">21000.068097/2019-46
</t>
  </si>
  <si>
    <t xml:space="preserve">Spirodiclofen Técnico FB
</t>
  </si>
  <si>
    <t xml:space="preserve">TC12322</t>
  </si>
  <si>
    <t xml:space="preserve">21000.084748/2019-45
</t>
  </si>
  <si>
    <t xml:space="preserve">Pimetrozina Técnico Solus
</t>
  </si>
  <si>
    <t xml:space="preserve">TC13722</t>
  </si>
  <si>
    <t xml:space="preserve">  21000.065231/2019-57</t>
  </si>
  <si>
    <t xml:space="preserve">  Bifentrina Técnico CHDS</t>
  </si>
  <si>
    <t xml:space="preserve">  Bifentrina</t>
  </si>
  <si>
    <t xml:space="preserve">TC13922</t>
  </si>
  <si>
    <t xml:space="preserve">  21000.074935/2019-11</t>
  </si>
  <si>
    <t xml:space="preserve">  Acefato Técnico Crystal</t>
  </si>
  <si>
    <t xml:space="preserve">TC14622</t>
  </si>
  <si>
    <t xml:space="preserve">21000.060942/2019-35</t>
  </si>
  <si>
    <t xml:space="preserve">CYPROCONAZOLE TÉCNICO JN</t>
  </si>
  <si>
    <t xml:space="preserve">Biorisk
</t>
  </si>
  <si>
    <t xml:space="preserve">TC15222</t>
  </si>
  <si>
    <t xml:space="preserve">21000.019662/2019-41</t>
  </si>
  <si>
    <t xml:space="preserve">Flumioxazina Técnico SBT</t>
  </si>
  <si>
    <t xml:space="preserve">TC16222</t>
  </si>
  <si>
    <t xml:space="preserve">21000.071542/2019-55</t>
  </si>
  <si>
    <t xml:space="preserve">Clomazona Técnico Rainbow </t>
  </si>
  <si>
    <t xml:space="preserve">TC16922</t>
  </si>
  <si>
    <t xml:space="preserve">21000.030002/2019-11</t>
  </si>
  <si>
    <t xml:space="preserve">Flumioxazina B Técnico Helm</t>
  </si>
  <si>
    <t xml:space="preserve">TC17022</t>
  </si>
  <si>
    <t xml:space="preserve">21000.022196/2019-81</t>
  </si>
  <si>
    <t xml:space="preserve">Flumioxazin Técnico YN</t>
  </si>
  <si>
    <t xml:space="preserve">TC17122</t>
  </si>
  <si>
    <t xml:space="preserve">21000.025232/2019-69</t>
  </si>
  <si>
    <t xml:space="preserve">Flumioxazina técnico Ada BR</t>
  </si>
  <si>
    <t xml:space="preserve">TC17422</t>
  </si>
  <si>
    <t xml:space="preserve">21000.075150/2019-65</t>
  </si>
  <si>
    <t xml:space="preserve">Lambda-Cialotrina Técnico Ouro Fino</t>
  </si>
  <si>
    <t xml:space="preserve">TC17722</t>
  </si>
  <si>
    <t xml:space="preserve">21000.079014/2019-44</t>
  </si>
  <si>
    <t xml:space="preserve">Lambda-Cialotrina Técnico CHDS</t>
  </si>
  <si>
    <t xml:space="preserve">TC18022</t>
  </si>
  <si>
    <t xml:space="preserve">21000.093882/2019-37</t>
  </si>
  <si>
    <t xml:space="preserve">Trifloxystrobin Técnico FB II</t>
  </si>
  <si>
    <t xml:space="preserve">TC19222</t>
  </si>
  <si>
    <t xml:space="preserve">21000.028995/2019-61</t>
  </si>
  <si>
    <t xml:space="preserve">Metoxifenozida Técnico BRA</t>
  </si>
  <si>
    <t xml:space="preserve">TC20322</t>
  </si>
  <si>
    <t xml:space="preserve">21000.026354/2019-72</t>
  </si>
  <si>
    <t xml:space="preserve">Tiodicarb Técnico Nortox II</t>
  </si>
  <si>
    <t xml:space="preserve">TC20422</t>
  </si>
  <si>
    <t xml:space="preserve">21000.060120/2019-54</t>
  </si>
  <si>
    <t xml:space="preserve">Prothioconazole CNBR Técnico</t>
  </si>
  <si>
    <t xml:space="preserve">TC22222</t>
  </si>
  <si>
    <t xml:space="preserve">21000.082948/2019-63</t>
  </si>
  <si>
    <t xml:space="preserve">Protioconazol Técnico Pilarquim</t>
  </si>
  <si>
    <t xml:space="preserve">TC22322</t>
  </si>
  <si>
    <t xml:space="preserve">21000.048304/2019-46</t>
  </si>
  <si>
    <t xml:space="preserve">Protioconazol Técnico Hailir</t>
  </si>
  <si>
    <t xml:space="preserve">TC22922</t>
  </si>
  <si>
    <t xml:space="preserve">21000.094040/2019-01</t>
  </si>
  <si>
    <t xml:space="preserve">Difenoconazole Técnico Limin</t>
  </si>
  <si>
    <t xml:space="preserve">TC23222</t>
  </si>
  <si>
    <t xml:space="preserve">21000.024113/2019-99</t>
  </si>
  <si>
    <t xml:space="preserve">Protioconazole Técnico Sulphur Mills</t>
  </si>
  <si>
    <t xml:space="preserve">TC23422</t>
  </si>
  <si>
    <t xml:space="preserve">21000.079366/2019-08</t>
  </si>
  <si>
    <t xml:space="preserve">Protioconazol Técnico Adama 3</t>
  </si>
  <si>
    <t xml:space="preserve">TC24522</t>
  </si>
  <si>
    <t xml:space="preserve">21000.009477/2019-49</t>
  </si>
  <si>
    <t xml:space="preserve">Glifosato Técnico CropChem II</t>
  </si>
  <si>
    <t xml:space="preserve">TC21122</t>
  </si>
  <si>
    <t xml:space="preserve">21000.008139/2012-13</t>
  </si>
  <si>
    <t xml:space="preserve">Pinoxaden Tecnico</t>
  </si>
  <si>
    <t xml:space="preserve">TC24822</t>
  </si>
  <si>
    <t xml:space="preserve">21000.082127/2019-27</t>
  </si>
  <si>
    <t xml:space="preserve">Glifosato Técnico Nortox V</t>
  </si>
  <si>
    <t xml:space="preserve">TC25422</t>
  </si>
  <si>
    <t xml:space="preserve">21000.091428/2019-41</t>
  </si>
  <si>
    <t xml:space="preserve">Lufenurom Técnico Pilarquim</t>
  </si>
  <si>
    <t xml:space="preserve">TC25522</t>
  </si>
  <si>
    <t xml:space="preserve">21000.061081/2019-11</t>
  </si>
  <si>
    <t xml:space="preserve">Protioconazol  SH Técnico Helm</t>
  </si>
  <si>
    <t xml:space="preserve">TC25722</t>
  </si>
  <si>
    <t xml:space="preserve">21000.043762/2019-99</t>
  </si>
  <si>
    <t xml:space="preserve">Lufenuron Técnico FB</t>
  </si>
  <si>
    <t xml:space="preserve">TC26222</t>
  </si>
  <si>
    <t xml:space="preserve">21000.016710/2019-40</t>
  </si>
  <si>
    <t xml:space="preserve">Difenoconazole Técnico Ada</t>
  </si>
  <si>
    <t xml:space="preserve">TC26422</t>
  </si>
  <si>
    <t xml:space="preserve">21000.093213/2019-65</t>
  </si>
  <si>
    <t xml:space="preserve">Protioconazol Técnico Tecnomyl </t>
  </si>
  <si>
    <t xml:space="preserve">TC26922</t>
  </si>
  <si>
    <t xml:space="preserve">21000.018354/2019-07</t>
  </si>
  <si>
    <t xml:space="preserve">Flumioxazina Técnico Ada Brasil</t>
  </si>
  <si>
    <t xml:space="preserve">TC27022</t>
  </si>
  <si>
    <t xml:space="preserve">21000.041441/2019-50</t>
  </si>
  <si>
    <t xml:space="preserve">Sulfentrazone Técnico FB</t>
  </si>
  <si>
    <t xml:space="preserve">TC00722</t>
  </si>
  <si>
    <t xml:space="preserve">21000.026003/2020-03</t>
  </si>
  <si>
    <t xml:space="preserve">Bifentrina Técnico Tide</t>
  </si>
  <si>
    <t xml:space="preserve">TC03822</t>
  </si>
  <si>
    <t xml:space="preserve">21000.004256/2020-18
</t>
  </si>
  <si>
    <t xml:space="preserve">Flumioxazin Técnico NGC
</t>
  </si>
  <si>
    <t xml:space="preserve">TC04322</t>
  </si>
  <si>
    <t xml:space="preserve">21000.045532/2020-06
</t>
  </si>
  <si>
    <t xml:space="preserve">S-Metolacloro Técnico Pilarquim
</t>
  </si>
  <si>
    <t xml:space="preserve">TC04622</t>
  </si>
  <si>
    <t xml:space="preserve">21000.042024/2020-68
</t>
  </si>
  <si>
    <t xml:space="preserve">Imidacloprid Técnico NGC
</t>
  </si>
  <si>
    <t xml:space="preserve">TC05822</t>
  </si>
  <si>
    <t xml:space="preserve">21000.014601/2020-21
</t>
  </si>
  <si>
    <t xml:space="preserve">Acetamiprid Técnico SAU
</t>
  </si>
  <si>
    <t xml:space="preserve">TC05922</t>
  </si>
  <si>
    <t xml:space="preserve">21000.055264/2020-22
</t>
  </si>
  <si>
    <t xml:space="preserve">Protioconazol Técnico Perterra
</t>
  </si>
  <si>
    <t xml:space="preserve">TC06522</t>
  </si>
  <si>
    <t xml:space="preserve">21000.077039/2020-47
</t>
  </si>
  <si>
    <t xml:space="preserve">Prothio Técnico Perterra
</t>
  </si>
  <si>
    <t xml:space="preserve">TC06622</t>
  </si>
  <si>
    <t xml:space="preserve">21000.015046/2020-55</t>
  </si>
  <si>
    <t xml:space="preserve">Piraclostrobina Técnico Tecnomyl</t>
  </si>
  <si>
    <t xml:space="preserve">TC06722</t>
  </si>
  <si>
    <t xml:space="preserve">21000.041739/2020-01
</t>
  </si>
  <si>
    <t xml:space="preserve">Picoxistrobina Técnico Tecnomyl</t>
  </si>
  <si>
    <t xml:space="preserve">TC07922</t>
  </si>
  <si>
    <t xml:space="preserve">21000.051484/2020-87
</t>
  </si>
  <si>
    <t xml:space="preserve">Picoxistrobina Técnico CropcChem III
</t>
  </si>
  <si>
    <t xml:space="preserve">TC08022</t>
  </si>
  <si>
    <t xml:space="preserve">21000.038711/2020-89
</t>
  </si>
  <si>
    <t xml:space="preserve">Pimetrozina Técnico CropChem II
</t>
  </si>
  <si>
    <t xml:space="preserve">TC09122</t>
  </si>
  <si>
    <t xml:space="preserve">21000.077130/2020-62
</t>
  </si>
  <si>
    <t xml:space="preserve">Prothioconazole Técnico NT
</t>
  </si>
  <si>
    <t xml:space="preserve">TC09522</t>
  </si>
  <si>
    <t xml:space="preserve">21000.071339/2020-12
</t>
  </si>
  <si>
    <t xml:space="preserve">Bifenthrin Técnico NGC
</t>
  </si>
  <si>
    <t xml:space="preserve">TC09722</t>
  </si>
  <si>
    <t xml:space="preserve">21000.033077/2020-98
</t>
  </si>
  <si>
    <t xml:space="preserve">S-Metolaclor Técnico Solus</t>
  </si>
  <si>
    <t xml:space="preserve">TC10922</t>
  </si>
  <si>
    <t xml:space="preserve">21000.031939/2020-48
</t>
  </si>
  <si>
    <t xml:space="preserve">Tebuconazole Técnico NGC
</t>
  </si>
  <si>
    <t xml:space="preserve">TC12822</t>
  </si>
  <si>
    <t xml:space="preserve">21000.055331/2020-17
</t>
  </si>
  <si>
    <t xml:space="preserve">Dicamba Técnico Nortox V</t>
  </si>
  <si>
    <t xml:space="preserve">TC13622</t>
  </si>
  <si>
    <t xml:space="preserve">  21000.019990/2020-81</t>
  </si>
  <si>
    <t xml:space="preserve">Piraclostrobina Técnico Hailir</t>
  </si>
  <si>
    <t xml:space="preserve">TC16422</t>
  </si>
  <si>
    <t xml:space="preserve">21000.032526/2020-81</t>
  </si>
  <si>
    <t xml:space="preserve">Flumioxazin Técnico Binnong</t>
  </si>
  <si>
    <t xml:space="preserve">TC17322</t>
  </si>
  <si>
    <t xml:space="preserve">21000.033072/2020-65</t>
  </si>
  <si>
    <t xml:space="preserve">Flumioxazim Técnico Solus</t>
  </si>
  <si>
    <t xml:space="preserve">TC17522</t>
  </si>
  <si>
    <t xml:space="preserve">21000.080812/2020-52</t>
  </si>
  <si>
    <t xml:space="preserve">Cletodim Técnico Ouro Fino</t>
  </si>
  <si>
    <t xml:space="preserve">TC19122</t>
  </si>
  <si>
    <t xml:space="preserve">21000.028382/2020-68</t>
  </si>
  <si>
    <t xml:space="preserve">Flumioxazin Técnico Pilarquim LC</t>
  </si>
  <si>
    <t xml:space="preserve">TC19722</t>
  </si>
  <si>
    <t xml:space="preserve">21000.070083/2020-26</t>
  </si>
  <si>
    <t xml:space="preserve">Clethodim Técnico Brilliance II</t>
  </si>
  <si>
    <t xml:space="preserve">TC21322</t>
  </si>
  <si>
    <t xml:space="preserve">21000.067478/2020-41</t>
  </si>
  <si>
    <t xml:space="preserve">Tiodicarbe Técnico Albaugh</t>
  </si>
  <si>
    <t xml:space="preserve">TC24322</t>
  </si>
  <si>
    <t xml:space="preserve">21000.013520/2018-90</t>
  </si>
  <si>
    <t xml:space="preserve">Barus Técnico</t>
  </si>
  <si>
    <t xml:space="preserve">TC22122</t>
  </si>
  <si>
    <t xml:space="preserve">21000.056731/2020-31</t>
  </si>
  <si>
    <t xml:space="preserve">Pymetrozine Técnico NGC</t>
  </si>
  <si>
    <t xml:space="preserve">TC22422</t>
  </si>
  <si>
    <t xml:space="preserve">21000.074201/2020-75</t>
  </si>
  <si>
    <t xml:space="preserve">Dicamba Técnico NGC</t>
  </si>
  <si>
    <t xml:space="preserve">TC23122</t>
  </si>
  <si>
    <t xml:space="preserve">21000.020687/2020-21</t>
  </si>
  <si>
    <t xml:space="preserve">Lufenuron Técnico D'Verde</t>
  </si>
  <si>
    <t xml:space="preserve">D’Verde</t>
  </si>
  <si>
    <t xml:space="preserve">TC26022</t>
  </si>
  <si>
    <t xml:space="preserve">21000.082399/2020-61</t>
  </si>
  <si>
    <t xml:space="preserve">Protioconazole Técnico Tide</t>
  </si>
  <si>
    <t xml:space="preserve">TC26722</t>
  </si>
  <si>
    <t xml:space="preserve">21000.071892/2020-55</t>
  </si>
  <si>
    <t xml:space="preserve">Lambda-Cyhalothrin Técnico Sino-Agri</t>
  </si>
  <si>
    <t xml:space="preserve">TC27722</t>
  </si>
  <si>
    <t xml:space="preserve">21000.067477/2020-05</t>
  </si>
  <si>
    <t xml:space="preserve">Tiametoxam Técnico Albaugh</t>
  </si>
  <si>
    <t xml:space="preserve">TC00622</t>
  </si>
  <si>
    <t xml:space="preserve">21000.039061/2021-70</t>
  </si>
  <si>
    <t xml:space="preserve">Boscalid Técnico Udragon</t>
  </si>
  <si>
    <t xml:space="preserve">TC05522</t>
  </si>
  <si>
    <t xml:space="preserve">21000.006917/2021-21
</t>
  </si>
  <si>
    <t xml:space="preserve">Pyraclostrobin Técnico ABT
</t>
  </si>
  <si>
    <t xml:space="preserve">TC07122</t>
  </si>
  <si>
    <t xml:space="preserve">21000.040040/2021-05
</t>
  </si>
  <si>
    <t xml:space="preserve">Forward Atrazine Técnico
</t>
  </si>
  <si>
    <t xml:space="preserve">TC07422</t>
  </si>
  <si>
    <t xml:space="preserve">21000. 070841/2021-97
</t>
  </si>
  <si>
    <t xml:space="preserve">Imidacloprido HY Técnico Helm
</t>
  </si>
  <si>
    <t xml:space="preserve">TC07722</t>
  </si>
  <si>
    <t xml:space="preserve">21000.109767/2021-14</t>
  </si>
  <si>
    <t xml:space="preserve">Atrazina Técnico Cropchem
</t>
  </si>
  <si>
    <t xml:space="preserve">TC08322</t>
  </si>
  <si>
    <t xml:space="preserve">21000.047962/2021-35
</t>
  </si>
  <si>
    <t xml:space="preserve">Pimetrozine Técnico FB</t>
  </si>
  <si>
    <t xml:space="preserve">TC08522</t>
  </si>
  <si>
    <t xml:space="preserve">21000.107221/2021-11
</t>
  </si>
  <si>
    <t xml:space="preserve">Picloram Técnico Ihara I
</t>
  </si>
  <si>
    <t xml:space="preserve">TC08922</t>
  </si>
  <si>
    <t xml:space="preserve">21000.080680/2021-40
</t>
  </si>
  <si>
    <t xml:space="preserve">Imatezapir Z Técnico Helm
</t>
  </si>
  <si>
    <t xml:space="preserve">TC09222</t>
  </si>
  <si>
    <t xml:space="preserve">21000.037833/2021-39
</t>
  </si>
  <si>
    <t xml:space="preserve">Glufosinato Técnico Alta III
</t>
  </si>
  <si>
    <t xml:space="preserve">TC09422</t>
  </si>
  <si>
    <t xml:space="preserve">21000.050596/2021-00
</t>
  </si>
  <si>
    <t xml:space="preserve">Bifenthrin Técnico Yangnong
</t>
  </si>
  <si>
    <t xml:space="preserve">TC13422</t>
  </si>
  <si>
    <t xml:space="preserve">  21000.058478/2021-31</t>
  </si>
  <si>
    <t xml:space="preserve">  Bifenthrin Técnico SAU</t>
  </si>
  <si>
    <t xml:space="preserve">BIorisk
</t>
  </si>
  <si>
    <t xml:space="preserve">TC18622</t>
  </si>
  <si>
    <t xml:space="preserve">21000.040311/2021-14</t>
  </si>
  <si>
    <t xml:space="preserve">Cletodim Técnico  SCH</t>
  </si>
  <si>
    <t xml:space="preserve">TC18922</t>
  </si>
  <si>
    <t xml:space="preserve">21000.069791/2021-03</t>
  </si>
  <si>
    <t xml:space="preserve">Flumioxazim Técnico Albaugh I</t>
  </si>
  <si>
    <t xml:space="preserve">TC21022</t>
  </si>
  <si>
    <t xml:space="preserve">21000.023704/2021-63</t>
  </si>
  <si>
    <t xml:space="preserve">Fico e Fico Técnico</t>
  </si>
  <si>
    <t xml:space="preserve">Ioxinil Octanoate</t>
  </si>
  <si>
    <t xml:space="preserve">GreenUp</t>
  </si>
  <si>
    <t xml:space="preserve">TC23322</t>
  </si>
  <si>
    <t xml:space="preserve">21000.017495/2021-19</t>
  </si>
  <si>
    <t xml:space="preserve">Prothio H Técnico Perterra</t>
  </si>
  <si>
    <t xml:space="preserve">TC23522</t>
  </si>
  <si>
    <t xml:space="preserve">21000.106733/2021-60</t>
  </si>
  <si>
    <t xml:space="preserve">Lufenuron Técnico Sino-Agri</t>
  </si>
  <si>
    <t xml:space="preserve">TC24122</t>
  </si>
  <si>
    <t xml:space="preserve">21000.033809/2021-21</t>
  </si>
  <si>
    <t xml:space="preserve">Imazetapir Técnico Tide</t>
  </si>
  <si>
    <t xml:space="preserve">TC24222</t>
  </si>
  <si>
    <t xml:space="preserve">21000.096414/2021-39</t>
  </si>
  <si>
    <t xml:space="preserve">Nicosulfuron Técnico XW</t>
  </si>
  <si>
    <t xml:space="preserve">Xingfa &amp; Wenda</t>
  </si>
  <si>
    <t xml:space="preserve">TC25922</t>
  </si>
  <si>
    <t xml:space="preserve">21000.023596/2021-29</t>
  </si>
  <si>
    <t xml:space="preserve">Protioconazol Técnico Oxiquímica</t>
  </si>
  <si>
    <t xml:space="preserve">TC26122</t>
  </si>
  <si>
    <t xml:space="preserve">21000.035575/2021-56</t>
  </si>
  <si>
    <t xml:space="preserve">Mesotrione Técnico Albaugh AZ</t>
  </si>
  <si>
    <t xml:space="preserve">TC26322</t>
  </si>
  <si>
    <t xml:space="preserve">21000.014845/2021-95</t>
  </si>
  <si>
    <t xml:space="preserve">Metribuzim Técnico OF I</t>
  </si>
  <si>
    <t xml:space="preserve">TC27122</t>
  </si>
  <si>
    <t xml:space="preserve">21000.056678/2021-50</t>
  </si>
  <si>
    <t xml:space="preserve">Sulfentrazona Técnico Alta</t>
  </si>
  <si>
    <t xml:space="preserve">TC27322</t>
  </si>
  <si>
    <t xml:space="preserve">21000.031295/2021-79</t>
  </si>
  <si>
    <t xml:space="preserve">Lambda-Cyhalothrin Técnico Bharat</t>
  </si>
  <si>
    <t xml:space="preserve">TC17622</t>
  </si>
  <si>
    <t xml:space="preserve">21000.022531/2022-47</t>
  </si>
  <si>
    <t xml:space="preserve">Lambda-Cialotrina Técnico MG-BRA</t>
  </si>
  <si>
    <t xml:space="preserve">TC17822</t>
  </si>
  <si>
    <t xml:space="preserve">21000.026252/2022-52</t>
  </si>
  <si>
    <t xml:space="preserve">Glufosinato Técnico Ihara II</t>
  </si>
  <si>
    <t xml:space="preserve">TC23822</t>
  </si>
  <si>
    <t xml:space="preserve">21000.026924/2022-20</t>
  </si>
  <si>
    <t xml:space="preserve">Acetamol Técnico</t>
  </si>
  <si>
    <t xml:space="preserve">TC23922</t>
  </si>
  <si>
    <t xml:space="preserve">21000.033593/2022-84</t>
  </si>
  <si>
    <t xml:space="preserve">Protioconazol técnico Cropchem VI</t>
  </si>
  <si>
    <t xml:space="preserve">TC24022</t>
  </si>
  <si>
    <t xml:space="preserve">21000.033415/2020-91</t>
  </si>
  <si>
    <t xml:space="preserve">Terbutilazina Técnico CropChem</t>
  </si>
  <si>
    <t xml:space="preserve">TC24622</t>
  </si>
  <si>
    <t xml:space="preserve">21000.060569/2022-18</t>
  </si>
  <si>
    <t xml:space="preserve">Bifentrina Técnico Ihara I</t>
  </si>
  <si>
    <t xml:space="preserve">TC24722</t>
  </si>
  <si>
    <t xml:space="preserve">21000.018207/2022-24</t>
  </si>
  <si>
    <t xml:space="preserve">Glifosato Técnico Albaugh SHB</t>
  </si>
  <si>
    <t xml:space="preserve">21000.053656/2017-51</t>
  </si>
  <si>
    <t xml:space="preserve">Excalia Max</t>
  </si>
  <si>
    <t xml:space="preserve">Impirfluxam; Tebuconazol</t>
  </si>
  <si>
    <t xml:space="preserve"> Sumitomo</t>
  </si>
  <si>
    <t xml:space="preserve">21000.003112/2014-04</t>
  </si>
  <si>
    <t xml:space="preserve">Naria DM</t>
  </si>
  <si>
    <t xml:space="preserve">Dimetomorfe; Piraclostrobina</t>
  </si>
  <si>
    <t xml:space="preserve">21000.033615/2018-20</t>
  </si>
  <si>
    <t xml:space="preserve">Dorai Max</t>
  </si>
  <si>
    <t xml:space="preserve">Dibrometo de Diquate; Amicarbazona</t>
  </si>
  <si>
    <t xml:space="preserve">21000.087671/2019-65</t>
  </si>
  <si>
    <t xml:space="preserve">Xeque Mate HT</t>
  </si>
  <si>
    <t xml:space="preserve">Glifosato, Sal de Potássio</t>
  </si>
  <si>
    <t xml:space="preserve">21016.002575/2021-09</t>
  </si>
  <si>
    <t xml:space="preserve">Provilar</t>
  </si>
  <si>
    <t xml:space="preserve"> Bacillus velezensis; Bacillus subtilis</t>
  </si>
  <si>
    <t xml:space="preserve">21000.002714/2015-17</t>
  </si>
  <si>
    <t xml:space="preserve">Moddus Neo</t>
  </si>
  <si>
    <t xml:space="preserve">21000.023777/2017-79</t>
  </si>
  <si>
    <t xml:space="preserve">Arquero</t>
  </si>
  <si>
    <t xml:space="preserve">21016.005575/2021-52</t>
  </si>
  <si>
    <t xml:space="preserve">Biopodisi</t>
  </si>
  <si>
    <t xml:space="preserve">Telenomus podisi </t>
  </si>
  <si>
    <t xml:space="preserve">Mosoletto</t>
  </si>
  <si>
    <t xml:space="preserve">21000.008103/2014-00</t>
  </si>
  <si>
    <t xml:space="preserve">Cinturão 500 SC</t>
  </si>
  <si>
    <t xml:space="preserve">21000.057698/2020-67</t>
  </si>
  <si>
    <t xml:space="preserve">Clorotalonil Oxon 720 SC II</t>
  </si>
  <si>
    <t xml:space="preserve">21000.047910/2020-88</t>
  </si>
  <si>
    <t xml:space="preserve">Bravengis</t>
  </si>
  <si>
    <t xml:space="preserve">Clorotalonil; Tebuconazole</t>
  </si>
  <si>
    <t xml:space="preserve">21000.065447/2020-56</t>
  </si>
  <si>
    <t xml:space="preserve">Terbutilazina Oxon 500 SC I</t>
  </si>
  <si>
    <t xml:space="preserve">Terbutilazina </t>
  </si>
  <si>
    <t xml:space="preserve">21000.057696/2020-78</t>
  </si>
  <si>
    <t xml:space="preserve">Clorotalonil Oxon 720 SC</t>
  </si>
  <si>
    <t xml:space="preserve">21000.056174/2016-72</t>
  </si>
  <si>
    <t xml:space="preserve">Exert 540 EC</t>
  </si>
  <si>
    <t xml:space="preserve">Haloxifope-P-metílico</t>
  </si>
  <si>
    <t xml:space="preserve">21000.008003/2015-56</t>
  </si>
  <si>
    <t xml:space="preserve">Adver 240 SC</t>
  </si>
  <si>
    <t xml:space="preserve">Clorfenapir  </t>
  </si>
  <si>
    <t xml:space="preserve">21000.029403/2020-62</t>
  </si>
  <si>
    <t xml:space="preserve">Cropper</t>
  </si>
  <si>
    <t xml:space="preserve">Mancozebe; Protioconazol; Fluxapiroxade</t>
  </si>
  <si>
    <t xml:space="preserve">21000.004774/2015-74</t>
  </si>
  <si>
    <t xml:space="preserve">AMAZE 450 WG</t>
  </si>
  <si>
    <t xml:space="preserve">21000.048795/2017-63</t>
  </si>
  <si>
    <t xml:space="preserve">MANZIVEX I</t>
  </si>
  <si>
    <t xml:space="preserve">21000.049554/2020-37</t>
  </si>
  <si>
    <t xml:space="preserve">ORINS</t>
  </si>
  <si>
    <t xml:space="preserve">Orius insidiosus</t>
  </si>
  <si>
    <t xml:space="preserve">21000.058750/2016-16</t>
  </si>
  <si>
    <t xml:space="preserve">PAYLOAD</t>
  </si>
  <si>
    <t xml:space="preserve">21016.005831/2021-10</t>
  </si>
  <si>
    <t xml:space="preserve"> BTP 400-21</t>
  </si>
  <si>
    <r>
      <rPr>
        <i val="true"/>
        <sz val="11"/>
        <color rgb="FF000066"/>
        <rFont val="Arial"/>
        <family val="2"/>
        <charset val="1"/>
      </rPr>
      <t xml:space="preserve">Azadirachta indica</t>
    </r>
    <r>
      <rPr>
        <sz val="11"/>
        <color rgb="FF000066"/>
        <rFont val="Arial"/>
        <family val="2"/>
        <charset val="1"/>
      </rPr>
      <t xml:space="preserve"> (Óleo de Nim)</t>
    </r>
  </si>
  <si>
    <t xml:space="preserve">21000.049552/2020-48</t>
  </si>
  <si>
    <t xml:space="preserve">CRISOP</t>
  </si>
  <si>
    <t xml:space="preserve">21000.060199/2016-71</t>
  </si>
  <si>
    <t xml:space="preserve">SUREGUARD</t>
  </si>
  <si>
    <t xml:space="preserve">21000.060202/2016-56</t>
  </si>
  <si>
    <t xml:space="preserve">INTRISIC</t>
  </si>
  <si>
    <t xml:space="preserve">21000.033616/2018-74</t>
  </si>
  <si>
    <t xml:space="preserve">BURNER</t>
  </si>
  <si>
    <t xml:space="preserve">Dibrometo de Diquate; Flumioxazina</t>
  </si>
  <si>
    <t xml:space="preserve">21000.008949/2017-84</t>
  </si>
  <si>
    <t xml:space="preserve"> SELECT 3 EC </t>
  </si>
  <si>
    <t xml:space="preserve">21000.001832/2011-84</t>
  </si>
  <si>
    <t xml:space="preserve"> ZAMPRO</t>
  </si>
  <si>
    <t xml:space="preserve">Ametoctradina; Dimetomorfe</t>
  </si>
  <si>
    <t xml:space="preserve">21016.005694/2021-13</t>
  </si>
  <si>
    <t xml:space="preserve">GNC 010-2</t>
  </si>
  <si>
    <t xml:space="preserve">21016.005789/2021-29</t>
  </si>
  <si>
    <t xml:space="preserve">JB PA L-E</t>
  </si>
  <si>
    <t xml:space="preserve">Palmistichus elaeisis</t>
  </si>
  <si>
    <t xml:space="preserve">JB Biotecnologia</t>
  </si>
  <si>
    <t xml:space="preserve">21000.002290/2015-91</t>
  </si>
  <si>
    <t xml:space="preserve">AZOXISTROBINA COONAGRO 250 SC</t>
  </si>
  <si>
    <t xml:space="preserve">21000.003881/2014-02</t>
  </si>
  <si>
    <t xml:space="preserve">ZETHAPYR BR</t>
  </si>
  <si>
    <t xml:space="preserve">21000.004301/2015-77</t>
  </si>
  <si>
    <t xml:space="preserve">SNIPER​ PRIME</t>
  </si>
  <si>
    <t xml:space="preserve">Fluroxipir-meptilico; Picloram</t>
  </si>
  <si>
    <t xml:space="preserve">21000.005733/2015-03</t>
  </si>
  <si>
    <t xml:space="preserve">SHIFT</t>
  </si>
  <si>
    <t xml:space="preserve">21000.053654/2017-62</t>
  </si>
  <si>
    <t xml:space="preserve">FOX SUPRA</t>
  </si>
  <si>
    <t xml:space="preserve">Impirfluxam; Protioconazol</t>
  </si>
  <si>
    <t xml:space="preserve">21000.049006/2017-10</t>
  </si>
  <si>
    <t xml:space="preserve">TAGZOLE 250 EC</t>
  </si>
  <si>
    <t xml:space="preserve">21000.032892/2017-34</t>
  </si>
  <si>
    <t xml:space="preserve">ORONDIS ULTRA</t>
  </si>
  <si>
    <t xml:space="preserve">Mandipropamida; Oxatiapiprolim</t>
  </si>
  <si>
    <t xml:space="preserve">21000.002866/2015-10</t>
  </si>
  <si>
    <t xml:space="preserve">PATROL</t>
  </si>
  <si>
    <t xml:space="preserve"> Adama </t>
  </si>
  <si>
    <t xml:space="preserve">21000.007673/2010-41</t>
  </si>
  <si>
    <t xml:space="preserve">BOREY SC</t>
  </si>
  <si>
    <t xml:space="preserve">21000.063504/2016-86</t>
  </si>
  <si>
    <t xml:space="preserve">BELYAN</t>
  </si>
  <si>
    <t xml:space="preserve">Mefentrifluconazol; Piraclostrobina; Fluxapiroxade</t>
  </si>
  <si>
    <t xml:space="preserve">21000.011806/2009-40</t>
  </si>
  <si>
    <t xml:space="preserve"> ZAMPRO DM</t>
  </si>
  <si>
    <t xml:space="preserve">Ametoctradina; Dimetomorfe</t>
  </si>
  <si>
    <t xml:space="preserve">21000.019081/2017-48</t>
  </si>
  <si>
    <t xml:space="preserve">CREVIXAR</t>
  </si>
  <si>
    <t xml:space="preserve">21000.019080/2017-01</t>
  </si>
  <si>
    <t xml:space="preserve">PALIVAR</t>
  </si>
  <si>
    <t xml:space="preserve">21000.063210/2016-54</t>
  </si>
  <si>
    <t xml:space="preserve">DIVEX</t>
  </si>
  <si>
    <t xml:space="preserve">Clorotalonil; Fluxapiroxade</t>
  </si>
  <si>
    <t xml:space="preserve">21000.051697/2018-94</t>
  </si>
  <si>
    <t xml:space="preserve"> FORASTEIRO</t>
  </si>
  <si>
    <t xml:space="preserve">2,4-D; Fluroxipir-meptílico; Picloram</t>
  </si>
  <si>
    <t xml:space="preserve">21000.009071/2012-90</t>
  </si>
  <si>
    <t xml:space="preserve">LUXOR</t>
  </si>
  <si>
    <t xml:space="preserve">21000.000989/2013-54</t>
  </si>
  <si>
    <t xml:space="preserve">PALMERO WG</t>
  </si>
  <si>
    <t xml:space="preserve">21000.005567/2015-37</t>
  </si>
  <si>
    <t xml:space="preserve">COLT</t>
  </si>
  <si>
    <t xml:space="preserve">21000.002421/2018-82</t>
  </si>
  <si>
    <t xml:space="preserve">UPL 1014 FP</t>
  </si>
  <si>
    <t xml:space="preserve">Acefato; Bifentrina</t>
  </si>
  <si>
    <t xml:space="preserve">21000.048631/2021-12</t>
  </si>
  <si>
    <t xml:space="preserve">Beauveria bassiana - isolado IBCB 66; Metarhizium anisopliae cepa IBCB 425</t>
  </si>
  <si>
    <t xml:space="preserve">21016.006634/2021-18</t>
  </si>
  <si>
    <t xml:space="preserve">BACILLUS THURINGIENSIS BOM FUTURO</t>
  </si>
  <si>
    <t xml:space="preserve">Bacillus thuringiensis var. kurstaki isolado HD-1 (S 1450)</t>
  </si>
  <si>
    <t xml:space="preserve">Bom Futuro</t>
  </si>
  <si>
    <t xml:space="preserve">21016.005830/2021-67</t>
  </si>
  <si>
    <t xml:space="preserve">BTP 300-21</t>
  </si>
  <si>
    <t xml:space="preserve">Óleo de Nim (Azadirachta indica)</t>
  </si>
  <si>
    <t xml:space="preserve">21000.040243/2020-11</t>
  </si>
  <si>
    <t xml:space="preserve">PRODIGY</t>
  </si>
  <si>
    <t xml:space="preserve">Dow </t>
  </si>
  <si>
    <t xml:space="preserve">21016.007024/2021-23</t>
  </si>
  <si>
    <t xml:space="preserve">STPL-R1</t>
  </si>
  <si>
    <t xml:space="preserve">Cinetina; Ácido Giberélico, GA3; Ácido 4-Indol-3Ilbutírico</t>
  </si>
  <si>
    <t xml:space="preserve">21000.009602/2012-44</t>
  </si>
  <si>
    <t xml:space="preserve">HIGON R</t>
  </si>
  <si>
    <t xml:space="preserve">Clorimuron-etílico</t>
  </si>
  <si>
    <t xml:space="preserve">21000.007755/2015-08</t>
  </si>
  <si>
    <t xml:space="preserve">TIOFANATO NORTOX</t>
  </si>
  <si>
    <t xml:space="preserve">21000.027582/2017-06</t>
  </si>
  <si>
    <t xml:space="preserve">BENKEI</t>
  </si>
  <si>
    <t xml:space="preserve">Buprofezina</t>
  </si>
  <si>
    <t xml:space="preserve">21000.025834/2018-35</t>
  </si>
  <si>
    <t xml:space="preserve">HALOXIFOP-METÍLICO 124,7 EC TECNOMYL I</t>
  </si>
  <si>
    <t xml:space="preserve">Haloxifop-P-Metíl</t>
  </si>
  <si>
    <t xml:space="preserve">21000.004717/2012-42</t>
  </si>
  <si>
    <t xml:space="preserve">NUCLEUS</t>
  </si>
  <si>
    <t xml:space="preserve">21000.015789/2019-91</t>
  </si>
  <si>
    <t xml:space="preserve">WINOUT XTRA</t>
  </si>
  <si>
    <t xml:space="preserve">21000.005843/2015-67</t>
  </si>
  <si>
    <t xml:space="preserve">RAINVEL</t>
  </si>
  <si>
    <t xml:space="preserve">21000.001955/2014-68</t>
  </si>
  <si>
    <t xml:space="preserve">METOLOX 96 EC</t>
  </si>
  <si>
    <t xml:space="preserve"> S-Metacloro</t>
  </si>
  <si>
    <t xml:space="preserve">21000.049678/2017-17</t>
  </si>
  <si>
    <t xml:space="preserve">AMICARBAZONE NORTOX</t>
  </si>
  <si>
    <t xml:space="preserve">21000.044268/2017-80</t>
  </si>
  <si>
    <t xml:space="preserve">GARROTEBR</t>
  </si>
  <si>
    <t xml:space="preserve">Fluroxipir-meptilico; Picloram - Sal de Triisopropanolamina</t>
  </si>
  <si>
    <t xml:space="preserve">21016.006788/2021-00</t>
  </si>
  <si>
    <t xml:space="preserve">BIOPALMIS</t>
  </si>
  <si>
    <t xml:space="preserve">Morsoleto</t>
  </si>
  <si>
    <t xml:space="preserve">21000.007555/2016-28</t>
  </si>
  <si>
    <t xml:space="preserve">PLATEAU SPIN</t>
  </si>
  <si>
    <t xml:space="preserve">21000.003487/2018-90</t>
  </si>
  <si>
    <t xml:space="preserve">PLANITY</t>
  </si>
  <si>
    <t xml:space="preserve">Impirfluxam; Tebuconazol</t>
  </si>
  <si>
    <t xml:space="preserve">21016.007007/2021-96</t>
  </si>
  <si>
    <t xml:space="preserve">STM-R1</t>
  </si>
  <si>
    <t xml:space="preserve">21000.005915/2015-76</t>
  </si>
  <si>
    <t xml:space="preserve">SPARVIERO 100</t>
  </si>
  <si>
    <t xml:space="preserve">21000.026348/2019-15</t>
  </si>
  <si>
    <t xml:space="preserve">COFENRIN</t>
  </si>
  <si>
    <t xml:space="preserve">21000.004866/2010-40</t>
  </si>
  <si>
    <t xml:space="preserve">HANARO</t>
  </si>
  <si>
    <t xml:space="preserve">Bistriflurom</t>
  </si>
  <si>
    <t xml:space="preserve">21000.049252/2016-82</t>
  </si>
  <si>
    <t xml:space="preserve"> WIKING 600 WG</t>
  </si>
  <si>
    <t xml:space="preserve">Metsulfurom-Metílico</t>
  </si>
  <si>
    <t xml:space="preserve">21000.003100/2015-52</t>
  </si>
  <si>
    <t xml:space="preserve">FIPRONIL 800 WG PROVENTIS</t>
  </si>
  <si>
    <t xml:space="preserve">21000.005568/2015-81</t>
  </si>
  <si>
    <t xml:space="preserve">YETI</t>
  </si>
  <si>
    <t xml:space="preserve">21000.001211/2009-86</t>
  </si>
  <si>
    <t xml:space="preserve">VIGORBR</t>
  </si>
  <si>
    <t xml:space="preserve">21016.006623/2021-20</t>
  </si>
  <si>
    <t xml:space="preserve">BIODIATRAEA</t>
  </si>
  <si>
    <t xml:space="preserve">Trichospilus diatraeae</t>
  </si>
  <si>
    <t xml:space="preserve">21016.005713/2021-01</t>
  </si>
  <si>
    <t xml:space="preserve">BEAUVE 100</t>
  </si>
  <si>
    <r>
      <rPr>
        <i val="true"/>
        <sz val="11"/>
        <color rgb="FF000066"/>
        <rFont val="Arial"/>
        <family val="2"/>
        <charset val="1"/>
      </rPr>
      <t xml:space="preserve">Beauveria bassiana</t>
    </r>
    <r>
      <rPr>
        <sz val="11"/>
        <color rgb="FF000066"/>
        <rFont val="Arial"/>
        <family val="2"/>
        <charset val="1"/>
      </rPr>
      <t xml:space="preserve">, isolado IBCB 66</t>
    </r>
  </si>
  <si>
    <t xml:space="preserve">21016.005771/2021-27</t>
  </si>
  <si>
    <t xml:space="preserve">HIZIUM 100</t>
  </si>
  <si>
    <r>
      <rPr>
        <i val="true"/>
        <sz val="11"/>
        <color rgb="FF000066"/>
        <rFont val="Arial"/>
        <family val="2"/>
        <charset val="1"/>
      </rPr>
      <t xml:space="preserve">Metarhizium anisopliae,</t>
    </r>
    <r>
      <rPr>
        <sz val="11"/>
        <color rgb="FF000066"/>
        <rFont val="Arial"/>
        <family val="2"/>
        <charset val="1"/>
      </rPr>
      <t xml:space="preserve"> isolado IBCB 425</t>
    </r>
  </si>
  <si>
    <t xml:space="preserve">21000.000907/2015-33</t>
  </si>
  <si>
    <t xml:space="preserve">MPOWER GLIFOSATO 480 SL</t>
  </si>
  <si>
    <t xml:space="preserve">Glifosato, Sal de isopropilamina</t>
  </si>
  <si>
    <t xml:space="preserve">21000.009043/2014-34</t>
  </si>
  <si>
    <t xml:space="preserve">GLIFOSATO FARMWAY 480</t>
  </si>
  <si>
    <t xml:space="preserve">21016.007416/2021-92</t>
  </si>
  <si>
    <t xml:space="preserve">BOVAX</t>
  </si>
  <si>
    <t xml:space="preserve">21016.007420/2021-51</t>
  </si>
  <si>
    <t xml:space="preserve">METHABIO</t>
  </si>
  <si>
    <t xml:space="preserve">Metarhizium anisopliae, isolado IBCB 425 </t>
  </si>
  <si>
    <t xml:space="preserve">21016.005422/2021-13</t>
  </si>
  <si>
    <t xml:space="preserve">TEC HUNTER</t>
  </si>
  <si>
    <t xml:space="preserve"> Metarhizium anisopliae, cepa IBCB 425</t>
  </si>
  <si>
    <t xml:space="preserve">21016.005423/2021-50</t>
  </si>
  <si>
    <t xml:space="preserve">TEC WHITE</t>
  </si>
  <si>
    <t xml:space="preserve">21000.000627/2010-11</t>
  </si>
  <si>
    <t xml:space="preserve">ZAMPRO MT</t>
  </si>
  <si>
    <t xml:space="preserve"> Ametoctradina; Metiram</t>
  </si>
  <si>
    <t xml:space="preserve">21000.043179/2018-05</t>
  </si>
  <si>
    <t xml:space="preserve">APRESA</t>
  </si>
  <si>
    <t xml:space="preserve">21000.070413/2019-40</t>
  </si>
  <si>
    <t xml:space="preserve">JUMBO BR</t>
  </si>
  <si>
    <t xml:space="preserve">Sulfentrazona; Tebutiurom</t>
  </si>
  <si>
    <t xml:space="preserve">21000.009080/2014-42</t>
  </si>
  <si>
    <t xml:space="preserve">MAYORAL</t>
  </si>
  <si>
    <t xml:space="preserve">21000.013211/2021-15</t>
  </si>
  <si>
    <t xml:space="preserve">ARBUST</t>
  </si>
  <si>
    <t xml:space="preserve">21016.009154/2021-09</t>
  </si>
  <si>
    <t xml:space="preserve">COMBAT MBC</t>
  </si>
  <si>
    <t xml:space="preserve">Eloiza</t>
  </si>
  <si>
    <t xml:space="preserve">21000.008280/2013-05</t>
  </si>
  <si>
    <t xml:space="preserve">GLIFOSATO 480 SL CCAB</t>
  </si>
  <si>
    <t xml:space="preserve">21000.001563/2014-07</t>
  </si>
  <si>
    <t xml:space="preserve">CAPTUS PLUS</t>
  </si>
  <si>
    <t xml:space="preserve">Upl </t>
  </si>
  <si>
    <t xml:space="preserve">21000.025997/2017-37</t>
  </si>
  <si>
    <t xml:space="preserve">CIRCLE</t>
  </si>
  <si>
    <t xml:space="preserve">21000.006855/2015-17</t>
  </si>
  <si>
    <t xml:space="preserve">AMETRINA CCAB 500 SC</t>
  </si>
  <si>
    <t xml:space="preserve">21000.003566/2015-58</t>
  </si>
  <si>
    <t xml:space="preserve">FIPRONIL 800 WG PLS CL1</t>
  </si>
  <si>
    <t xml:space="preserve"> Fipronil</t>
  </si>
  <si>
    <t xml:space="preserve">21000.008078/2015-37</t>
  </si>
  <si>
    <t xml:space="preserve"> FIPRONIL CCAB 800 WG</t>
  </si>
  <si>
    <t xml:space="preserve">21000.076209/2020-76</t>
  </si>
  <si>
    <t xml:space="preserve">CLOROTALONIL C 720 SC PERTERRA</t>
  </si>
  <si>
    <t xml:space="preserve"> Clorotalonil  </t>
  </si>
  <si>
    <t xml:space="preserve">21000.010537/2013-81</t>
  </si>
  <si>
    <t xml:space="preserve">LOTUS 750 WG</t>
  </si>
  <si>
    <t xml:space="preserve">21000.006531/2013-17</t>
  </si>
  <si>
    <t xml:space="preserve"> APLIC</t>
  </si>
  <si>
    <t xml:space="preserve">Cloreto de Mepiquate; Ciclanilida</t>
  </si>
  <si>
    <t xml:space="preserve">21000.000413/2015-59</t>
  </si>
  <si>
    <t xml:space="preserve">2,4-D 806 ATANOR</t>
  </si>
  <si>
    <t xml:space="preserve">21000.020399/2018-52</t>
  </si>
  <si>
    <t xml:space="preserve">REDIGO A</t>
  </si>
  <si>
    <t xml:space="preserve">21000.093595/2019-27</t>
  </si>
  <si>
    <t xml:space="preserve">SONDA HT</t>
  </si>
  <si>
    <t xml:space="preserve">21000.093592/2019-93</t>
  </si>
  <si>
    <t xml:space="preserve">TARGA MAX HT</t>
  </si>
  <si>
    <t xml:space="preserve">21016.009062/2021-11</t>
  </si>
  <si>
    <t xml:space="preserve">LALSTOP ORGANIC DS</t>
  </si>
  <si>
    <t xml:space="preserve">Trichoderma asperellum, isolado URM-5911</t>
  </si>
  <si>
    <t xml:space="preserve">21000.062635/2021-11</t>
  </si>
  <si>
    <t xml:space="preserve">TEZPETIX BEAUVE​</t>
  </si>
  <si>
    <t xml:space="preserve">Beauveria bassiana, isolado Simbi BB 15</t>
  </si>
  <si>
    <t xml:space="preserve">21000.036553/2021-11</t>
  </si>
  <si>
    <t xml:space="preserve">ELAGESK</t>
  </si>
  <si>
    <t xml:space="preserve">Baculovírus Spodoptera frugiperda (SfMNPV), isolado 6</t>
  </si>
  <si>
    <t xml:space="preserve">21000.050736/2017-55</t>
  </si>
  <si>
    <t xml:space="preserve">HURON</t>
  </si>
  <si>
    <t xml:space="preserve">21000.049471/2018-23</t>
  </si>
  <si>
    <t xml:space="preserve">BORDALO PRO</t>
  </si>
  <si>
    <t xml:space="preserve">Profenofós; Lufenuron</t>
  </si>
  <si>
    <t xml:space="preserve">21000.042093/2020-71</t>
  </si>
  <si>
    <t xml:space="preserve">PROTEGE</t>
  </si>
  <si>
    <t xml:space="preserve"> Bacillus amyloliquefaciens, isolado CNPSo3202; Bacillus velezensis, isolado CNPSo3602; Bacillus thuringiensis, isolado CNPSo3915</t>
  </si>
  <si>
    <t xml:space="preserve">Tacto</t>
  </si>
  <si>
    <t xml:space="preserve">21016.000325/2022-15</t>
  </si>
  <si>
    <t xml:space="preserve">TEC PLUS</t>
  </si>
  <si>
    <t xml:space="preserve">Bacillus thutingiensis kurstaki, isolado HD-1 (S1450)</t>
  </si>
  <si>
    <t xml:space="preserve">21000.008460/2016-21</t>
  </si>
  <si>
    <t xml:space="preserve">PROPICONAZOLE NORTOX  500 EC</t>
  </si>
  <si>
    <t xml:space="preserve">21016.009763/2021-50</t>
  </si>
  <si>
    <t xml:space="preserve">GNC 009-3</t>
  </si>
  <si>
    <t xml:space="preserve">21016.005118/2021-68</t>
  </si>
  <si>
    <t xml:space="preserve">JB TET-H</t>
  </si>
  <si>
    <t xml:space="preserve"> Tetrastichus howardi</t>
  </si>
  <si>
    <t xml:space="preserve">21016.008880/2021-04</t>
  </si>
  <si>
    <t xml:space="preserve">THYDRA</t>
  </si>
  <si>
    <t xml:space="preserve">Trichoderma harzianum, cepa T78</t>
  </si>
  <si>
    <t xml:space="preserve">Symborg</t>
  </si>
  <si>
    <t xml:space="preserve">21000.041272/2020-91</t>
  </si>
  <si>
    <t xml:space="preserve">BIOTRIO PLUS</t>
  </si>
  <si>
    <t xml:space="preserve"> Total</t>
  </si>
  <si>
    <t xml:space="preserve">21016.000098/2022-10</t>
  </si>
  <si>
    <t xml:space="preserve">BIOTRICHO</t>
  </si>
  <si>
    <t xml:space="preserve"> Trichoderma harzianum, isolado IBLF1278; Trichoderma harzianum, isolado IBLF 1282; Trichoderma viride, isolado IBLF1275; Trichoderma viride, isolado IBLF1276</t>
  </si>
  <si>
    <t xml:space="preserve">Biomip</t>
  </si>
  <si>
    <t xml:space="preserve">21016.009148/2021-43</t>
  </si>
  <si>
    <t xml:space="preserve">FULMINANTE AKb</t>
  </si>
  <si>
    <t xml:space="preserve">21000.038731/2018-35</t>
  </si>
  <si>
    <t xml:space="preserve">KANPAI</t>
  </si>
  <si>
    <t xml:space="preserve">21000.004984/2011-39</t>
  </si>
  <si>
    <t xml:space="preserve">CALIPEN</t>
  </si>
  <si>
    <t xml:space="preserve">21000.080679/2020-34</t>
  </si>
  <si>
    <t xml:space="preserve">TRICLOPIR 667 EC PERTERRA</t>
  </si>
  <si>
    <t xml:space="preserve">21000.001793/2014-68</t>
  </si>
  <si>
    <t xml:space="preserve">MYRIM</t>
  </si>
  <si>
    <t xml:space="preserve"> Tradecorp</t>
  </si>
  <si>
    <t xml:space="preserve">21016.007762/2021-71</t>
  </si>
  <si>
    <t xml:space="preserve">BIO CONDUCTION</t>
  </si>
  <si>
    <t xml:space="preserve">Beauveria bassiana, isolado CBMAI 2359</t>
  </si>
  <si>
    <t xml:space="preserve">21000.024256/2019-09</t>
  </si>
  <si>
    <t xml:space="preserve">SUNGAIN XTRA</t>
  </si>
  <si>
    <t xml:space="preserve">21016.009215/2021-20</t>
  </si>
  <si>
    <t xml:space="preserve">BIAGRO PASTO</t>
  </si>
  <si>
    <t xml:space="preserve">21016.009482/2021-05</t>
  </si>
  <si>
    <t xml:space="preserve">BIO PHYGGA</t>
  </si>
  <si>
    <t xml:space="preserve">21000.006945/2015-08</t>
  </si>
  <si>
    <t xml:space="preserve"> AMETRINA NORTOX</t>
  </si>
  <si>
    <t xml:space="preserve">Nortox S.A.</t>
  </si>
  <si>
    <t xml:space="preserve">21000.008221/2014-18</t>
  </si>
  <si>
    <t xml:space="preserve">FUSIFLEX 250</t>
  </si>
  <si>
    <t xml:space="preserve">Fluazifope-P-Butílico; Fomesafem</t>
  </si>
  <si>
    <t xml:space="preserve">21000.031138/2020-82</t>
  </si>
  <si>
    <t xml:space="preserve">CROPPER BR</t>
  </si>
  <si>
    <t xml:space="preserve">21000.077094/2020-37</t>
  </si>
  <si>
    <t xml:space="preserve">SHODAN</t>
  </si>
  <si>
    <t xml:space="preserve">Sulfentrazona; Flumioxazina </t>
  </si>
  <si>
    <t xml:space="preserve">21000.011085/2018-69</t>
  </si>
  <si>
    <t xml:space="preserve">FLUMIOXAZIN CCAB 500 WP</t>
  </si>
  <si>
    <t xml:space="preserve">CCAB Agro S.A.</t>
  </si>
  <si>
    <t xml:space="preserve">21016.009298/2021-57</t>
  </si>
  <si>
    <t xml:space="preserve">BIOKATO</t>
  </si>
  <si>
    <t xml:space="preserve">Pseudomonas fluorescens, isolado CCTB03; Pseudomonas chlororaphis, isolado CCTB19</t>
  </si>
  <si>
    <t xml:space="preserve">21000.002974/2013-21</t>
  </si>
  <si>
    <t xml:space="preserve">HOLDER 500 SC</t>
  </si>
  <si>
    <t xml:space="preserve">21000.020348/2019-10</t>
  </si>
  <si>
    <t xml:space="preserve">OSBAR DUO</t>
  </si>
  <si>
    <t xml:space="preserve">21000.023317/2018-21</t>
  </si>
  <si>
    <t xml:space="preserve"> LONGAR 480 EC</t>
  </si>
  <si>
    <t xml:space="preserve"> Triclopir-butotílico</t>
  </si>
  <si>
    <t xml:space="preserve">21000.005910/2015-43</t>
  </si>
  <si>
    <t xml:space="preserve">GALGO</t>
  </si>
  <si>
    <t xml:space="preserve">21000.008319/2015-48</t>
  </si>
  <si>
    <t xml:space="preserve">TEXARO</t>
  </si>
  <si>
    <t xml:space="preserve">Diclosulam; Halauxifeno Metílico</t>
  </si>
  <si>
    <t xml:space="preserve">21000.062030/2016-55</t>
  </si>
  <si>
    <t xml:space="preserve">ACARIGEN</t>
  </si>
  <si>
    <t xml:space="preserve"> Abamectina</t>
  </si>
  <si>
    <t xml:space="preserve">21000.000244/2014-76</t>
  </si>
  <si>
    <t xml:space="preserve">ZORVEC ENICADE</t>
  </si>
  <si>
    <t xml:space="preserve">Oxatiapiprolim</t>
  </si>
  <si>
    <t xml:space="preserve">Corteva </t>
  </si>
  <si>
    <t xml:space="preserve">21000.000460/2014-11</t>
  </si>
  <si>
    <t xml:space="preserve">ZORVEC ZELAVIN</t>
  </si>
  <si>
    <t xml:space="preserve">21000.009005/2014-81</t>
  </si>
  <si>
    <t xml:space="preserve">CLEARSOL DF</t>
  </si>
  <si>
    <t xml:space="preserve"> Basf </t>
  </si>
  <si>
    <t xml:space="preserve">21000.014399/2018-13</t>
  </si>
  <si>
    <t xml:space="preserve"> EDDUS EC</t>
  </si>
  <si>
    <t xml:space="preserve">Fomesafem; S-Metolacloro</t>
  </si>
  <si>
    <t xml:space="preserve">21000.001376/2015-04</t>
  </si>
  <si>
    <t xml:space="preserve">ROXAM 800 WP</t>
  </si>
  <si>
    <t xml:space="preserve">21000.062164/2016-76</t>
  </si>
  <si>
    <t xml:space="preserve">MIRAVIS DUO</t>
  </si>
  <si>
    <t xml:space="preserve">Pidiflumetofem; Difenoconazol</t>
  </si>
  <si>
    <t xml:space="preserve">21016.009773/2021-95</t>
  </si>
  <si>
    <t xml:space="preserve">GNC 010-3</t>
  </si>
  <si>
    <t xml:space="preserve"> Beauveria bassiana, cepa IBCB 66</t>
  </si>
  <si>
    <t xml:space="preserve">Genica</t>
  </si>
  <si>
    <t xml:space="preserve">21016.009271/2021-64</t>
  </si>
  <si>
    <t xml:space="preserve">BioMTZ</t>
  </si>
  <si>
    <t xml:space="preserve">21016.009405/2021-47</t>
  </si>
  <si>
    <t xml:space="preserve">EcoCLAVY</t>
  </si>
  <si>
    <t xml:space="preserve">21016.008105/2021-41</t>
  </si>
  <si>
    <t xml:space="preserve">RAUBTIER</t>
  </si>
  <si>
    <t xml:space="preserve">21000.008081/2015-51</t>
  </si>
  <si>
    <t xml:space="preserve">SIMPLAR</t>
  </si>
  <si>
    <t xml:space="preserve">21000.025992/2017-12</t>
  </si>
  <si>
    <t xml:space="preserve">ADETUS</t>
  </si>
  <si>
    <t xml:space="preserve">21000.063107/2016-12</t>
  </si>
  <si>
    <t xml:space="preserve">MIRAVIS TOP</t>
  </si>
  <si>
    <t xml:space="preserve">21000.008310/2014-56</t>
  </si>
  <si>
    <t xml:space="preserve">CORAZA</t>
  </si>
  <si>
    <t xml:space="preserve">21000.008665/2015-26</t>
  </si>
  <si>
    <t xml:space="preserve"> SÓCIO</t>
  </si>
  <si>
    <t xml:space="preserve">21000.009566/2013-08</t>
  </si>
  <si>
    <t xml:space="preserve">BIVACK</t>
  </si>
  <si>
    <t xml:space="preserve">21016.008894/2021-10</t>
  </si>
  <si>
    <t xml:space="preserve">STR1-PM</t>
  </si>
  <si>
    <t xml:space="preserve">Cinetina; Ácido Giberélico, GA3; Ácido 4-Indol-3ilbutírico</t>
  </si>
  <si>
    <t xml:space="preserve">21000.002472/2015-61</t>
  </si>
  <si>
    <t xml:space="preserve">DIQUATE 200 SL LUBA</t>
  </si>
  <si>
    <t xml:space="preserve">21016.009392/2021-14</t>
  </si>
  <si>
    <t xml:space="preserve">BTP 016-19</t>
  </si>
  <si>
    <t xml:space="preserve">Total Biotecnologia</t>
  </si>
  <si>
    <t xml:space="preserve">21000.062162/2016-87</t>
  </si>
  <si>
    <t xml:space="preserve">MIRAVIS</t>
  </si>
  <si>
    <t xml:space="preserve">21000.060836/2021-76</t>
  </si>
  <si>
    <t xml:space="preserve">TEZPETIX ISA</t>
  </si>
  <si>
    <t xml:space="preserve">Isaria fumosorosea, cepa ESALQ-4778</t>
  </si>
  <si>
    <t xml:space="preserve">21016.007389/2021-58</t>
  </si>
  <si>
    <t xml:space="preserve">CATOLACCUS AMIPA</t>
  </si>
  <si>
    <t xml:space="preserve">AMIPA</t>
  </si>
  <si>
    <t xml:space="preserve">21016.009751/2021-25</t>
  </si>
  <si>
    <t xml:space="preserve">GNC 006-3</t>
  </si>
  <si>
    <t xml:space="preserve">21000.054785/2017-67</t>
  </si>
  <si>
    <t xml:space="preserve">PRIMACY</t>
  </si>
  <si>
    <t xml:space="preserve">Amicarbazona; Sulfentrazona</t>
  </si>
  <si>
    <t xml:space="preserve">21016.009391/2021-61</t>
  </si>
  <si>
    <t xml:space="preserve">TAKOTROP</t>
  </si>
  <si>
    <t xml:space="preserve">21000.014414/2018-23</t>
  </si>
  <si>
    <t xml:space="preserve">AMETRINA 500 SC CCAB</t>
  </si>
  <si>
    <t xml:space="preserve">21000.029233/2017-11</t>
  </si>
  <si>
    <t xml:space="preserve">THUMB-TACK NORTOX</t>
  </si>
  <si>
    <t xml:space="preserve">21000.008432/2015-23</t>
  </si>
  <si>
    <t xml:space="preserve">RICEPAL</t>
  </si>
  <si>
    <t xml:space="preserve">21000.007386/2016-26</t>
  </si>
  <si>
    <t xml:space="preserve">AZOXYSTROBIN 250 SC YONON</t>
  </si>
  <si>
    <t xml:space="preserve">21000.062811/2016-40</t>
  </si>
  <si>
    <t xml:space="preserve">GELSURA FF</t>
  </si>
  <si>
    <t xml:space="preserve"> Alfa-cipermetrina</t>
  </si>
  <si>
    <t xml:space="preserve">21000.008240/2015-17</t>
  </si>
  <si>
    <t xml:space="preserve">GLUFOSINATE YONON</t>
  </si>
  <si>
    <t xml:space="preserve">21000.032022/2017-65</t>
  </si>
  <si>
    <t xml:space="preserve">ENTIGRIS WG</t>
  </si>
  <si>
    <t xml:space="preserve">Alfa-cipermetrina; Dinotefurano</t>
  </si>
  <si>
    <t xml:space="preserve">21000.007164/2015-22</t>
  </si>
  <si>
    <t xml:space="preserve">GLUFOS-WYN 200 SL</t>
  </si>
  <si>
    <t xml:space="preserve">21000.002230/2013-14</t>
  </si>
  <si>
    <t xml:space="preserve">FIPRONIL NAG 250 FS</t>
  </si>
  <si>
    <t xml:space="preserve">21000.020489/2017-62</t>
  </si>
  <si>
    <t xml:space="preserve">ECOF0G-160</t>
  </si>
  <si>
    <t xml:space="preserve">21000.006728/2008-81</t>
  </si>
  <si>
    <t xml:space="preserve"> CASCADE</t>
  </si>
  <si>
    <t xml:space="preserve">Flufenoxurom</t>
  </si>
  <si>
    <t xml:space="preserve">21000.009640/2010-35</t>
  </si>
  <si>
    <t xml:space="preserve">AUG 106</t>
  </si>
  <si>
    <t xml:space="preserve">21000.037776/2016-21</t>
  </si>
  <si>
    <t xml:space="preserve">HALOXYFOP 200 + CLETODIM 250 EC UPL</t>
  </si>
  <si>
    <t xml:space="preserve">Haloxifope-P-Metílico; Cletodim</t>
  </si>
  <si>
    <t xml:space="preserve">21000.004061/2015-19</t>
  </si>
  <si>
    <t xml:space="preserve">GRIZZLI</t>
  </si>
  <si>
    <t xml:space="preserve">21016.009200/2021-61</t>
  </si>
  <si>
    <t xml:space="preserve">1,4 SIGHT</t>
  </si>
  <si>
    <t xml:space="preserve">1,4 Dimetilnaftaleno</t>
  </si>
  <si>
    <t xml:space="preserve">Bem Brasil </t>
  </si>
  <si>
    <t xml:space="preserve">21000.028848/2017-20</t>
  </si>
  <si>
    <t xml:space="preserve">CEVYA</t>
  </si>
  <si>
    <t xml:space="preserve">Mefentrifluconazole</t>
  </si>
  <si>
    <t xml:space="preserve">21000.062088/2020-85</t>
  </si>
  <si>
    <t xml:space="preserve">SUGOY</t>
  </si>
  <si>
    <t xml:space="preserve">Metominostrobina; Impirfluxam; Clorotalonil</t>
  </si>
  <si>
    <t xml:space="preserve">21000.008619/2015-27</t>
  </si>
  <si>
    <t xml:space="preserve">PROPICONAZOLE MAX NORTOX</t>
  </si>
  <si>
    <t xml:space="preserve">21000.049090/2020-69</t>
  </si>
  <si>
    <t xml:space="preserve">GEMPOX</t>
  </si>
  <si>
    <t xml:space="preserve">Glufosinato - Sal de Amônio</t>
  </si>
  <si>
    <t xml:space="preserve">21000.005031/2017-83</t>
  </si>
  <si>
    <t xml:space="preserve">TRICLOMAX</t>
  </si>
  <si>
    <t xml:space="preserve">21000.007764/2015-91</t>
  </si>
  <si>
    <t xml:space="preserve">CYPTRIN</t>
  </si>
  <si>
    <t xml:space="preserve">21000.004972/2015-38</t>
  </si>
  <si>
    <t xml:space="preserve">GOOD-HARVEST GLIFOSATO 480 SL</t>
  </si>
  <si>
    <t xml:space="preserve">Glifosato - Sal de Isopropilamina</t>
  </si>
  <si>
    <t xml:space="preserve">21000.009712/2011-25</t>
  </si>
  <si>
    <t xml:space="preserve">ORVEGO ME</t>
  </si>
  <si>
    <t xml:space="preserve">Ametoctradina; Metiram</t>
  </si>
  <si>
    <t xml:space="preserve"> Basf </t>
  </si>
  <si>
    <t xml:space="preserve">21000.026515/2017-66</t>
  </si>
  <si>
    <t xml:space="preserve">PICATINA FLORA</t>
  </si>
  <si>
    <t xml:space="preserve">Pidiflumetofem; Fludioxonil</t>
  </si>
  <si>
    <t xml:space="preserve">21000.005263/2015-70</t>
  </si>
  <si>
    <t xml:space="preserve">WALLOP</t>
  </si>
  <si>
    <t xml:space="preserve">Acetocloro</t>
  </si>
  <si>
    <t xml:space="preserve">21000.007995/2015-02</t>
  </si>
  <si>
    <t xml:space="preserve">CREAVIS</t>
  </si>
  <si>
    <t xml:space="preserve">21016.009732/2021-07</t>
  </si>
  <si>
    <t xml:space="preserve">LARVANEM  </t>
  </si>
  <si>
    <t xml:space="preserve">21016.009730/2021-18</t>
  </si>
  <si>
    <t xml:space="preserve">CAPSANEM</t>
  </si>
  <si>
    <t xml:space="preserve">21000.049705/2020-57</t>
  </si>
  <si>
    <t xml:space="preserve">LANFOR PRO</t>
  </si>
  <si>
    <t xml:space="preserve">Azoxistrobina; Ciproconazol</t>
  </si>
  <si>
    <t xml:space="preserve">21000.017158/2020-41</t>
  </si>
  <si>
    <t xml:space="preserve">BRAULTRA 720 SC</t>
  </si>
  <si>
    <t xml:space="preserve"> CAC</t>
  </si>
  <si>
    <t xml:space="preserve">21016.009914/2021-70</t>
  </si>
  <si>
    <t xml:space="preserve">BIAGRO CANA</t>
  </si>
  <si>
    <t xml:space="preserve">21000.003377/2018-28</t>
  </si>
  <si>
    <t xml:space="preserve">REVIEST</t>
  </si>
  <si>
    <t xml:space="preserve">Protioconazol; Impirfluxam</t>
  </si>
  <si>
    <t xml:space="preserve">21016.009499/2021-54</t>
  </si>
  <si>
    <t xml:space="preserve">Spodoptera frugiperda multiple nucleopolyhedrovirus (SfMNPV)</t>
  </si>
  <si>
    <t xml:space="preserve">Bioma </t>
  </si>
  <si>
    <t xml:space="preserve">21016.010202/2021-01</t>
  </si>
  <si>
    <t xml:space="preserve"> TWIXX-D</t>
  </si>
  <si>
    <t xml:space="preserve">Bacillus amyloliquefaciens, cepa CPQBA 040-11DRM 01; Bacillus amyloliquefaciens, cepa CPQBA 040-11DRM 04</t>
  </si>
  <si>
    <t xml:space="preserve">21000.055125/2018-84</t>
  </si>
  <si>
    <t xml:space="preserve">AZOXISTROBIN 200 + CIPROCONAZOL 80 SC CCAB</t>
  </si>
  <si>
    <t xml:space="preserve">21016.000935/2022-19</t>
  </si>
  <si>
    <t xml:space="preserve">BEAUVERIA BOM FUTURO</t>
  </si>
  <si>
    <t xml:space="preserve">Beauveria bassiana, isolado IBCB 66</t>
  </si>
  <si>
    <t xml:space="preserve">21016.009582/2021-23</t>
  </si>
  <si>
    <t xml:space="preserve">BTP 010-19</t>
  </si>
  <si>
    <t xml:space="preserve">Bacillus subtilis, isolado CNPSo2720; Bacillus velezensis, isolado CNPSo 3602; Bacillus pumilus, isolado CNPSo3203</t>
  </si>
  <si>
    <t xml:space="preserve">21016.009717/2021-51</t>
  </si>
  <si>
    <t xml:space="preserve">ACC MAX</t>
  </si>
  <si>
    <t xml:space="preserve">Bacillus amyloliquefaciens, isolado CNPSo3202; Bacillus velezensis, isolado CNPSo3602; Bacillus thuringiensis, isolado CNPSo3915</t>
  </si>
  <si>
    <t xml:space="preserve"> Total Biotecnologia</t>
  </si>
  <si>
    <t xml:space="preserve">21000.004638/2015-84</t>
  </si>
  <si>
    <t xml:space="preserve">HARNESS PLUS</t>
  </si>
  <si>
    <t xml:space="preserve">21016.010175/2021-69</t>
  </si>
  <si>
    <t xml:space="preserve">PROFIX-F</t>
  </si>
  <si>
    <t xml:space="preserve">Bacillus subtilis, cepa ATCC 6051; Bacillus licheniformis, cepa ATCC 12713; Paecilomyces lilacinus, cepa CPQBA 040-11 DRM 10</t>
  </si>
  <si>
    <t xml:space="preserve">21016.010174/2021-14</t>
  </si>
  <si>
    <t xml:space="preserve">PROFIX-E</t>
  </si>
  <si>
    <t xml:space="preserve">Bacillus subtilis, cepa ATCC 6051; Bacillus licheniformis, cepa ATCC 12713; Paecilomyces lilacinus, cepa CPQBA 040-11 DRM 10</t>
  </si>
  <si>
    <t xml:space="preserve">21016.010125/2021-81</t>
  </si>
  <si>
    <t xml:space="preserve"> PROFIX-D</t>
  </si>
  <si>
    <t xml:space="preserve">21016.010171/2021-81</t>
  </si>
  <si>
    <t xml:space="preserve">PROFIX-G</t>
  </si>
  <si>
    <t xml:space="preserve"> Bacillus subtilis, cepa ATCC 6051; Bacillus licheniformis, cepa ATCC 12713; Paecilomyces lilacinus, cepa CPQBA 040-11 DRM 10</t>
  </si>
  <si>
    <t xml:space="preserve">Massen </t>
  </si>
  <si>
    <t xml:space="preserve">21016.001743/2022-11</t>
  </si>
  <si>
    <t xml:space="preserve">BIOPRECIOSO</t>
  </si>
  <si>
    <t xml:space="preserve">Morsoletto</t>
  </si>
  <si>
    <t xml:space="preserve">21000.047340/2017-21</t>
  </si>
  <si>
    <t xml:space="preserve">FLUAZINAM CROP 500 SC</t>
  </si>
  <si>
    <t xml:space="preserve">21016.001509/2022-94</t>
  </si>
  <si>
    <t xml:space="preserve">BIOHOWARDI</t>
  </si>
  <si>
    <t xml:space="preserve">21016.010201/2021-59</t>
  </si>
  <si>
    <t xml:space="preserve">TWIXX-C</t>
  </si>
  <si>
    <t xml:space="preserve">21016.001517/2021-50</t>
  </si>
  <si>
    <t xml:space="preserve">CLETHODIM R 240 EC PERTERRA</t>
  </si>
  <si>
    <t xml:space="preserve">21016.006269/2021-33</t>
  </si>
  <si>
    <t xml:space="preserve">CONCRIZ</t>
  </si>
  <si>
    <t xml:space="preserve">21000.008044/2015-42</t>
  </si>
  <si>
    <t xml:space="preserve"> SULFENTRAZONE UPL BR 500 SC</t>
  </si>
  <si>
    <t xml:space="preserve">UPL </t>
  </si>
  <si>
    <t xml:space="preserve">21016.009481/2021-52</t>
  </si>
  <si>
    <t xml:space="preserve">BIO CENTULES</t>
  </si>
  <si>
    <t xml:space="preserve">21000.008648/2011-65</t>
  </si>
  <si>
    <t xml:space="preserve">TANREK 500 SC</t>
  </si>
  <si>
    <t xml:space="preserve">21000.006547/2021-21</t>
  </si>
  <si>
    <t xml:space="preserve">PODISUL</t>
  </si>
  <si>
    <t xml:space="preserve">Telenomus podisi </t>
  </si>
  <si>
    <t xml:space="preserve">Sul-Mip</t>
  </si>
  <si>
    <t xml:space="preserve">21000.026178/2017-15</t>
  </si>
  <si>
    <t xml:space="preserve">ENGENIA</t>
  </si>
  <si>
    <t xml:space="preserve">21016.010108/2021-44</t>
  </si>
  <si>
    <t xml:space="preserve">LALGUARD JAVA WP</t>
  </si>
  <si>
    <t xml:space="preserve">Cordyceps javanica, isolado BRM 27666</t>
  </si>
  <si>
    <t xml:space="preserve">21000.061846/2020-48</t>
  </si>
  <si>
    <t xml:space="preserve">EQUINOX</t>
  </si>
  <si>
    <t xml:space="preserve">S-Metolacloro; Sulfentrazona</t>
  </si>
  <si>
    <t xml:space="preserve">21000.005919/2015-54</t>
  </si>
  <si>
    <t xml:space="preserve">FIPRONIL 200 SC GHARDA</t>
  </si>
  <si>
    <t xml:space="preserve">Gharda</t>
  </si>
  <si>
    <t xml:space="preserve">21016.009574/2021-87</t>
  </si>
  <si>
    <t xml:space="preserve">TRICHODERMIL EVO OD</t>
  </si>
  <si>
    <t xml:space="preserve">Trichoderma harzianum, cepa 1306</t>
  </si>
  <si>
    <t xml:space="preserve">21000.003005/2015-59</t>
  </si>
  <si>
    <t xml:space="preserve">AZOXISTROBINA + CIPROCONAZOL COONAGRO 280 SC</t>
  </si>
  <si>
    <t xml:space="preserve">21016.010206/2021-81</t>
  </si>
  <si>
    <t xml:space="preserve">TWIXX-F</t>
  </si>
  <si>
    <t xml:space="preserve">Bacillus amyloliquefaciens, cepa CPQBA 040-11DRM 01; Bacillus amyloliquefaciens, cepa CPQBA 040- 11DRM 04</t>
  </si>
  <si>
    <t xml:space="preserve">21000.029579/2018-08</t>
  </si>
  <si>
    <t xml:space="preserve">ELESTAL 300 SC</t>
  </si>
  <si>
    <t xml:space="preserve">21016.010207/2021-26</t>
  </si>
  <si>
    <t xml:space="preserve">TWIXX-G</t>
  </si>
  <si>
    <t xml:space="preserve">Bacillus amyloliquefaciens, cepa CPQBA 040-11DRM 01; Bacillus amyloliquefaciens, cepa CPQBA 040-11DRM 04</t>
  </si>
  <si>
    <t xml:space="preserve">21000.009754/2011-66</t>
  </si>
  <si>
    <t xml:space="preserve">AUG 134</t>
  </si>
  <si>
    <t xml:space="preserve">21000.003764/2020-89</t>
  </si>
  <si>
    <t xml:space="preserve">EXCALIA EVO</t>
  </si>
  <si>
    <t xml:space="preserve">Impirfluxam; Difenoconazol, Picoxistrobina</t>
  </si>
  <si>
    <t xml:space="preserve">21000.022473/2021-71</t>
  </si>
  <si>
    <t xml:space="preserve">SENSUS  </t>
  </si>
  <si>
    <t xml:space="preserve">Clomazona; Sulfentrazona  </t>
  </si>
  <si>
    <t xml:space="preserve"> Ouro Fino</t>
  </si>
  <si>
    <t xml:space="preserve">21000.003276/2012-61</t>
  </si>
  <si>
    <t xml:space="preserve">UTILON 500 SC</t>
  </si>
  <si>
    <t xml:space="preserve">Plurie</t>
  </si>
  <si>
    <t xml:space="preserve">21016.009994/2021-63</t>
  </si>
  <si>
    <t xml:space="preserve"> TUTAVIR</t>
  </si>
  <si>
    <t xml:space="preserve">Phthorimaea operculella granulovirus (PhopGV-V65), isolado ID243 (DSMZ GV-0019)</t>
  </si>
  <si>
    <t xml:space="preserve">21000.008705/2015-30</t>
  </si>
  <si>
    <t xml:space="preserve">CROPCARE SC</t>
  </si>
  <si>
    <t xml:space="preserve">Azoxistrobina; Tebuconazol</t>
  </si>
  <si>
    <t xml:space="preserve">21000.000952/2015-98</t>
  </si>
  <si>
    <t xml:space="preserve">TIOFANATO 500 SC PLS CL1</t>
  </si>
  <si>
    <t xml:space="preserve">Tiofanato-Metílico</t>
  </si>
  <si>
    <t xml:space="preserve">21016.006466/2021-52</t>
  </si>
  <si>
    <t xml:space="preserve">EPIZOTIL</t>
  </si>
  <si>
    <t xml:space="preserve">Metarhizium rileyi, cepa CCT7771</t>
  </si>
  <si>
    <t xml:space="preserve">21000.008430/2015-34</t>
  </si>
  <si>
    <t xml:space="preserve"> POTENZA SINON PLUS 36 EC</t>
  </si>
  <si>
    <t xml:space="preserve">21000.002897/2015-71</t>
  </si>
  <si>
    <t xml:space="preserve"> FLUROXYPYR 80 + PICLORAM 80 ME UPL</t>
  </si>
  <si>
    <t xml:space="preserve">Fluroxipir-Metílico; Picloram</t>
  </si>
  <si>
    <t xml:space="preserve">21016.001518/2021-02</t>
  </si>
  <si>
    <t xml:space="preserve"> FLUAZINAM 800 WG PERTERRA</t>
  </si>
  <si>
    <t xml:space="preserve">21000.023708/2021-41</t>
  </si>
  <si>
    <t xml:space="preserve">VALLEX</t>
  </si>
  <si>
    <t xml:space="preserve">21016.010276/2021-30</t>
  </si>
  <si>
    <t xml:space="preserve">UNNAT</t>
  </si>
  <si>
    <t xml:space="preserve">Bacillus paralicheniformis, isolado CH2970; Bacillus paralicheniformis, isolado CH0273; Bacillus subtillis, isolado CH4000</t>
  </si>
  <si>
    <t xml:space="preserve">Chr. Hansen</t>
  </si>
  <si>
    <t xml:space="preserve">21000.022953/2021-31</t>
  </si>
  <si>
    <t xml:space="preserve">TRIPLEC</t>
  </si>
  <si>
    <t xml:space="preserve">21000.028908/2022-71</t>
  </si>
  <si>
    <t xml:space="preserve">KARAMUJO BIO </t>
  </si>
  <si>
    <t xml:space="preserve"> Tephrosia candida</t>
  </si>
  <si>
    <t xml:space="preserve">21000.010455/2020-65</t>
  </si>
  <si>
    <t xml:space="preserve">GRASIDIM FULL</t>
  </si>
  <si>
    <t xml:space="preserve">21016.002783/2022-81</t>
  </si>
  <si>
    <t xml:space="preserve">MODERA</t>
  </si>
  <si>
    <t xml:space="preserve">Hubio </t>
  </si>
  <si>
    <t xml:space="preserve">21000.025999/2017-26</t>
  </si>
  <si>
    <t xml:space="preserve">ELATUS EASY</t>
  </si>
  <si>
    <t xml:space="preserve">Azoxistrobina; Benzovindiflupir</t>
  </si>
  <si>
    <t xml:space="preserve">21016.010064/2021-52</t>
  </si>
  <si>
    <t xml:space="preserve">NIMAXXA</t>
  </si>
  <si>
    <t xml:space="preserve"> Bacillus paralicheniformis, isolado CH2970; Bacillus paralicheniformis, isolado CH0273; Bacillus subtillis, isolado CH4000</t>
  </si>
  <si>
    <t xml:space="preserve">21000.034301/2019-25</t>
  </si>
  <si>
    <t xml:space="preserve">VERACE</t>
  </si>
  <si>
    <t xml:space="preserve">21000.017426/2020-24</t>
  </si>
  <si>
    <t xml:space="preserve">DOMADO 200 SL</t>
  </si>
  <si>
    <t xml:space="preserve">21000.024675/2019-32</t>
  </si>
  <si>
    <t xml:space="preserve">AGROSBAN</t>
  </si>
  <si>
    <t xml:space="preserve">Clorpirifós</t>
  </si>
  <si>
    <t xml:space="preserve">21016.010205/2021-37</t>
  </si>
  <si>
    <t xml:space="preserve">TWIXX-E</t>
  </si>
  <si>
    <t xml:space="preserve">Bacillus amyloliquefaciens, cepa CPQBA 040-11DRM 01; Bacillus amyloliquefaciens, cepa CPQBA 040- 11DRM 04</t>
  </si>
  <si>
    <t xml:space="preserve">Massen </t>
  </si>
  <si>
    <t xml:space="preserve">21016.002179/2022-54</t>
  </si>
  <si>
    <t xml:space="preserve">VIRUMIX WP</t>
  </si>
  <si>
    <t xml:space="preserve">Comdeagro</t>
  </si>
  <si>
    <t xml:space="preserve">21000.050477/2017-62</t>
  </si>
  <si>
    <t xml:space="preserve">CROPSHIELD</t>
  </si>
  <si>
    <t xml:space="preserve">21000.045429/2016-71</t>
  </si>
  <si>
    <t xml:space="preserve">SOCKER</t>
  </si>
  <si>
    <t xml:space="preserve">21016.009496/2021-11</t>
  </si>
  <si>
    <t xml:space="preserve">TRICHODERMIL EVO WP</t>
  </si>
  <si>
    <t xml:space="preserve">Trichoderma harzianum, cepa 1306</t>
  </si>
  <si>
    <t xml:space="preserve">21000.019765/2016-69</t>
  </si>
  <si>
    <t xml:space="preserve">PICLORAN CCAB 240 SL</t>
  </si>
  <si>
    <t xml:space="preserve">21016.006591/2021-62</t>
  </si>
  <si>
    <t xml:space="preserve">ORIUS ATTACK</t>
  </si>
  <si>
    <t xml:space="preserve">21000.000957/2016-00</t>
  </si>
  <si>
    <t xml:space="preserve"> DIRETO</t>
  </si>
  <si>
    <t xml:space="preserve">Glifosato, Sal de Isopropilamina; Imazetapir, Sal da Amônio</t>
  </si>
  <si>
    <t xml:space="preserve">21000.091433/2021-79</t>
  </si>
  <si>
    <t xml:space="preserve">HABITAT</t>
  </si>
  <si>
    <t xml:space="preserve">Trichoderma afroharzianum, linhagem CEN 287</t>
  </si>
  <si>
    <t xml:space="preserve">21000.098594/2021-93</t>
  </si>
  <si>
    <t xml:space="preserve">BIOATRIA</t>
  </si>
  <si>
    <t xml:space="preserve">21000.004252/2013-19</t>
  </si>
  <si>
    <t xml:space="preserve">PREET</t>
  </si>
  <si>
    <t xml:space="preserve">21016.009681/2021-13</t>
  </si>
  <si>
    <t xml:space="preserve">LEPTHURE</t>
  </si>
  <si>
    <t xml:space="preserve">Bacillus thuringiensis, isolado S 234</t>
  </si>
  <si>
    <t xml:space="preserve">21000.008960/2016-63</t>
  </si>
  <si>
    <t xml:space="preserve">ZOOM ULTRA 250 SC</t>
  </si>
  <si>
    <t xml:space="preserve">Futriafol</t>
  </si>
  <si>
    <t xml:space="preserve">21000.074303/2020-91</t>
  </si>
  <si>
    <t xml:space="preserve">GHALOR</t>
  </si>
  <si>
    <t xml:space="preserve">2,4-D, Sal Dimetilamina; 2,4-D, Sal Dietanolamina</t>
  </si>
  <si>
    <t xml:space="preserve">21016.006960/2021-17</t>
  </si>
  <si>
    <t xml:space="preserve">ECOKILLER</t>
  </si>
  <si>
    <t xml:space="preserve">21000.023702/2018-79</t>
  </si>
  <si>
    <t xml:space="preserve">DIQUAT NORTOX</t>
  </si>
  <si>
    <t xml:space="preserve">21016.002031/2021-39</t>
  </si>
  <si>
    <t xml:space="preserve">DIQUAT VANON 200 SL</t>
  </si>
  <si>
    <t xml:space="preserve">21000.037330/2016-04</t>
  </si>
  <si>
    <t xml:space="preserve">FIPRONIL 800 WG YONON</t>
  </si>
  <si>
    <t xml:space="preserve"> Yonon </t>
  </si>
  <si>
    <t xml:space="preserve">21000.004261/2021-10</t>
  </si>
  <si>
    <t xml:space="preserve">RAVEL</t>
  </si>
  <si>
    <t xml:space="preserve">Óleo Essencial de Cinnamomum verum</t>
  </si>
  <si>
    <t xml:space="preserve">21000.083713/2020-22</t>
  </si>
  <si>
    <t xml:space="preserve">TARSSUS</t>
  </si>
  <si>
    <t xml:space="preserve">21000.008343/2015-87</t>
  </si>
  <si>
    <t xml:space="preserve"> ACEPHATE-2 750 SP</t>
  </si>
  <si>
    <t xml:space="preserve">21000.007843/2013-30</t>
  </si>
  <si>
    <t xml:space="preserve">TECNUP PREMIUM 480 SL</t>
  </si>
  <si>
    <t xml:space="preserve">21000.041843/2017-92</t>
  </si>
  <si>
    <t xml:space="preserve">FROWNCIDE 750 SC</t>
  </si>
  <si>
    <t xml:space="preserve">21016.009623/2021-81</t>
  </si>
  <si>
    <t xml:space="preserve">Trichoagro JCO</t>
  </si>
  <si>
    <t xml:space="preserve">Trichoderma viride Cepa IBLF 1275; Trichoderma viride Cepa IBLF 1276; Trichoderma harzianum Cepa IBLF 1278; Trichoderma harzianum Cepa IBLF 1282</t>
  </si>
  <si>
    <t xml:space="preserve">21000.008313/2014-90</t>
  </si>
  <si>
    <t xml:space="preserve">FLUAZINAM 500 SC PLS CL1</t>
  </si>
  <si>
    <t xml:space="preserve">21016.006879/2021-37</t>
  </si>
  <si>
    <t xml:space="preserve">Spodomax</t>
  </si>
  <si>
    <t xml:space="preserve">Metarhizium riley</t>
  </si>
  <si>
    <t xml:space="preserve">21000.028854/2017-87</t>
  </si>
  <si>
    <t xml:space="preserve">Melyra</t>
  </si>
  <si>
    <t xml:space="preserve">Mefentrifluconazole; Piraclostrobina </t>
  </si>
  <si>
    <t xml:space="preserve">21000.008150/2014-45</t>
  </si>
  <si>
    <t xml:space="preserve">Epik</t>
  </si>
  <si>
    <t xml:space="preserve">Lactofem</t>
  </si>
  <si>
    <t xml:space="preserve">Sipicam Nichino</t>
  </si>
  <si>
    <t xml:space="preserve">21000.029362/2021-95</t>
  </si>
  <si>
    <t xml:space="preserve">Fico</t>
  </si>
  <si>
    <t xml:space="preserve">Octanoato de Ioxinila</t>
  </si>
  <si>
    <t xml:space="preserve">21000.004345/2014-16</t>
  </si>
  <si>
    <t xml:space="preserve">Takape 750 WG</t>
  </si>
  <si>
    <t xml:space="preserve">Sulfometurom-Metílico</t>
  </si>
  <si>
    <t xml:space="preserve">21000.066741/2019-41</t>
  </si>
  <si>
    <t xml:space="preserve">LANDRIN</t>
  </si>
  <si>
    <t xml:space="preserve">Indoxacarbe; Fipronil</t>
  </si>
  <si>
    <t xml:space="preserve">Landrin</t>
  </si>
  <si>
    <t xml:space="preserve">21000.006071/2010-76</t>
  </si>
  <si>
    <t xml:space="preserve">SCATTO</t>
  </si>
  <si>
    <t xml:space="preserve">21016.009469/2021-48</t>
  </si>
  <si>
    <t xml:space="preserve">CRYPTON</t>
  </si>
  <si>
    <t xml:space="preserve">Cryptolaemus montrouzieri</t>
  </si>
  <si>
    <t xml:space="preserve">21000.008581/2015-92</t>
  </si>
  <si>
    <t xml:space="preserve">S-METOLACLOR 960 EC PROVENTIS</t>
  </si>
  <si>
    <t xml:space="preserve">21016.003300/2022-65</t>
  </si>
  <si>
    <t xml:space="preserve">TRIKOFERT</t>
  </si>
  <si>
    <t xml:space="preserve">Trichoderma harzianum, cepa IBLF1278; Trichoderma harzianum, cepa IBLF1282; Trichoderma viride, cepa IBLF1275; Trichoderma viride, cepa IBLF1276</t>
  </si>
  <si>
    <t xml:space="preserve">21016.003618/2022-46</t>
  </si>
  <si>
    <t xml:space="preserve">BEMIZAI</t>
  </si>
  <si>
    <t xml:space="preserve">21016.003646/2022-63</t>
  </si>
  <si>
    <t xml:space="preserve">NOHOPPER</t>
  </si>
  <si>
    <t xml:space="preserve">21016.003088/2022-36</t>
  </si>
  <si>
    <t xml:space="preserve">TRIKOFIT</t>
  </si>
  <si>
    <t xml:space="preserve">Trichoderma harzianum</t>
  </si>
  <si>
    <t xml:space="preserve">21016.003111/2022-92</t>
  </si>
  <si>
    <t xml:space="preserve">BIO GREEN</t>
  </si>
  <si>
    <t xml:space="preserve">21016.001203/2022-38</t>
  </si>
  <si>
    <t xml:space="preserve">TURIN-CRY S</t>
  </si>
  <si>
    <t xml:space="preserve">Bacillus thuringiensis var. kurstaki</t>
  </si>
  <si>
    <t xml:space="preserve">21016.002728/2022-91</t>
  </si>
  <si>
    <t xml:space="preserve">SLT 04</t>
  </si>
  <si>
    <t xml:space="preserve">21000.080567/2020-83</t>
  </si>
  <si>
    <t xml:space="preserve">GLUFOSINATO 200 SL PERTERRA</t>
  </si>
  <si>
    <t xml:space="preserve">21016.008742/2021-17</t>
  </si>
  <si>
    <t xml:space="preserve">CAPSIALIL</t>
  </si>
  <si>
    <t xml:space="preserve">Extrato de Capsicum annuum; Extrato de Allium sativum</t>
  </si>
  <si>
    <t xml:space="preserve">21016.002724/2022-11</t>
  </si>
  <si>
    <t xml:space="preserve">SLT 03</t>
  </si>
  <si>
    <t xml:space="preserve">Metarhizium anisopliae, Cepa IBCB 425</t>
  </si>
  <si>
    <t xml:space="preserve">21000.046849/2022-13</t>
  </si>
  <si>
    <t xml:space="preserve">BTEL</t>
  </si>
  <si>
    <t xml:space="preserve">Bacillus thuringiensis, isolado CBMAI 1398</t>
  </si>
  <si>
    <t xml:space="preserve">21016.003105/2022-35</t>
  </si>
  <si>
    <t xml:space="preserve">METARHIZIUM ANISOPLIAE BOM FUTURO</t>
  </si>
  <si>
    <t xml:space="preserve">21016.005782/2021-15</t>
  </si>
  <si>
    <t xml:space="preserve">TRICHONINGYD FR 25</t>
  </si>
  <si>
    <t xml:space="preserve">Trichoderma koningiopsis, Cepa CCT 2142</t>
  </si>
  <si>
    <t xml:space="preserve">21016.002972/2022-53</t>
  </si>
  <si>
    <t xml:space="preserve">BOVE-META BOM FUTURO</t>
  </si>
  <si>
    <t xml:space="preserve">Beauveria bassiana, Isolado IBCB 66; Metarhizium anisopliae, Isolado IBCB 425</t>
  </si>
  <si>
    <t xml:space="preserve">21000.051405/2017-32</t>
  </si>
  <si>
    <t xml:space="preserve">EXCALIA  </t>
  </si>
  <si>
    <t xml:space="preserve"> Impirfluxam</t>
  </si>
  <si>
    <t xml:space="preserve">21000.029596/2020-51</t>
  </si>
  <si>
    <t xml:space="preserve"> STRIKE</t>
  </si>
  <si>
    <t xml:space="preserve">21000.079890/2022-76</t>
  </si>
  <si>
    <t xml:space="preserve">INSECTO ORG</t>
  </si>
  <si>
    <t xml:space="preserve">Terra Diatomácea</t>
  </si>
  <si>
    <t xml:space="preserve">Bequisa</t>
  </si>
  <si>
    <t xml:space="preserve">21000.015251/2021-00</t>
  </si>
  <si>
    <t xml:space="preserve">AZOXISTROBINA+CIPROCONAZOL+OXICLORETO DE COBRE SC ALBAUGH 01</t>
  </si>
  <si>
    <t xml:space="preserve">Azoxistrobina; Ciproconazol; Oxicloreto de Cobre</t>
  </si>
  <si>
    <t xml:space="preserve">21000.025426/2016-11</t>
  </si>
  <si>
    <t xml:space="preserve">SPORANE</t>
  </si>
  <si>
    <t xml:space="preserve">Azoxistrobina; Ciproconazol </t>
  </si>
  <si>
    <t xml:space="preserve">21000.032558/2016-08</t>
  </si>
  <si>
    <t xml:space="preserve">GALAPUS SB</t>
  </si>
  <si>
    <t xml:space="preserve">21016.010127/2021-71</t>
  </si>
  <si>
    <t xml:space="preserve">STIMUTROP</t>
  </si>
  <si>
    <t xml:space="preserve">21000.026129/2017-74</t>
  </si>
  <si>
    <t xml:space="preserve">ATRAFORCE</t>
  </si>
  <si>
    <t xml:space="preserve">21016.008083/2021-19</t>
  </si>
  <si>
    <t xml:space="preserve">NEMA PROTECTION</t>
  </si>
  <si>
    <t xml:space="preserve">Bacillus amyloliquefaciens, Isolado CBMAI 2356</t>
  </si>
  <si>
    <t xml:space="preserve">21000.008984/2010-27</t>
  </si>
  <si>
    <t xml:space="preserve">PROTEMAX</t>
  </si>
  <si>
    <t xml:space="preserve">21000.052074/2018-39</t>
  </si>
  <si>
    <t xml:space="preserve">BOKSIA 300 WG</t>
  </si>
  <si>
    <t xml:space="preserve">21016.004205/2022-89</t>
  </si>
  <si>
    <t xml:space="preserve">BEAVEOURO</t>
  </si>
  <si>
    <t xml:space="preserve">Valeouro</t>
  </si>
  <si>
    <t xml:space="preserve">21016.004204/2022-34</t>
  </si>
  <si>
    <t xml:space="preserve">METHAOURO</t>
  </si>
  <si>
    <t xml:space="preserve">21016.010307/2021-52</t>
  </si>
  <si>
    <t xml:space="preserve">BV0518</t>
  </si>
  <si>
    <t xml:space="preserve">Purpureocillium lilacinum, isolado BV05</t>
  </si>
  <si>
    <t xml:space="preserve">21000.049670/2017-51</t>
  </si>
  <si>
    <t xml:space="preserve"> METOXIFENOZIDE NORTOX</t>
  </si>
  <si>
    <t xml:space="preserve">21000.079939/2020-29</t>
  </si>
  <si>
    <t xml:space="preserve">PHYSCION</t>
  </si>
  <si>
    <t xml:space="preserve">Extrato de Rheum palmatum</t>
  </si>
  <si>
    <t xml:space="preserve"> Dinagro</t>
  </si>
  <si>
    <t xml:space="preserve">21016.000688/2022-42</t>
  </si>
  <si>
    <t xml:space="preserve">BTP 007-19</t>
  </si>
  <si>
    <t xml:space="preserve">Bacillus velezensis, isolado CNPSo 3602</t>
  </si>
  <si>
    <t xml:space="preserve">21000.011679/2018-70</t>
  </si>
  <si>
    <t xml:space="preserve">PROTERRA 200 SL</t>
  </si>
  <si>
    <t xml:space="preserve">21000.042459/2020-11</t>
  </si>
  <si>
    <t xml:space="preserve">GLINT FULL</t>
  </si>
  <si>
    <t xml:space="preserve">21000.002728/2009-92</t>
  </si>
  <si>
    <t xml:space="preserve">KUSTI</t>
  </si>
  <si>
    <t xml:space="preserve">21000.054716/2017-53</t>
  </si>
  <si>
    <t xml:space="preserve">ALON</t>
  </si>
  <si>
    <t xml:space="preserve">Lufenurom; Bifentrina</t>
  </si>
  <si>
    <t xml:space="preserve">21016.002667/2021-81</t>
  </si>
  <si>
    <t xml:space="preserve">METOMY</t>
  </si>
  <si>
    <t xml:space="preserve">21000.032238/2017-21</t>
  </si>
  <si>
    <t xml:space="preserve">ORONDIS FLEXI</t>
  </si>
  <si>
    <t xml:space="preserve">Azoxistrobina; Oxatiapiprolim</t>
  </si>
  <si>
    <t xml:space="preserve">21000.040377/2016-47</t>
  </si>
  <si>
    <t xml:space="preserve">VINQUO</t>
  </si>
  <si>
    <t xml:space="preserve">Afidopiropeno</t>
  </si>
  <si>
    <t xml:space="preserve">21000.018847/2016-96</t>
  </si>
  <si>
    <t xml:space="preserve">FIPRONIL JS 800 WG</t>
  </si>
  <si>
    <t xml:space="preserve">21016.003612/2022-79</t>
  </si>
  <si>
    <t xml:space="preserve">TRICHOFOURT</t>
  </si>
  <si>
    <t xml:space="preserve">Trichoderma harzianum, isolado IBLF 1278; Trichoderma harzianum, isolado IBLF 1282; Trichoderma viride, isolado IBLF 1275; Trichoderma viride, isolado 1276​.</t>
  </si>
  <si>
    <t xml:space="preserve">21016.004701/2022-32</t>
  </si>
  <si>
    <t xml:space="preserve">BIOSAVE</t>
  </si>
  <si>
    <t xml:space="preserve">C.C.A. Agroindustrial</t>
  </si>
  <si>
    <t xml:space="preserve">21000.029408/2020-95</t>
  </si>
  <si>
    <t xml:space="preserve">HDB 276</t>
  </si>
  <si>
    <t xml:space="preserve">21000.008625/2015-84</t>
  </si>
  <si>
    <t xml:space="preserve">SUN-DIURON 800 WG</t>
  </si>
  <si>
    <t xml:space="preserve">21000.043240/2018-14</t>
  </si>
  <si>
    <t xml:space="preserve">JOYA</t>
  </si>
  <si>
    <t xml:space="preserve">21016.005109/2021-77</t>
  </si>
  <si>
    <t xml:space="preserve">TRICHONYD RS FR 25</t>
  </si>
  <si>
    <t xml:space="preserve">Trichoderma reesei, cepa CCT 2768</t>
  </si>
  <si>
    <t xml:space="preserve">21000.083636/2021-91</t>
  </si>
  <si>
    <t xml:space="preserve">ORUS</t>
  </si>
  <si>
    <t xml:space="preserve">21000.012458/2010-61</t>
  </si>
  <si>
    <t xml:space="preserve">NUPRID 600 FS</t>
  </si>
  <si>
    <t xml:space="preserve">21016.001485/2022-73</t>
  </si>
  <si>
    <t xml:space="preserve">SPODOVEX; LITTOVIR</t>
  </si>
  <si>
    <t xml:space="preserve">Spodoptera littoralis nucleopolyhedrovirus (SpliNPV)</t>
  </si>
  <si>
    <t xml:space="preserve">21000.003666/2015-84</t>
  </si>
  <si>
    <t xml:space="preserve">MEDEIRO WG</t>
  </si>
  <si>
    <t xml:space="preserve">Fosetil</t>
  </si>
  <si>
    <t xml:space="preserve">21000.024554/2019-91</t>
  </si>
  <si>
    <t xml:space="preserve">TERRAD’OR 339 SC</t>
  </si>
  <si>
    <t xml:space="preserve">21000.033041/2017-17</t>
  </si>
  <si>
    <t xml:space="preserve">VINSETO</t>
  </si>
  <si>
    <t xml:space="preserve">21016.004855/2022-24</t>
  </si>
  <si>
    <t xml:space="preserve">TRICHODERMA BOM FUTURO</t>
  </si>
  <si>
    <t xml:space="preserve">21000.016147/2019-18</t>
  </si>
  <si>
    <t xml:space="preserve"> BARUS 339 SC  </t>
  </si>
  <si>
    <t xml:space="preserve">21000.025811/2017-40</t>
  </si>
  <si>
    <t xml:space="preserve">DICAMAX LV</t>
  </si>
  <si>
    <t xml:space="preserve">21000.054727/2017-33</t>
  </si>
  <si>
    <t xml:space="preserve">PRODUTOP 500 SC</t>
  </si>
  <si>
    <t xml:space="preserve">21000.018273/2021-13</t>
  </si>
  <si>
    <t xml:space="preserve">TRACKING 720 WG</t>
  </si>
  <si>
    <t xml:space="preserve">21016.004081/2022-31</t>
  </si>
  <si>
    <t xml:space="preserve">METTAPLUS</t>
  </si>
  <si>
    <t xml:space="preserve">Café Brasil</t>
  </si>
  <si>
    <t xml:space="preserve">21016.004085/2022-10</t>
  </si>
  <si>
    <t xml:space="preserve">TRICHOADVANCE</t>
  </si>
  <si>
    <t xml:space="preserve">21016.004074/2022-30</t>
  </si>
  <si>
    <t xml:space="preserve">BONVERO</t>
  </si>
  <si>
    <t xml:space="preserve">21016.004317/2021-59</t>
  </si>
  <si>
    <t xml:space="preserve">CELTIC</t>
  </si>
  <si>
    <t xml:space="preserve">21016.004055/2021-22</t>
  </si>
  <si>
    <t xml:space="preserve">CERAMAX</t>
  </si>
  <si>
    <t xml:space="preserve">Natamicina</t>
  </si>
  <si>
    <t xml:space="preserve">21000.015756/2016-07</t>
  </si>
  <si>
    <t xml:space="preserve">METRARO</t>
  </si>
  <si>
    <t xml:space="preserve">21016.004565/2022-81</t>
  </si>
  <si>
    <t xml:space="preserve">REPORTH</t>
  </si>
  <si>
    <t xml:space="preserve">21016.004822/2022-84</t>
  </si>
  <si>
    <t xml:space="preserve">BIOVÉRO</t>
  </si>
  <si>
    <t xml:space="preserve"> J. A. Moura</t>
  </si>
  <si>
    <t xml:space="preserve">21016.009190/2021-64</t>
  </si>
  <si>
    <t xml:space="preserve">PERIMETER</t>
  </si>
  <si>
    <t xml:space="preserve">Swinglea glutinosa, Extrato de</t>
  </si>
  <si>
    <t xml:space="preserve">21016.004942/2022-81</t>
  </si>
  <si>
    <t xml:space="preserve">MBYO TRIC; RNBIO TRIC</t>
  </si>
  <si>
    <t xml:space="preserve">MB Enzymas</t>
  </si>
  <si>
    <t xml:space="preserve">21000.008323/2015-14</t>
  </si>
  <si>
    <t xml:space="preserve"> ACEPHATE-1 750 SP</t>
  </si>
  <si>
    <t xml:space="preserve">21000.008428/2015-65</t>
  </si>
  <si>
    <t xml:space="preserve">ACEPHATE-3 750 SP</t>
  </si>
  <si>
    <t xml:space="preserve">21016.000094/2022-31</t>
  </si>
  <si>
    <t xml:space="preserve">PROGRANIC MEGA</t>
  </si>
  <si>
    <t xml:space="preserve">Larrea tridentata, Extrato de</t>
  </si>
  <si>
    <t xml:space="preserve">Naturacide </t>
  </si>
  <si>
    <t xml:space="preserve">21016.005245/2022-48</t>
  </si>
  <si>
    <t xml:space="preserve">SITIUS</t>
  </si>
  <si>
    <t xml:space="preserve">C.C.A </t>
  </si>
  <si>
    <t xml:space="preserve">21016.004939/2022-68</t>
  </si>
  <si>
    <t xml:space="preserve"> MBYO META; RNBIO META</t>
  </si>
  <si>
    <t xml:space="preserve">21016.004934/2022-35</t>
  </si>
  <si>
    <t xml:space="preserve">MBYO BV; RNBIO BV</t>
  </si>
  <si>
    <t xml:space="preserve">21016.004059/2022-91</t>
  </si>
  <si>
    <t xml:space="preserve">COMPOSTEC MCO METHA</t>
  </si>
  <si>
    <t xml:space="preserve">21016.004057/2022-01</t>
  </si>
  <si>
    <t xml:space="preserve">COMPOSTEC MCO BETHA</t>
  </si>
  <si>
    <t xml:space="preserve"> Compostec</t>
  </si>
  <si>
    <t xml:space="preserve">21000.002701/2014-67</t>
  </si>
  <si>
    <t xml:space="preserve">SISTIVA</t>
  </si>
  <si>
    <t xml:space="preserve">21016.009479/2021-83</t>
  </si>
  <si>
    <t xml:space="preserve">CITOBLOOM 2.4</t>
  </si>
  <si>
    <t xml:space="preserve">6-benzilaminopurina</t>
  </si>
  <si>
    <t xml:space="preserve">Biogrow</t>
  </si>
  <si>
    <t xml:space="preserve">21016.001665/2022-55</t>
  </si>
  <si>
    <t xml:space="preserve"> NEMBAC 42; AMYPROTEC 42</t>
  </si>
  <si>
    <t xml:space="preserve">Bacillus velezensis, estirpe FZB42</t>
  </si>
  <si>
    <t xml:space="preserve">21016.010263/2021-61</t>
  </si>
  <si>
    <t xml:space="preserve">METALEAF</t>
  </si>
  <si>
    <t xml:space="preserve"> Massen</t>
  </si>
  <si>
    <t xml:space="preserve">21000.001856/2016-48</t>
  </si>
  <si>
    <t xml:space="preserve">HALOXYFOP 124,7 EC UPL</t>
  </si>
  <si>
    <t xml:space="preserve">21000.050331/2017-17</t>
  </si>
  <si>
    <t xml:space="preserve">Elenchos</t>
  </si>
  <si>
    <t xml:space="preserve">21000.009031/2012-48</t>
  </si>
  <si>
    <t xml:space="preserve">ALMANE</t>
  </si>
  <si>
    <t xml:space="preserve">21000.008338/2012-21</t>
  </si>
  <si>
    <t xml:space="preserve">AXIAL</t>
  </si>
  <si>
    <t xml:space="preserve">21000.009032/2012-92</t>
  </si>
  <si>
    <t xml:space="preserve"> RADIS</t>
  </si>
  <si>
    <t xml:space="preserve">21000.063133/2016-32</t>
  </si>
  <si>
    <t xml:space="preserve">LUKAT 200 SL</t>
  </si>
  <si>
    <t xml:space="preserve">21000.000428/2016-06</t>
  </si>
  <si>
    <t xml:space="preserve">S-METOLACLOR 960 EC PLS CL1</t>
  </si>
  <si>
    <t xml:space="preserve">21000.009520/2012-08</t>
  </si>
  <si>
    <t xml:space="preserve">SEDUM </t>
  </si>
  <si>
    <t xml:space="preserve">Clodinafope-Propargil; Pinoxadem</t>
  </si>
  <si>
    <t xml:space="preserve">21016.000088/2022-84</t>
  </si>
  <si>
    <t xml:space="preserve">SMARTFRESH INBOX</t>
  </si>
  <si>
    <t xml:space="preserve">Agrofresh </t>
  </si>
  <si>
    <t xml:space="preserve">21000.009033/2012-37</t>
  </si>
  <si>
    <t xml:space="preserve">TRAXOS </t>
  </si>
  <si>
    <t xml:space="preserve">21000.000386/2015-14</t>
  </si>
  <si>
    <t xml:space="preserve">CLORPIRIFÓS 480 EC LUBA</t>
  </si>
  <si>
    <t xml:space="preserve">21000.000060/2016-78</t>
  </si>
  <si>
    <t xml:space="preserve">FIPRONIL 800 WG UPL</t>
  </si>
  <si>
    <t xml:space="preserve">21000.009980/2013-17</t>
  </si>
  <si>
    <t xml:space="preserve">Avorio Top</t>
  </si>
  <si>
    <t xml:space="preserve">Cimoxanil; Clorotalonil</t>
  </si>
  <si>
    <t xml:space="preserve">21016.006840/2021-10</t>
  </si>
  <si>
    <t xml:space="preserve">Bamytis</t>
  </si>
  <si>
    <t xml:space="preserve">Bacillus amyloliquefaciens, isolado SVG 00027-B; Bacillus amyloliquefaciens, isolado SVG 00028-B; Bacillus subtilis, isolado SVG 00030-B; Bacillus thuringiensis, isolado SVG 00029-B</t>
  </si>
  <si>
    <t xml:space="preserve">Biota Innovations</t>
  </si>
  <si>
    <t xml:space="preserve">21016.007036/2021-58</t>
  </si>
  <si>
    <t xml:space="preserve">Nemabac</t>
  </si>
  <si>
    <t xml:space="preserve">21000.005566/2015-92</t>
  </si>
  <si>
    <t xml:space="preserve">Sato 648</t>
  </si>
  <si>
    <t xml:space="preserve">TC00121</t>
  </si>
  <si>
    <t xml:space="preserve">21000.051789/2017-93</t>
  </si>
  <si>
    <t xml:space="preserve">Flutriafol Técnico Sumitomo Br</t>
  </si>
  <si>
    <t xml:space="preserve">O perfil toxicológico foi considerado equivalente ao produto técnico de referência.</t>
  </si>
  <si>
    <t xml:space="preserve">III - Produto Perigoso ao Meio Ambiente</t>
  </si>
  <si>
    <t xml:space="preserve">Ano de 2021</t>
  </si>
  <si>
    <t xml:space="preserve">TC00221</t>
  </si>
  <si>
    <t xml:space="preserve">21000.002452/2013-29</t>
  </si>
  <si>
    <t xml:space="preserve">S-Metolacloro Técnico CCAB</t>
  </si>
  <si>
    <t xml:space="preserve">II - Produto Muito Perigoso ao Meio Ambiente</t>
  </si>
  <si>
    <t xml:space="preserve">TC00321</t>
  </si>
  <si>
    <t xml:space="preserve">21000.040550/2017-98</t>
  </si>
  <si>
    <t xml:space="preserve">Atrazina Técnica Nortox IV</t>
  </si>
  <si>
    <t xml:space="preserve">TC00421</t>
  </si>
  <si>
    <t xml:space="preserve">21000.006895/2018-01</t>
  </si>
  <si>
    <t xml:space="preserve">Chlorpyrifós Técnico FB</t>
  </si>
  <si>
    <t xml:space="preserve">TC00521</t>
  </si>
  <si>
    <t xml:space="preserve">21042.002770/2020-22</t>
  </si>
  <si>
    <t xml:space="preserve">Glufosinato Técnico Alamos</t>
  </si>
  <si>
    <t xml:space="preserve">TC00621</t>
  </si>
  <si>
    <t xml:space="preserve">21000.013241/2019-15</t>
  </si>
  <si>
    <t xml:space="preserve">Hexazinona Técnico UPL</t>
  </si>
  <si>
    <t xml:space="preserve">TC00721</t>
  </si>
  <si>
    <t xml:space="preserve">21000.066265/2019-69</t>
  </si>
  <si>
    <t xml:space="preserve">Imidacloprid técnico FB</t>
  </si>
  <si>
    <t xml:space="preserve">TC00821</t>
  </si>
  <si>
    <t xml:space="preserve">21000.087814/2019-39</t>
  </si>
  <si>
    <t xml:space="preserve">Lambda-cialotrina Técnica Nortox II</t>
  </si>
  <si>
    <t xml:space="preserve">TC00921</t>
  </si>
  <si>
    <t xml:space="preserve">21000.016503/2020-29</t>
  </si>
  <si>
    <t xml:space="preserve">Mesotrione Técnico Albaugh BN</t>
  </si>
  <si>
    <t xml:space="preserve">TC01021</t>
  </si>
  <si>
    <t xml:space="preserve">21000.004560/2020-65</t>
  </si>
  <si>
    <t xml:space="preserve">Mesotriona Técnico Solus</t>
  </si>
  <si>
    <t xml:space="preserve">TC01121</t>
  </si>
  <si>
    <t xml:space="preserve">21000.006506/2015-97</t>
  </si>
  <si>
    <t xml:space="preserve">Mesotriona Técnico Tide</t>
  </si>
  <si>
    <t xml:space="preserve">TC01221</t>
  </si>
  <si>
    <t xml:space="preserve">21000.007086/2015-66</t>
  </si>
  <si>
    <t xml:space="preserve">Mesotrione B Tecnico Helm</t>
  </si>
  <si>
    <t xml:space="preserve">TC01321</t>
  </si>
  <si>
    <t xml:space="preserve">21000.007777/2014-89</t>
  </si>
  <si>
    <t xml:space="preserve">Atrazine Tech Oxon</t>
  </si>
  <si>
    <t xml:space="preserve">TC01421</t>
  </si>
  <si>
    <t xml:space="preserve">21000.022970/2020-98</t>
  </si>
  <si>
    <t xml:space="preserve">Atrazine Técnico CCAB II</t>
  </si>
  <si>
    <t xml:space="preserve">TC01521</t>
  </si>
  <si>
    <t xml:space="preserve">21000.007778/2013-42</t>
  </si>
  <si>
    <t xml:space="preserve">Trinexapaque-Etilico Ascenza Tecnico</t>
  </si>
  <si>
    <t xml:space="preserve">TC01621</t>
  </si>
  <si>
    <t xml:space="preserve">21000.031085/2019-66</t>
  </si>
  <si>
    <t xml:space="preserve">Diquate Técnico Alamos</t>
  </si>
  <si>
    <t xml:space="preserve">TC01721</t>
  </si>
  <si>
    <t xml:space="preserve">21000.006812/2014-42</t>
  </si>
  <si>
    <t xml:space="preserve">Dicamba Técnico Sumitomo BR</t>
  </si>
  <si>
    <t xml:space="preserve">TC01821</t>
  </si>
  <si>
    <t xml:space="preserve">21000.005490/2015-03</t>
  </si>
  <si>
    <t xml:space="preserve">Prothioconazole Technical UPL </t>
  </si>
  <si>
    <t xml:space="preserve">TC01921</t>
  </si>
  <si>
    <t xml:space="preserve">21000.002471/2015-17</t>
  </si>
  <si>
    <t xml:space="preserve">Hexazinona Técnico SNB</t>
  </si>
  <si>
    <t xml:space="preserve">TC02021</t>
  </si>
  <si>
    <t xml:space="preserve">21000.064445/2019-14</t>
  </si>
  <si>
    <t xml:space="preserve">Methomyl Técnico FB</t>
  </si>
  <si>
    <t xml:space="preserve">TC02121</t>
  </si>
  <si>
    <t xml:space="preserve">21000.064447/2019-03</t>
  </si>
  <si>
    <t xml:space="preserve">Hexazinone Técnico FB</t>
  </si>
  <si>
    <t xml:space="preserve">TC02221</t>
  </si>
  <si>
    <t xml:space="preserve">21000.093851/2019-86</t>
  </si>
  <si>
    <t xml:space="preserve">Fipronil Técnico FB</t>
  </si>
  <si>
    <t xml:space="preserve">TC02321</t>
  </si>
  <si>
    <t xml:space="preserve">21000.067337/2019-95</t>
  </si>
  <si>
    <t xml:space="preserve">Atrazina Técnico CHDS</t>
  </si>
  <si>
    <t xml:space="preserve">TC02421</t>
  </si>
  <si>
    <t xml:space="preserve">21000.006576/2014-64</t>
  </si>
  <si>
    <t xml:space="preserve">Ciprodinil Técnico Rainbow</t>
  </si>
  <si>
    <t xml:space="preserve">Ciprodinil</t>
  </si>
  <si>
    <t xml:space="preserve">TC02521</t>
  </si>
  <si>
    <t xml:space="preserve">21000.016567/2017-24</t>
  </si>
  <si>
    <t xml:space="preserve">Difenoconazol Técnico Rainbow</t>
  </si>
  <si>
    <t xml:space="preserve">TC02621</t>
  </si>
  <si>
    <t xml:space="preserve">21000.002105/2015-68</t>
  </si>
  <si>
    <t xml:space="preserve">Clorpirifós Técnico Agrogill</t>
  </si>
  <si>
    <t xml:space="preserve">TC02721</t>
  </si>
  <si>
    <t xml:space="preserve">21000.067479/2020-96</t>
  </si>
  <si>
    <t xml:space="preserve">Metomil Técnico Albaugh 01</t>
  </si>
  <si>
    <t xml:space="preserve">TC02821</t>
  </si>
  <si>
    <t xml:space="preserve">21000.024663/2016-65</t>
  </si>
  <si>
    <t xml:space="preserve">Methomyl Técnico ZS</t>
  </si>
  <si>
    <t xml:space="preserve">TC02921</t>
  </si>
  <si>
    <t xml:space="preserve">21000.008324/2014-70</t>
  </si>
  <si>
    <t xml:space="preserve">Metomil Técnico Nortox BR</t>
  </si>
  <si>
    <t xml:space="preserve">TC03021</t>
  </si>
  <si>
    <t xml:space="preserve"> 21000.040392/2016-95</t>
  </si>
  <si>
    <t xml:space="preserve">Difenoconazole Y Técnico Helm</t>
  </si>
  <si>
    <t xml:space="preserve">TC03121</t>
  </si>
  <si>
    <t xml:space="preserve">21000.013262/2017-61</t>
  </si>
  <si>
    <t xml:space="preserve">Fipronil Técnico Sino-Agri</t>
  </si>
  <si>
    <t xml:space="preserve">TK03221</t>
  </si>
  <si>
    <t xml:space="preserve">21000.008412/2015-52</t>
  </si>
  <si>
    <t xml:space="preserve">Glifosato Pré-Mistura Dow Agrosciences</t>
  </si>
  <si>
    <t xml:space="preserve">Dow</t>
  </si>
  <si>
    <t xml:space="preserve">TC03321</t>
  </si>
  <si>
    <t xml:space="preserve">21000.026249/2018-52</t>
  </si>
  <si>
    <t xml:space="preserve">Terbutilazina Técnico ZS</t>
  </si>
  <si>
    <t xml:space="preserve">TC03421</t>
  </si>
  <si>
    <t xml:space="preserve">21000.003483/2018-10</t>
  </si>
  <si>
    <t xml:space="preserve">Flumioxazin Técnico CCAB II</t>
  </si>
  <si>
    <t xml:space="preserve">TC03521</t>
  </si>
  <si>
    <t xml:space="preserve">21000.035743/2020-22</t>
  </si>
  <si>
    <t xml:space="preserve">Bifentrina Técnico Alta</t>
  </si>
  <si>
    <t xml:space="preserve">TC03621</t>
  </si>
  <si>
    <t xml:space="preserve">21000.023785/2017-15</t>
  </si>
  <si>
    <t xml:space="preserve">Protioconazol Técnico Adama Brasil</t>
  </si>
  <si>
    <t xml:space="preserve">TC03721</t>
  </si>
  <si>
    <t xml:space="preserve">21000.050462/2017-02</t>
  </si>
  <si>
    <t xml:space="preserve">Atrazina Técnico Adama Br</t>
  </si>
  <si>
    <t xml:space="preserve">TC03821</t>
  </si>
  <si>
    <t xml:space="preserve">21000.032529/2020-14</t>
  </si>
  <si>
    <t xml:space="preserve">Mesotrione Técnico Binnong</t>
  </si>
  <si>
    <t xml:space="preserve">TC03921</t>
  </si>
  <si>
    <t xml:space="preserve">21000.001984/2015-19</t>
  </si>
  <si>
    <t xml:space="preserve">Mesotriona Técnico SBN-CropChem</t>
  </si>
  <si>
    <t xml:space="preserve">TC04021</t>
  </si>
  <si>
    <t xml:space="preserve">21000.011012/2019-58</t>
  </si>
  <si>
    <t xml:space="preserve">Protioconazol Técnico Albaugh I</t>
  </si>
  <si>
    <t xml:space="preserve">TC04121</t>
  </si>
  <si>
    <t xml:space="preserve">21000.007775/2014-90</t>
  </si>
  <si>
    <t xml:space="preserve">Protioconazol Técnico Rainbow</t>
  </si>
  <si>
    <t xml:space="preserve">TC04221</t>
  </si>
  <si>
    <t xml:space="preserve">21000.069725/2020-44</t>
  </si>
  <si>
    <t xml:space="preserve">Imazapic Técnico SD</t>
  </si>
  <si>
    <t xml:space="preserve">TC04321</t>
  </si>
  <si>
    <t xml:space="preserve">21000.005184/2019-92</t>
  </si>
  <si>
    <t xml:space="preserve">Protioconazol Técnico JZ</t>
  </si>
  <si>
    <t xml:space="preserve">TC04421</t>
  </si>
  <si>
    <t xml:space="preserve">21000.052385/2018-06</t>
  </si>
  <si>
    <t xml:space="preserve">Protioconazol Técnico BL</t>
  </si>
  <si>
    <t xml:space="preserve">TC04521</t>
  </si>
  <si>
    <t xml:space="preserve">21000.012224/2020-96</t>
  </si>
  <si>
    <t xml:space="preserve">Azoxistrobina Técnico D'Verde</t>
  </si>
  <si>
    <t xml:space="preserve">Azoxistrobin</t>
  </si>
  <si>
    <t xml:space="preserve">D'Verde</t>
  </si>
  <si>
    <t xml:space="preserve">TC04621</t>
  </si>
  <si>
    <t xml:space="preserve">21000.054939/2017-11</t>
  </si>
  <si>
    <t xml:space="preserve">Protioconazol Técnico Adama Br</t>
  </si>
  <si>
    <t xml:space="preserve">TC04721</t>
  </si>
  <si>
    <t xml:space="preserve">21000.003724/2015-70</t>
  </si>
  <si>
    <t xml:space="preserve">Imazamox Técnico Nortox</t>
  </si>
  <si>
    <t xml:space="preserve">TC04821</t>
  </si>
  <si>
    <t xml:space="preserve">21000.025001/2016-11</t>
  </si>
  <si>
    <t xml:space="preserve">Clorpirifós Técnico GSP</t>
  </si>
  <si>
    <t xml:space="preserve">TC04921</t>
  </si>
  <si>
    <t xml:space="preserve">21000.001470/2015-55</t>
  </si>
  <si>
    <t xml:space="preserve">Flumioxazin Técnico Agrogill</t>
  </si>
  <si>
    <t xml:space="preserve">TC05021</t>
  </si>
  <si>
    <t xml:space="preserve">21000.051704/2018-58</t>
  </si>
  <si>
    <t xml:space="preserve">Glufosinato de Amônio Técnico Ada Brasil</t>
  </si>
  <si>
    <t xml:space="preserve">TC05121</t>
  </si>
  <si>
    <t xml:space="preserve">21000.025709/2019-14</t>
  </si>
  <si>
    <t xml:space="preserve">Cyproconazole técnico ZY</t>
  </si>
  <si>
    <t xml:space="preserve">Syncron</t>
  </si>
  <si>
    <t xml:space="preserve">TC05221</t>
  </si>
  <si>
    <t xml:space="preserve">21000.062113/2020-21</t>
  </si>
  <si>
    <t xml:space="preserve">Tebuconazole Técnico Albaugh II</t>
  </si>
  <si>
    <t xml:space="preserve">TC05321</t>
  </si>
  <si>
    <t xml:space="preserve">21000.069564/2020-99</t>
  </si>
  <si>
    <t xml:space="preserve">Hexazinona Técnico Albaugh 01</t>
  </si>
  <si>
    <t xml:space="preserve">TC05421</t>
  </si>
  <si>
    <t xml:space="preserve">21000.004113/2015-49</t>
  </si>
  <si>
    <t xml:space="preserve">Imazamoxi Técnico Cropchem</t>
  </si>
  <si>
    <t xml:space="preserve">TC05521</t>
  </si>
  <si>
    <t xml:space="preserve">21000.050447/2017-56</t>
  </si>
  <si>
    <t xml:space="preserve">Clorpirifós Técnico Sumitomo BR</t>
  </si>
  <si>
    <t xml:space="preserve">TC05621</t>
  </si>
  <si>
    <t xml:space="preserve">21000.002501/2021-33</t>
  </si>
  <si>
    <t xml:space="preserve">Bifentrina Técnica Albaugh</t>
  </si>
  <si>
    <t xml:space="preserve">TC05721</t>
  </si>
  <si>
    <t xml:space="preserve">21000.010295/2013-25</t>
  </si>
  <si>
    <t xml:space="preserve">Halauxifen-Metil Técnico</t>
  </si>
  <si>
    <t xml:space="preserve">TC05821</t>
  </si>
  <si>
    <t xml:space="preserve">21000.066693/2020-25</t>
  </si>
  <si>
    <t xml:space="preserve">Dibrometo de Diquate Técnico Adama Brasil</t>
  </si>
  <si>
    <t xml:space="preserve">TC05921</t>
  </si>
  <si>
    <t xml:space="preserve">21000.022721/2019-69</t>
  </si>
  <si>
    <t xml:space="preserve">Bifentrina Técnico Rainbow</t>
  </si>
  <si>
    <t xml:space="preserve">TC06021</t>
  </si>
  <si>
    <t xml:space="preserve">21000.068429/2020-26</t>
  </si>
  <si>
    <t xml:space="preserve">Tebutiurom Técnico Tecnomyl II</t>
  </si>
  <si>
    <t xml:space="preserve">TC06121</t>
  </si>
  <si>
    <t xml:space="preserve">21000.012101/2016-79</t>
  </si>
  <si>
    <t xml:space="preserve">Indoxacarbe Técnico Cropchem</t>
  </si>
  <si>
    <t xml:space="preserve">TC06221</t>
  </si>
  <si>
    <t xml:space="preserve">21000.018345/2018-27</t>
  </si>
  <si>
    <t xml:space="preserve">Indoxacarb Técnico FB</t>
  </si>
  <si>
    <t xml:space="preserve">INdoxacarbe</t>
  </si>
  <si>
    <t xml:space="preserve">TC06321</t>
  </si>
  <si>
    <t xml:space="preserve">21000.032111/2019-73</t>
  </si>
  <si>
    <t xml:space="preserve">Indoxacarb Técnico CHDS</t>
  </si>
  <si>
    <t xml:space="preserve">TC06421</t>
  </si>
  <si>
    <t xml:space="preserve">21000.008111/2013-67</t>
  </si>
  <si>
    <t xml:space="preserve">Triflumurom Ascenza Tecnico</t>
  </si>
  <si>
    <t xml:space="preserve">Triflumuron</t>
  </si>
  <si>
    <t xml:space="preserve">TC06521</t>
  </si>
  <si>
    <t xml:space="preserve">21000.027936/2016-23</t>
  </si>
  <si>
    <t xml:space="preserve">Triflumuron Técnico Nortox</t>
  </si>
  <si>
    <t xml:space="preserve">TC06621</t>
  </si>
  <si>
    <t xml:space="preserve">21000.020441/2016-73</t>
  </si>
  <si>
    <t xml:space="preserve">Bifenthrin S Técnico Helm</t>
  </si>
  <si>
    <t xml:space="preserve">TC06721</t>
  </si>
  <si>
    <t xml:space="preserve">21000.000847/2015-59</t>
  </si>
  <si>
    <t xml:space="preserve">Clomazona Técnico SCY-Cropchem</t>
  </si>
  <si>
    <t xml:space="preserve">TC06821</t>
  </si>
  <si>
    <t xml:space="preserve"> 21000.002942/2020-54</t>
  </si>
  <si>
    <t xml:space="preserve">Bifentrina Técnico Cropchem II</t>
  </si>
  <si>
    <t xml:space="preserve">TC06921</t>
  </si>
  <si>
    <t xml:space="preserve">21000.001875/2015-93</t>
  </si>
  <si>
    <t xml:space="preserve">Glufosinato de Amônio Técnico CropChem</t>
  </si>
  <si>
    <t xml:space="preserve">TC07021</t>
  </si>
  <si>
    <t xml:space="preserve">21000.004391/2014-15</t>
  </si>
  <si>
    <t xml:space="preserve">Cyclaniliprole Técnico ISK</t>
  </si>
  <si>
    <t xml:space="preserve">Ciclaniliprole</t>
  </si>
  <si>
    <t xml:space="preserve">TC07121</t>
  </si>
  <si>
    <t xml:space="preserve">21000.008036/2011-72</t>
  </si>
  <si>
    <t xml:space="preserve">Dimetomorfe Tradecorp Técnico</t>
  </si>
  <si>
    <t xml:space="preserve">TC07221</t>
  </si>
  <si>
    <t xml:space="preserve">21000.008545/2015-29</t>
  </si>
  <si>
    <t xml:space="preserve">Captan Técnico YGC</t>
  </si>
  <si>
    <t xml:space="preserve">TC07321</t>
  </si>
  <si>
    <t xml:space="preserve">21000.001061/2015-59</t>
  </si>
  <si>
    <t xml:space="preserve">Fluazinam Técnico Rainbow</t>
  </si>
  <si>
    <t xml:space="preserve">TC07421</t>
  </si>
  <si>
    <t xml:space="preserve">21000.012588/2018-51</t>
  </si>
  <si>
    <t xml:space="preserve">2,4-D STK Técnico </t>
  </si>
  <si>
    <t xml:space="preserve">TC07521</t>
  </si>
  <si>
    <t xml:space="preserve">21000.036958/2016-84</t>
  </si>
  <si>
    <t xml:space="preserve">2,4-D Acid Técnico Agrolead </t>
  </si>
  <si>
    <t xml:space="preserve">TC07621</t>
  </si>
  <si>
    <t xml:space="preserve">21000.017916/2019-97</t>
  </si>
  <si>
    <t xml:space="preserve">2,4-D Técnico DT</t>
  </si>
  <si>
    <t xml:space="preserve">TC07721</t>
  </si>
  <si>
    <t xml:space="preserve">21000.001145/2017-54</t>
  </si>
  <si>
    <t xml:space="preserve">Tebuconazole Técnico Nortox V</t>
  </si>
  <si>
    <t xml:space="preserve">TC07821</t>
  </si>
  <si>
    <t xml:space="preserve">21000.002498/2014-29</t>
  </si>
  <si>
    <t xml:space="preserve">Atrazina Técnico Mil</t>
  </si>
  <si>
    <t xml:space="preserve">TC07921</t>
  </si>
  <si>
    <t xml:space="preserve">21000.009019/2014-03</t>
  </si>
  <si>
    <t xml:space="preserve">Glufosinato-Amonium Técnico SD</t>
  </si>
  <si>
    <t xml:space="preserve">TC08021</t>
  </si>
  <si>
    <t xml:space="preserve">21000.026094/2020-79</t>
  </si>
  <si>
    <t xml:space="preserve">Clorpirifós Técnico ZS</t>
  </si>
  <si>
    <t xml:space="preserve">TC08121</t>
  </si>
  <si>
    <t xml:space="preserve">21000.002165/2015-81</t>
  </si>
  <si>
    <t xml:space="preserve">Dicamba Técnico UPL</t>
  </si>
  <si>
    <t xml:space="preserve">TC08221</t>
  </si>
  <si>
    <t xml:space="preserve">21000.030687/2020-30</t>
  </si>
  <si>
    <t xml:space="preserve">Pyraclostrobin Técnico FB</t>
  </si>
  <si>
    <t xml:space="preserve">TC08321</t>
  </si>
  <si>
    <t xml:space="preserve">21000.036815/2016-72</t>
  </si>
  <si>
    <t xml:space="preserve">Dicamba Técnico Prentiss </t>
  </si>
  <si>
    <t xml:space="preserve">TC08421</t>
  </si>
  <si>
    <t xml:space="preserve">21000.006438/2014-85</t>
  </si>
  <si>
    <t xml:space="preserve">Clomazona Técnico Oxon</t>
  </si>
  <si>
    <t xml:space="preserve">TC08521</t>
  </si>
  <si>
    <t xml:space="preserve">21000.000234/2014-31</t>
  </si>
  <si>
    <t xml:space="preserve">Oxathiapiprolin Técnico</t>
  </si>
  <si>
    <t xml:space="preserve">TC08621</t>
  </si>
  <si>
    <t xml:space="preserve">21000.019621/2016-11</t>
  </si>
  <si>
    <t xml:space="preserve">Flumioxazina Técnico Cropchem</t>
  </si>
  <si>
    <t xml:space="preserve">TC08721</t>
  </si>
  <si>
    <t xml:space="preserve">21000.004581/2014-32</t>
  </si>
  <si>
    <t xml:space="preserve">Clothianidin Técnico Rainbow</t>
  </si>
  <si>
    <t xml:space="preserve">TC08821</t>
  </si>
  <si>
    <t xml:space="preserve">21000.002911/2014-55</t>
  </si>
  <si>
    <t xml:space="preserve">Fenpropimorph Técnico</t>
  </si>
  <si>
    <t xml:space="preserve">TC08921</t>
  </si>
  <si>
    <t xml:space="preserve">21000.035783/2016-98</t>
  </si>
  <si>
    <t xml:space="preserve">Dicamba Técnico Tide II</t>
  </si>
  <si>
    <t xml:space="preserve">TC09021</t>
  </si>
  <si>
    <t xml:space="preserve">21000.018766/2017-77</t>
  </si>
  <si>
    <t xml:space="preserve">Prothioconazole Technical UPL BR</t>
  </si>
  <si>
    <t xml:space="preserve">TC09121</t>
  </si>
  <si>
    <t xml:space="preserve">21000.006769/2013-34</t>
  </si>
  <si>
    <t xml:space="preserve">Oxifluorfem Ascenza Tecnico</t>
  </si>
  <si>
    <t xml:space="preserve">Oxifluorfen</t>
  </si>
  <si>
    <t xml:space="preserve">TC09221</t>
  </si>
  <si>
    <t xml:space="preserve">21000.006383/2015-94</t>
  </si>
  <si>
    <t xml:space="preserve">Indoxacarbe Técnico Rainbow</t>
  </si>
  <si>
    <t xml:space="preserve">TC09321</t>
  </si>
  <si>
    <t xml:space="preserve">21000.052150/2020-21</t>
  </si>
  <si>
    <t xml:space="preserve">Diquat Técnico CropChem III</t>
  </si>
  <si>
    <t xml:space="preserve">TC09421</t>
  </si>
  <si>
    <t xml:space="preserve">21000.025464/2016-74</t>
  </si>
  <si>
    <t xml:space="preserve">Dicamba Técnico Gilmore</t>
  </si>
  <si>
    <t xml:space="preserve">TC09521</t>
  </si>
  <si>
    <t xml:space="preserve">21000.055183/2018-16</t>
  </si>
  <si>
    <t xml:space="preserve">Dicamba Técnico FB</t>
  </si>
  <si>
    <t xml:space="preserve">FB</t>
  </si>
  <si>
    <t xml:space="preserve">TC09621</t>
  </si>
  <si>
    <t xml:space="preserve">21000.030162/2016-18</t>
  </si>
  <si>
    <t xml:space="preserve">Cresoxim-Metílico Técnico Cropchem</t>
  </si>
  <si>
    <t xml:space="preserve">Cresoxim-metílico</t>
  </si>
  <si>
    <t xml:space="preserve">TC09721</t>
  </si>
  <si>
    <t xml:space="preserve">21000.010324/2013-59</t>
  </si>
  <si>
    <t xml:space="preserve">Dicamba Técnico BRA</t>
  </si>
  <si>
    <t xml:space="preserve">TC09821</t>
  </si>
  <si>
    <t xml:space="preserve">21000.007506/2009-66</t>
  </si>
  <si>
    <t xml:space="preserve">Ametoctradin Técnico</t>
  </si>
  <si>
    <t xml:space="preserve">Ametoctradina</t>
  </si>
  <si>
    <t xml:space="preserve">TC09921</t>
  </si>
  <si>
    <t xml:space="preserve">21000.005386/2014-20</t>
  </si>
  <si>
    <t xml:space="preserve">Isofetamid Técnico ISK</t>
  </si>
  <si>
    <t xml:space="preserve">Isofetamida</t>
  </si>
  <si>
    <t xml:space="preserve">TC10021</t>
  </si>
  <si>
    <t xml:space="preserve">21000.041734/2016-94</t>
  </si>
  <si>
    <t xml:space="preserve">Acetamiprido Técnico Tide</t>
  </si>
  <si>
    <t xml:space="preserve">TC10121</t>
  </si>
  <si>
    <t xml:space="preserve">21000.021010/2020-19</t>
  </si>
  <si>
    <t xml:space="preserve">Clorotatalonil Técnico Tecnomyl</t>
  </si>
  <si>
    <t xml:space="preserve">TC10221</t>
  </si>
  <si>
    <t xml:space="preserve">21000.027240/2016-05</t>
  </si>
  <si>
    <t xml:space="preserve">2,4-D Técnico TJX</t>
  </si>
  <si>
    <t xml:space="preserve">TC10321</t>
  </si>
  <si>
    <t xml:space="preserve">21000.042160/2017-52</t>
  </si>
  <si>
    <t xml:space="preserve">2,4-D Técnico ZS</t>
  </si>
  <si>
    <t xml:space="preserve">TC10421</t>
  </si>
  <si>
    <t xml:space="preserve">21000.076311/2020-71</t>
  </si>
  <si>
    <t xml:space="preserve">Tebuconazole Técnico Albaugh </t>
  </si>
  <si>
    <t xml:space="preserve">TC10521</t>
  </si>
  <si>
    <t xml:space="preserve">21000.075396/2020-71</t>
  </si>
  <si>
    <t xml:space="preserve">Flutriafol Técnico Albaugh II</t>
  </si>
  <si>
    <t xml:space="preserve">TC10621</t>
  </si>
  <si>
    <t xml:space="preserve">21000.002584/2015-12</t>
  </si>
  <si>
    <t xml:space="preserve">S-Metolacloro Técnico Rotam</t>
  </si>
  <si>
    <t xml:space="preserve">TC10721</t>
  </si>
  <si>
    <t xml:space="preserve">21000.008575/2014-54</t>
  </si>
  <si>
    <t xml:space="preserve">Sulfentrazona Técnico Adama Br</t>
  </si>
  <si>
    <t xml:space="preserve">Sulfentrazone</t>
  </si>
  <si>
    <t xml:space="preserve">TC10821</t>
  </si>
  <si>
    <t xml:space="preserve">21000.053270/2017-40</t>
  </si>
  <si>
    <t xml:space="preserve">Trifloxistrobina Técnico Ouro Fino</t>
  </si>
  <si>
    <t xml:space="preserve">TC10921</t>
  </si>
  <si>
    <t xml:space="preserve">21000.027675/2018-11</t>
  </si>
  <si>
    <t xml:space="preserve">Cyproconazole Técnico FB II</t>
  </si>
  <si>
    <t xml:space="preserve">TC11021</t>
  </si>
  <si>
    <t xml:space="preserve">21000.020136/2017-62</t>
  </si>
  <si>
    <t xml:space="preserve">Dicamba Ascenza Técnico</t>
  </si>
  <si>
    <t xml:space="preserve">TC11121</t>
  </si>
  <si>
    <t xml:space="preserve">21000.006444/2013-51</t>
  </si>
  <si>
    <t xml:space="preserve">Cymoxanil TB Tecnico Oxon</t>
  </si>
  <si>
    <t xml:space="preserve">TC11221</t>
  </si>
  <si>
    <t xml:space="preserve">21000.007900/2013-81</t>
  </si>
  <si>
    <t xml:space="preserve">Trifloxistrobina Técnico Rainbow</t>
  </si>
  <si>
    <t xml:space="preserve">TC11321</t>
  </si>
  <si>
    <t xml:space="preserve">21000.002010/2014-63</t>
  </si>
  <si>
    <t xml:space="preserve">Azoxystrobin Técnico Uniphos</t>
  </si>
  <si>
    <t xml:space="preserve">TC11421</t>
  </si>
  <si>
    <t xml:space="preserve">21000.008257/2013-11</t>
  </si>
  <si>
    <t xml:space="preserve">Trifloxistrobin Técnico YNG</t>
  </si>
  <si>
    <t xml:space="preserve">TC11521</t>
  </si>
  <si>
    <t xml:space="preserve">21000.045062/2020-72</t>
  </si>
  <si>
    <t xml:space="preserve">Ciproconazol Técnico Albaugh JSC</t>
  </si>
  <si>
    <t xml:space="preserve">TC11621</t>
  </si>
  <si>
    <t xml:space="preserve">21000.001970/2016-78</t>
  </si>
  <si>
    <t xml:space="preserve">Trifloxistrobina Técnico BRA</t>
  </si>
  <si>
    <t xml:space="preserve">TC11721</t>
  </si>
  <si>
    <t xml:space="preserve">21000.012326/2018-97</t>
  </si>
  <si>
    <t xml:space="preserve">Flumioxazina Técnico Alta</t>
  </si>
  <si>
    <t xml:space="preserve">TC11821</t>
  </si>
  <si>
    <t xml:space="preserve">21000.008456/2016-63</t>
  </si>
  <si>
    <t xml:space="preserve">Flumioxazin Técnico Nortox</t>
  </si>
  <si>
    <t xml:space="preserve">TC11921</t>
  </si>
  <si>
    <t xml:space="preserve">21000.006541/2016-97</t>
  </si>
  <si>
    <t xml:space="preserve">Dicamba Técnico DT</t>
  </si>
  <si>
    <t xml:space="preserve">TC12021</t>
  </si>
  <si>
    <t xml:space="preserve">21000.018271/2018-29</t>
  </si>
  <si>
    <t xml:space="preserve">Trifloxistrobin Técnico Nortox III</t>
  </si>
  <si>
    <t xml:space="preserve">TC12121</t>
  </si>
  <si>
    <t xml:space="preserve">21000.002418/2015-16</t>
  </si>
  <si>
    <t xml:space="preserve">Trifloxistrobina Técnico CropChem</t>
  </si>
  <si>
    <t xml:space="preserve">TC12221</t>
  </si>
  <si>
    <t xml:space="preserve">21000.027813/2018-54</t>
  </si>
  <si>
    <t xml:space="preserve">Trifloxistrobin Técnico CHD'S</t>
  </si>
  <si>
    <t xml:space="preserve">TC12321</t>
  </si>
  <si>
    <t xml:space="preserve">21000.053560/2016-11</t>
  </si>
  <si>
    <t xml:space="preserve">Tiofanato Técnico Sinon</t>
  </si>
  <si>
    <t xml:space="preserve">TC12421</t>
  </si>
  <si>
    <t xml:space="preserve">21000.055086/2018-15</t>
  </si>
  <si>
    <t xml:space="preserve">Dicamba Técnico Ada</t>
  </si>
  <si>
    <t xml:space="preserve">TC12521</t>
  </si>
  <si>
    <t xml:space="preserve">21000.038071/2016-21</t>
  </si>
  <si>
    <t xml:space="preserve">Fluroxipir-Metílico Técnico BRA</t>
  </si>
  <si>
    <t xml:space="preserve">Fluroxipir-Metílico</t>
  </si>
  <si>
    <t xml:space="preserve">TC12621</t>
  </si>
  <si>
    <t xml:space="preserve">21000.046917/2016-04</t>
  </si>
  <si>
    <t xml:space="preserve">Fluroxipir-Meptílico Técnico Adama BR </t>
  </si>
  <si>
    <t xml:space="preserve">TC12721</t>
  </si>
  <si>
    <t xml:space="preserve">21000.006518/2018-64</t>
  </si>
  <si>
    <t xml:space="preserve">Fluroxypyr-Meptyl Técnico Lier</t>
  </si>
  <si>
    <t xml:space="preserve">TC12821</t>
  </si>
  <si>
    <t xml:space="preserve">21000.024501/2020-11</t>
  </si>
  <si>
    <t xml:space="preserve">Fluroxypyr-Meptyl Técnico NGC</t>
  </si>
  <si>
    <t xml:space="preserve">TC12921</t>
  </si>
  <si>
    <t xml:space="preserve">21000.008573/2014-65</t>
  </si>
  <si>
    <t xml:space="preserve">Ciproconazol Técnico OF</t>
  </si>
  <si>
    <t xml:space="preserve">TC13021</t>
  </si>
  <si>
    <t xml:space="preserve">21000.033042/2020-59</t>
  </si>
  <si>
    <t xml:space="preserve">Cyproconazole Técnico NGC</t>
  </si>
  <si>
    <t xml:space="preserve">TC13121</t>
  </si>
  <si>
    <t xml:space="preserve">21000.008299/2014-24</t>
  </si>
  <si>
    <t xml:space="preserve">Ciproconazole SC Técnico Helm</t>
  </si>
  <si>
    <t xml:space="preserve">TC13221</t>
  </si>
  <si>
    <t xml:space="preserve">21000.008553/2015-75</t>
  </si>
  <si>
    <t xml:space="preserve">Fluroxipir Técnico Ouro Fino </t>
  </si>
  <si>
    <t xml:space="preserve">TC13321</t>
  </si>
  <si>
    <t xml:space="preserve">21000.000006/2014-61</t>
  </si>
  <si>
    <t xml:space="preserve">Fluroxipir-Meptílico Técnico Nortox BR</t>
  </si>
  <si>
    <t xml:space="preserve">TC13421</t>
  </si>
  <si>
    <t xml:space="preserve">21000.027079/2017-42</t>
  </si>
  <si>
    <t xml:space="preserve">Fluroxipir Técnico Cropchem</t>
  </si>
  <si>
    <t xml:space="preserve">TC13521</t>
  </si>
  <si>
    <t xml:space="preserve">21000.060788/2019-00</t>
  </si>
  <si>
    <t xml:space="preserve">Mesotriona NC Técnico Helm</t>
  </si>
  <si>
    <t xml:space="preserve">TC13621</t>
  </si>
  <si>
    <t xml:space="preserve">21000.010161/2013-12</t>
  </si>
  <si>
    <t xml:space="preserve">Tebuconazol Técnico Mil</t>
  </si>
  <si>
    <t xml:space="preserve">TC13721</t>
  </si>
  <si>
    <t xml:space="preserve">21000.062236/2016-85</t>
  </si>
  <si>
    <t xml:space="preserve">Budbreak Técnico</t>
  </si>
  <si>
    <t xml:space="preserve">TC13821</t>
  </si>
  <si>
    <t xml:space="preserve">21000.047293/2017-15</t>
  </si>
  <si>
    <t xml:space="preserve">Indoxacarb Técnico Sino-Agri</t>
  </si>
  <si>
    <t xml:space="preserve">TC13921</t>
  </si>
  <si>
    <t xml:space="preserve">21000.054154/2018-29</t>
  </si>
  <si>
    <t xml:space="preserve">Pimetrozina técnico Rainbow</t>
  </si>
  <si>
    <t xml:space="preserve">IV - Produto Pouco Perigoso ao Meio Ambiente</t>
  </si>
  <si>
    <t xml:space="preserve">TC14021</t>
  </si>
  <si>
    <t xml:space="preserve">21000.043658/2016-51</t>
  </si>
  <si>
    <t xml:space="preserve">Flumioxazin Técnico Proventis</t>
  </si>
  <si>
    <t xml:space="preserve">TC14121</t>
  </si>
  <si>
    <t xml:space="preserve">21000.052469/2016-70</t>
  </si>
  <si>
    <t xml:space="preserve">Flumioxazin Técnico Adama</t>
  </si>
  <si>
    <t xml:space="preserve">TC14221</t>
  </si>
  <si>
    <t xml:space="preserve">21000.048260/2016-10</t>
  </si>
  <si>
    <t xml:space="preserve">Flumioxazin Técnico Proventis II</t>
  </si>
  <si>
    <t xml:space="preserve">TC14321</t>
  </si>
  <si>
    <t xml:space="preserve">21000.010132/2011-81</t>
  </si>
  <si>
    <t xml:space="preserve">Fipronil Técnico CN</t>
  </si>
  <si>
    <t xml:space="preserve">TC14421</t>
  </si>
  <si>
    <t xml:space="preserve">21000.025011/2018-18</t>
  </si>
  <si>
    <t xml:space="preserve">Imazetapir Técnico BRA</t>
  </si>
  <si>
    <t xml:space="preserve">TC14521</t>
  </si>
  <si>
    <t xml:space="preserve">21000.056398/2016-84</t>
  </si>
  <si>
    <t xml:space="preserve">Isoxaflutol Técnico Ola</t>
  </si>
  <si>
    <t xml:space="preserve">TC14621</t>
  </si>
  <si>
    <t xml:space="preserve">21000.071260/2019-58</t>
  </si>
  <si>
    <t xml:space="preserve">Isoxaflutol Técnico Ada Brasil</t>
  </si>
  <si>
    <t xml:space="preserve">TC14721</t>
  </si>
  <si>
    <t xml:space="preserve">21000.010780/2019-94</t>
  </si>
  <si>
    <t xml:space="preserve">Diafentiurom Técnico Proventis II</t>
  </si>
  <si>
    <t xml:space="preserve">TC14821</t>
  </si>
  <si>
    <t xml:space="preserve">21000.001471/2014-19</t>
  </si>
  <si>
    <t xml:space="preserve">Triflumuron Técnico RTM</t>
  </si>
  <si>
    <t xml:space="preserve">TC14921</t>
  </si>
  <si>
    <t xml:space="preserve">21000.025575/2018-42</t>
  </si>
  <si>
    <t xml:space="preserve">Sulfentrazone Técnico CHD'S</t>
  </si>
  <si>
    <t xml:space="preserve">TC15021</t>
  </si>
  <si>
    <t xml:space="preserve">21000.003779/2015-80</t>
  </si>
  <si>
    <t xml:space="preserve">Imazethapyr Técnico SD</t>
  </si>
  <si>
    <t xml:space="preserve">TC15121</t>
  </si>
  <si>
    <t xml:space="preserve">21000.002775/2015-84</t>
  </si>
  <si>
    <t xml:space="preserve">Fipronil Técnico Nortox BR</t>
  </si>
  <si>
    <t xml:space="preserve">Firponil</t>
  </si>
  <si>
    <t xml:space="preserve">TC15221</t>
  </si>
  <si>
    <t xml:space="preserve">21000.007229/2015-30</t>
  </si>
  <si>
    <t xml:space="preserve">Indoxacarbe Técnico Nortox</t>
  </si>
  <si>
    <t xml:space="preserve">TC15321</t>
  </si>
  <si>
    <t xml:space="preserve">21000.008895/2014-12</t>
  </si>
  <si>
    <t xml:space="preserve">Ametrina Técnico OF</t>
  </si>
  <si>
    <t xml:space="preserve">TC15421</t>
  </si>
  <si>
    <t xml:space="preserve">21000.032237/2020-81</t>
  </si>
  <si>
    <t xml:space="preserve">Ametrina Técnico Binnong</t>
  </si>
  <si>
    <t xml:space="preserve">TC15521</t>
  </si>
  <si>
    <t xml:space="preserve">21000.000447/2015-43</t>
  </si>
  <si>
    <t xml:space="preserve">Ametrina Técnico Nortox</t>
  </si>
  <si>
    <t xml:space="preserve">TC15621</t>
  </si>
  <si>
    <t xml:space="preserve">21000.000510/2017-11</t>
  </si>
  <si>
    <t xml:space="preserve">S-metolacloro Técnico Adama BR</t>
  </si>
  <si>
    <t xml:space="preserve">TC15721</t>
  </si>
  <si>
    <t xml:space="preserve">21000.008357/2015-09</t>
  </si>
  <si>
    <t xml:space="preserve">Ametrina Técnico Alta II</t>
  </si>
  <si>
    <t xml:space="preserve">TC15821</t>
  </si>
  <si>
    <t xml:space="preserve">21000.052925/2017-62</t>
  </si>
  <si>
    <t xml:space="preserve">Ametrina Técnico Adama</t>
  </si>
  <si>
    <t xml:space="preserve">TC15921</t>
  </si>
  <si>
    <t xml:space="preserve">21000.041736/2020-60</t>
  </si>
  <si>
    <t xml:space="preserve">Atrazina Técnico Binnong</t>
  </si>
  <si>
    <t xml:space="preserve">TC16021</t>
  </si>
  <si>
    <t xml:space="preserve">21000.035923/2020-12</t>
  </si>
  <si>
    <t xml:space="preserve">S-metolachlor Técnico Binnong</t>
  </si>
  <si>
    <t xml:space="preserve">TC16121</t>
  </si>
  <si>
    <t xml:space="preserve">21000.020587/2020-03</t>
  </si>
  <si>
    <t xml:space="preserve">Thiacloprid Técnico SAU</t>
  </si>
  <si>
    <t xml:space="preserve">TC16221</t>
  </si>
  <si>
    <t xml:space="preserve">21000.025712/2019-20</t>
  </si>
  <si>
    <t xml:space="preserve">Pyriproxifen Técnico ZY</t>
  </si>
  <si>
    <t xml:space="preserve">TC16321</t>
  </si>
  <si>
    <t xml:space="preserve">21000.014622/2019-11</t>
  </si>
  <si>
    <t xml:space="preserve">Flumioxazim Técnico Rainbow</t>
  </si>
  <si>
    <t xml:space="preserve">TC16421</t>
  </si>
  <si>
    <t xml:space="preserve">21000.022188/2021-50</t>
  </si>
  <si>
    <t xml:space="preserve">Bifenthrin Técnico Wynca</t>
  </si>
  <si>
    <t xml:space="preserve">TC16521</t>
  </si>
  <si>
    <t xml:space="preserve">21000.000626/2015-81</t>
  </si>
  <si>
    <t xml:space="preserve">Smilyn Técnico </t>
  </si>
  <si>
    <t xml:space="preserve">TC16621</t>
  </si>
  <si>
    <t xml:space="preserve">21000.032118/2019-95</t>
  </si>
  <si>
    <t xml:space="preserve">Pyriproxyfen Técnico CHDS</t>
  </si>
  <si>
    <t xml:space="preserve">TC16721</t>
  </si>
  <si>
    <t xml:space="preserve">21000.008036/2015-04</t>
  </si>
  <si>
    <t xml:space="preserve">Piraclostrobin Técnico Nortox</t>
  </si>
  <si>
    <t xml:space="preserve">TC16821</t>
  </si>
  <si>
    <t xml:space="preserve">21000.005831/2014-51</t>
  </si>
  <si>
    <t xml:space="preserve">Bifenthrin Y Técnico Helm</t>
  </si>
  <si>
    <t xml:space="preserve">TC16921</t>
  </si>
  <si>
    <t xml:space="preserve">21000.036187/2017-14</t>
  </si>
  <si>
    <t xml:space="preserve">Flumioxazin Técnico UPL BR</t>
  </si>
  <si>
    <t xml:space="preserve">TC17021</t>
  </si>
  <si>
    <t xml:space="preserve">21000.031071/2020-86</t>
  </si>
  <si>
    <t xml:space="preserve">Pyriproxyfen Técnico NGC</t>
  </si>
  <si>
    <t xml:space="preserve">TC17121</t>
  </si>
  <si>
    <t xml:space="preserve">21000.046412/2017-12</t>
  </si>
  <si>
    <t xml:space="preserve">Impyrfluxam Técnico</t>
  </si>
  <si>
    <t xml:space="preserve">TC17221</t>
  </si>
  <si>
    <t xml:space="preserve">21000.007332/2014-07</t>
  </si>
  <si>
    <t xml:space="preserve">Bifentrina Técnico Mil</t>
  </si>
  <si>
    <t xml:space="preserve">TC17321</t>
  </si>
  <si>
    <t xml:space="preserve">21000.026482/2016-73</t>
  </si>
  <si>
    <t xml:space="preserve">Bifentrina Técnico Adama BR</t>
  </si>
  <si>
    <t xml:space="preserve">TC17421</t>
  </si>
  <si>
    <t xml:space="preserve">21000.041695/2018-97</t>
  </si>
  <si>
    <t xml:space="preserve">Flumioxazina Técnico ALS</t>
  </si>
  <si>
    <t xml:space="preserve">TC17521</t>
  </si>
  <si>
    <t xml:space="preserve">21000.025544/2018-91</t>
  </si>
  <si>
    <t xml:space="preserve">Cipermetrina Técnica Nortox V</t>
  </si>
  <si>
    <t xml:space="preserve">TC17621</t>
  </si>
  <si>
    <t xml:space="preserve">21000.001471/2018-42</t>
  </si>
  <si>
    <t xml:space="preserve">Bifentrina Técnica Nortox III</t>
  </si>
  <si>
    <t xml:space="preserve">TC17721</t>
  </si>
  <si>
    <t xml:space="preserve">21000.029850/2017-16</t>
  </si>
  <si>
    <t xml:space="preserve">Flumioxazin Técnico Nortox II</t>
  </si>
  <si>
    <t xml:space="preserve">TC17821</t>
  </si>
  <si>
    <t xml:space="preserve">21000.024989/2018-54</t>
  </si>
  <si>
    <t xml:space="preserve">Sulfentrazone Técnico Nortox V</t>
  </si>
  <si>
    <t xml:space="preserve">TC17921</t>
  </si>
  <si>
    <t xml:space="preserve">21000.004985/2014-26</t>
  </si>
  <si>
    <t xml:space="preserve">Dicamba Técnico Nortox</t>
  </si>
  <si>
    <t xml:space="preserve">TC18021</t>
  </si>
  <si>
    <t xml:space="preserve">21000.013972/2018-71</t>
  </si>
  <si>
    <t xml:space="preserve">Piraclostrobina Técnico Sulphur Mills</t>
  </si>
  <si>
    <t xml:space="preserve">TC18121</t>
  </si>
  <si>
    <t xml:space="preserve">21000.001745/2015-51</t>
  </si>
  <si>
    <t xml:space="preserve">Sulfumeturom Técnico JE-CropChem</t>
  </si>
  <si>
    <t xml:space="preserve">TC18221</t>
  </si>
  <si>
    <t xml:space="preserve">21000.008036/2012-53</t>
  </si>
  <si>
    <t xml:space="preserve">Trifloxistrobina Tradecorp Técnico</t>
  </si>
  <si>
    <t xml:space="preserve">TC18321</t>
  </si>
  <si>
    <t xml:space="preserve">21000.016148/2021-79</t>
  </si>
  <si>
    <t xml:space="preserve">Nicosulfurom Técnico Albaugh 01</t>
  </si>
  <si>
    <t xml:space="preserve">TC18421</t>
  </si>
  <si>
    <t xml:space="preserve">21000.005352/2015-16</t>
  </si>
  <si>
    <t xml:space="preserve">Carbendazim Técnico RTM</t>
  </si>
  <si>
    <t xml:space="preserve">TC18521</t>
  </si>
  <si>
    <t xml:space="preserve">21000.018926/2021-64</t>
  </si>
  <si>
    <t xml:space="preserve">Nicosulfuron Técnico NAB</t>
  </si>
  <si>
    <t xml:space="preserve">TC18621</t>
  </si>
  <si>
    <t xml:space="preserve">21000.006476/2014-38</t>
  </si>
  <si>
    <t xml:space="preserve">Clorimurom-Etílico Técnico Consagro</t>
  </si>
  <si>
    <t xml:space="preserve">Clorimuron</t>
  </si>
  <si>
    <t xml:space="preserve">TC18721</t>
  </si>
  <si>
    <t xml:space="preserve">21000.009457/2017-14</t>
  </si>
  <si>
    <t xml:space="preserve">Metoxifenozida Técnico UPL</t>
  </si>
  <si>
    <t xml:space="preserve">TC18821</t>
  </si>
  <si>
    <t xml:space="preserve">21000.031169/2019-08</t>
  </si>
  <si>
    <t xml:space="preserve">Diafentiurom Técnico CCAB II</t>
  </si>
  <si>
    <t xml:space="preserve">TC18921</t>
  </si>
  <si>
    <t xml:space="preserve">21000.047184/2017-06</t>
  </si>
  <si>
    <t xml:space="preserve">Flutriafol Técnico Ouro Fino</t>
  </si>
  <si>
    <t xml:space="preserve">Ouro FIno</t>
  </si>
  <si>
    <t xml:space="preserve">TC19021</t>
  </si>
  <si>
    <t xml:space="preserve">21000.062632/2016-11</t>
  </si>
  <si>
    <t xml:space="preserve">Revysol Técnico</t>
  </si>
  <si>
    <t xml:space="preserve">TC19121</t>
  </si>
  <si>
    <t xml:space="preserve">21000.007231/2014-28</t>
  </si>
  <si>
    <t xml:space="preserve">Sulfometuron Metil Técnico Nortox</t>
  </si>
  <si>
    <t xml:space="preserve">21000.007002/2016-75</t>
  </si>
  <si>
    <t xml:space="preserve">Clomazone CCAB 500 EC II</t>
  </si>
  <si>
    <t xml:space="preserve">21000.010846/2011-99</t>
  </si>
  <si>
    <t xml:space="preserve">Difluben 240 SC</t>
  </si>
  <si>
    <t xml:space="preserve">21000.033427/2017-11</t>
  </si>
  <si>
    <t xml:space="preserve">Livenko 500 SC</t>
  </si>
  <si>
    <t xml:space="preserve">21000.008001/2014-86</t>
  </si>
  <si>
    <t xml:space="preserve">Adengo</t>
  </si>
  <si>
    <t xml:space="preserve">Tiencarbazona; Isoxaflutol</t>
  </si>
  <si>
    <t xml:space="preserve">Stockton-Agrimor</t>
  </si>
  <si>
    <t xml:space="preserve">21000.004633/2014-71</t>
  </si>
  <si>
    <t xml:space="preserve">Atrazina 250 + Simazina 250 SC CCAB​</t>
  </si>
  <si>
    <t xml:space="preserve">Atrazina; Simazina </t>
  </si>
  <si>
    <t xml:space="preserve">21000.020432/2018-44</t>
  </si>
  <si>
    <t xml:space="preserve">Clorotalonil Nortox</t>
  </si>
  <si>
    <t xml:space="preserve">21000.012444/2010-48</t>
  </si>
  <si>
    <t xml:space="preserve">	Kasuran</t>
  </si>
  <si>
    <t xml:space="preserve">Kasugamicina; Oxicloreto de Cobre </t>
  </si>
  <si>
    <t xml:space="preserve">21000.004596/2018-24</t>
  </si>
  <si>
    <t xml:space="preserve">	Herbimax 806 SL</t>
  </si>
  <si>
    <t xml:space="preserve">21000.054241/2018-86</t>
  </si>
  <si>
    <t xml:space="preserve">Eliminate</t>
  </si>
  <si>
    <t xml:space="preserve">21000.000984/2014-11</t>
  </si>
  <si>
    <t xml:space="preserve">Celebre</t>
  </si>
  <si>
    <t xml:space="preserve">Metomil </t>
  </si>
  <si>
    <t xml:space="preserve">21000.001144/2014-67</t>
  </si>
  <si>
    <t xml:space="preserve">Nortox Maximus</t>
  </si>
  <si>
    <t xml:space="preserve"> Clorimurom-Etílico; Glifosato​, Sal de Amônio</t>
  </si>
  <si>
    <t xml:space="preserve">21000.002228/2014-18</t>
  </si>
  <si>
    <t xml:space="preserve"> Weedoff</t>
  </si>
  <si>
    <t xml:space="preserve">21000.004381/2013-07</t>
  </si>
  <si>
    <t xml:space="preserve">Hugecane</t>
  </si>
  <si>
    <t xml:space="preserve">Diurom; Hexazinona</t>
  </si>
  <si>
    <t xml:space="preserve">21000.005314/2013-00</t>
  </si>
  <si>
    <t xml:space="preserve">Nicosulfuron STK 40 SC</t>
  </si>
  <si>
    <t xml:space="preserve">21000.008018/2013-52</t>
  </si>
  <si>
    <t xml:space="preserve">Ganis 400 SC</t>
  </si>
  <si>
    <t xml:space="preserve">21000.009075/2013-59</t>
  </si>
  <si>
    <t xml:space="preserve">Albatross WG</t>
  </si>
  <si>
    <t xml:space="preserve">21000.009799/2013-01</t>
  </si>
  <si>
    <t xml:space="preserve">Trop Supra</t>
  </si>
  <si>
    <t xml:space="preserve">21000.010312/2013-24</t>
  </si>
  <si>
    <t xml:space="preserve">Banjo SC</t>
  </si>
  <si>
    <t xml:space="preserve">21000.012985/2016-61</t>
  </si>
  <si>
    <t xml:space="preserve">Emzeb Platina</t>
  </si>
  <si>
    <t xml:space="preserve">21000.018118/2019-82</t>
  </si>
  <si>
    <t xml:space="preserve">Baculomip-SF</t>
  </si>
  <si>
    <t xml:space="preserve">Spodoptera frugiperda multiple nucleopolyhedrovirus </t>
  </si>
  <si>
    <t xml:space="preserve">Promip</t>
  </si>
  <si>
    <t xml:space="preserve">21000.018926/2019-40</t>
  </si>
  <si>
    <t xml:space="preserve">Cletodim Nortox 240 EC</t>
  </si>
  <si>
    <t xml:space="preserve">21000.038700/2018-84</t>
  </si>
  <si>
    <t xml:space="preserve">Devamectin 18 EC</t>
  </si>
  <si>
    <t xml:space="preserve">21000.039791/2018-75</t>
  </si>
  <si>
    <t xml:space="preserve"> Maxclom 500 EC</t>
  </si>
  <si>
    <t xml:space="preserve">21000.042940/2018-83</t>
  </si>
  <si>
    <t xml:space="preserve">Garant</t>
  </si>
  <si>
    <t xml:space="preserve">Hidróxido de Cobre</t>
  </si>
  <si>
    <t xml:space="preserve">Mitsui &amp; Co.</t>
  </si>
  <si>
    <t xml:space="preserve">21000.044147/2019-08</t>
  </si>
  <si>
    <t xml:space="preserve">Kantor 1000 EC</t>
  </si>
  <si>
    <t xml:space="preserve">21000.002099/2014-68</t>
  </si>
  <si>
    <t xml:space="preserve">Azoxystrobin 250 SC Proventis</t>
  </si>
  <si>
    <t xml:space="preserve">Proventis </t>
  </si>
  <si>
    <t xml:space="preserve">21000.009245/2016-48</t>
  </si>
  <si>
    <t xml:space="preserve">Cletodim 240 EC Proventis</t>
  </si>
  <si>
    <t xml:space="preserve">21000.040832/2020-91</t>
  </si>
  <si>
    <t xml:space="preserve"> Bettus Org</t>
  </si>
  <si>
    <t xml:space="preserve">Nooa Ciência</t>
  </si>
  <si>
    <t xml:space="preserve">21000.008080/2018-59</t>
  </si>
  <si>
    <t xml:space="preserve">Glufosinato 200 SL OF</t>
  </si>
  <si>
    <t xml:space="preserve">21000.044804/2020-42</t>
  </si>
  <si>
    <t xml:space="preserve">Metarhizium SR</t>
  </si>
  <si>
    <t xml:space="preserve">Oligos Biotecnologia</t>
  </si>
  <si>
    <t xml:space="preserve">21000.048339/2020-19</t>
  </si>
  <si>
    <t xml:space="preserve">Rudder</t>
  </si>
  <si>
    <t xml:space="preserve">21000.049029/2020-11</t>
  </si>
  <si>
    <t xml:space="preserve">Bionema</t>
  </si>
  <si>
    <t xml:space="preserve">21000.049307/2020-31</t>
  </si>
  <si>
    <t xml:space="preserve">Btkill JCO</t>
  </si>
  <si>
    <r>
      <rPr>
        <sz val="11"/>
        <color rgb="FF000066"/>
        <rFont val="Arial"/>
        <family val="2"/>
        <charset val="1"/>
      </rPr>
      <t xml:space="preserve">Bacillus thuringiensis</t>
    </r>
    <r>
      <rPr>
        <sz val="12"/>
        <color rgb="FF000000"/>
        <rFont val="Calibri"/>
        <family val="2"/>
        <charset val="1"/>
      </rPr>
      <t xml:space="preserve"> </t>
    </r>
  </si>
  <si>
    <t xml:space="preserve"> JCO</t>
  </si>
  <si>
    <t xml:space="preserve">21000.076596/2019-15</t>
  </si>
  <si>
    <t xml:space="preserve">Metha Protection</t>
  </si>
  <si>
    <t xml:space="preserve">21000.001285/2011-37</t>
  </si>
  <si>
    <t xml:space="preserve">Dumper</t>
  </si>
  <si>
    <t xml:space="preserve">21000.005237/2019-75</t>
  </si>
  <si>
    <t xml:space="preserve">Glifosato 720 Wg Tecnomyl</t>
  </si>
  <si>
    <t xml:space="preserve">21000.000307/2010-61</t>
  </si>
  <si>
    <t xml:space="preserve">Atrazina Alta 500 SC</t>
  </si>
  <si>
    <t xml:space="preserve">21000.008082/2018-48</t>
  </si>
  <si>
    <t xml:space="preserve">Glufosinato 200 SL Ouro Fino</t>
  </si>
  <si>
    <t xml:space="preserve">21000.015875/2018-13</t>
  </si>
  <si>
    <t xml:space="preserve">Noster</t>
  </si>
  <si>
    <t xml:space="preserve">21000.017731/2019-82</t>
  </si>
  <si>
    <t xml:space="preserve">Augory</t>
  </si>
  <si>
    <t xml:space="preserve">21000.019908/2018-02</t>
  </si>
  <si>
    <t xml:space="preserve">Nexton</t>
  </si>
  <si>
    <t xml:space="preserve">21000.019909/2018-49</t>
  </si>
  <si>
    <t xml:space="preserve">Haloxifop-Metílico 124,7 EC Tecnomyl II</t>
  </si>
  <si>
    <t xml:space="preserve">Haloxifop-p-metílico</t>
  </si>
  <si>
    <t xml:space="preserve">21000.038711/2018-64</t>
  </si>
  <si>
    <t xml:space="preserve">Promitor 480 EC</t>
  </si>
  <si>
    <t xml:space="preserve">21000.045180/2018-66</t>
  </si>
  <si>
    <t xml:space="preserve">Poquer EC BR</t>
  </si>
  <si>
    <t xml:space="preserve">21000.052030/2018-17</t>
  </si>
  <si>
    <t xml:space="preserve">Legion</t>
  </si>
  <si>
    <t xml:space="preserve">Fenitrotiona; Esfenvalerato</t>
  </si>
  <si>
    <t xml:space="preserve">21000.052287/2020-85</t>
  </si>
  <si>
    <t xml:space="preserve">BTP 005-19</t>
  </si>
  <si>
    <t xml:space="preserve">Bacillus pumilus</t>
  </si>
  <si>
    <t xml:space="preserve">21000.053099/2020-74</t>
  </si>
  <si>
    <t xml:space="preserve">Bioup</t>
  </si>
  <si>
    <t xml:space="preserve">21000.055689/2018-17</t>
  </si>
  <si>
    <t xml:space="preserve">Curanza</t>
  </si>
  <si>
    <t xml:space="preserve">21000.061392/2020-13</t>
  </si>
  <si>
    <t xml:space="preserve">Jb Tel-P</t>
  </si>
  <si>
    <t xml:space="preserve">21000.010973/2008-92</t>
  </si>
  <si>
    <t xml:space="preserve">Ridomil Gold MZ 680 WG</t>
  </si>
  <si>
    <t xml:space="preserve">Mancozebe; Metalaxil-M </t>
  </si>
  <si>
    <t xml:space="preserve">21000.002770/2012-17</t>
  </si>
  <si>
    <t xml:space="preserve">Zack</t>
  </si>
  <si>
    <t xml:space="preserve">2,4-D; Picloram </t>
  </si>
  <si>
    <t xml:space="preserve">21000.002804/2015-16</t>
  </si>
  <si>
    <t xml:space="preserve"> Abamectina 72 EC Cropchem</t>
  </si>
  <si>
    <t xml:space="preserve">21000.005824/2013-79</t>
  </si>
  <si>
    <t xml:space="preserve">Sinochem Fluazinam 500 SC</t>
  </si>
  <si>
    <t xml:space="preserve">21000.006521/2018-88</t>
  </si>
  <si>
    <t xml:space="preserve">Atrazina 900 WG Crop</t>
  </si>
  <si>
    <t xml:space="preserve"> Atrazina </t>
  </si>
  <si>
    <t xml:space="preserve"> ProRegistros</t>
  </si>
  <si>
    <t xml:space="preserve">21000.008190/2013-14</t>
  </si>
  <si>
    <t xml:space="preserve">Soyatop</t>
  </si>
  <si>
    <t xml:space="preserve">21000.019537/2016-99</t>
  </si>
  <si>
    <t xml:space="preserve">Wonder</t>
  </si>
  <si>
    <t xml:space="preserve">21000.019541/2016-57</t>
  </si>
  <si>
    <t xml:space="preserve">Cative</t>
  </si>
  <si>
    <t xml:space="preserve">21000.025806/2016-56</t>
  </si>
  <si>
    <t xml:space="preserve">Triclopir Nortox</t>
  </si>
  <si>
    <t xml:space="preserve">21000.037344/2016-10</t>
  </si>
  <si>
    <t xml:space="preserve">Voleo</t>
  </si>
  <si>
    <t xml:space="preserve">Trifloxissulfurom-sódico</t>
  </si>
  <si>
    <t xml:space="preserve">21000.066489/2020-12</t>
  </si>
  <si>
    <t xml:space="preserve">Fal1780-2</t>
  </si>
  <si>
    <t xml:space="preserve">Cinetina; Ácido Giberélico; Ácido 4-Indol-3-Ilbutírico</t>
  </si>
  <si>
    <t xml:space="preserve"> De Sangosse</t>
  </si>
  <si>
    <t xml:space="preserve">21000.001964/2014-59</t>
  </si>
  <si>
    <t xml:space="preserve">Prilan 250 SC</t>
  </si>
  <si>
    <t xml:space="preserve">21000.005976/2018-86</t>
  </si>
  <si>
    <t xml:space="preserve">Proclaim Fit 45 WG</t>
  </si>
  <si>
    <t xml:space="preserve">21000.039718/2018-01</t>
  </si>
  <si>
    <t xml:space="preserve">Horos BR</t>
  </si>
  <si>
    <t xml:space="preserve">21000.000139/2018-61</t>
  </si>
  <si>
    <t xml:space="preserve">Kingstar Xtra </t>
  </si>
  <si>
    <t xml:space="preserve">21000.029240/2017-12</t>
  </si>
  <si>
    <t xml:space="preserve">Atrazina 900 WG Fersol</t>
  </si>
  <si>
    <t xml:space="preserve"> Atrazina</t>
  </si>
  <si>
    <t xml:space="preserve"> Ameribrás</t>
  </si>
  <si>
    <t xml:space="preserve">21000.067136/2020-21</t>
  </si>
  <si>
    <t xml:space="preserve">Biogalloi</t>
  </si>
  <si>
    <t xml:space="preserve">Trichogramma galloi  </t>
  </si>
  <si>
    <t xml:space="preserve">21000.077164/2020-57</t>
  </si>
  <si>
    <t xml:space="preserve"> Amitrix SC</t>
  </si>
  <si>
    <t xml:space="preserve">Bacillus amyloliquefaciens</t>
  </si>
  <si>
    <t xml:space="preserve">21000.001088/2013-80</t>
  </si>
  <si>
    <t xml:space="preserve">Fipronil Eds 250 FS </t>
  </si>
  <si>
    <t xml:space="preserve">Fipronil  </t>
  </si>
  <si>
    <t xml:space="preserve">21000.006543/2016-86</t>
  </si>
  <si>
    <t xml:space="preserve">Sequest​</t>
  </si>
  <si>
    <t xml:space="preserve">21000.010395/2012-71</t>
  </si>
  <si>
    <t xml:space="preserve">Diflubenzuron CCAB 480 SC </t>
  </si>
  <si>
    <t xml:space="preserve">21000.010401/2013-71</t>
  </si>
  <si>
    <t xml:space="preserve">Asafat 750 SP</t>
  </si>
  <si>
    <t xml:space="preserve">21000.025258/2020-41</t>
  </si>
  <si>
    <t xml:space="preserve">Ingrain</t>
  </si>
  <si>
    <t xml:space="preserve">Ácido Abscísico</t>
  </si>
  <si>
    <t xml:space="preserve">21000.066502/2020-25</t>
  </si>
  <si>
    <t xml:space="preserve">Revel</t>
  </si>
  <si>
    <t xml:space="preserve">21000.066143/2020-14</t>
  </si>
  <si>
    <t xml:space="preserve">Baculonat Sf</t>
  </si>
  <si>
    <t xml:space="preserve">Spodoptera frugiperda multiple nucleopolyhedrovirus</t>
  </si>
  <si>
    <t xml:space="preserve">21000.069895/2019-95</t>
  </si>
  <si>
    <t xml:space="preserve">New Elatus 1 </t>
  </si>
  <si>
    <t xml:space="preserve">Benzovindiflupir; Ciproconazol; Difenoconazol</t>
  </si>
  <si>
    <t xml:space="preserve">21000.068107/2019-43</t>
  </si>
  <si>
    <t xml:space="preserve">Mitrion</t>
  </si>
  <si>
    <t xml:space="preserve"> Benzovindiflupir; Protioconazol </t>
  </si>
  <si>
    <t xml:space="preserve">21000.062849/2020-07</t>
  </si>
  <si>
    <t xml:space="preserve">Eco-Zone</t>
  </si>
  <si>
    <t xml:space="preserve">Bacillus thuringiensis var. aizawai  </t>
  </si>
  <si>
    <t xml:space="preserve">21000.058626/2020-37</t>
  </si>
  <si>
    <t xml:space="preserve">Spodovir </t>
  </si>
  <si>
    <t xml:space="preserve">21000.048711/2020-97</t>
  </si>
  <si>
    <t xml:space="preserve">Keepdry Org </t>
  </si>
  <si>
    <t xml:space="preserve">Terra Diatomácea  </t>
  </si>
  <si>
    <t xml:space="preserve">Irrigação Dias</t>
  </si>
  <si>
    <t xml:space="preserve">21000.055858/2018-19</t>
  </si>
  <si>
    <t xml:space="preserve">Hipertrina  </t>
  </si>
  <si>
    <t xml:space="preserve">21000.036050/2020-57</t>
  </si>
  <si>
    <t xml:space="preserve"> Ataplan </t>
  </si>
  <si>
    <t xml:space="preserve">Bacillus velezensis; Bacillus subtilis </t>
  </si>
  <si>
    <t xml:space="preserve">21000.031997/2019-38</t>
  </si>
  <si>
    <t xml:space="preserve">Iscalure Bw 60</t>
  </si>
  <si>
    <t xml:space="preserve">Grandlure</t>
  </si>
  <si>
    <t xml:space="preserve">Isca Tecnologias </t>
  </si>
  <si>
    <t xml:space="preserve">21000.013931/2018-85</t>
  </si>
  <si>
    <t xml:space="preserve">Atrazina 500 SC CCAB</t>
  </si>
  <si>
    <t xml:space="preserve">21000.011670/2011-92</t>
  </si>
  <si>
    <t xml:space="preserve">Linear</t>
  </si>
  <si>
    <t xml:space="preserve">Aminopiralide; 2,4-D</t>
  </si>
  <si>
    <t xml:space="preserve">21000.006434/2014-05</t>
  </si>
  <si>
    <t xml:space="preserve">Izogor </t>
  </si>
  <si>
    <t xml:space="preserve">21000.031527/2020-16</t>
  </si>
  <si>
    <t xml:space="preserve">Boven </t>
  </si>
  <si>
    <t xml:space="preserve">Beauveria bassiana </t>
  </si>
  <si>
    <t xml:space="preserve">21000.008578/2015-79</t>
  </si>
  <si>
    <t xml:space="preserve">Panzer Max 750 WG</t>
  </si>
  <si>
    <t xml:space="preserve">Clorimurom-Etílico</t>
  </si>
  <si>
    <t xml:space="preserve">21000.030750/2019-02</t>
  </si>
  <si>
    <t xml:space="preserve">Brazeb 800 WP</t>
  </si>
  <si>
    <t xml:space="preserve">21000.001016/2014-13</t>
  </si>
  <si>
    <t xml:space="preserve"> Adobe 450 FS</t>
  </si>
  <si>
    <t xml:space="preserve"> Ipconazol </t>
  </si>
  <si>
    <t xml:space="preserve">21000.003979/2015-32</t>
  </si>
  <si>
    <t xml:space="preserve">Distintobr </t>
  </si>
  <si>
    <t xml:space="preserve">21000.054289/2020-17</t>
  </si>
  <si>
    <t xml:space="preserve">Biobac-T </t>
  </si>
  <si>
    <t xml:space="preserve">Vital Brasil</t>
  </si>
  <si>
    <t xml:space="preserve">21000.075531/2020-88</t>
  </si>
  <si>
    <t xml:space="preserve">Ltb-001</t>
  </si>
  <si>
    <t xml:space="preserve">Cinetina; Ácido 4-Indol-3-Ilbutírico</t>
  </si>
  <si>
    <t xml:space="preserve">21000.076426/2020-66</t>
  </si>
  <si>
    <t xml:space="preserve">Ltb-001a </t>
  </si>
  <si>
    <t xml:space="preserve">21016.003037/2020-42</t>
  </si>
  <si>
    <t xml:space="preserve">Nematrop</t>
  </si>
  <si>
    <t xml:space="preserve">Bacillus subtilis</t>
  </si>
  <si>
    <t xml:space="preserve">Biotrip</t>
  </si>
  <si>
    <t xml:space="preserve">21000.048254/2016-54</t>
  </si>
  <si>
    <t xml:space="preserve">Mauser 500 SC</t>
  </si>
  <si>
    <t xml:space="preserve">21000.013729/2020-78</t>
  </si>
  <si>
    <t xml:space="preserve">Shadow K</t>
  </si>
  <si>
    <t xml:space="preserve">21000.010804/2012-39</t>
  </si>
  <si>
    <r>
      <rPr>
        <sz val="11"/>
        <color rgb="FF000066"/>
        <rFont val="Arial"/>
        <family val="2"/>
        <charset val="1"/>
      </rPr>
      <t xml:space="preserve">Diuron 468 Hexazinona 132 CCAB WG</t>
    </r>
    <r>
      <rPr>
        <sz val="12"/>
        <color rgb="FF000000"/>
        <rFont val="Calibri"/>
        <family val="2"/>
        <charset val="1"/>
      </rPr>
      <t xml:space="preserve"> </t>
    </r>
  </si>
  <si>
    <t xml:space="preserve">Diurom; Hexazinona</t>
  </si>
  <si>
    <t xml:space="preserve">21000.007408/2014-96</t>
  </si>
  <si>
    <t xml:space="preserve">Procampo 500 SC</t>
  </si>
  <si>
    <t xml:space="preserve">Carbendazim  </t>
  </si>
  <si>
    <t xml:space="preserve">21000.079045/2020-39</t>
  </si>
  <si>
    <t xml:space="preserve">Flycontrol WP</t>
  </si>
  <si>
    <t xml:space="preserve">21000.035386/2018-88</t>
  </si>
  <si>
    <t xml:space="preserve">Rapid Gold</t>
  </si>
  <si>
    <t xml:space="preserve">Mancozebe; Cimoxamil</t>
  </si>
  <si>
    <t xml:space="preserve">21000.035381/2018-55</t>
  </si>
  <si>
    <t xml:space="preserve">Dosay</t>
  </si>
  <si>
    <t xml:space="preserve">21000.027914/2018-25</t>
  </si>
  <si>
    <t xml:space="preserve">Difenoconazol Ccab 250 EC</t>
  </si>
  <si>
    <t xml:space="preserve"> Difenoconazole</t>
  </si>
  <si>
    <t xml:space="preserve">21000.023123/2016-64</t>
  </si>
  <si>
    <t xml:space="preserve">Enlist Crops Colex-D</t>
  </si>
  <si>
    <t xml:space="preserve">2,4-D, Sal de Colina</t>
  </si>
  <si>
    <t xml:space="preserve">21000.008107/2015-61</t>
  </si>
  <si>
    <t xml:space="preserve"> Lanex 800 WG</t>
  </si>
  <si>
    <t xml:space="preserve">21000.005602/2014-37</t>
  </si>
  <si>
    <t xml:space="preserve">Versátilbr</t>
  </si>
  <si>
    <t xml:space="preserve">Azoxistrobina  </t>
  </si>
  <si>
    <t xml:space="preserve">21000.001390/2013-38</t>
  </si>
  <si>
    <t xml:space="preserve">Fipronil Zei 250 FS</t>
  </si>
  <si>
    <t xml:space="preserve"> AllierBrasil </t>
  </si>
  <si>
    <t xml:space="preserve">21000.082612/2020-34</t>
  </si>
  <si>
    <t xml:space="preserve">Mng03/14  </t>
  </si>
  <si>
    <t xml:space="preserve">Trichoderma asperellum</t>
  </si>
  <si>
    <t xml:space="preserve">Agrobiológica </t>
  </si>
  <si>
    <t xml:space="preserve">21000.007613/2014-51</t>
  </si>
  <si>
    <t xml:space="preserve">Azoxistrobina Atanor 250 SC</t>
  </si>
  <si>
    <t xml:space="preserve">21000.004096/2015-40</t>
  </si>
  <si>
    <t xml:space="preserve">Empiric</t>
  </si>
  <si>
    <t xml:space="preserve">21000.000284/2015-07</t>
  </si>
  <si>
    <t xml:space="preserve">Fipronil Nortox Max </t>
  </si>
  <si>
    <t xml:space="preserve">21000.000566/2015-04</t>
  </si>
  <si>
    <t xml:space="preserve">Azoxystrobin 250 Sc Pls Cl1</t>
  </si>
  <si>
    <t xml:space="preserve">21000.002562/2014-71</t>
  </si>
  <si>
    <t xml:space="preserve"> Bevorin </t>
  </si>
  <si>
    <t xml:space="preserve">Alfa-cipermetrina; Fipronil; Piraclostrobina    </t>
  </si>
  <si>
    <t xml:space="preserve">21000.006614/2013-06</t>
  </si>
  <si>
    <r>
      <rPr>
        <sz val="11"/>
        <color rgb="FF000066"/>
        <rFont val="Arial"/>
        <family val="2"/>
        <charset val="1"/>
      </rPr>
      <t xml:space="preserve">Glory</t>
    </r>
    <r>
      <rPr>
        <sz val="12"/>
        <color rgb="FF000000"/>
        <rFont val="Calibri"/>
        <family val="2"/>
        <charset val="1"/>
      </rPr>
      <t xml:space="preserve"> </t>
    </r>
    <r>
      <rPr>
        <b val="true"/>
        <sz val="12"/>
        <color rgb="FF000000"/>
        <rFont val="Calibri"/>
        <family val="2"/>
        <charset val="1"/>
      </rPr>
      <t xml:space="preserve"> </t>
    </r>
  </si>
  <si>
    <t xml:space="preserve">Haloxifope-p-metílico</t>
  </si>
  <si>
    <t xml:space="preserve">21000.010768/2012-11</t>
  </si>
  <si>
    <t xml:space="preserve">Hexazinona 132 + Diurom 468 WG Genbra</t>
  </si>
  <si>
    <t xml:space="preserve">Hexazinona; Diurom</t>
  </si>
  <si>
    <t xml:space="preserve">21000.029442/2018-45</t>
  </si>
  <si>
    <t xml:space="preserve">Cadet</t>
  </si>
  <si>
    <t xml:space="preserve">21000.018809/2016-33</t>
  </si>
  <si>
    <t xml:space="preserve">Kolyna</t>
  </si>
  <si>
    <t xml:space="preserve">21000.001196/2011-91</t>
  </si>
  <si>
    <t xml:space="preserve">Tronador</t>
  </si>
  <si>
    <t xml:space="preserve">Aminopiralide, Sal Triisopropanolamina; 2,4-D, Sal Triisopropanolamina</t>
  </si>
  <si>
    <t xml:space="preserve">Dow Agrosciences</t>
  </si>
  <si>
    <t xml:space="preserve">21000.003823/2013-90</t>
  </si>
  <si>
    <t xml:space="preserve"> Fipronil Eds 800 WG</t>
  </si>
  <si>
    <t xml:space="preserve">21000.001124/2013-13</t>
  </si>
  <si>
    <t xml:space="preserve">Fipronil Brt 250 FS</t>
  </si>
  <si>
    <t xml:space="preserve">21000.002871/2013-61</t>
  </si>
  <si>
    <t xml:space="preserve">Fipronil Nag 800 WG</t>
  </si>
  <si>
    <t xml:space="preserve">21000.063586/2020-45</t>
  </si>
  <si>
    <t xml:space="preserve">Botanigard WP</t>
  </si>
  <si>
    <t xml:space="preserve">Beauveria bassiana, cepa GHA</t>
  </si>
  <si>
    <t xml:space="preserve">21000.017815/2018-35</t>
  </si>
  <si>
    <t xml:space="preserve">Bt-Turbo</t>
  </si>
  <si>
    <t xml:space="preserve">Biovalens</t>
  </si>
  <si>
    <t xml:space="preserve">21000.010870/2012-17</t>
  </si>
  <si>
    <t xml:space="preserve">Glifosato Nortox Ultra</t>
  </si>
  <si>
    <t xml:space="preserve">21000.008228/2021-51</t>
  </si>
  <si>
    <t xml:space="preserve">Laphy Protection</t>
  </si>
  <si>
    <t xml:space="preserve">21000.006959/2013-51</t>
  </si>
  <si>
    <t xml:space="preserve">Azoxistrobin 200 Ciproconazole 80 CCAB SC</t>
  </si>
  <si>
    <t xml:space="preserve"> Azoxistrobina; Ciproconazol</t>
  </si>
  <si>
    <t xml:space="preserve">21000.006199/2014-63</t>
  </si>
  <si>
    <t xml:space="preserve">Nadran 250</t>
  </si>
  <si>
    <t xml:space="preserve">Luxembourg</t>
  </si>
  <si>
    <t xml:space="preserve">21000.004288/2011-22</t>
  </si>
  <si>
    <t xml:space="preserve">Glifoxin WG</t>
  </si>
  <si>
    <t xml:space="preserve">Glifosato, Sal de amônio</t>
  </si>
  <si>
    <t xml:space="preserve">21000.001335/2014-29</t>
  </si>
  <si>
    <t xml:space="preserve">Adexar</t>
  </si>
  <si>
    <t xml:space="preserve">Fluxapiroxade; Epoxiconazol</t>
  </si>
  <si>
    <t xml:space="preserve">21000.002840/2021-10</t>
  </si>
  <si>
    <t xml:space="preserve">Tbio</t>
  </si>
  <si>
    <t xml:space="preserve">Beauveria bassiana; Metarhizium anisopliae </t>
  </si>
  <si>
    <t xml:space="preserve">21000.083035/2020-06</t>
  </si>
  <si>
    <t xml:space="preserve">Loopovir</t>
  </si>
  <si>
    <t xml:space="preserve">Chrysodeixis includens nucleopolyhedrovirus</t>
  </si>
  <si>
    <t xml:space="preserve">21000.017341/2018-21</t>
  </si>
  <si>
    <t xml:space="preserve">Isoxaflutole 750 WG BR</t>
  </si>
  <si>
    <t xml:space="preserve">21000.015781/2019-25</t>
  </si>
  <si>
    <t xml:space="preserve">Bastnate Xtra</t>
  </si>
  <si>
    <t xml:space="preserve">21000.013984/2016-34</t>
  </si>
  <si>
    <t xml:space="preserve">Cletodim 240 EC Pls Cl1</t>
  </si>
  <si>
    <t xml:space="preserve">21000.005916/2015-11</t>
  </si>
  <si>
    <t xml:space="preserve">Lambda-Cialotrina 50 CS</t>
  </si>
  <si>
    <t xml:space="preserve">21000.003313/2013-12</t>
  </si>
  <si>
    <t xml:space="preserve">Bingo 250 FS</t>
  </si>
  <si>
    <t xml:space="preserve">21000.001415/2015-65</t>
  </si>
  <si>
    <t xml:space="preserve">Glifosato 720 WG Atanor</t>
  </si>
  <si>
    <t xml:space="preserve">21000.001403/2014-50</t>
  </si>
  <si>
    <t xml:space="preserve">Trop Milenia</t>
  </si>
  <si>
    <t xml:space="preserve">21000.000902/2014-20</t>
  </si>
  <si>
    <t xml:space="preserve"> Avanti</t>
  </si>
  <si>
    <t xml:space="preserve">21000.000109/2014-21</t>
  </si>
  <si>
    <t xml:space="preserve">Weedfire</t>
  </si>
  <si>
    <t xml:space="preserve"> Fluroxipir-Meptílico</t>
  </si>
  <si>
    <t xml:space="preserve">21000.038935/2018-76</t>
  </si>
  <si>
    <t xml:space="preserve">Glufosinate-Ammonium Yng  </t>
  </si>
  <si>
    <t xml:space="preserve">Glufosinato-sal de amônio  </t>
  </si>
  <si>
    <t xml:space="preserve"> Yonon</t>
  </si>
  <si>
    <t xml:space="preserve">21000.002561/2014-27</t>
  </si>
  <si>
    <t xml:space="preserve">Rentap</t>
  </si>
  <si>
    <t xml:space="preserve">Fipronil; Alfa-cipermetrina; Piraclostrobina</t>
  </si>
  <si>
    <t xml:space="preserve">21000.006398/2014-71</t>
  </si>
  <si>
    <t xml:space="preserve">Phenom</t>
  </si>
  <si>
    <t xml:space="preserve">21000.006548/2014-47</t>
  </si>
  <si>
    <t xml:space="preserve">Instal 250 FS</t>
  </si>
  <si>
    <t xml:space="preserve">21000.006662/2014-77</t>
  </si>
  <si>
    <t xml:space="preserve"> Maratona 250 FS</t>
  </si>
  <si>
    <t xml:space="preserve">21000.008460/2014-60</t>
  </si>
  <si>
    <t xml:space="preserve">Saurus WG</t>
  </si>
  <si>
    <t xml:space="preserve">21000.010054/2013-86</t>
  </si>
  <si>
    <t xml:space="preserve">Scirocco</t>
  </si>
  <si>
    <t xml:space="preserve">21000.017340/2018-87</t>
  </si>
  <si>
    <t xml:space="preserve">Blexis</t>
  </si>
  <si>
    <t xml:space="preserve">21000.028339/2017-05</t>
  </si>
  <si>
    <t xml:space="preserve">Ametrina CCAB 800 WG</t>
  </si>
  <si>
    <t xml:space="preserve">21000.028341/2017-76</t>
  </si>
  <si>
    <t xml:space="preserve">Sultão</t>
  </si>
  <si>
    <t xml:space="preserve">21000.028342/2017-11</t>
  </si>
  <si>
    <t xml:space="preserve">Ameforce</t>
  </si>
  <si>
    <t xml:space="preserve">21000.028344/2017-18</t>
  </si>
  <si>
    <t xml:space="preserve">Ametrina 800 WG CHDS</t>
  </si>
  <si>
    <t xml:space="preserve">21000.035382/2018-08</t>
  </si>
  <si>
    <t xml:space="preserve"> Fen</t>
  </si>
  <si>
    <t xml:space="preserve">21000.054935/2017-32</t>
  </si>
  <si>
    <t xml:space="preserve">Cronnos OD BR</t>
  </si>
  <si>
    <t xml:space="preserve">Picoxistrobina; Tebuconazol; Mancozebe</t>
  </si>
  <si>
    <t xml:space="preserve"> Adama</t>
  </si>
  <si>
    <t xml:space="preserve">21000.004589/2013-18</t>
  </si>
  <si>
    <t xml:space="preserve">Glifosal Safe</t>
  </si>
  <si>
    <t xml:space="preserve">Glifosato -  Sal de isopropilamina </t>
  </si>
  <si>
    <t xml:space="preserve">21000.026127/2017-85</t>
  </si>
  <si>
    <t xml:space="preserve">Atrazina 900 Wg OF</t>
  </si>
  <si>
    <t xml:space="preserve">21000.005608/2013-23</t>
  </si>
  <si>
    <t xml:space="preserve">Lato</t>
  </si>
  <si>
    <t xml:space="preserve">Lactofem  </t>
  </si>
  <si>
    <t xml:space="preserve">Anulado</t>
  </si>
  <si>
    <t xml:space="preserve">21000.079654/2020-98</t>
  </si>
  <si>
    <t xml:space="preserve">Trichodermaiz WP</t>
  </si>
  <si>
    <t xml:space="preserve">Biocontrol</t>
  </si>
  <si>
    <t xml:space="preserve">21000.030122/2020-52</t>
  </si>
  <si>
    <t xml:space="preserve">Bassmax</t>
  </si>
  <si>
    <t xml:space="preserve"> Beauveria bassiana</t>
  </si>
  <si>
    <t xml:space="preserve">21000.030095/2020-18</t>
  </si>
  <si>
    <t xml:space="preserve">Bio-Bass</t>
  </si>
  <si>
    <t xml:space="preserve">21000.011751/2021-64</t>
  </si>
  <si>
    <t xml:space="preserve">Bemitrixwg</t>
  </si>
  <si>
    <t xml:space="preserve">21000.000295/2021-27</t>
  </si>
  <si>
    <t xml:space="preserve">Nat Beauveria</t>
  </si>
  <si>
    <t xml:space="preserve"> Beauveria bassiana</t>
  </si>
  <si>
    <t xml:space="preserve">Agropaulo</t>
  </si>
  <si>
    <t xml:space="preserve">21000.004653/2019-56</t>
  </si>
  <si>
    <t xml:space="preserve">Detonan</t>
  </si>
  <si>
    <t xml:space="preserve">Florpirauxifen-benzil</t>
  </si>
  <si>
    <t xml:space="preserve">21000.006053/2012-56</t>
  </si>
  <si>
    <t xml:space="preserve">Trilla Plus</t>
  </si>
  <si>
    <t xml:space="preserve">21000.006054/2012-09</t>
  </si>
  <si>
    <t xml:space="preserve">Rainburon Plus</t>
  </si>
  <si>
    <t xml:space="preserve">21000.008274/2014-21</t>
  </si>
  <si>
    <t xml:space="preserve">Vessarya Br</t>
  </si>
  <si>
    <t xml:space="preserve"> Picoxistrobina; Benzovindiflupir</t>
  </si>
  <si>
    <t xml:space="preserve">21000.012031/2021-16</t>
  </si>
  <si>
    <t xml:space="preserve">Metamix WG</t>
  </si>
  <si>
    <t xml:space="preserve">21000.008806/2014-20</t>
  </si>
  <si>
    <t xml:space="preserve">Zelone</t>
  </si>
  <si>
    <t xml:space="preserve">Imazetapir; Imazapique</t>
  </si>
  <si>
    <t xml:space="preserve">21000.002208/2014-47</t>
  </si>
  <si>
    <t xml:space="preserve">Shopra 970 WG</t>
  </si>
  <si>
    <t xml:space="preserve">21000.008285/2013-20</t>
  </si>
  <si>
    <t xml:space="preserve">Revanche</t>
  </si>
  <si>
    <t xml:space="preserve">  21000.002422/2013-12  </t>
  </si>
  <si>
    <t xml:space="preserve">Kamuy  </t>
  </si>
  <si>
    <t xml:space="preserve">Fenpirazamina; Procimidona   </t>
  </si>
  <si>
    <t xml:space="preserve"> Sumitomo </t>
  </si>
  <si>
    <t xml:space="preserve">21000.006023/2014-10</t>
  </si>
  <si>
    <t xml:space="preserve">Kenja</t>
  </si>
  <si>
    <t xml:space="preserve"> Isofetamida  </t>
  </si>
  <si>
    <t xml:space="preserve">21000.030928/2017-45</t>
  </si>
  <si>
    <t xml:space="preserve">Clorfenapir 240 SC Cropchem
</t>
  </si>
  <si>
    <t xml:space="preserve">21000.004040/2014-12</t>
  </si>
  <si>
    <t xml:space="preserve">Diuron CCAB 500 SC</t>
  </si>
  <si>
    <t xml:space="preserve">21000.002906/2015-23</t>
  </si>
  <si>
    <t xml:space="preserve"> Zelig</t>
  </si>
  <si>
    <t xml:space="preserve"> Clomazona</t>
  </si>
  <si>
    <t xml:space="preserve">21000.001621/2011-41</t>
  </si>
  <si>
    <t xml:space="preserve">Tebutiuron CCAB 500 SC</t>
  </si>
  <si>
    <t xml:space="preserve">21000.000670/2015-91</t>
  </si>
  <si>
    <t xml:space="preserve">Flexstar GT</t>
  </si>
  <si>
    <t xml:space="preserve">Fomesafem-Sódico; Glifosato, Sal de Di-amônio</t>
  </si>
  <si>
    <t xml:space="preserve">21000.083517/2020-58</t>
  </si>
  <si>
    <t xml:space="preserve">Minex-Neo</t>
  </si>
  <si>
    <t xml:space="preserve"> Neochrysocharis formosa</t>
  </si>
  <si>
    <t xml:space="preserve">21000.001647/2014-32</t>
  </si>
  <si>
    <t xml:space="preserve">Hexafort WG</t>
  </si>
  <si>
    <t xml:space="preserve"> UPL</t>
  </si>
  <si>
    <t xml:space="preserve">21000.004045/2014-37</t>
  </si>
  <si>
    <t xml:space="preserve">Tiofanato 500 SC Proventis</t>
  </si>
  <si>
    <t xml:space="preserve">21000.008418/2014-49</t>
  </si>
  <si>
    <t xml:space="preserve">Lot 500 SC</t>
  </si>
  <si>
    <t xml:space="preserve">21000.008613/2015-50</t>
  </si>
  <si>
    <t xml:space="preserve">Patrol BR SL</t>
  </si>
  <si>
    <t xml:space="preserve">21000.009724/2013-11</t>
  </si>
  <si>
    <t xml:space="preserve">Ankara 350 SC</t>
  </si>
  <si>
    <t xml:space="preserve">21000.010393/2011-09</t>
  </si>
  <si>
    <t xml:space="preserve">Flowsan FS</t>
  </si>
  <si>
    <t xml:space="preserve">Tiram</t>
  </si>
  <si>
    <t xml:space="preserve">Taminco </t>
  </si>
  <si>
    <t xml:space="preserve">21000.036314/2016-96</t>
  </si>
  <si>
    <t xml:space="preserve">Noweed Nortox</t>
  </si>
  <si>
    <t xml:space="preserve"> Fluroxipir-meptílico; Picloram</t>
  </si>
  <si>
    <t xml:space="preserve">21000.046617/2018-89</t>
  </si>
  <si>
    <t xml:space="preserve">Baikal</t>
  </si>
  <si>
    <t xml:space="preserve">21000.006554/2014-02</t>
  </si>
  <si>
    <t xml:space="preserve">Bellavi</t>
  </si>
  <si>
    <t xml:space="preserve">21000.006553/2014-50</t>
  </si>
  <si>
    <t xml:space="preserve">Cernis</t>
  </si>
  <si>
    <t xml:space="preserve">21000.051170/2020-84</t>
  </si>
  <si>
    <t xml:space="preserve">Pretio IN</t>
  </si>
  <si>
    <t xml:space="preserve">IN Soluções</t>
  </si>
  <si>
    <t xml:space="preserve">21000.083511/2020-81</t>
  </si>
  <si>
    <t xml:space="preserve">Barkmax</t>
  </si>
  <si>
    <t xml:space="preserve">Neoseiulus barkeri</t>
  </si>
  <si>
    <t xml:space="preserve">Topbio </t>
  </si>
  <si>
    <t xml:space="preserve">21016.002180/2021-06</t>
  </si>
  <si>
    <t xml:space="preserve">Bioscap Liq</t>
  </si>
  <si>
    <t xml:space="preserve">21000.080483/2019-14</t>
  </si>
  <si>
    <t xml:space="preserve">Baktillis</t>
  </si>
  <si>
    <t xml:space="preserve">21016.001419/2021-12</t>
  </si>
  <si>
    <t xml:space="preserve">Ecobals</t>
  </si>
  <si>
    <t xml:space="preserve">21000.002697/2014-37</t>
  </si>
  <si>
    <t xml:space="preserve">Simanex Supermix</t>
  </si>
  <si>
    <t xml:space="preserve">Simazina; Atrazina</t>
  </si>
  <si>
    <t xml:space="preserve">21000.002785/2014-39</t>
  </si>
  <si>
    <t xml:space="preserve">Protecta</t>
  </si>
  <si>
    <t xml:space="preserve">Abamectina; Ciantraniliprole</t>
  </si>
  <si>
    <t xml:space="preserve">21000.003215/2021-95</t>
  </si>
  <si>
    <t xml:space="preserve">Smartfresh Protabs</t>
  </si>
  <si>
    <t xml:space="preserve"> AgroFresh </t>
  </si>
  <si>
    <t xml:space="preserve">21000.007038/2014-97</t>
  </si>
  <si>
    <t xml:space="preserve">Seltima</t>
  </si>
  <si>
    <t xml:space="preserve">21016.001266/2021-11</t>
  </si>
  <si>
    <t xml:space="preserve">Ecobaci T</t>
  </si>
  <si>
    <t xml:space="preserve">21016.002876/2021-24</t>
  </si>
  <si>
    <t xml:space="preserve">Ecotetran</t>
  </si>
  <si>
    <t xml:space="preserve">21000.008090/2021-90</t>
  </si>
  <si>
    <t xml:space="preserve">Vir Protection C.I.</t>
  </si>
  <si>
    <t xml:space="preserve">Chrysodeixis includens multiple nucleopolyhedrovirus (ChinNPV) </t>
  </si>
  <si>
    <t xml:space="preserve">21000.002695/2014-48</t>
  </si>
  <si>
    <t xml:space="preserve">Gesazina Supermix</t>
  </si>
  <si>
    <t xml:space="preserve">21000.002397/2014-58</t>
  </si>
  <si>
    <t xml:space="preserve">Plesiva</t>
  </si>
  <si>
    <t xml:space="preserve">21000.029919/2020-15</t>
  </si>
  <si>
    <t xml:space="preserve">Isoxaflutol 750 WG Albaugh</t>
  </si>
  <si>
    <t xml:space="preserve">21000.014189/2021-21</t>
  </si>
  <si>
    <t xml:space="preserve">Telemip</t>
  </si>
  <si>
    <t xml:space="preserve">21000.082109/2020-89</t>
  </si>
  <si>
    <t xml:space="preserve">Looper Protection</t>
  </si>
  <si>
    <t xml:space="preserve">Chrysodeixis includens multiple nucleopolyhedrovirus (ChinMNPV)</t>
  </si>
  <si>
    <t xml:space="preserve">21000.003945/2013-86</t>
  </si>
  <si>
    <t xml:space="preserve">Bonanza</t>
  </si>
  <si>
    <t xml:space="preserve">21000.010139/2013-64</t>
  </si>
  <si>
    <t xml:space="preserve">Atrazina Atanor II</t>
  </si>
  <si>
    <t xml:space="preserve">21000.010138/2013-10</t>
  </si>
  <si>
    <t xml:space="preserve">2,4-D Atanor II</t>
  </si>
  <si>
    <t xml:space="preserve">21000.054747/2017-12</t>
  </si>
  <si>
    <t xml:space="preserve">Bazuka Duo</t>
  </si>
  <si>
    <t xml:space="preserve">Metomil; Bifentrina</t>
  </si>
  <si>
    <t xml:space="preserve">21000.000671/2015-35</t>
  </si>
  <si>
    <t xml:space="preserve">Yeti Gold</t>
  </si>
  <si>
    <t xml:space="preserve">21016.001497/2021-17</t>
  </si>
  <si>
    <t xml:space="preserve">Velez</t>
  </si>
  <si>
    <t xml:space="preserve">21000.033429/2017-18</t>
  </si>
  <si>
    <t xml:space="preserve">Looper 250 EC</t>
  </si>
  <si>
    <t xml:space="preserve">21000.006024/2014-56</t>
  </si>
  <si>
    <t xml:space="preserve">Goemon </t>
  </si>
  <si>
    <t xml:space="preserve">21000.083185/2020-10</t>
  </si>
  <si>
    <t xml:space="preserve">Greencontrol</t>
  </si>
  <si>
    <t xml:space="preserve"> Trichoderma harzianum</t>
  </si>
  <si>
    <t xml:space="preserve">21000.010140/2013-99</t>
  </si>
  <si>
    <t xml:space="preserve">Atrazina Atanor III</t>
  </si>
  <si>
    <t xml:space="preserve">21016.001306/2021-17</t>
  </si>
  <si>
    <t xml:space="preserve">Ecocordy</t>
  </si>
  <si>
    <t xml:space="preserve">Isaria fumosorosea</t>
  </si>
  <si>
    <t xml:space="preserve">21000.083514/2020-14</t>
  </si>
  <si>
    <t xml:space="preserve">Ideus</t>
  </si>
  <si>
    <t xml:space="preserve">Neoseiulus idaeus</t>
  </si>
  <si>
    <t xml:space="preserve">21016.002720/2021-43</t>
  </si>
  <si>
    <t xml:space="preserve">Amanzi</t>
  </si>
  <si>
    <t xml:space="preserve">21000.010137/2013-75</t>
  </si>
  <si>
    <t xml:space="preserve">2,4-D Atanor III</t>
  </si>
  <si>
    <t xml:space="preserve">2,4 D, Sal de Dimetilamina</t>
  </si>
  <si>
    <t xml:space="preserve">21000.001789/2013-19</t>
  </si>
  <si>
    <t xml:space="preserve">Asgard 500 SC</t>
  </si>
  <si>
    <t xml:space="preserve">21000.043164/2018-39</t>
  </si>
  <si>
    <t xml:space="preserve">Armero BR</t>
  </si>
  <si>
    <t xml:space="preserve"> Protioconazol; Mancozebe</t>
  </si>
  <si>
    <t xml:space="preserve">21000.039024/2017-85</t>
  </si>
  <si>
    <t xml:space="preserve">Profair</t>
  </si>
  <si>
    <t xml:space="preserve">Azoxistrobina; Mancozebe; Protioconazol</t>
  </si>
  <si>
    <t xml:space="preserve">21000.008657/2014-07</t>
  </si>
  <si>
    <t xml:space="preserve">Grasidim</t>
  </si>
  <si>
    <t xml:space="preserve">21000.000795/2015-11</t>
  </si>
  <si>
    <t xml:space="preserve">Checkill 800 Wg</t>
  </si>
  <si>
    <t xml:space="preserve">21000.008902/2011-25</t>
  </si>
  <si>
    <t xml:space="preserve">Helmstar</t>
  </si>
  <si>
    <t xml:space="preserve">21000.008358/2021-93</t>
  </si>
  <si>
    <t xml:space="preserve">Bracomip</t>
  </si>
  <si>
    <t xml:space="preserve">Habrobracon hebetor</t>
  </si>
  <si>
    <t xml:space="preserve">21000.008145/2016-02</t>
  </si>
  <si>
    <t xml:space="preserve">Tecnup Premium 620</t>
  </si>
  <si>
    <t xml:space="preserve">21000.001929/2014-30</t>
  </si>
  <si>
    <t xml:space="preserve">Rebron</t>
  </si>
  <si>
    <t xml:space="preserve">Ciproconazol; Ciantraniliprole</t>
  </si>
  <si>
    <t xml:space="preserve">21000.000106/2014-97</t>
  </si>
  <si>
    <t xml:space="preserve">Weedshot</t>
  </si>
  <si>
    <t xml:space="preserve">21000.007761/2013-95</t>
  </si>
  <si>
    <t xml:space="preserve">Clomazone Nortox</t>
  </si>
  <si>
    <t xml:space="preserve">21000.005361/2014-26</t>
  </si>
  <si>
    <t xml:space="preserve">Ciproconazol CCAB 100 SL</t>
  </si>
  <si>
    <t xml:space="preserve">21000.055192/2017-18</t>
  </si>
  <si>
    <t xml:space="preserve">Aslan SL</t>
  </si>
  <si>
    <t xml:space="preserve">21000.027721/2017-93</t>
  </si>
  <si>
    <t xml:space="preserve">Osbar 500 WP</t>
  </si>
  <si>
    <t xml:space="preserve">21000.032430/2017-17</t>
  </si>
  <si>
    <t xml:space="preserve">Eddus</t>
  </si>
  <si>
    <t xml:space="preserve">21000.003491/2013-43</t>
  </si>
  <si>
    <t xml:space="preserve">Prolectus  </t>
  </si>
  <si>
    <t xml:space="preserve">Fenpyrazamina; Procimidona   </t>
  </si>
  <si>
    <t xml:space="preserve">21000.053569/2016-13</t>
  </si>
  <si>
    <t xml:space="preserve">Judoka Super 250 CS</t>
  </si>
  <si>
    <t xml:space="preserve">21000.010249/2013-26</t>
  </si>
  <si>
    <t xml:space="preserve">Kilate FS</t>
  </si>
  <si>
    <t xml:space="preserve">Captana; Carbendazim</t>
  </si>
  <si>
    <t xml:space="preserve">21000.052232/2016-99</t>
  </si>
  <si>
    <t xml:space="preserve">Trytor</t>
  </si>
  <si>
    <t xml:space="preserve">Triclopir Butotílico</t>
  </si>
  <si>
    <t xml:space="preserve">Bra Defensivos</t>
  </si>
  <si>
    <t xml:space="preserve">21000.022948/2016-61</t>
  </si>
  <si>
    <t xml:space="preserve">UPL 138 FP Brasil</t>
  </si>
  <si>
    <t xml:space="preserve">Bifentrina; Acetamiprido</t>
  </si>
  <si>
    <t xml:space="preserve">21000.010788/2012-84</t>
  </si>
  <si>
    <t xml:space="preserve">Palmero</t>
  </si>
  <si>
    <t xml:space="preserve"> lsoxaflutol</t>
  </si>
  <si>
    <t xml:space="preserve">21000.007382/2013-03</t>
  </si>
  <si>
    <t xml:space="preserve">Kelper 400 SC</t>
  </si>
  <si>
    <t xml:space="preserve">21000.058853/2016-86</t>
  </si>
  <si>
    <t xml:space="preserve">Fomesafen Ccab 250 SL</t>
  </si>
  <si>
    <t xml:space="preserve">Fomesafen</t>
  </si>
  <si>
    <t xml:space="preserve">21000.020406/2020-31</t>
  </si>
  <si>
    <t xml:space="preserve">Hayate</t>
  </si>
  <si>
    <t xml:space="preserve"> Ciclaniliprole</t>
  </si>
  <si>
    <t xml:space="preserve">21000.003785/2013-75</t>
  </si>
  <si>
    <t xml:space="preserve">Fipronil Zei 800 WG</t>
  </si>
  <si>
    <t xml:space="preserve">21000.001225/2015-48</t>
  </si>
  <si>
    <t xml:space="preserve">Muteki</t>
  </si>
  <si>
    <t xml:space="preserve">21000.001097/2015-32</t>
  </si>
  <si>
    <t xml:space="preserve">Zenby</t>
  </si>
  <si>
    <t xml:space="preserve">Isofetamida  </t>
  </si>
  <si>
    <t xml:space="preserve">21000.003702/2014-29</t>
  </si>
  <si>
    <t xml:space="preserve">Charge</t>
  </si>
  <si>
    <t xml:space="preserve">Clorfluazurom</t>
  </si>
  <si>
    <t xml:space="preserve">21000.027529/2018-88</t>
  </si>
  <si>
    <t xml:space="preserve">Roof 150 EC</t>
  </si>
  <si>
    <t xml:space="preserve">21000.001564/2015-24</t>
  </si>
  <si>
    <t xml:space="preserve">Protection Nortox</t>
  </si>
  <si>
    <t xml:space="preserve">Azoxistrobina; Tebuconazole</t>
  </si>
  <si>
    <t xml:space="preserve">21000.008875/2014-33</t>
  </si>
  <si>
    <t xml:space="preserve"> Interllect</t>
  </si>
  <si>
    <t xml:space="preserve">21000.002390/2015-17</t>
  </si>
  <si>
    <t xml:space="preserve">Facero</t>
  </si>
  <si>
    <t xml:space="preserve">21016.004692/2021-07</t>
  </si>
  <si>
    <t xml:space="preserve">Bioatena</t>
  </si>
  <si>
    <t xml:space="preserve">21000.019550/2020-24</t>
  </si>
  <si>
    <t xml:space="preserve">Tatius</t>
  </si>
  <si>
    <t xml:space="preserve">21000.047336/2017-62</t>
  </si>
  <si>
    <t xml:space="preserve">Macroquat 200 SL</t>
  </si>
  <si>
    <t xml:space="preserve">21000.006811/2014-06</t>
  </si>
  <si>
    <t xml:space="preserve">Bispiribac Nortox</t>
  </si>
  <si>
    <t xml:space="preserve">21000.000181/2014-58</t>
  </si>
  <si>
    <t xml:space="preserve">Atabron Ultra</t>
  </si>
  <si>
    <t xml:space="preserve"> Clorfluazurom</t>
  </si>
  <si>
    <t xml:space="preserve">21016.002932/2021-21</t>
  </si>
  <si>
    <t xml:space="preserve">Tricozak</t>
  </si>
  <si>
    <t xml:space="preserve">Trichoderma harzianum; Trichoderma asperellum; Bacillus amyloliquefaciens  </t>
  </si>
  <si>
    <t xml:space="preserve">21000.028710/2018-10</t>
  </si>
  <si>
    <t xml:space="preserve">Nepaxir</t>
  </si>
  <si>
    <t xml:space="preserve">Acetamiprido; Alfa‐cipermetrina</t>
  </si>
  <si>
    <t xml:space="preserve">21000.007241/2014-63</t>
  </si>
  <si>
    <t xml:space="preserve">Voga</t>
  </si>
  <si>
    <t xml:space="preserve">21000.004938/2013-00</t>
  </si>
  <si>
    <t xml:space="preserve">Quickcane</t>
  </si>
  <si>
    <t xml:space="preserve">21000.005917/2015-65</t>
  </si>
  <si>
    <t xml:space="preserve">Tranvel</t>
  </si>
  <si>
    <t xml:space="preserve">Dicamba, Sal Sódico</t>
  </si>
  <si>
    <t xml:space="preserve">21000.008851/2013-01</t>
  </si>
  <si>
    <t xml:space="preserve">Eliack</t>
  </si>
  <si>
    <t xml:space="preserve">21000.049085/2017-51</t>
  </si>
  <si>
    <t xml:space="preserve">Tiodicarbe Crop 800 WG</t>
  </si>
  <si>
    <t xml:space="preserve">21000.021200/2017-22</t>
  </si>
  <si>
    <t xml:space="preserve">Guardanil 720 SC</t>
  </si>
  <si>
    <t xml:space="preserve">21000.006631/2012-54</t>
  </si>
  <si>
    <t xml:space="preserve">Gesazina Combi</t>
  </si>
  <si>
    <t xml:space="preserve">21000.005913/2015-87</t>
  </si>
  <si>
    <t xml:space="preserve">Dicare</t>
  </si>
  <si>
    <t xml:space="preserve">21000.002441/2015-19</t>
  </si>
  <si>
    <t xml:space="preserve">Clorimurom Max Nortox</t>
  </si>
  <si>
    <t xml:space="preserve">21000.055237/2018-35</t>
  </si>
  <si>
    <t xml:space="preserve">Valtar</t>
  </si>
  <si>
    <t xml:space="preserve">Cinamaldeído</t>
  </si>
  <si>
    <t xml:space="preserve">Daymsa</t>
  </si>
  <si>
    <t xml:space="preserve">21016.001242/2021-54</t>
  </si>
  <si>
    <t xml:space="preserve">Vircontrol H.A</t>
  </si>
  <si>
    <t xml:space="preserve">Helicoverpa armigera multiple nucleopolyhedrovirus (HarSNPV)</t>
  </si>
  <si>
    <t xml:space="preserve">21000.070273/2020-43</t>
  </si>
  <si>
    <t xml:space="preserve">Biostat WP</t>
  </si>
  <si>
    <t xml:space="preserve">Purpureocillium lilacinum</t>
  </si>
  <si>
    <t xml:space="preserve">21000.081294/2020-94</t>
  </si>
  <si>
    <t xml:space="preserve">Amylo-X SL</t>
  </si>
  <si>
    <t xml:space="preserve">21000.005178/2014-21</t>
  </si>
  <si>
    <t xml:space="preserve">Sun-Carbendazim 500 SC</t>
  </si>
  <si>
    <t xml:space="preserve">21000.045850/2020-69</t>
  </si>
  <si>
    <t xml:space="preserve"> Lastro</t>
  </si>
  <si>
    <t xml:space="preserve">Bacillus subtilis, Bacillus velezensis e Bacillus pumilus</t>
  </si>
  <si>
    <t xml:space="preserve">21000.045512/2020-27</t>
  </si>
  <si>
    <t xml:space="preserve">Bombardeiro</t>
  </si>
  <si>
    <t xml:space="preserve">21000.054286/2018-51</t>
  </si>
  <si>
    <t xml:space="preserve">Mira 900 WG</t>
  </si>
  <si>
    <t xml:space="preserve">Solus </t>
  </si>
  <si>
    <t xml:space="preserve">21000.009380/2012-60</t>
  </si>
  <si>
    <t xml:space="preserve">Tronx</t>
  </si>
  <si>
    <t xml:space="preserve">21000.055354/2017-18</t>
  </si>
  <si>
    <t xml:space="preserve">Megatop 800 WG</t>
  </si>
  <si>
    <t xml:space="preserve">21000.015880/2018-26</t>
  </si>
  <si>
    <t xml:space="preserve">Sandal 200 SP</t>
  </si>
  <si>
    <t xml:space="preserve">21000.029887/2019-14</t>
  </si>
  <si>
    <t xml:space="preserve">Pontual</t>
  </si>
  <si>
    <t xml:space="preserve">Azoxistrobina; Ciproconazol; Clorotalonil</t>
  </si>
  <si>
    <t xml:space="preserve">21000.009981/2013-53</t>
  </si>
  <si>
    <t xml:space="preserve">Potomac</t>
  </si>
  <si>
    <t xml:space="preserve">21000.007967/2015-87</t>
  </si>
  <si>
    <t xml:space="preserve">Paxeo</t>
  </si>
  <si>
    <t xml:space="preserve">Diclosulam, Halauxifem-Metil</t>
  </si>
  <si>
    <t xml:space="preserve">21000.001503/2013-03</t>
  </si>
  <si>
    <t xml:space="preserve">Fusilade</t>
  </si>
  <si>
    <t xml:space="preserve">Fluasifope-P-Butílico</t>
  </si>
  <si>
    <t xml:space="preserve">21000.002169/2014-88</t>
  </si>
  <si>
    <t xml:space="preserve">Tordon HL</t>
  </si>
  <si>
    <t xml:space="preserve">Picloram; 2,4-D, Sal de Colina</t>
  </si>
  <si>
    <t xml:space="preserve">21000.002739/2014-30</t>
  </si>
  <si>
    <t xml:space="preserve">Panoramic HL</t>
  </si>
  <si>
    <t xml:space="preserve">21000.007999/2015-82</t>
  </si>
  <si>
    <t xml:space="preserve">Clorfenapir CCAB 240 SC</t>
  </si>
  <si>
    <t xml:space="preserve">21000.008240/2014-36</t>
  </si>
  <si>
    <t xml:space="preserve">Deuter</t>
  </si>
  <si>
    <t xml:space="preserve">21000.008310/2015-37</t>
  </si>
  <si>
    <t xml:space="preserve">Podos</t>
  </si>
  <si>
    <t xml:space="preserve">21000.009158/2013-48</t>
  </si>
  <si>
    <t xml:space="preserve">Clomazone 500 EC Nortox</t>
  </si>
  <si>
    <t xml:space="preserve">21000.010409/2013-37</t>
  </si>
  <si>
    <t xml:space="preserve">Carbomax</t>
  </si>
  <si>
    <t xml:space="preserve">21000.014472/2016-95</t>
  </si>
  <si>
    <t xml:space="preserve">Bonara</t>
  </si>
  <si>
    <t xml:space="preserve"> Imazapique; Imazapir</t>
  </si>
  <si>
    <t xml:space="preserve">21000.019911/2018-18</t>
  </si>
  <si>
    <t xml:space="preserve">Cletodim 240 EC Tecnomyl II</t>
  </si>
  <si>
    <t xml:space="preserve">21000.019920/2018-17</t>
  </si>
  <si>
    <t xml:space="preserve">Cletodim 240 EC Tecnomyl I</t>
  </si>
  <si>
    <t xml:space="preserve">21000.020036/2018-17</t>
  </si>
  <si>
    <t xml:space="preserve">Cletodim 240 EC Tecnomyl III</t>
  </si>
  <si>
    <t xml:space="preserve">21000.055228/2018-44</t>
  </si>
  <si>
    <t xml:space="preserve">Avert</t>
  </si>
  <si>
    <t xml:space="preserve">21016.002857/2021-06</t>
  </si>
  <si>
    <t xml:space="preserve">Rizoderma TSI</t>
  </si>
  <si>
    <t xml:space="preserve">Trichoderma afroharzianum</t>
  </si>
  <si>
    <t xml:space="preserve"> Rizobacter</t>
  </si>
  <si>
    <t xml:space="preserve">21000.000166/2015-91</t>
  </si>
  <si>
    <t xml:space="preserve">Metomil Nortox</t>
  </si>
  <si>
    <t xml:space="preserve">21000.003088/2015-86</t>
  </si>
  <si>
    <t xml:space="preserve">Calypso Ultra</t>
  </si>
  <si>
    <t xml:space="preserve">Tiacloprido; Beta-ciflutrina</t>
  </si>
  <si>
    <t xml:space="preserve">21000.003516/2013-17</t>
  </si>
  <si>
    <t xml:space="preserve"> Fipronil Brt 800 WG</t>
  </si>
  <si>
    <t xml:space="preserve">21000.003554/2018-76</t>
  </si>
  <si>
    <t xml:space="preserve">Flumi 500 Agrogill</t>
  </si>
  <si>
    <t xml:space="preserve">21000.003677/2014-83</t>
  </si>
  <si>
    <t xml:space="preserve">Celphos Tablet</t>
  </si>
  <si>
    <t xml:space="preserve">21000.003771/2015-13</t>
  </si>
  <si>
    <t xml:space="preserve">Revus Top SC</t>
  </si>
  <si>
    <t xml:space="preserve">Mandipropamida; Difenoconazole</t>
  </si>
  <si>
    <t xml:space="preserve">21000.008273/2015-67</t>
  </si>
  <si>
    <t xml:space="preserve">Kitter</t>
  </si>
  <si>
    <t xml:space="preserve">21000.008658/2014-43</t>
  </si>
  <si>
    <t xml:space="preserve"> Título</t>
  </si>
  <si>
    <t xml:space="preserve">21000.040219/2017-78</t>
  </si>
  <si>
    <t xml:space="preserve">Diquat Crop 200 SL</t>
  </si>
  <si>
    <t xml:space="preserve">21000.002738/2014-95</t>
  </si>
  <si>
    <t xml:space="preserve">Jornada HL</t>
  </si>
  <si>
    <t xml:space="preserve">Dow Agrosciences </t>
  </si>
  <si>
    <t xml:space="preserve">21000.033597/2018-86</t>
  </si>
  <si>
    <t xml:space="preserve">Gameover</t>
  </si>
  <si>
    <t xml:space="preserve">21000.034531/2020-28</t>
  </si>
  <si>
    <t xml:space="preserve">Jb Cri-E</t>
  </si>
  <si>
    <t xml:space="preserve"> Chrysoperla externa</t>
  </si>
  <si>
    <t xml:space="preserve">21000.037110/2019-15</t>
  </si>
  <si>
    <t xml:space="preserve">Temicab Xtra</t>
  </si>
  <si>
    <t xml:space="preserve">2,4-D, Sal de Potássio; Picloram, Sal de Potássio</t>
  </si>
  <si>
    <t xml:space="preserve">21000.038680/2020-66</t>
  </si>
  <si>
    <t xml:space="preserve">Defender</t>
  </si>
  <si>
    <t xml:space="preserve">CL Empreendimentos</t>
  </si>
  <si>
    <t xml:space="preserve">21000.038682/2020-55</t>
  </si>
  <si>
    <t xml:space="preserve">Destroyer</t>
  </si>
  <si>
    <t xml:space="preserve">21000.047015/2016-87</t>
  </si>
  <si>
    <t xml:space="preserve">Difenoconazole 250 EC Tagros</t>
  </si>
  <si>
    <t xml:space="preserve">21000.049375/2020-08</t>
  </si>
  <si>
    <t xml:space="preserve">Marlox FS</t>
  </si>
  <si>
    <t xml:space="preserve">21000.067771/2019-75</t>
  </si>
  <si>
    <t xml:space="preserve"> Crisopídeo Amipa</t>
  </si>
  <si>
    <t xml:space="preserve">21016.002925/2021-29</t>
  </si>
  <si>
    <t xml:space="preserve">Bt Protection</t>
  </si>
  <si>
    <t xml:space="preserve">21016.003072/2021-42</t>
  </si>
  <si>
    <t xml:space="preserve">Gnc006-2</t>
  </si>
  <si>
    <t xml:space="preserve">21016.003958/2021-96</t>
  </si>
  <si>
    <t xml:space="preserve">Powerfung</t>
  </si>
  <si>
    <t xml:space="preserve">21016.004965/2021-13</t>
  </si>
  <si>
    <t xml:space="preserve">Bioolimpo</t>
  </si>
  <si>
    <t xml:space="preserve">Beauveria bassiana; Metarhizium anisopliae</t>
  </si>
  <si>
    <t xml:space="preserve">21016.004966/2021-50</t>
  </si>
  <si>
    <t xml:space="preserve">Btp 078-20</t>
  </si>
  <si>
    <t xml:space="preserve">21016.005102/2021-55</t>
  </si>
  <si>
    <t xml:space="preserve">Gnc 009-2</t>
  </si>
  <si>
    <t xml:space="preserve">21000.007209/2011-35</t>
  </si>
  <si>
    <t xml:space="preserve"> Único</t>
  </si>
  <si>
    <t xml:space="preserve">Azoxistrobina </t>
  </si>
  <si>
    <t xml:space="preserve">21016.004594/2021-61</t>
  </si>
  <si>
    <t xml:space="preserve">Ecobass Ultra</t>
  </si>
  <si>
    <t xml:space="preserve">21000.010003/2013-54</t>
  </si>
  <si>
    <t xml:space="preserve">Brakima</t>
  </si>
  <si>
    <t xml:space="preserve">21000.004104/2015-58</t>
  </si>
  <si>
    <t xml:space="preserve">Kaligreen Pro</t>
  </si>
  <si>
    <t xml:space="preserve">Bicarbonato de Potássio</t>
  </si>
  <si>
    <t xml:space="preserve">21000.049250/2016-93</t>
  </si>
  <si>
    <t xml:space="preserve">Maragato 500 EC</t>
  </si>
  <si>
    <t xml:space="preserve">21000.008877/2014-22</t>
  </si>
  <si>
    <t xml:space="preserve">Clect</t>
  </si>
  <si>
    <t xml:space="preserve">21000.010719/2021-61</t>
  </si>
  <si>
    <t xml:space="preserve">Bioin-Tricho-P</t>
  </si>
  <si>
    <t xml:space="preserve">BioIn</t>
  </si>
  <si>
    <t xml:space="preserve">21000.007357/2015-83</t>
  </si>
  <si>
    <t xml:space="preserve">Zorvec Encantia</t>
  </si>
  <si>
    <t xml:space="preserve">Oxatiapiprolina; Famoxadona</t>
  </si>
  <si>
    <t xml:space="preserve">21000.008641/2015-77</t>
  </si>
  <si>
    <t xml:space="preserve">Sirtaki 360 CS</t>
  </si>
  <si>
    <t xml:space="preserve">21000.010414/2013-40</t>
  </si>
  <si>
    <t xml:space="preserve"> Fosfeto De Alumínio Biorisk</t>
  </si>
  <si>
    <t xml:space="preserve">21000.019483/2016-61</t>
  </si>
  <si>
    <t xml:space="preserve">Zorvec Entido</t>
  </si>
  <si>
    <t xml:space="preserve"> Oxatiapiprolina; Dimetomorfe</t>
  </si>
  <si>
    <t xml:space="preserve">21000.007849/2015-79</t>
  </si>
  <si>
    <t xml:space="preserve"> Sulfentrazone 500 SC PLS CL1</t>
  </si>
  <si>
    <t xml:space="preserve">21000.019417/2021-59</t>
  </si>
  <si>
    <t xml:space="preserve">Spical C</t>
  </si>
  <si>
    <t xml:space="preserve">Neoseiulus califomicus</t>
  </si>
  <si>
    <t xml:space="preserve">CP2</t>
  </si>
  <si>
    <t xml:space="preserve">21000.020022/2021-07</t>
  </si>
  <si>
    <t xml:space="preserve">Spical K</t>
  </si>
  <si>
    <t xml:space="preserve"> Neoseiulus californicus </t>
  </si>
  <si>
    <t xml:space="preserve">21016.004693/2021-43</t>
  </si>
  <si>
    <t xml:space="preserve">Biosparta</t>
  </si>
  <si>
    <t xml:space="preserve">21016.005428/2021-82</t>
  </si>
  <si>
    <t xml:space="preserve">Mahazai</t>
  </si>
  <si>
    <t xml:space="preserve"> Metarhizium anisopliae</t>
  </si>
  <si>
    <t xml:space="preserve">21016.005427/2021-38</t>
  </si>
  <si>
    <t xml:space="preserve">Nomite</t>
  </si>
  <si>
    <t xml:space="preserve">21000.009253/2016-94</t>
  </si>
  <si>
    <t xml:space="preserve">Tiofanil FS</t>
  </si>
  <si>
    <t xml:space="preserve"> Clorotalonil; Tiofanato-metílico</t>
  </si>
  <si>
    <t xml:space="preserve">21016.004751/2021-39</t>
  </si>
  <si>
    <t xml:space="preserve">BTP 076-20</t>
  </si>
  <si>
    <t xml:space="preserve">21000.013075/2016-04</t>
  </si>
  <si>
    <t xml:space="preserve">Procimidone 750 WG</t>
  </si>
  <si>
    <t xml:space="preserve">21000.014752/2016-01</t>
  </si>
  <si>
    <t xml:space="preserve">Mainspring Flora</t>
  </si>
  <si>
    <t xml:space="preserve">Ciantraniliprole; Pimetrozina</t>
  </si>
  <si>
    <t xml:space="preserve">21000.010366/2018-02</t>
  </si>
  <si>
    <t xml:space="preserve">Glifo Had Crop</t>
  </si>
  <si>
    <t xml:space="preserve">21000.071874/2020-73</t>
  </si>
  <si>
    <t xml:space="preserve">Sapek Max</t>
  </si>
  <si>
    <t xml:space="preserve">Glufosinato, Sal de Amônio  </t>
  </si>
  <si>
    <t xml:space="preserve">21000.042913/2021-14</t>
  </si>
  <si>
    <t xml:space="preserve">AmyloTrop</t>
  </si>
  <si>
    <t xml:space="preserve">21016.004758/2021-51</t>
  </si>
  <si>
    <t xml:space="preserve">BTP 077-20</t>
  </si>
  <si>
    <t xml:space="preserve">21016.001499/2021-14</t>
  </si>
  <si>
    <t xml:space="preserve">Pherogen Dispenser Spofr</t>
  </si>
  <si>
    <t xml:space="preserve">21000.004826/2015-11</t>
  </si>
  <si>
    <t xml:space="preserve">Rateio 200 SL</t>
  </si>
  <si>
    <t xml:space="preserve">21016.001378/2021-64</t>
  </si>
  <si>
    <t xml:space="preserve">Isa 3</t>
  </si>
  <si>
    <t xml:space="preserve">Isaria fumorosea</t>
  </si>
  <si>
    <t xml:space="preserve">21000.043330/2018-05</t>
  </si>
  <si>
    <t xml:space="preserve">Scudd</t>
  </si>
  <si>
    <t xml:space="preserve">21000.043335/2018-20</t>
  </si>
  <si>
    <t xml:space="preserve">Vertopian</t>
  </si>
  <si>
    <t xml:space="preserve">21000.039085/2021-29</t>
  </si>
  <si>
    <t xml:space="preserve">Inlayon Eco</t>
  </si>
  <si>
    <t xml:space="preserve">21000.020602/2016-29</t>
  </si>
  <si>
    <t xml:space="preserve">Sercadis</t>
  </si>
  <si>
    <t xml:space="preserve">21000.008776/2013-71</t>
  </si>
  <si>
    <t xml:space="preserve">Randell 648 SL</t>
  </si>
  <si>
    <t xml:space="preserve">21000.001765/2015-21</t>
  </si>
  <si>
    <t xml:space="preserve">Hexazinona - T Nortox</t>
  </si>
  <si>
    <t xml:space="preserve">Hexazinona; Tebutiurom</t>
  </si>
  <si>
    <t xml:space="preserve">21000.022953/2016-74</t>
  </si>
  <si>
    <t xml:space="preserve">Upl 217 FP BR​ </t>
  </si>
  <si>
    <t xml:space="preserve">Azoxistrobina; Mancozebe; Tebuconazole</t>
  </si>
  <si>
    <t xml:space="preserve">21016.002105/2021-37</t>
  </si>
  <si>
    <t xml:space="preserve">Accel</t>
  </si>
  <si>
    <t xml:space="preserve">Benziladenina</t>
  </si>
  <si>
    <t xml:space="preserve">21000.052994/2018-57</t>
  </si>
  <si>
    <t xml:space="preserve">Pirifast</t>
  </si>
  <si>
    <t xml:space="preserve">21000.008380/2015-95</t>
  </si>
  <si>
    <t xml:space="preserve">Poderus</t>
  </si>
  <si>
    <t xml:space="preserve">21000.094057/2019-50</t>
  </si>
  <si>
    <t xml:space="preserve">Blast Top</t>
  </si>
  <si>
    <t xml:space="preserve">Clomazone; Ametrina</t>
  </si>
  <si>
    <t xml:space="preserve">21000.069419/2020-16</t>
  </si>
  <si>
    <t xml:space="preserve">Drill Protection</t>
  </si>
  <si>
    <t xml:space="preserve"> Simbiose</t>
  </si>
  <si>
    <t xml:space="preserve">21000.009028/2013-13</t>
  </si>
  <si>
    <t xml:space="preserve">Varum</t>
  </si>
  <si>
    <t xml:space="preserve">21000.003312/2013-78</t>
  </si>
  <si>
    <t xml:space="preserve">Bingo 800 WG</t>
  </si>
  <si>
    <t xml:space="preserve">21000.047658/2018-92</t>
  </si>
  <si>
    <t xml:space="preserve">Nisshin 40 SC</t>
  </si>
  <si>
    <t xml:space="preserve">21000.008642/2013-50</t>
  </si>
  <si>
    <t xml:space="preserve">Dinole 250 EC</t>
  </si>
  <si>
    <t xml:space="preserve">21000.023448/2018-17</t>
  </si>
  <si>
    <t xml:space="preserve">Methoxyfenozide Wood 240 SC</t>
  </si>
  <si>
    <t xml:space="preserve">21000.002106/2014-21</t>
  </si>
  <si>
    <t xml:space="preserve">Hermion</t>
  </si>
  <si>
    <t xml:space="preserve">Ciproconazol; Ciantraniliprole </t>
  </si>
  <si>
    <t xml:space="preserve">21000.005081/2014-18</t>
  </si>
  <si>
    <t xml:space="preserve">Azoxy + Cypro 280 SC Proventis</t>
  </si>
  <si>
    <t xml:space="preserve">21000.002191/2014-28</t>
  </si>
  <si>
    <t xml:space="preserve">Tekove 480 SC</t>
  </si>
  <si>
    <t xml:space="preserve">21000.033613/2018-31</t>
  </si>
  <si>
    <t xml:space="preserve">Dorai </t>
  </si>
  <si>
    <t xml:space="preserve">21000.007149/2014-01</t>
  </si>
  <si>
    <t xml:space="preserve">Diuron 500 SC Proventis  </t>
  </si>
  <si>
    <t xml:space="preserve">Diurom </t>
  </si>
  <si>
    <t xml:space="preserve">21000.038466/2016-23</t>
  </si>
  <si>
    <t xml:space="preserve">Glufosinate-Ammonium 200 G/L SL</t>
  </si>
  <si>
    <t xml:space="preserve">21000.002170/2018-36</t>
  </si>
  <si>
    <t xml:space="preserve"> Indoxacarb 150 G/L SC</t>
  </si>
  <si>
    <t xml:space="preserve">21000.005762/2010-52</t>
  </si>
  <si>
    <t xml:space="preserve">Zapret SC</t>
  </si>
  <si>
    <t xml:space="preserve">TC00120</t>
  </si>
  <si>
    <t xml:space="preserve">21000.008856/2013-26</t>
  </si>
  <si>
    <t xml:space="preserve">Azoxystrobin Técnico Nortox BR</t>
  </si>
  <si>
    <t xml:space="preserve">Ano de 2020</t>
  </si>
  <si>
    <t xml:space="preserve">TC00220</t>
  </si>
  <si>
    <t xml:space="preserve">21000.006000/2015-88</t>
  </si>
  <si>
    <t xml:space="preserve">Azoxistrobina Técnico Adama</t>
  </si>
  <si>
    <t xml:space="preserve">TC00320</t>
  </si>
  <si>
    <t xml:space="preserve">21000.010111/2017-51</t>
  </si>
  <si>
    <t xml:space="preserve">Clorotalonil Técnico Gilmore</t>
  </si>
  <si>
    <t xml:space="preserve">TC00420</t>
  </si>
  <si>
    <t xml:space="preserve">21000.061101/2016-01</t>
  </si>
  <si>
    <t xml:space="preserve">Metoxifenozide Técnico Nortox II</t>
  </si>
  <si>
    <t xml:space="preserve">TC00520</t>
  </si>
  <si>
    <t xml:space="preserve">21000.020878/2017-98</t>
  </si>
  <si>
    <t xml:space="preserve">Methoxyfenozide Técnico Rotam</t>
  </si>
  <si>
    <t xml:space="preserve">TC00620</t>
  </si>
  <si>
    <t xml:space="preserve">21000.011897/2018-12</t>
  </si>
  <si>
    <t xml:space="preserve">Methoxyfenozide Técnico Sino-Agri</t>
  </si>
  <si>
    <t xml:space="preserve">TC00720</t>
  </si>
  <si>
    <t xml:space="preserve">21000.048992/2018-63</t>
  </si>
  <si>
    <t xml:space="preserve">Methoxyfenozida Técnico Oxon</t>
  </si>
  <si>
    <t xml:space="preserve">TC00820</t>
  </si>
  <si>
    <t xml:space="preserve">21000.032114/2019-15</t>
  </si>
  <si>
    <t xml:space="preserve">Methoxyfenozide Técnico CHDS</t>
  </si>
  <si>
    <t xml:space="preserve">TC00920</t>
  </si>
  <si>
    <t xml:space="preserve">21000.008235/2012-61</t>
  </si>
  <si>
    <t xml:space="preserve">Acefato Técnico RL</t>
  </si>
  <si>
    <t xml:space="preserve">TC01020</t>
  </si>
  <si>
    <t xml:space="preserve">21000.004580/2014-98</t>
  </si>
  <si>
    <t xml:space="preserve">Mesotrione Técnico Rainbow</t>
  </si>
  <si>
    <t xml:space="preserve">TC01120</t>
  </si>
  <si>
    <t xml:space="preserve">21000.010329/2011-10</t>
  </si>
  <si>
    <t xml:space="preserve">Fipronil Técnico AK</t>
  </si>
  <si>
    <t xml:space="preserve">TC01220</t>
  </si>
  <si>
    <t xml:space="preserve">21000.010414/2011-88</t>
  </si>
  <si>
    <t xml:space="preserve">Fipronil Técnico UN</t>
  </si>
  <si>
    <t xml:space="preserve">TC01320</t>
  </si>
  <si>
    <t xml:space="preserve">21000.010395/2011-90</t>
  </si>
  <si>
    <t xml:space="preserve">Fipronil Técnico DN</t>
  </si>
  <si>
    <t xml:space="preserve">TC01420</t>
  </si>
  <si>
    <t xml:space="preserve">21000.010471/2011-67</t>
  </si>
  <si>
    <t xml:space="preserve">Fipronil Técnico NAG</t>
  </si>
  <si>
    <t xml:space="preserve">TC01520</t>
  </si>
  <si>
    <t xml:space="preserve">21000.002794/2012-68</t>
  </si>
  <si>
    <t xml:space="preserve">Fipronil S Técnico Helm</t>
  </si>
  <si>
    <t xml:space="preserve">TC01620</t>
  </si>
  <si>
    <t xml:space="preserve">21000.004288/2012-11</t>
  </si>
  <si>
    <t xml:space="preserve">Fipronil Técnico AG</t>
  </si>
  <si>
    <t xml:space="preserve">TC01720</t>
  </si>
  <si>
    <t xml:space="preserve">21000.003110/2013-26</t>
  </si>
  <si>
    <t xml:space="preserve">Fipronil Técnico DS</t>
  </si>
  <si>
    <t xml:space="preserve">TC01820</t>
  </si>
  <si>
    <t xml:space="preserve">21000.001927/2016-11</t>
  </si>
  <si>
    <t xml:space="preserve">Fipronil Técnico Rawell</t>
  </si>
  <si>
    <t xml:space="preserve">TC01920</t>
  </si>
  <si>
    <t xml:space="preserve">21000.001213/2014-32</t>
  </si>
  <si>
    <t xml:space="preserve">Metribuzim Técnico Proventis</t>
  </si>
  <si>
    <t xml:space="preserve">TC02020</t>
  </si>
  <si>
    <t xml:space="preserve">21000.016461/2017-21</t>
  </si>
  <si>
    <t xml:space="preserve">Metribuzim Técnico Adama</t>
  </si>
  <si>
    <t xml:space="preserve">TC02120</t>
  </si>
  <si>
    <t xml:space="preserve">21000.007561/2011-71</t>
  </si>
  <si>
    <t xml:space="preserve">Falgro Técnico</t>
  </si>
  <si>
    <t xml:space="preserve">Ácido Giberélico</t>
  </si>
  <si>
    <t xml:space="preserve">TC02220</t>
  </si>
  <si>
    <t xml:space="preserve">21000.024294/2016-19</t>
  </si>
  <si>
    <t xml:space="preserve">Indoxacarbe Técnico Sharda</t>
  </si>
  <si>
    <t xml:space="preserve">TC02320</t>
  </si>
  <si>
    <t xml:space="preserve">21000.007551/2014-88</t>
  </si>
  <si>
    <t xml:space="preserve">Cinetina Técnica</t>
  </si>
  <si>
    <t xml:space="preserve">TK02420</t>
  </si>
  <si>
    <t xml:space="preserve">21000.008135/2014-05</t>
  </si>
  <si>
    <t xml:space="preserve">Indaziflam MRB Pré-Mistura</t>
  </si>
  <si>
    <t xml:space="preserve">TK02520</t>
  </si>
  <si>
    <t xml:space="preserve">21000.000415/2015-48</t>
  </si>
  <si>
    <t xml:space="preserve">Indaziflam IFT Pré-Mistura</t>
  </si>
  <si>
    <t xml:space="preserve">TC02620</t>
  </si>
  <si>
    <t xml:space="preserve">21000.006884/2014-90</t>
  </si>
  <si>
    <t xml:space="preserve">S-Metolacloro Técnico Cropchem</t>
  </si>
  <si>
    <t xml:space="preserve">TC02720</t>
  </si>
  <si>
    <t xml:space="preserve">21000.008635/2014-39</t>
  </si>
  <si>
    <t xml:space="preserve">S-Metolachlor Técnico Agrogil</t>
  </si>
  <si>
    <t xml:space="preserve">TC02820</t>
  </si>
  <si>
    <t xml:space="preserve">21000.005620/2014-19</t>
  </si>
  <si>
    <t xml:space="preserve">S-metolacloro Técnico Nortox</t>
  </si>
  <si>
    <t xml:space="preserve">TC02920</t>
  </si>
  <si>
    <t xml:space="preserve">21000.001022/2015-51</t>
  </si>
  <si>
    <t xml:space="preserve">S-Metolaclor Técnico SD</t>
  </si>
  <si>
    <t xml:space="preserve">TC03020</t>
  </si>
  <si>
    <t xml:space="preserve">21000.003717/2017-30</t>
  </si>
  <si>
    <t xml:space="preserve">S-Metolachlor Técnico Sino-Agri</t>
  </si>
  <si>
    <t xml:space="preserve">TC03120</t>
  </si>
  <si>
    <t xml:space="preserve">21000.043348/2017-18</t>
  </si>
  <si>
    <t xml:space="preserve">S-metolacloro Técnico Adama Brasil</t>
  </si>
  <si>
    <t xml:space="preserve">TC03220</t>
  </si>
  <si>
    <t xml:space="preserve">21000.037700/2019-48</t>
  </si>
  <si>
    <t xml:space="preserve">S-Metolacloro B Técnico Helm</t>
  </si>
  <si>
    <t xml:space="preserve">TC03320</t>
  </si>
  <si>
    <t xml:space="preserve">21000.009967/2011-98</t>
  </si>
  <si>
    <t xml:space="preserve">Fipronil Técnico Sub</t>
  </si>
  <si>
    <t xml:space="preserve">Sipcam Nichino</t>
  </si>
  <si>
    <t xml:space="preserve">TC03420</t>
  </si>
  <si>
    <t xml:space="preserve">21000.007491/2012-31</t>
  </si>
  <si>
    <t xml:space="preserve">Folpete Tradecorp Técnico</t>
  </si>
  <si>
    <t xml:space="preserve">TC03520</t>
  </si>
  <si>
    <t xml:space="preserve">21000.010311/2013-80</t>
  </si>
  <si>
    <t xml:space="preserve">Simazina Técnico Mil</t>
  </si>
  <si>
    <t xml:space="preserve">TC03620</t>
  </si>
  <si>
    <t xml:space="preserve">21000.003651/2015-16</t>
  </si>
  <si>
    <t xml:space="preserve">Ciproconazol Técnico Rainbow</t>
  </si>
  <si>
    <t xml:space="preserve">TC03720</t>
  </si>
  <si>
    <t xml:space="preserve">21000.044423/2018-49</t>
  </si>
  <si>
    <t xml:space="preserve">Simazina Técnico ZS</t>
  </si>
  <si>
    <t xml:space="preserve">Pro-Registros</t>
  </si>
  <si>
    <t xml:space="preserve">TC03820</t>
  </si>
  <si>
    <t xml:space="preserve">21000.003411/2013-50</t>
  </si>
  <si>
    <t xml:space="preserve">Lufenurom Tradecorp Técnico</t>
  </si>
  <si>
    <t xml:space="preserve">TC03920</t>
  </si>
  <si>
    <t xml:space="preserve">21000.039394/2019-84</t>
  </si>
  <si>
    <t xml:space="preserve">Clorpirifós Técnico ADA</t>
  </si>
  <si>
    <t xml:space="preserve">TC04020</t>
  </si>
  <si>
    <t xml:space="preserve">21000.010459/2019-18</t>
  </si>
  <si>
    <t xml:space="preserve">Isoxaflutol Tradecorp Técnico II</t>
  </si>
  <si>
    <t xml:space="preserve">TC04120</t>
  </si>
  <si>
    <t xml:space="preserve">21000.00256/2010-85</t>
  </si>
  <si>
    <t xml:space="preserve">Ácido Giberélico Técnico (GA3)</t>
  </si>
  <si>
    <t xml:space="preserve">TC04220</t>
  </si>
  <si>
    <t xml:space="preserve">21000.006387/2015-72</t>
  </si>
  <si>
    <t xml:space="preserve">Glufosinato Técnico FW</t>
  </si>
  <si>
    <t xml:space="preserve">TC04320</t>
  </si>
  <si>
    <t xml:space="preserve">21000.007226/2015-04</t>
  </si>
  <si>
    <t xml:space="preserve">Glufosinate Técnico Nortox II</t>
  </si>
  <si>
    <t xml:space="preserve">TC04420</t>
  </si>
  <si>
    <t xml:space="preserve">21000.007893/2015-89</t>
  </si>
  <si>
    <t xml:space="preserve">Glufosinato de Amônio Técnico Sino-Agri</t>
  </si>
  <si>
    <t xml:space="preserve">TC04520</t>
  </si>
  <si>
    <t xml:space="preserve">21000.005880/2016-56</t>
  </si>
  <si>
    <t xml:space="preserve">Glufosinato de Amônio Técnico Tide</t>
  </si>
  <si>
    <t xml:space="preserve">TC04620</t>
  </si>
  <si>
    <t xml:space="preserve">21000.011848/2016-18</t>
  </si>
  <si>
    <t xml:space="preserve">Glufosinato de Amônio Técnico Biesterfeld</t>
  </si>
  <si>
    <t xml:space="preserve">Biesterfeld</t>
  </si>
  <si>
    <t xml:space="preserve">TC04720</t>
  </si>
  <si>
    <t xml:space="preserve">21000.036378/2016-97</t>
  </si>
  <si>
    <t xml:space="preserve">Glufosinato Técnico Dinagro</t>
  </si>
  <si>
    <t xml:space="preserve">TC04820</t>
  </si>
  <si>
    <t xml:space="preserve">21000.038012/2016-52</t>
  </si>
  <si>
    <t xml:space="preserve">Glufosinato de Amônio Técnico Pilarquim</t>
  </si>
  <si>
    <t xml:space="preserve">TC04920</t>
  </si>
  <si>
    <t xml:space="preserve">21000.053480/2016-57</t>
  </si>
  <si>
    <t xml:space="preserve">Glufosinate-Ammonium Técnico Rotam</t>
  </si>
  <si>
    <t xml:space="preserve">TC05020</t>
  </si>
  <si>
    <t xml:space="preserve">21000.025576/2018-97</t>
  </si>
  <si>
    <t xml:space="preserve">Glufosinato Técnico CHD'S</t>
  </si>
  <si>
    <t xml:space="preserve">TC05120</t>
  </si>
  <si>
    <t xml:space="preserve">21000.008990/2012-46</t>
  </si>
  <si>
    <t xml:space="preserve">Fluazinam Técnico Crystal</t>
  </si>
  <si>
    <t xml:space="preserve">TC05220</t>
  </si>
  <si>
    <t xml:space="preserve">21000.000408/2013-84</t>
  </si>
  <si>
    <t xml:space="preserve">Isoxaflutol Tradecorp Técnico</t>
  </si>
  <si>
    <t xml:space="preserve">TC05320</t>
  </si>
  <si>
    <t xml:space="preserve">21000.008251/2013-55</t>
  </si>
  <si>
    <t xml:space="preserve">Isoxaflutol Técnico Ouro FIno</t>
  </si>
  <si>
    <t xml:space="preserve">TC05420</t>
  </si>
  <si>
    <t xml:space="preserve">21000.014275/2016-76</t>
  </si>
  <si>
    <t xml:space="preserve">Isoxaflutol Técnico Nortox II</t>
  </si>
  <si>
    <t xml:space="preserve">TC05520</t>
  </si>
  <si>
    <t xml:space="preserve">21000.008647/2013-82</t>
  </si>
  <si>
    <t xml:space="preserve">Ametrina Técnico Biorisk</t>
  </si>
  <si>
    <t xml:space="preserve">TC05620</t>
  </si>
  <si>
    <t xml:space="preserve">21000.005544/2015-22</t>
  </si>
  <si>
    <t xml:space="preserve">Difenoconazol Técnico Adama</t>
  </si>
  <si>
    <t xml:space="preserve">TC05720</t>
  </si>
  <si>
    <t xml:space="preserve">21000.006073/2015-70</t>
  </si>
  <si>
    <t xml:space="preserve">Difenoconazole Técnico Tagros</t>
  </si>
  <si>
    <t xml:space="preserve">TC05820</t>
  </si>
  <si>
    <t xml:space="preserve">21000.022237/2016-97</t>
  </si>
  <si>
    <t xml:space="preserve">DIfenoconazole Técnico CCAB</t>
  </si>
  <si>
    <t xml:space="preserve">TC05920</t>
  </si>
  <si>
    <t xml:space="preserve">21000.056411/2016-03</t>
  </si>
  <si>
    <t xml:space="preserve">Difenoconazole Técnico Cropchem II</t>
  </si>
  <si>
    <t xml:space="preserve">TC06020</t>
  </si>
  <si>
    <t xml:space="preserve">21000.026238/2018-72</t>
  </si>
  <si>
    <t xml:space="preserve">Difenoconazole Técnico Nortox IV</t>
  </si>
  <si>
    <t xml:space="preserve">TC06120</t>
  </si>
  <si>
    <t xml:space="preserve">21000.048993/2018-16</t>
  </si>
  <si>
    <t xml:space="preserve">Picloram Técnico RB</t>
  </si>
  <si>
    <t xml:space="preserve">TC06220</t>
  </si>
  <si>
    <t xml:space="preserve">21000.026915/2018-52</t>
  </si>
  <si>
    <t xml:space="preserve">Diflubenzuron Técnico OF</t>
  </si>
  <si>
    <t xml:space="preserve">TC06320</t>
  </si>
  <si>
    <t xml:space="preserve">21000.036979/2018-61</t>
  </si>
  <si>
    <t xml:space="preserve">Ciproconazole Técnico Nortox II</t>
  </si>
  <si>
    <t xml:space="preserve">TC06420</t>
  </si>
  <si>
    <t xml:space="preserve">21000.018567/2019-21</t>
  </si>
  <si>
    <t xml:space="preserve">Lufenuron Técnico SC</t>
  </si>
  <si>
    <t xml:space="preserve">TC06520</t>
  </si>
  <si>
    <t xml:space="preserve">21000.015742/2018-47</t>
  </si>
  <si>
    <t xml:space="preserve">Dicamba Técnico CHD'S</t>
  </si>
  <si>
    <t xml:space="preserve">TC06620</t>
  </si>
  <si>
    <t xml:space="preserve">21000.022801/2018-33</t>
  </si>
  <si>
    <t xml:space="preserve">Dicamba Técnico SOGP</t>
  </si>
  <si>
    <t xml:space="preserve">TC06720</t>
  </si>
  <si>
    <t xml:space="preserve">21000.007731/2014-60</t>
  </si>
  <si>
    <t xml:space="preserve">Dicamba Técnico Gharda</t>
  </si>
  <si>
    <t xml:space="preserve">TC06820</t>
  </si>
  <si>
    <t xml:space="preserve">21000.048098/2016-21</t>
  </si>
  <si>
    <t xml:space="preserve">Dicamba Técnico CCAB</t>
  </si>
  <si>
    <t xml:space="preserve">TC06920</t>
  </si>
  <si>
    <t xml:space="preserve">21000.062712/2016-68</t>
  </si>
  <si>
    <t xml:space="preserve">Dicamba Técnico Sulphur Mills</t>
  </si>
  <si>
    <t xml:space="preserve">TC07020</t>
  </si>
  <si>
    <t xml:space="preserve">21000.055398/2016-67</t>
  </si>
  <si>
    <t xml:space="preserve">Dicamba Técnico Monsanto I</t>
  </si>
  <si>
    <t xml:space="preserve">TC07120</t>
  </si>
  <si>
    <t xml:space="preserve">21000.053450/2017-21</t>
  </si>
  <si>
    <t xml:space="preserve">Dicamba Técnico Albaugh GH</t>
  </si>
  <si>
    <t xml:space="preserve">TC07220</t>
  </si>
  <si>
    <t xml:space="preserve">21000.032893/2018-60</t>
  </si>
  <si>
    <t xml:space="preserve">Dicamba Técnico Ouro Fino</t>
  </si>
  <si>
    <t xml:space="preserve">TC07320</t>
  </si>
  <si>
    <t xml:space="preserve">21000.014396/2020-02</t>
  </si>
  <si>
    <t xml:space="preserve">Bifentrina Técnico Ouro Fino</t>
  </si>
  <si>
    <t xml:space="preserve">TC07420</t>
  </si>
  <si>
    <t xml:space="preserve">21000.007410/2014-65</t>
  </si>
  <si>
    <t xml:space="preserve">Azoxistrobina Técnico BRA</t>
  </si>
  <si>
    <t xml:space="preserve">TC07520</t>
  </si>
  <si>
    <t xml:space="preserve">21000.053873/2017-41</t>
  </si>
  <si>
    <t xml:space="preserve">Diquate Técnico Vanon</t>
  </si>
  <si>
    <t xml:space="preserve">TC07620</t>
  </si>
  <si>
    <t xml:space="preserve">21000.027916/2018-14</t>
  </si>
  <si>
    <t xml:space="preserve">Diquat Técnico CCAB III</t>
  </si>
  <si>
    <t xml:space="preserve">TC07720</t>
  </si>
  <si>
    <t xml:space="preserve">21000.042075/2018-75</t>
  </si>
  <si>
    <t xml:space="preserve">Diquat Técnico CropChem II</t>
  </si>
  <si>
    <t xml:space="preserve">TC07820</t>
  </si>
  <si>
    <t xml:space="preserve">21000.044172/2018-01</t>
  </si>
  <si>
    <t xml:space="preserve">Ciproconazol Técnico CHDS</t>
  </si>
  <si>
    <t xml:space="preserve">TC07920</t>
  </si>
  <si>
    <t xml:space="preserve">21000.031444/2019-85</t>
  </si>
  <si>
    <t xml:space="preserve">Mesotrione Técnico Albaugh</t>
  </si>
  <si>
    <t xml:space="preserve">TC08020</t>
  </si>
  <si>
    <t xml:space="preserve">21000.083203/2019-11</t>
  </si>
  <si>
    <t xml:space="preserve">Tebuconazol Técnico Adama 3</t>
  </si>
  <si>
    <t xml:space="preserve">TC08120</t>
  </si>
  <si>
    <t xml:space="preserve">21000.044730/2018-20</t>
  </si>
  <si>
    <t xml:space="preserve">Azoxistrobina Técnico Adama 2</t>
  </si>
  <si>
    <t xml:space="preserve">TC08220</t>
  </si>
  <si>
    <t xml:space="preserve">21000.008129/2014-40</t>
  </si>
  <si>
    <t xml:space="preserve">Bifentrina Técnico BR Cropchem</t>
  </si>
  <si>
    <t xml:space="preserve">TC08320</t>
  </si>
  <si>
    <t xml:space="preserve">21000.007267/2015-92</t>
  </si>
  <si>
    <t xml:space="preserve">Bifenthrin Técnico CCAB</t>
  </si>
  <si>
    <t xml:space="preserve">TC08420</t>
  </si>
  <si>
    <t xml:space="preserve">21000.007360/2013-35</t>
  </si>
  <si>
    <t xml:space="preserve">Bifentrina Técnica Nortox</t>
  </si>
  <si>
    <t xml:space="preserve">TC08520</t>
  </si>
  <si>
    <t xml:space="preserve">21000.007776/2014-34</t>
  </si>
  <si>
    <t xml:space="preserve">Bifenthrin Técnico Bharat</t>
  </si>
  <si>
    <t xml:space="preserve">TC08620</t>
  </si>
  <si>
    <t xml:space="preserve">21000.010826/2019-75</t>
  </si>
  <si>
    <t xml:space="preserve">Thiametoxam Técnico United</t>
  </si>
  <si>
    <t xml:space="preserve">TC08720</t>
  </si>
  <si>
    <t xml:space="preserve">21000.013401/2019-18</t>
  </si>
  <si>
    <t xml:space="preserve">Imidacloprid Yécnico CHD'S</t>
  </si>
  <si>
    <t xml:space="preserve">TC08820</t>
  </si>
  <si>
    <t xml:space="preserve">21000.091742/2019-24</t>
  </si>
  <si>
    <t xml:space="preserve">Acefato Técnico FB</t>
  </si>
  <si>
    <t xml:space="preserve">TC08920</t>
  </si>
  <si>
    <t xml:space="preserve">21000.066268/2019-01</t>
  </si>
  <si>
    <t xml:space="preserve">Diquat Técnico FB</t>
  </si>
  <si>
    <t xml:space="preserve">TC09020</t>
  </si>
  <si>
    <t xml:space="preserve">21000.022470/2020-56</t>
  </si>
  <si>
    <t xml:space="preserve">Diquat Técnico NGC</t>
  </si>
  <si>
    <t xml:space="preserve">TC09120</t>
  </si>
  <si>
    <t xml:space="preserve">21000.040450/2017-61</t>
  </si>
  <si>
    <t xml:space="preserve">Ciproconazol Técnico CJB​</t>
  </si>
  <si>
    <t xml:space="preserve">TC09220</t>
  </si>
  <si>
    <t xml:space="preserve">21000.017864/2016-14</t>
  </si>
  <si>
    <t xml:space="preserve">Dinotefuran Técnico</t>
  </si>
  <si>
    <t xml:space="preserve">Dinotefuran</t>
  </si>
  <si>
    <t xml:space="preserve">TC09320</t>
  </si>
  <si>
    <t xml:space="preserve">21000.001815/2014-90</t>
  </si>
  <si>
    <t xml:space="preserve">Yamato Técnico</t>
  </si>
  <si>
    <t xml:space="preserve">Piroxasulfone</t>
  </si>
  <si>
    <t xml:space="preserve">TC09420</t>
  </si>
  <si>
    <t xml:space="preserve">21000.000903/2014-74</t>
  </si>
  <si>
    <t xml:space="preserve">Metsulfuron-Methyl Técnico RTM</t>
  </si>
  <si>
    <t xml:space="preserve">TC09520</t>
  </si>
  <si>
    <t xml:space="preserve">21000.001792/2014-13</t>
  </si>
  <si>
    <t xml:space="preserve">Bifentrina Ascenza Técnico</t>
  </si>
  <si>
    <t xml:space="preserve">TC09620</t>
  </si>
  <si>
    <t xml:space="preserve">21000.001416/2015-18</t>
  </si>
  <si>
    <t xml:space="preserve">Bifentrina Técnico HB-CropChem</t>
  </si>
  <si>
    <t xml:space="preserve">TC09720</t>
  </si>
  <si>
    <t xml:space="preserve">21000.002180/2015-29</t>
  </si>
  <si>
    <t xml:space="preserve">Metsulfurom Técnico JE-CropChem</t>
  </si>
  <si>
    <t xml:space="preserve">TC09820</t>
  </si>
  <si>
    <t xml:space="preserve">21000.008720/2015-88</t>
  </si>
  <si>
    <t xml:space="preserve">Ciproconazol Técnico Dinagro</t>
  </si>
  <si>
    <t xml:space="preserve">TC09920</t>
  </si>
  <si>
    <t xml:space="preserve">21000.015665/2017-44</t>
  </si>
  <si>
    <t xml:space="preserve">Ciproconazol Técnico PG </t>
  </si>
  <si>
    <t xml:space="preserve">TC10020</t>
  </si>
  <si>
    <t xml:space="preserve">21000.016221/2017-26</t>
  </si>
  <si>
    <t xml:space="preserve">Ciproconazol Técnico Sol</t>
  </si>
  <si>
    <t xml:space="preserve">TC10120</t>
  </si>
  <si>
    <t xml:space="preserve">21000.016218/2017-11</t>
  </si>
  <si>
    <t xml:space="preserve">Ciproconazol China Técnico</t>
  </si>
  <si>
    <t xml:space="preserve">TC10220</t>
  </si>
  <si>
    <t xml:space="preserve">21000.016225/2017-12</t>
  </si>
  <si>
    <t xml:space="preserve">Ciproconazol Técnico PG2</t>
  </si>
  <si>
    <t xml:space="preserve">TC10320</t>
  </si>
  <si>
    <t xml:space="preserve">21000.024265/2017-20</t>
  </si>
  <si>
    <t xml:space="preserve">Cyproconazole Técnico Biorisk</t>
  </si>
  <si>
    <t xml:space="preserve">TC10420</t>
  </si>
  <si>
    <t xml:space="preserve">21000.029241/2017-67</t>
  </si>
  <si>
    <t xml:space="preserve">Ciproconazol Técnico Fersol</t>
  </si>
  <si>
    <t xml:space="preserve">TC10520</t>
  </si>
  <si>
    <t xml:space="preserve">21000.043657/2019-50</t>
  </si>
  <si>
    <t xml:space="preserve">Thiodicarb Técnico SJ</t>
  </si>
  <si>
    <t xml:space="preserve">TC10620</t>
  </si>
  <si>
    <t xml:space="preserve">21000.026710/2019-58</t>
  </si>
  <si>
    <t xml:space="preserve">Lufenuron Técnico Tecnomyl</t>
  </si>
  <si>
    <t xml:space="preserve">TC10720</t>
  </si>
  <si>
    <t xml:space="preserve">21000.055087/2018-60</t>
  </si>
  <si>
    <t xml:space="preserve">Dicamba Técnico Adama Brasil</t>
  </si>
  <si>
    <t xml:space="preserve">TC10820</t>
  </si>
  <si>
    <t xml:space="preserve">21000.008904/2014-67</t>
  </si>
  <si>
    <t xml:space="preserve">Imidacloprido Técnico Adama</t>
  </si>
  <si>
    <t xml:space="preserve">TC10920</t>
  </si>
  <si>
    <t xml:space="preserve">21000.002699/2014-26</t>
  </si>
  <si>
    <t xml:space="preserve">Mepiquat Chloride Técnico RTM</t>
  </si>
  <si>
    <t xml:space="preserve">Cloreto de mepiquate</t>
  </si>
  <si>
    <t xml:space="preserve">TC11020</t>
  </si>
  <si>
    <t xml:space="preserve">21000.010500/2011-91</t>
  </si>
  <si>
    <t xml:space="preserve">Fipronil Tecnico CH</t>
  </si>
  <si>
    <t xml:space="preserve">TC11120</t>
  </si>
  <si>
    <t xml:space="preserve">21000.001645/2014-43</t>
  </si>
  <si>
    <t xml:space="preserve">2,4-D Técnico UPL</t>
  </si>
  <si>
    <t xml:space="preserve">TC11220</t>
  </si>
  <si>
    <t xml:space="preserve">21000.004703/2014-91</t>
  </si>
  <si>
    <t xml:space="preserve">Tiacloprido Tradecorp Técnico</t>
  </si>
  <si>
    <t xml:space="preserve">TC11320</t>
  </si>
  <si>
    <t xml:space="preserve">21000.011800/2019-14</t>
  </si>
  <si>
    <t xml:space="preserve">Thiacloprid Técnico United</t>
  </si>
  <si>
    <t xml:space="preserve">TC11420</t>
  </si>
  <si>
    <t xml:space="preserve">21000.007083/2014-41</t>
  </si>
  <si>
    <t xml:space="preserve">Thiodicarb Técnico RTM</t>
  </si>
  <si>
    <t xml:space="preserve">TC11520</t>
  </si>
  <si>
    <t xml:space="preserve">21000.007565/2014-00</t>
  </si>
  <si>
    <t xml:space="preserve">Tiodicarbe Técnico Ouro Fino</t>
  </si>
  <si>
    <t xml:space="preserve">TC11620</t>
  </si>
  <si>
    <t xml:space="preserve">21000.007869/2014-69</t>
  </si>
  <si>
    <t xml:space="preserve">Tiodicarbe Técnico SN-Cropchem</t>
  </si>
  <si>
    <t xml:space="preserve">TC11720</t>
  </si>
  <si>
    <t xml:space="preserve">21000.008999/2014-19</t>
  </si>
  <si>
    <t xml:space="preserve">Tiodicarbe Técnico BRA</t>
  </si>
  <si>
    <t xml:space="preserve">TC11820</t>
  </si>
  <si>
    <t xml:space="preserve">21000.004519/2020-99</t>
  </si>
  <si>
    <t xml:space="preserve">Bifentrina Técnico MI-BRA</t>
  </si>
  <si>
    <t xml:space="preserve">TC11920</t>
  </si>
  <si>
    <t xml:space="preserve">21000.001764/2015-87</t>
  </si>
  <si>
    <t xml:space="preserve">Metsulfurom-Metílico Técnico Nortox</t>
  </si>
  <si>
    <t xml:space="preserve">TC12020</t>
  </si>
  <si>
    <t xml:space="preserve">21000.008077/2015-92</t>
  </si>
  <si>
    <t xml:space="preserve">Sonda Técnico</t>
  </si>
  <si>
    <t xml:space="preserve">TC12120</t>
  </si>
  <si>
    <t xml:space="preserve">21000.029405/2017-56</t>
  </si>
  <si>
    <t xml:space="preserve">S-Metolacloro Técnico SNB</t>
  </si>
  <si>
    <t xml:space="preserve">TC12220</t>
  </si>
  <si>
    <t xml:space="preserve">21000.004625/2015-26</t>
  </si>
  <si>
    <t xml:space="preserve">Metsulfuron Técnico BRA</t>
  </si>
  <si>
    <t xml:space="preserve">TC12320</t>
  </si>
  <si>
    <t xml:space="preserve">21000.005841/2015-78</t>
  </si>
  <si>
    <t xml:space="preserve">Triclopir-Butotílico Técnico Rainbow</t>
  </si>
  <si>
    <t xml:space="preserve">TC12420</t>
  </si>
  <si>
    <t xml:space="preserve">21000.009563/2017-90</t>
  </si>
  <si>
    <t xml:space="preserve">Trinexapac Técnico CCAB II</t>
  </si>
  <si>
    <t xml:space="preserve">TC12520</t>
  </si>
  <si>
    <t xml:space="preserve">21000.019914/2018-51</t>
  </si>
  <si>
    <t xml:space="preserve">Bifenthrin Técnico Betachem</t>
  </si>
  <si>
    <t xml:space="preserve">TC12620</t>
  </si>
  <si>
    <t xml:space="preserve">21000.051765/2018-15</t>
  </si>
  <si>
    <t xml:space="preserve">Indoxacarb Técnico Jingbo</t>
  </si>
  <si>
    <t xml:space="preserve">Indoxabarbe</t>
  </si>
  <si>
    <t xml:space="preserve">TC12720</t>
  </si>
  <si>
    <t xml:space="preserve">21000.062122/2019-88</t>
  </si>
  <si>
    <t xml:space="preserve">Tebuconazol Técnico Adama 2</t>
  </si>
  <si>
    <t xml:space="preserve">TC12820</t>
  </si>
  <si>
    <t xml:space="preserve">21000.006081/2015-16</t>
  </si>
  <si>
    <t xml:space="preserve">Glufosinato Técnico Wynca</t>
  </si>
  <si>
    <t xml:space="preserve">TC12920</t>
  </si>
  <si>
    <t xml:space="preserve">21000.001402/2014-13</t>
  </si>
  <si>
    <t xml:space="preserve">Simazina Técnico Milenia BR</t>
  </si>
  <si>
    <t xml:space="preserve">TC13020</t>
  </si>
  <si>
    <t xml:space="preserve">21000.043652/2016-84</t>
  </si>
  <si>
    <t xml:space="preserve">Imidacloprido Técnico Rainbow </t>
  </si>
  <si>
    <t xml:space="preserve">TC13120</t>
  </si>
  <si>
    <t xml:space="preserve">21000.025710/2019-31</t>
  </si>
  <si>
    <t xml:space="preserve">Tebuconazole Técnico HH</t>
  </si>
  <si>
    <t xml:space="preserve">TC13220</t>
  </si>
  <si>
    <t xml:space="preserve">21000.006196/2015-19</t>
  </si>
  <si>
    <t xml:space="preserve">Ciproconazol Tecnico OF I</t>
  </si>
  <si>
    <t xml:space="preserve">TC13320</t>
  </si>
  <si>
    <t xml:space="preserve">21000.007819/2014-81</t>
  </si>
  <si>
    <t xml:space="preserve">Trinexapaque-Etílico Técnico OF</t>
  </si>
  <si>
    <t xml:space="preserve">TC13420</t>
  </si>
  <si>
    <t xml:space="preserve">21000.011837/2019-72</t>
  </si>
  <si>
    <t xml:space="preserve">Lamba Cialotrina Técnico Tecnomyl</t>
  </si>
  <si>
    <t xml:space="preserve">TC13520</t>
  </si>
  <si>
    <t xml:space="preserve">21000.054455/2018-52</t>
  </si>
  <si>
    <t xml:space="preserve">Lambda-Cialotrina Técnico Pilarquim</t>
  </si>
  <si>
    <t xml:space="preserve">TC13620</t>
  </si>
  <si>
    <t xml:space="preserve">21000.033643/2017-66</t>
  </si>
  <si>
    <t xml:space="preserve">Diquat Técnico Ihara</t>
  </si>
  <si>
    <t xml:space="preserve">TC13720</t>
  </si>
  <si>
    <t xml:space="preserve">21000.025763/2017-90</t>
  </si>
  <si>
    <t xml:space="preserve">Diquat Técnico Alta</t>
  </si>
  <si>
    <t xml:space="preserve">TC13820</t>
  </si>
  <si>
    <t xml:space="preserve">21000.007228/2015-95</t>
  </si>
  <si>
    <t xml:space="preserve">Diquat Técnico Nortox BR</t>
  </si>
  <si>
    <t xml:space="preserve">TC13920</t>
  </si>
  <si>
    <t xml:space="preserve">21000.004659/2015-08</t>
  </si>
  <si>
    <t xml:space="preserve">Diquat Técnico Agrogill</t>
  </si>
  <si>
    <t xml:space="preserve">TC14020</t>
  </si>
  <si>
    <t xml:space="preserve">21000.002368/2015-77</t>
  </si>
  <si>
    <t xml:space="preserve">Diquate Técnico LA</t>
  </si>
  <si>
    <t xml:space="preserve">TC14120</t>
  </si>
  <si>
    <t xml:space="preserve">Dimethomorph Técnico Rotam</t>
  </si>
  <si>
    <t xml:space="preserve">TC14220</t>
  </si>
  <si>
    <t xml:space="preserve">21000.005556/2018-08</t>
  </si>
  <si>
    <t xml:space="preserve">Dimetomorfe Técnico SD</t>
  </si>
  <si>
    <t xml:space="preserve">TC14320</t>
  </si>
  <si>
    <t xml:space="preserve">21000.008445/2014-11</t>
  </si>
  <si>
    <t xml:space="preserve">Cletodim Técnico Rainbow</t>
  </si>
  <si>
    <t xml:space="preserve">TC14420</t>
  </si>
  <si>
    <t xml:space="preserve">21000.041219/2017-95</t>
  </si>
  <si>
    <t xml:space="preserve">Sulfentrazone A Técnico Helm</t>
  </si>
  <si>
    <t xml:space="preserve">TC14520</t>
  </si>
  <si>
    <t xml:space="preserve">21000.027545/2018-71</t>
  </si>
  <si>
    <t xml:space="preserve">Dicamba Técnico HY-Green</t>
  </si>
  <si>
    <t xml:space="preserve">TC14620</t>
  </si>
  <si>
    <t xml:space="preserve">21000.033336/2019-47</t>
  </si>
  <si>
    <t xml:space="preserve">Dimetomorfe Técnico Nortox II</t>
  </si>
  <si>
    <t xml:space="preserve">TC14720</t>
  </si>
  <si>
    <t xml:space="preserve">21000.006068/2010-52</t>
  </si>
  <si>
    <t xml:space="preserve">Difen Técnico</t>
  </si>
  <si>
    <t xml:space="preserve">TC14820</t>
  </si>
  <si>
    <t xml:space="preserve">21000.007716/2015-01</t>
  </si>
  <si>
    <t xml:space="preserve">Dimetmorfe Técnico Ascenza II</t>
  </si>
  <si>
    <t xml:space="preserve">TC14920</t>
  </si>
  <si>
    <t xml:space="preserve">21000.008672/2015-28</t>
  </si>
  <si>
    <t xml:space="preserve">Triclopir Técnico Adama BR</t>
  </si>
  <si>
    <t xml:space="preserve">TC15020</t>
  </si>
  <si>
    <t xml:space="preserve">21000.045444/2016-10</t>
  </si>
  <si>
    <t xml:space="preserve">Dimetomorfe Técnico Adama</t>
  </si>
  <si>
    <t xml:space="preserve">TC15120</t>
  </si>
  <si>
    <t xml:space="preserve">21000.027924/2017-80</t>
  </si>
  <si>
    <t xml:space="preserve">Sulfentrazone Técnico Nortox II</t>
  </si>
  <si>
    <t xml:space="preserve">TC15220</t>
  </si>
  <si>
    <t xml:space="preserve">21000.004867/2010-94</t>
  </si>
  <si>
    <t xml:space="preserve">Ommi Técnico</t>
  </si>
  <si>
    <t xml:space="preserve">Tolfenpirade</t>
  </si>
  <si>
    <t xml:space="preserve">TC15320</t>
  </si>
  <si>
    <t xml:space="preserve">21000.033215/2018-14</t>
  </si>
  <si>
    <t xml:space="preserve">Diquat Técnico Tecnomyl</t>
  </si>
  <si>
    <t xml:space="preserve">TC15420</t>
  </si>
  <si>
    <t xml:space="preserve">21000.035346/2017-55</t>
  </si>
  <si>
    <t xml:space="preserve">Tebuconazole YH Técnico Helm</t>
  </si>
  <si>
    <t xml:space="preserve">TC15520</t>
  </si>
  <si>
    <t xml:space="preserve">21000.005896/2014-05</t>
  </si>
  <si>
    <t xml:space="preserve">Mesotrione Técnico Nortox Br</t>
  </si>
  <si>
    <t xml:space="preserve">TC15620</t>
  </si>
  <si>
    <t xml:space="preserve">21000.040292/2018-21</t>
  </si>
  <si>
    <t xml:space="preserve">Dibrometo de Diquate Técnico Ada BR</t>
  </si>
  <si>
    <t xml:space="preserve">TC15720</t>
  </si>
  <si>
    <t xml:space="preserve">21000.013203/2017-92</t>
  </si>
  <si>
    <t xml:space="preserve">Flutriafol JS Técnico Helm</t>
  </si>
  <si>
    <t xml:space="preserve">TC15820</t>
  </si>
  <si>
    <t xml:space="preserve">21000.006857/2017-60</t>
  </si>
  <si>
    <t xml:space="preserve">Mesotriona Técnico Adama</t>
  </si>
  <si>
    <t xml:space="preserve">TC15920</t>
  </si>
  <si>
    <t xml:space="preserve">21000.045794/2018-48</t>
  </si>
  <si>
    <t xml:space="preserve">Tiametoxam Técnico Adama Brasil</t>
  </si>
  <si>
    <t xml:space="preserve">TC16020</t>
  </si>
  <si>
    <t xml:space="preserve">21000.003619/2015-31</t>
  </si>
  <si>
    <t xml:space="preserve">Clorpirifós Técnico DS</t>
  </si>
  <si>
    <t xml:space="preserve">TC16120</t>
  </si>
  <si>
    <t xml:space="preserve">21000.049122/2017-21</t>
  </si>
  <si>
    <t xml:space="preserve">Clorpirifós Técnico Alta</t>
  </si>
  <si>
    <t xml:space="preserve">TC16220</t>
  </si>
  <si>
    <t xml:space="preserve">21000.034859/2019-19</t>
  </si>
  <si>
    <t xml:space="preserve">Ciproconazol Técnico NKC</t>
  </si>
  <si>
    <t xml:space="preserve">TC16320</t>
  </si>
  <si>
    <t xml:space="preserve">21000.008590/2014-01</t>
  </si>
  <si>
    <t xml:space="preserve">Mesotriona Técnico SD</t>
  </si>
  <si>
    <t xml:space="preserve">TC16420</t>
  </si>
  <si>
    <t xml:space="preserve">21000.003656/2014-68</t>
  </si>
  <si>
    <t xml:space="preserve">Tebuconazole Técnico RdB</t>
  </si>
  <si>
    <t xml:space="preserve">TC16520</t>
  </si>
  <si>
    <t xml:space="preserve">21000.046873/2017-95</t>
  </si>
  <si>
    <t xml:space="preserve">Diquat Técnico CCAB II</t>
  </si>
  <si>
    <t xml:space="preserve">TC16620</t>
  </si>
  <si>
    <t xml:space="preserve">21000.042618/2019-35</t>
  </si>
  <si>
    <t xml:space="preserve">Acetamiprid Técnico SJ</t>
  </si>
  <si>
    <t xml:space="preserve">TC16720</t>
  </si>
  <si>
    <t xml:space="preserve">21000.002588/2015-09</t>
  </si>
  <si>
    <t xml:space="preserve">Mesotrione Técnico Oxon</t>
  </si>
  <si>
    <t xml:space="preserve">TC16820</t>
  </si>
  <si>
    <t xml:space="preserve">21000.009045/2014-23</t>
  </si>
  <si>
    <t xml:space="preserve">Clorpirifós Técnico LA</t>
  </si>
  <si>
    <t xml:space="preserve">TC16920</t>
  </si>
  <si>
    <t xml:space="preserve">21000.013494/2020-14</t>
  </si>
  <si>
    <t xml:space="preserve">Acetamiprid Técnico D'Verde</t>
  </si>
  <si>
    <t xml:space="preserve">TC17020</t>
  </si>
  <si>
    <t xml:space="preserve">21000.052538/2018-15</t>
  </si>
  <si>
    <t xml:space="preserve">Clorpirifós Técnico SGC</t>
  </si>
  <si>
    <t xml:space="preserve">TC17120</t>
  </si>
  <si>
    <t xml:space="preserve">21000.001473/2009-41</t>
  </si>
  <si>
    <t xml:space="preserve">Thiencarbazone Methyl Técnico</t>
  </si>
  <si>
    <t xml:space="preserve">Tiencarbazona</t>
  </si>
  <si>
    <t xml:space="preserve">TC17220</t>
  </si>
  <si>
    <t xml:space="preserve">21000.002250/2013-87</t>
  </si>
  <si>
    <t xml:space="preserve">Fenpyrazamine Técnico</t>
  </si>
  <si>
    <t xml:space="preserve">Fenpirazamina</t>
  </si>
  <si>
    <t xml:space="preserve">21000.002907/2015-78</t>
  </si>
  <si>
    <t xml:space="preserve">Glucare</t>
  </si>
  <si>
    <t xml:space="preserve">21000.024554/2016-48</t>
  </si>
  <si>
    <t xml:space="preserve">Malathion CCAB 1170 UL</t>
  </si>
  <si>
    <t xml:space="preserve">21000.054222/2017-79</t>
  </si>
  <si>
    <t xml:space="preserve">CoriscoBR</t>
  </si>
  <si>
    <t xml:space="preserve">21000.040398/2019-13</t>
  </si>
  <si>
    <t xml:space="preserve">BF 20.001</t>
  </si>
  <si>
    <t xml:space="preserve">Trichoderma harzianum; Trichoderma asperellum; Bacillus amyloliquefaciens</t>
  </si>
  <si>
    <t xml:space="preserve">21000.036792/2019-49</t>
  </si>
  <si>
    <t xml:space="preserve">BF 10.001/17</t>
  </si>
  <si>
    <t xml:space="preserve">21000.026100/2016-10</t>
  </si>
  <si>
    <t xml:space="preserve">Diador</t>
  </si>
  <si>
    <t xml:space="preserve">21000.049013/2017-11</t>
  </si>
  <si>
    <t xml:space="preserve">Inodozeb 750 WG  </t>
  </si>
  <si>
    <t xml:space="preserve">21000.059210/2016-50</t>
  </si>
  <si>
    <t xml:space="preserve">Mesopec</t>
  </si>
  <si>
    <t xml:space="preserve">21000.009725/2013-66</t>
  </si>
  <si>
    <t xml:space="preserve">Minecto Pro  </t>
  </si>
  <si>
    <t xml:space="preserve">21000.008439/2014-64</t>
  </si>
  <si>
    <t xml:space="preserve">Sunward  </t>
  </si>
  <si>
    <t xml:space="preserve">21000.007487/2013-54</t>
  </si>
  <si>
    <t xml:space="preserve"> Aviate 250 SC </t>
  </si>
  <si>
    <t xml:space="preserve">21000.002206/2015-39</t>
  </si>
  <si>
    <t xml:space="preserve">Masterole</t>
  </si>
  <si>
    <t xml:space="preserve">21000.006626/2015-94</t>
  </si>
  <si>
    <t xml:space="preserve">Esteio</t>
  </si>
  <si>
    <t xml:space="preserve">21000.008769/2015-31</t>
  </si>
  <si>
    <t xml:space="preserve">Abaday</t>
  </si>
  <si>
    <t xml:space="preserve">Lufenurom; Tiodicarbe</t>
  </si>
  <si>
    <t xml:space="preserve">Nufarm</t>
  </si>
  <si>
    <t xml:space="preserve">21000.010316/2012-21</t>
  </si>
  <si>
    <t xml:space="preserve">Bravonil Top</t>
  </si>
  <si>
    <t xml:space="preserve">Clorotalonil; Difenoconazol</t>
  </si>
  <si>
    <t xml:space="preserve">21000.059035/2019-43</t>
  </si>
  <si>
    <t xml:space="preserve">Aradya</t>
  </si>
  <si>
    <t xml:space="preserve">Gênica Inovação</t>
  </si>
  <si>
    <t xml:space="preserve">21000.040400/2019-46</t>
  </si>
  <si>
    <t xml:space="preserve">Tanus</t>
  </si>
  <si>
    <t xml:space="preserve">21000.036495/2016-51</t>
  </si>
  <si>
    <t xml:space="preserve">Danadim</t>
  </si>
  <si>
    <t xml:space="preserve">21000.015696/2018-86</t>
  </si>
  <si>
    <t xml:space="preserve">Zambra</t>
  </si>
  <si>
    <t xml:space="preserve">21000.010515/2011-59</t>
  </si>
  <si>
    <t xml:space="preserve">Sonnis</t>
  </si>
  <si>
    <t xml:space="preserve">S-metolacloro; Hexazinona</t>
  </si>
  <si>
    <t xml:space="preserve">21000.004034/2011-12</t>
  </si>
  <si>
    <t xml:space="preserve">Chaparral</t>
  </si>
  <si>
    <t xml:space="preserve">Aminopiralide; Metsulfurom-metílico</t>
  </si>
  <si>
    <t xml:space="preserve">21000.003031/2017-49</t>
  </si>
  <si>
    <t xml:space="preserve">Provisia 50 EC  </t>
  </si>
  <si>
    <t xml:space="preserve">21000.060261/2019-77</t>
  </si>
  <si>
    <t xml:space="preserve">Bacmix BTKSC </t>
  </si>
  <si>
    <t xml:space="preserve">21000.005527/2013-23</t>
  </si>
  <si>
    <t xml:space="preserve">Survey 250 FS </t>
  </si>
  <si>
    <t xml:space="preserve">21000.033410/2018-44</t>
  </si>
  <si>
    <t xml:space="preserve">Sluggo  </t>
  </si>
  <si>
    <t xml:space="preserve">Fosfato Férrico​</t>
  </si>
  <si>
    <t xml:space="preserve">W. Neudorff</t>
  </si>
  <si>
    <t xml:space="preserve">21000.059159/2016-86</t>
  </si>
  <si>
    <t xml:space="preserve">Hangar</t>
  </si>
  <si>
    <t xml:space="preserve">21000.015951/2016-29</t>
  </si>
  <si>
    <t xml:space="preserve">Limpa</t>
  </si>
  <si>
    <t xml:space="preserve">BRA Defensivos</t>
  </si>
  <si>
    <t xml:space="preserve">21000.004050/2014-40</t>
  </si>
  <si>
    <t xml:space="preserve">2,4-D Nortox 970 WG</t>
  </si>
  <si>
    <t xml:space="preserve">21000.009959/2012-22</t>
  </si>
  <si>
    <t xml:space="preserve">Hexazinona Tradecorp 250 SL</t>
  </si>
  <si>
    <t xml:space="preserve">21000.031010/2019-85</t>
  </si>
  <si>
    <t xml:space="preserve">Vitality</t>
  </si>
  <si>
    <t xml:space="preserve">21000.031015/2019-16</t>
  </si>
  <si>
    <t xml:space="preserve">Subt</t>
  </si>
  <si>
    <t xml:space="preserve">21000.031019/2019-96</t>
  </si>
  <si>
    <t xml:space="preserve">Imune III</t>
  </si>
  <si>
    <t xml:space="preserve">21000.031026/2019-98</t>
  </si>
  <si>
    <t xml:space="preserve">Biobaci III</t>
  </si>
  <si>
    <t xml:space="preserve">21000.031028/2019-87</t>
  </si>
  <si>
    <t xml:space="preserve">Amys</t>
  </si>
  <si>
    <t xml:space="preserve">21000.037416/2019-71</t>
  </si>
  <si>
    <t xml:space="preserve"> Amblymip</t>
  </si>
  <si>
    <t xml:space="preserve">Amblyseius tamatavensis </t>
  </si>
  <si>
    <t xml:space="preserve">21000.062272/2019-91</t>
  </si>
  <si>
    <t xml:space="preserve">Vigga</t>
  </si>
  <si>
    <t xml:space="preserve">Extrato de Alho </t>
  </si>
  <si>
    <t xml:space="preserve">Omex</t>
  </si>
  <si>
    <t xml:space="preserve">21000.019351/2016-30</t>
  </si>
  <si>
    <t xml:space="preserve">Sulfentrazone 500 SC Tagros</t>
  </si>
  <si>
    <t xml:space="preserve">21000.031016/2019-52</t>
  </si>
  <si>
    <t xml:space="preserve">Nema III</t>
  </si>
  <si>
    <t xml:space="preserve">21000.031024/2019-07</t>
  </si>
  <si>
    <t xml:space="preserve">Bug-Killer</t>
  </si>
  <si>
    <t xml:space="preserve">21000.039056/2018-61</t>
  </si>
  <si>
    <t xml:space="preserve">Bassi Control</t>
  </si>
  <si>
    <t xml:space="preserve">Innova Ltda.</t>
  </si>
  <si>
    <t xml:space="preserve">21000.054227/2017-00</t>
  </si>
  <si>
    <t xml:space="preserve">Off Road</t>
  </si>
  <si>
    <t xml:space="preserve">21000.031018/2019-41</t>
  </si>
  <si>
    <t xml:space="preserve">Meta III</t>
  </si>
  <si>
    <t xml:space="preserve">21000.004207/2013-56</t>
  </si>
  <si>
    <t xml:space="preserve">Tordon Ultra</t>
  </si>
  <si>
    <t xml:space="preserve">21000.005469/2013-38</t>
  </si>
  <si>
    <t xml:space="preserve">Tronador Ultra</t>
  </si>
  <si>
    <t xml:space="preserve">21000.006068/2013-03</t>
  </si>
  <si>
    <t xml:space="preserve">Synero Ultra</t>
  </si>
  <si>
    <t xml:space="preserve">21000.006069/2013-40</t>
  </si>
  <si>
    <t xml:space="preserve">Disparo Ultra</t>
  </si>
  <si>
    <t xml:space="preserve">21000.008196/2013-83</t>
  </si>
  <si>
    <t xml:space="preserve">Kaptron</t>
  </si>
  <si>
    <t xml:space="preserve">Aminopiralide; Picloram; Fluroxipir-Meptílico</t>
  </si>
  <si>
    <t xml:space="preserve">21000.008653/2013-30</t>
  </si>
  <si>
    <t xml:space="preserve">Destro</t>
  </si>
  <si>
    <t xml:space="preserve">21000.008654/2013-84</t>
  </si>
  <si>
    <t xml:space="preserve">Livra</t>
  </si>
  <si>
    <t xml:space="preserve">21000.026944/2018-14</t>
  </si>
  <si>
    <t xml:space="preserve">Btfert</t>
  </si>
  <si>
    <t xml:space="preserve">Micro-Bio</t>
  </si>
  <si>
    <t xml:space="preserve">21000.035570/2019-17</t>
  </si>
  <si>
    <t xml:space="preserve">Green Muscardine</t>
  </si>
  <si>
    <t xml:space="preserve">21000.060125/2019-87</t>
  </si>
  <si>
    <t xml:space="preserve">Duocontrol</t>
  </si>
  <si>
    <t xml:space="preserve"> Beauveria bassiana; Metarhizium anisopliae</t>
  </si>
  <si>
    <t xml:space="preserve">21000.021379/2019-80</t>
  </si>
  <si>
    <t xml:space="preserve">Exilis</t>
  </si>
  <si>
    <t xml:space="preserve">21000.036419/2019-98</t>
  </si>
  <si>
    <t xml:space="preserve">Fal 1780</t>
  </si>
  <si>
    <t xml:space="preserve">21000.060260/2019-22</t>
  </si>
  <si>
    <t xml:space="preserve">Biometa</t>
  </si>
  <si>
    <t xml:space="preserve">21000.003807/2013-05</t>
  </si>
  <si>
    <t xml:space="preserve">Jaguar Ultra</t>
  </si>
  <si>
    <t xml:space="preserve">21000.004206/2013-10</t>
  </si>
  <si>
    <t xml:space="preserve">Palace Ultra</t>
  </si>
  <si>
    <t xml:space="preserve">21000.005051/2010-88</t>
  </si>
  <si>
    <t xml:space="preserve">Prowl H2O</t>
  </si>
  <si>
    <t xml:space="preserve">Pendimetalina</t>
  </si>
  <si>
    <t xml:space="preserve">21000.005418/2014-97</t>
  </si>
  <si>
    <t xml:space="preserve">Abamectin Nortox 400 WG</t>
  </si>
  <si>
    <t xml:space="preserve">21000.006046/2012-54</t>
  </si>
  <si>
    <t xml:space="preserve">Sirtaki 500 EC</t>
  </si>
  <si>
    <t xml:space="preserve">21000.010118/2013-49</t>
  </si>
  <si>
    <t xml:space="preserve">Krugar 250 SL</t>
  </si>
  <si>
    <t xml:space="preserve">Rotam do Brasil</t>
  </si>
  <si>
    <t xml:space="preserve">21000.087642/2019-01</t>
  </si>
  <si>
    <t xml:space="preserve">Bms Max</t>
  </si>
  <si>
    <t xml:space="preserve">Metarhizium anisopliae; Beauveria bassiana</t>
  </si>
  <si>
    <t xml:space="preserve">21000.031014/2019-63</t>
  </si>
  <si>
    <t xml:space="preserve">Tricho III</t>
  </si>
  <si>
    <t xml:space="preserve">21000.023423/2016-43</t>
  </si>
  <si>
    <t xml:space="preserve">Entone  </t>
  </si>
  <si>
    <t xml:space="preserve">21000.009067/2010-60</t>
  </si>
  <si>
    <t xml:space="preserve">Horos EC</t>
  </si>
  <si>
    <t xml:space="preserve">Tebuconazol; Picoxistrobina</t>
  </si>
  <si>
    <t xml:space="preserve">21000.008916/2011-49</t>
  </si>
  <si>
    <t xml:space="preserve">Slogan</t>
  </si>
  <si>
    <t xml:space="preserve">Picloram; Fluroxipir-meptílico </t>
  </si>
  <si>
    <t xml:space="preserve">21000.008870/2014-19</t>
  </si>
  <si>
    <t xml:space="preserve">Tiofanato CCAB 500 SC</t>
  </si>
  <si>
    <t xml:space="preserve">21000.008483/2014-74</t>
  </si>
  <si>
    <t xml:space="preserve">Indoxacarb 15 SC Gharda</t>
  </si>
  <si>
    <t xml:space="preserve">21000.008475/2014-28</t>
  </si>
  <si>
    <t xml:space="preserve">Indoxacarb CCAB 150 SC</t>
  </si>
  <si>
    <t xml:space="preserve">21000.008444/2014-77</t>
  </si>
  <si>
    <t xml:space="preserve">Sunpass</t>
  </si>
  <si>
    <t xml:space="preserve">21000.007684/2010-21</t>
  </si>
  <si>
    <t xml:space="preserve">Acronis FS</t>
  </si>
  <si>
    <t xml:space="preserve">Piraclostrobina; Tiofanato Metílico</t>
  </si>
  <si>
    <t xml:space="preserve">21000.004194/2013-15</t>
  </si>
  <si>
    <t xml:space="preserve">Dazin</t>
  </si>
  <si>
    <t xml:space="preserve">21000.003274/2012-72</t>
  </si>
  <si>
    <t xml:space="preserve">Desali 150 EC</t>
  </si>
  <si>
    <t xml:space="preserve">Benzovindiflupir; Azoxistrobina</t>
  </si>
  <si>
    <t xml:space="preserve">21000.003102/2015-41</t>
  </si>
  <si>
    <t xml:space="preserve">Bastnate</t>
  </si>
  <si>
    <t xml:space="preserve">21000.002973/2013-86</t>
  </si>
  <si>
    <t xml:space="preserve">Shopra 806 SL</t>
  </si>
  <si>
    <t xml:space="preserve">21000.051480/2017-01</t>
  </si>
  <si>
    <t xml:space="preserve">Aumenax</t>
  </si>
  <si>
    <t xml:space="preserve">Fluxapiroxade; Oxicloreto de Cobre</t>
  </si>
  <si>
    <t xml:space="preserve">21000.021385/2019-37</t>
  </si>
  <si>
    <t xml:space="preserve">Perlan</t>
  </si>
  <si>
    <t xml:space="preserve">Ácido Giberélico; Benziladenina</t>
  </si>
  <si>
    <t xml:space="preserve">21000.007990/2017-33</t>
  </si>
  <si>
    <t xml:space="preserve">Listar</t>
  </si>
  <si>
    <t xml:space="preserve">21000.006462/2014-14</t>
  </si>
  <si>
    <t xml:space="preserve">Megasato 480 SL</t>
  </si>
  <si>
    <t xml:space="preserve">21000.005875/2015-62</t>
  </si>
  <si>
    <t xml:space="preserve">Atectra SL</t>
  </si>
  <si>
    <t xml:space="preserve">21000.003101/2015-05</t>
  </si>
  <si>
    <t xml:space="preserve">Glufair</t>
  </si>
  <si>
    <t xml:space="preserve">21000.001840/2020-11</t>
  </si>
  <si>
    <t xml:space="preserve">Bovettus Org</t>
  </si>
  <si>
    <t xml:space="preserve">21000.004331/2010-79</t>
  </si>
  <si>
    <t xml:space="preserve">Acapela</t>
  </si>
  <si>
    <t xml:space="preserve">21000.070222/2019-88</t>
  </si>
  <si>
    <t xml:space="preserve">Romeo SC</t>
  </si>
  <si>
    <t xml:space="preserve">Saccharomyces cerevisiae</t>
  </si>
  <si>
    <t xml:space="preserve">21000.002249/2008-95</t>
  </si>
  <si>
    <t xml:space="preserve">Klinner</t>
  </si>
  <si>
    <t xml:space="preserve">Carbedazim; Tebuconazol</t>
  </si>
  <si>
    <t xml:space="preserve">21000.010938/2011-79</t>
  </si>
  <si>
    <t xml:space="preserve">Curanza 600 FS Pro</t>
  </si>
  <si>
    <t xml:space="preserve">21000.054132/2018-69</t>
  </si>
  <si>
    <t xml:space="preserve">Vacciplant</t>
  </si>
  <si>
    <r>
      <rPr>
        <sz val="11"/>
        <color rgb="FF000066"/>
        <rFont val="Arial"/>
        <family val="2"/>
        <charset val="1"/>
      </rPr>
      <t xml:space="preserve">Laminarina (Extrato da alga</t>
    </r>
    <r>
      <rPr>
        <i val="true"/>
        <sz val="11"/>
        <color rgb="FF000066"/>
        <rFont val="Arial"/>
        <family val="2"/>
        <charset val="1"/>
      </rPr>
      <t xml:space="preserve"> Laminaria digitata</t>
    </r>
    <r>
      <rPr>
        <sz val="11"/>
        <color rgb="FF000066"/>
        <rFont val="Arial"/>
        <family val="2"/>
        <charset val="1"/>
      </rPr>
      <t xml:space="preserve">)</t>
    </r>
  </si>
  <si>
    <t xml:space="preserve">21000.040614/2016-70</t>
  </si>
  <si>
    <t xml:space="preserve">Plethora BR  </t>
  </si>
  <si>
    <t xml:space="preserve">Indoxacarbe; Novalurom</t>
  </si>
  <si>
    <t xml:space="preserve">21000.059033/2019-54</t>
  </si>
  <si>
    <t xml:space="preserve">Latria</t>
  </si>
  <si>
    <t xml:space="preserve">21000.004590/2011-81</t>
  </si>
  <si>
    <t xml:space="preserve">Acapela BR</t>
  </si>
  <si>
    <t xml:space="preserve">21000.007080/2011-65</t>
  </si>
  <si>
    <t xml:space="preserve">​Simazina 500 SC Rainbow</t>
  </si>
  <si>
    <t xml:space="preserve">21000.007648/2011-48</t>
  </si>
  <si>
    <t xml:space="preserve">Raster</t>
  </si>
  <si>
    <t xml:space="preserve">Cialofope-Butílico; Penoxsulam</t>
  </si>
  <si>
    <t xml:space="preserve">21000.023996/2017-58</t>
  </si>
  <si>
    <t xml:space="preserve">Ofek-Turbo</t>
  </si>
  <si>
    <t xml:space="preserve">21000.020598/2016-07</t>
  </si>
  <si>
    <t xml:space="preserve">Dk Max</t>
  </si>
  <si>
    <t xml:space="preserve">Zhongshan Química</t>
  </si>
  <si>
    <t xml:space="preserve">21000.008805/2019-90</t>
  </si>
  <si>
    <t xml:space="preserve">B.fresh</t>
  </si>
  <si>
    <t xml:space="preserve">21000.008314/2014-34</t>
  </si>
  <si>
    <t xml:space="preserve">Sunaim</t>
  </si>
  <si>
    <t xml:space="preserve">21000.008121/2010-50</t>
  </si>
  <si>
    <t xml:space="preserve">Fullmuron</t>
  </si>
  <si>
    <t xml:space="preserve">21000.008520/2014-44</t>
  </si>
  <si>
    <t xml:space="preserve">Surrena</t>
  </si>
  <si>
    <t xml:space="preserve">21000.009863/2013-45</t>
  </si>
  <si>
    <t xml:space="preserve">Vaporpho3os Phosphine Fumigant</t>
  </si>
  <si>
    <t xml:space="preserve">Fosfina</t>
  </si>
  <si>
    <t xml:space="preserve">21000.072018/2019-00</t>
  </si>
  <si>
    <t xml:space="preserve">Vircontrol C.i </t>
  </si>
  <si>
    <r>
      <rPr>
        <i val="true"/>
        <sz val="11"/>
        <color rgb="FF000066"/>
        <rFont val="Arial"/>
        <family val="2"/>
        <charset val="1"/>
      </rPr>
      <t xml:space="preserve">Chrysodeixis includens</t>
    </r>
    <r>
      <rPr>
        <sz val="11"/>
        <color rgb="FF000066"/>
        <rFont val="Arial"/>
        <family val="2"/>
        <charset val="1"/>
      </rPr>
      <t xml:space="preserve"> multiple nucleopolyhedrovirus (ChinMNPV)</t>
    </r>
  </si>
  <si>
    <t xml:space="preserve">21000.000039/2016-72</t>
  </si>
  <si>
    <t xml:space="preserve">Banjo Adama</t>
  </si>
  <si>
    <t xml:space="preserve">21000.005842/2015-12</t>
  </si>
  <si>
    <t xml:space="preserve"> Rainvel Xtra</t>
  </si>
  <si>
    <t xml:space="preserve">21000.006322/2013-65</t>
  </si>
  <si>
    <t xml:space="preserve">Terius</t>
  </si>
  <si>
    <t xml:space="preserve">21000.034676/2016-42</t>
  </si>
  <si>
    <t xml:space="preserve">Graduate A+  ​</t>
  </si>
  <si>
    <t xml:space="preserve">Azoxistrobina; Fludioxonil</t>
  </si>
  <si>
    <t xml:space="preserve">21000.006496/2017-51</t>
  </si>
  <si>
    <t xml:space="preserve">Glufosinato - Sal de Amônio Sapec 200 SL</t>
  </si>
  <si>
    <t xml:space="preserve">21000.005842/2020-80</t>
  </si>
  <si>
    <t xml:space="preserve">Mesopel Mix</t>
  </si>
  <si>
    <t xml:space="preserve">Dillon Biotecnologia</t>
  </si>
  <si>
    <t xml:space="preserve">21000.019946/2018-57</t>
  </si>
  <si>
    <t xml:space="preserve">Blavity</t>
  </si>
  <si>
    <t xml:space="preserve"> Fluxapiroxade; Protioconazol </t>
  </si>
  <si>
    <t xml:space="preserve">21000.031662/2016-77</t>
  </si>
  <si>
    <t xml:space="preserve">Unânime BR</t>
  </si>
  <si>
    <t xml:space="preserve">21000.037926/2018-68</t>
  </si>
  <si>
    <t xml:space="preserve">GrandeBR Ultra</t>
  </si>
  <si>
    <t xml:space="preserve">21000.048256/2016-43</t>
  </si>
  <si>
    <t xml:space="preserve">Paclot</t>
  </si>
  <si>
    <t xml:space="preserve">21000.003739/2010-23</t>
  </si>
  <si>
    <t xml:space="preserve">Domark Pro</t>
  </si>
  <si>
    <t xml:space="preserve">Tetraconazol; Carbendazim  </t>
  </si>
  <si>
    <t xml:space="preserve">21000.005256/2013-14</t>
  </si>
  <si>
    <t xml:space="preserve">Survey 800 WG</t>
  </si>
  <si>
    <t xml:space="preserve">21000.008336/2017-47</t>
  </si>
  <si>
    <t xml:space="preserve">Fipronil 800 WG CCAB</t>
  </si>
  <si>
    <t xml:space="preserve">21000.007770/2010-33</t>
  </si>
  <si>
    <t xml:space="preserve">Pendulum Aqua  </t>
  </si>
  <si>
    <t xml:space="preserve">21000.007181/2019-93</t>
  </si>
  <si>
    <t xml:space="preserve">Kombat</t>
  </si>
  <si>
    <t xml:space="preserve">21000.009042/2019-02</t>
  </si>
  <si>
    <t xml:space="preserve">Baknem </t>
  </si>
  <si>
    <t xml:space="preserve">21000.009048/2019-71</t>
  </si>
  <si>
    <t xml:space="preserve">Konem</t>
  </si>
  <si>
    <t xml:space="preserve">21000.032774/2016-45</t>
  </si>
  <si>
    <t xml:space="preserve">Trigger 240 SC</t>
  </si>
  <si>
    <t xml:space="preserve">21000.073374/2019-32</t>
  </si>
  <si>
    <t xml:space="preserve">Biobassi</t>
  </si>
  <si>
    <t xml:space="preserve">21000.052329/2017-82</t>
  </si>
  <si>
    <t xml:space="preserve">Iprodione Nortox</t>
  </si>
  <si>
    <t xml:space="preserve">21000.007644/2014-11</t>
  </si>
  <si>
    <t xml:space="preserve"> Viriato</t>
  </si>
  <si>
    <t xml:space="preserve">Hexitiazoxi </t>
  </si>
  <si>
    <t xml:space="preserve">21000.090213/2019-11</t>
  </si>
  <si>
    <t xml:space="preserve">Aveo EZ</t>
  </si>
  <si>
    <t xml:space="preserve">21000.090211/2019-14</t>
  </si>
  <si>
    <t xml:space="preserve">Lumialza</t>
  </si>
  <si>
    <t xml:space="preserve">21000.053857/2017-59</t>
  </si>
  <si>
    <t xml:space="preserve">UPL 3024 FP  </t>
  </si>
  <si>
    <t xml:space="preserve">Glufosinato - Sal de Amônio; S-Metolacloro</t>
  </si>
  <si>
    <t xml:space="preserve">21000.026133/2017-32</t>
  </si>
  <si>
    <t xml:space="preserve">Dk Plus   </t>
  </si>
  <si>
    <t xml:space="preserve">21000.011593/2010-90</t>
  </si>
  <si>
    <t xml:space="preserve">Chrome Sinon  </t>
  </si>
  <si>
    <t xml:space="preserve">21000.011126/2016-55</t>
  </si>
  <si>
    <t xml:space="preserve">Bifenmax​</t>
  </si>
  <si>
    <t xml:space="preserve">21000.010784/2012-04</t>
  </si>
  <si>
    <t xml:space="preserve">Atrazina 900 WG Alamos</t>
  </si>
  <si>
    <t xml:space="preserve">21000.009245/2013-03</t>
  </si>
  <si>
    <t xml:space="preserve">Afinal  </t>
  </si>
  <si>
    <t xml:space="preserve">21000.007386/2015-45</t>
  </si>
  <si>
    <t xml:space="preserve">Diafentiuron Nortox  </t>
  </si>
  <si>
    <t xml:space="preserve">21000.005373/2020-07</t>
  </si>
  <si>
    <t xml:space="preserve">Stimucontrol Evolution</t>
  </si>
  <si>
    <t xml:space="preserve">21000.001430/2012-61</t>
  </si>
  <si>
    <t xml:space="preserve">Bim Max  </t>
  </si>
  <si>
    <t xml:space="preserve">Triciclazol; Tebuconazole  </t>
  </si>
  <si>
    <t xml:space="preserve">21000.000976/2015-47</t>
  </si>
  <si>
    <t xml:space="preserve">Aproach Power</t>
  </si>
  <si>
    <t xml:space="preserve">21000.001644/2013-18</t>
  </si>
  <si>
    <t xml:space="preserve">Clorimurom 250 WG Rainbow</t>
  </si>
  <si>
    <t xml:space="preserve">21000.001764/2013-15</t>
  </si>
  <si>
    <t xml:space="preserve">Climur</t>
  </si>
  <si>
    <t xml:space="preserve">21000.002978/2013-17</t>
  </si>
  <si>
    <t xml:space="preserve">Velbow</t>
  </si>
  <si>
    <t xml:space="preserve">21000.003590/2020-54</t>
  </si>
  <si>
    <t xml:space="preserve">Bioexos</t>
  </si>
  <si>
    <r>
      <rPr>
        <i val="true"/>
        <sz val="11"/>
        <color rgb="FF000066"/>
        <rFont val="Arial"/>
        <family val="2"/>
        <charset val="1"/>
      </rPr>
      <t xml:space="preserve">Azadirachta indica</t>
    </r>
    <r>
      <rPr>
        <sz val="11"/>
        <color rgb="FF000066"/>
        <rFont val="Arial"/>
        <family val="2"/>
        <charset val="1"/>
      </rPr>
      <t xml:space="preserve"> (Óleo de neem)</t>
    </r>
  </si>
  <si>
    <t xml:space="preserve">21000.004957/2012-47</t>
  </si>
  <si>
    <t xml:space="preserve">Standak Top UBS</t>
  </si>
  <si>
    <t xml:space="preserve">Piraclostrobina; Tiofanato-Metílico; Fipronil</t>
  </si>
  <si>
    <t xml:space="preserve">21000.010466/2011-54</t>
  </si>
  <si>
    <t xml:space="preserve">Optill</t>
  </si>
  <si>
    <t xml:space="preserve">Saflufenacil; Imazetapir  </t>
  </si>
  <si>
    <t xml:space="preserve">21000.015690/2020-23</t>
  </si>
  <si>
    <t xml:space="preserve">Mettus Org</t>
  </si>
  <si>
    <t xml:space="preserve">21000.064956/2019-28</t>
  </si>
  <si>
    <t xml:space="preserve">Vir Protection</t>
  </si>
  <si>
    <r>
      <rPr>
        <i val="true"/>
        <sz val="11"/>
        <color rgb="FF000066"/>
        <rFont val="Arial"/>
        <family val="2"/>
        <charset val="1"/>
      </rPr>
      <t xml:space="preserve">Spodoptera frugiperda </t>
    </r>
    <r>
      <rPr>
        <sz val="11"/>
        <color rgb="FF000066"/>
        <rFont val="Arial"/>
        <family val="2"/>
        <charset val="1"/>
      </rPr>
      <t xml:space="preserve">multiple nucleopolyhedrovirus</t>
    </r>
  </si>
  <si>
    <t xml:space="preserve">21000.058666/2019-45</t>
  </si>
  <si>
    <t xml:space="preserve">BI2002/17​ </t>
  </si>
  <si>
    <t xml:space="preserve">21000.008183/2010-61</t>
  </si>
  <si>
    <t xml:space="preserve">Trop M</t>
  </si>
  <si>
    <t xml:space="preserve">Glifosato  </t>
  </si>
  <si>
    <t xml:space="preserve">21000.008216/2013-16</t>
  </si>
  <si>
    <t xml:space="preserve">Carimbo 500 EC</t>
  </si>
  <si>
    <t xml:space="preserve">21000.010327/2013-92</t>
  </si>
  <si>
    <t xml:space="preserve">Tebutiuron Nortox  </t>
  </si>
  <si>
    <t xml:space="preserve">21000.091918/2019-48</t>
  </si>
  <si>
    <t xml:space="preserve">Cotésia Biocamp</t>
  </si>
  <si>
    <t xml:space="preserve">Laboratório Biocamp</t>
  </si>
  <si>
    <t xml:space="preserve">21000.060497/2019-11</t>
  </si>
  <si>
    <t xml:space="preserve">BI73.002/17  </t>
  </si>
  <si>
    <t xml:space="preserve">21000.008840/2012-32</t>
  </si>
  <si>
    <t xml:space="preserve">Cordon WP</t>
  </si>
  <si>
    <t xml:space="preserve">Mancozebe; Cimoxanil </t>
  </si>
  <si>
    <t xml:space="preserve">21000.007034/2013-28</t>
  </si>
  <si>
    <t xml:space="preserve">Encke</t>
  </si>
  <si>
    <t xml:space="preserve">21000.016574/2020-21</t>
  </si>
  <si>
    <t xml:space="preserve">Isacontrol</t>
  </si>
  <si>
    <t xml:space="preserve">21000.012605/2020-75</t>
  </si>
  <si>
    <t xml:space="preserve">Furatrop</t>
  </si>
  <si>
    <t xml:space="preserve">21000.002235/2014-10</t>
  </si>
  <si>
    <t xml:space="preserve">Yamato</t>
  </si>
  <si>
    <t xml:space="preserve">21000.003083/2015-53</t>
  </si>
  <si>
    <t xml:space="preserve">Kyojin</t>
  </si>
  <si>
    <t xml:space="preserve">Piroxasulfone; Flumioxazina  </t>
  </si>
  <si>
    <t xml:space="preserve">21000.007365/2015-20</t>
  </si>
  <si>
    <t xml:space="preserve">Yamato SC  </t>
  </si>
  <si>
    <t xml:space="preserve">Piroxasulfone  </t>
  </si>
  <si>
    <t xml:space="preserve">21000.007368/2015-63</t>
  </si>
  <si>
    <t xml:space="preserve">Falcon</t>
  </si>
  <si>
    <t xml:space="preserve">21000.063665/2016-70</t>
  </si>
  <si>
    <t xml:space="preserve">Ritmo</t>
  </si>
  <si>
    <t xml:space="preserve">Piroxasulfone; Amicarbazona   </t>
  </si>
  <si>
    <t xml:space="preserve">21000.011191/2011-76</t>
  </si>
  <si>
    <t xml:space="preserve">Kilate</t>
  </si>
  <si>
    <t xml:space="preserve">Captana; Carbedazim</t>
  </si>
  <si>
    <t xml:space="preserve">21000.010237/2017-25</t>
  </si>
  <si>
    <t xml:space="preserve">Tricana</t>
  </si>
  <si>
    <t xml:space="preserve">Diurom; Hexazinona; Tebutiurom</t>
  </si>
  <si>
    <t xml:space="preserve">21000.054791/2017-14</t>
  </si>
  <si>
    <t xml:space="preserve">Malathion CCAB 1000 EC  </t>
  </si>
  <si>
    <t xml:space="preserve">21000.015721/2011-55</t>
  </si>
  <si>
    <t xml:space="preserve">Sulphur 800 WG Perterra</t>
  </si>
  <si>
    <t xml:space="preserve">Enxofre</t>
  </si>
  <si>
    <t xml:space="preserve">21000.035533/2016-58</t>
  </si>
  <si>
    <t xml:space="preserve">Clorfenapir Nortox</t>
  </si>
  <si>
    <t xml:space="preserve">21000.037158/2016-81</t>
  </si>
  <si>
    <t xml:space="preserve">Takumi</t>
  </si>
  <si>
    <t xml:space="preserve">21000.089831/2019-19</t>
  </si>
  <si>
    <t xml:space="preserve">MethaControl Evolution</t>
  </si>
  <si>
    <t xml:space="preserve">21000.006412/2020-85</t>
  </si>
  <si>
    <t xml:space="preserve">CS-A1-0083</t>
  </si>
  <si>
    <t xml:space="preserve">21000.008178/2015-63</t>
  </si>
  <si>
    <t xml:space="preserve">Imazetapir Nortox</t>
  </si>
  <si>
    <t xml:space="preserve">21000.003199/2012-40</t>
  </si>
  <si>
    <t xml:space="preserve">Cosavet</t>
  </si>
  <si>
    <t xml:space="preserve">21000.008116/2011-28</t>
  </si>
  <si>
    <t xml:space="preserve">Diuron 800 WG Rainbow</t>
  </si>
  <si>
    <t xml:space="preserve">21000.021854/2020-51</t>
  </si>
  <si>
    <t xml:space="preserve">Vult</t>
  </si>
  <si>
    <t xml:space="preserve">21000.022679/2020-10</t>
  </si>
  <si>
    <t xml:space="preserve">Biolin</t>
  </si>
  <si>
    <t xml:space="preserve">21000.026098/2020-57</t>
  </si>
  <si>
    <t xml:space="preserve">Profix-A</t>
  </si>
  <si>
    <t xml:space="preserve">Bacillus subtilis; Bacillus licheniformis; Paecilomyces lilacinus</t>
  </si>
  <si>
    <t xml:space="preserve">21000.026606/2020-05</t>
  </si>
  <si>
    <t xml:space="preserve">Profix-C</t>
  </si>
  <si>
    <t xml:space="preserve">21000.027500/2020-11</t>
  </si>
  <si>
    <t xml:space="preserve">Profix-B</t>
  </si>
  <si>
    <t xml:space="preserve">21000.084700/2019-37</t>
  </si>
  <si>
    <t xml:space="preserve">Vibranium</t>
  </si>
  <si>
    <t xml:space="preserve">21000.084706/2019-12</t>
  </si>
  <si>
    <t xml:space="preserve">Bovel</t>
  </si>
  <si>
    <t xml:space="preserve">21000.002308/2015-54</t>
  </si>
  <si>
    <t xml:space="preserve">Glufonium  </t>
  </si>
  <si>
    <t xml:space="preserve">21000.003557/2013-03</t>
  </si>
  <si>
    <t xml:space="preserve">Hexapar</t>
  </si>
  <si>
    <t xml:space="preserve">Diurom; Hexazinona </t>
  </si>
  <si>
    <t xml:space="preserve">21000.002394/2012-52</t>
  </si>
  <si>
    <t xml:space="preserve">Edegal</t>
  </si>
  <si>
    <t xml:space="preserve">21000.007439/2013-66</t>
  </si>
  <si>
    <t xml:space="preserve">Fipronil CCAB 250 FS</t>
  </si>
  <si>
    <t xml:space="preserve">21000.009909/2010-83</t>
  </si>
  <si>
    <t xml:space="preserve">Flumioxazin 500 SC</t>
  </si>
  <si>
    <t xml:space="preserve">21000.014269/2016-19</t>
  </si>
  <si>
    <t xml:space="preserve">Pasture Nortox</t>
  </si>
  <si>
    <t xml:space="preserve">Fluroxipir-Meptílico; Triclopir-butotílico </t>
  </si>
  <si>
    <t xml:space="preserve">21000.048604/2017-63</t>
  </si>
  <si>
    <t xml:space="preserve">Tora</t>
  </si>
  <si>
    <t xml:space="preserve">21000.064879/2019-14</t>
  </si>
  <si>
    <t xml:space="preserve">Sympatico</t>
  </si>
  <si>
    <r>
      <rPr>
        <i val="true"/>
        <sz val="11"/>
        <color rgb="FF000066"/>
        <rFont val="Arial"/>
        <family val="2"/>
        <charset val="1"/>
      </rPr>
      <t xml:space="preserve">Bacillus thuringiensis</t>
    </r>
    <r>
      <rPr>
        <sz val="11"/>
        <color rgb="FF000066"/>
        <rFont val="Arial"/>
        <family val="2"/>
        <charset val="1"/>
      </rPr>
      <t xml:space="preserve"> subsp. </t>
    </r>
    <r>
      <rPr>
        <i val="true"/>
        <sz val="11"/>
        <color rgb="FF000066"/>
        <rFont val="Arial"/>
        <family val="2"/>
        <charset val="1"/>
      </rPr>
      <t xml:space="preserve">kurstaki</t>
    </r>
    <r>
      <rPr>
        <sz val="11"/>
        <color rgb="FF000066"/>
        <rFont val="Arial"/>
        <family val="2"/>
        <charset val="1"/>
      </rPr>
      <t xml:space="preserve">; </t>
    </r>
    <r>
      <rPr>
        <i val="true"/>
        <sz val="11"/>
        <color rgb="FF000066"/>
        <rFont val="Arial"/>
        <family val="2"/>
        <charset val="1"/>
      </rPr>
      <t xml:space="preserve">Bacillus thuringiensis</t>
    </r>
    <r>
      <rPr>
        <sz val="11"/>
        <color rgb="FF000066"/>
        <rFont val="Arial"/>
        <family val="2"/>
        <charset val="1"/>
      </rPr>
      <t xml:space="preserve"> subsp. </t>
    </r>
    <r>
      <rPr>
        <i val="true"/>
        <sz val="11"/>
        <color rgb="FF000066"/>
        <rFont val="Arial"/>
        <family val="2"/>
        <charset val="1"/>
      </rPr>
      <t xml:space="preserve">aizawai</t>
    </r>
  </si>
  <si>
    <t xml:space="preserve">21000.004792/2012-11</t>
  </si>
  <si>
    <t xml:space="preserve">Sumimax AMT</t>
  </si>
  <si>
    <t xml:space="preserve">Ametrina; Flumioxazina</t>
  </si>
  <si>
    <t xml:space="preserve">21000.005275/2012-51</t>
  </si>
  <si>
    <t xml:space="preserve">Metomil 215 SL Volcano</t>
  </si>
  <si>
    <t xml:space="preserve">21000.004017/2015-09</t>
  </si>
  <si>
    <t xml:space="preserve">Sectia 350 </t>
  </si>
  <si>
    <t xml:space="preserve">21000.000548/2010-18</t>
  </si>
  <si>
    <t xml:space="preserve">Maxim Quattro Professional</t>
  </si>
  <si>
    <t xml:space="preserve">Azoxistrobina; Tiabendazol; Fludioxonil; Metalaxil-M</t>
  </si>
  <si>
    <t xml:space="preserve">21000.005811/2010-57</t>
  </si>
  <si>
    <t xml:space="preserve">Atento 500 FS</t>
  </si>
  <si>
    <t xml:space="preserve">Fluquinconazol</t>
  </si>
  <si>
    <t xml:space="preserve">21000.006766/2011-39</t>
  </si>
  <si>
    <t xml:space="preserve">Ametrina 800 WG Rainbow</t>
  </si>
  <si>
    <t xml:space="preserve">21000.003451/2016-44</t>
  </si>
  <si>
    <t xml:space="preserve"> Bifentrina 100 EC Nortox</t>
  </si>
  <si>
    <t xml:space="preserve">21000.038608/2016-52</t>
  </si>
  <si>
    <t xml:space="preserve">Bitrin​ 100 EC</t>
  </si>
  <si>
    <t xml:space="preserve">21000.001749/2015-39</t>
  </si>
  <si>
    <t xml:space="preserve">Sinfonat</t>
  </si>
  <si>
    <t xml:space="preserve">21000.003738/2010-89</t>
  </si>
  <si>
    <t xml:space="preserve">Galileo TM</t>
  </si>
  <si>
    <t xml:space="preserve">Tetraconazol; Tiofanato-Metílico </t>
  </si>
  <si>
    <t xml:space="preserve">21000.005732/2012-16</t>
  </si>
  <si>
    <t xml:space="preserve">Sugarina Plus</t>
  </si>
  <si>
    <t xml:space="preserve">21000.044013/2019-89</t>
  </si>
  <si>
    <t xml:space="preserve">Azoxistrobina + Tebuconazol (120+200) SC  </t>
  </si>
  <si>
    <t xml:space="preserve">21000.010390/2012-48</t>
  </si>
  <si>
    <t xml:space="preserve">Raigen</t>
  </si>
  <si>
    <t xml:space="preserve">Clorotalonil; Difenoconazol</t>
  </si>
  <si>
    <t xml:space="preserve">21000.007301/2015-29</t>
  </si>
  <si>
    <t xml:space="preserve">Antaris</t>
  </si>
  <si>
    <t xml:space="preserve">Saflufenacil; Imazetapir</t>
  </si>
  <si>
    <t xml:space="preserve">21000.005733/2012-52</t>
  </si>
  <si>
    <t xml:space="preserve">Gesamena Plus</t>
  </si>
  <si>
    <t xml:space="preserve">21000.084701/2019-81</t>
  </si>
  <si>
    <t xml:space="preserve">Nácar</t>
  </si>
  <si>
    <r>
      <rPr>
        <i val="true"/>
        <sz val="11"/>
        <color rgb="FF000066"/>
        <rFont val="Arial"/>
        <family val="2"/>
        <charset val="1"/>
      </rPr>
      <t xml:space="preserve">Spodoptera frugiperda multiplenucleopolyhedrovirus</t>
    </r>
    <r>
      <rPr>
        <sz val="11"/>
        <color rgb="FF000066"/>
        <rFont val="Arial"/>
        <family val="2"/>
        <charset val="1"/>
      </rPr>
      <t xml:space="preserve"> (SfMNPV) </t>
    </r>
  </si>
  <si>
    <t xml:space="preserve">21000.055404/2017-67</t>
  </si>
  <si>
    <t xml:space="preserve">Araddo  </t>
  </si>
  <si>
    <t xml:space="preserve">Cletodim; Fluroxipir-Meptílico</t>
  </si>
  <si>
    <t xml:space="preserve">21000.077290/2019-78</t>
  </si>
  <si>
    <t xml:space="preserve">BioMatch JCO </t>
  </si>
  <si>
    <t xml:space="preserve">JCO Indústria</t>
  </si>
  <si>
    <t xml:space="preserve">21000.050032/2019-44</t>
  </si>
  <si>
    <t xml:space="preserve">Trichosul</t>
  </si>
  <si>
    <t xml:space="preserve">Trichogramma pretiosum </t>
  </si>
  <si>
    <t xml:space="preserve">21000.062705/2016-66</t>
  </si>
  <si>
    <t xml:space="preserve">Vitene</t>
  </si>
  <si>
    <t xml:space="preserve"> Azoxistrobina; Difenoconazole</t>
  </si>
  <si>
    <t xml:space="preserve">21000.008960/2014-00</t>
  </si>
  <si>
    <t xml:space="preserve">Teburaz</t>
  </si>
  <si>
    <t xml:space="preserve">21000.007118/2015-23</t>
  </si>
  <si>
    <t xml:space="preserve">Sulfentrazone 500 SC Proventis</t>
  </si>
  <si>
    <t xml:space="preserve">21000.043695/2018-21</t>
  </si>
  <si>
    <t xml:space="preserve">Gigante 360 CS</t>
  </si>
  <si>
    <t xml:space="preserve">21000.036162/2017-11</t>
  </si>
  <si>
    <t xml:space="preserve">Breezes 240 SC</t>
  </si>
  <si>
    <t xml:space="preserve">21000.006548/2012-85</t>
  </si>
  <si>
    <t xml:space="preserve">Trop Max</t>
  </si>
  <si>
    <t xml:space="preserve">21000.041921/2016-78</t>
  </si>
  <si>
    <t xml:space="preserve"> Click</t>
  </si>
  <si>
    <t xml:space="preserve">21000.036344/2020-89</t>
  </si>
  <si>
    <t xml:space="preserve">MNG-04/20  </t>
  </si>
  <si>
    <t xml:space="preserve">Maneogene</t>
  </si>
  <si>
    <t xml:space="preserve">21000.029675/2020-62</t>
  </si>
  <si>
    <t xml:space="preserve">Shocker-B</t>
  </si>
  <si>
    <t xml:space="preserve">Bacillus amyloliquefaciens; Bacillus amyloliquefaciens; Trichoderma harzianum</t>
  </si>
  <si>
    <t xml:space="preserve">21000.028669/2020-98</t>
  </si>
  <si>
    <t xml:space="preserve">Shocker-A</t>
  </si>
  <si>
    <t xml:space="preserve">21000.011759/2018-25</t>
  </si>
  <si>
    <t xml:space="preserve">Sivanto Fusion</t>
  </si>
  <si>
    <t xml:space="preserve"> Espiromesifeno; Flupiradifurone   </t>
  </si>
  <si>
    <t xml:space="preserve">21000.018212/2018-51</t>
  </si>
  <si>
    <t xml:space="preserve">Dogma</t>
  </si>
  <si>
    <t xml:space="preserve"> S-Metolacloro; Glufosinato - Sal de Amônio </t>
  </si>
  <si>
    <t xml:space="preserve">21000.017999/2018-33</t>
  </si>
  <si>
    <t xml:space="preserve">Takumi SC</t>
  </si>
  <si>
    <t xml:space="preserve"> Flubendiamida</t>
  </si>
  <si>
    <t xml:space="preserve">21000.004348/2013-79</t>
  </si>
  <si>
    <t xml:space="preserve">Halley 600 </t>
  </si>
  <si>
    <t xml:space="preserve">Hexazinona; Diurom   </t>
  </si>
  <si>
    <t xml:space="preserve">21000.004382/2013-43</t>
  </si>
  <si>
    <t xml:space="preserve">Megatraz</t>
  </si>
  <si>
    <t xml:space="preserve">er</t>
  </si>
  <si>
    <t xml:space="preserve">21000.008131/2014-19</t>
  </si>
  <si>
    <t xml:space="preserve">Tiofanato Metil Atanor 500 SC</t>
  </si>
  <si>
    <t xml:space="preserve">21000.008574/2014-18</t>
  </si>
  <si>
    <t xml:space="preserve">Trix 250 </t>
  </si>
  <si>
    <t xml:space="preserve">Trinexapaque-etílico </t>
  </si>
  <si>
    <t xml:space="preserve">21000.010606/2011-94</t>
  </si>
  <si>
    <t xml:space="preserve">Fegrat</t>
  </si>
  <si>
    <t xml:space="preserve"> S-metolacloro; Hexazinona   </t>
  </si>
  <si>
    <t xml:space="preserve">21000.010681/2012-36</t>
  </si>
  <si>
    <t xml:space="preserve">Fitter </t>
  </si>
  <si>
    <t xml:space="preserve">Cyprodinil; Fludioxonil</t>
  </si>
  <si>
    <t xml:space="preserve">21000.009296/2012-46</t>
  </si>
  <si>
    <t xml:space="preserve"> Rozox </t>
  </si>
  <si>
    <t xml:space="preserve">Triciclazol; Tebuconazole</t>
  </si>
  <si>
    <t xml:space="preserve">21000.008660/2010-99</t>
  </si>
  <si>
    <t xml:space="preserve">Visclor</t>
  </si>
  <si>
    <t xml:space="preserve"> Oxon Brasil</t>
  </si>
  <si>
    <t xml:space="preserve">21000.019766/2018-75</t>
  </si>
  <si>
    <t xml:space="preserve">Entigris</t>
  </si>
  <si>
    <t xml:space="preserve">Dinotefuram; Alfa-cipermetrina</t>
  </si>
  <si>
    <t xml:space="preserve">21000.017908/2017-89</t>
  </si>
  <si>
    <t xml:space="preserve">Primum</t>
  </si>
  <si>
    <t xml:space="preserve">Prentis</t>
  </si>
  <si>
    <t xml:space="preserve">21000.029283/2020-01</t>
  </si>
  <si>
    <t xml:space="preserve">Bactel</t>
  </si>
  <si>
    <t xml:space="preserve">21000.055395/2017-12</t>
  </si>
  <si>
    <t xml:space="preserve"> Viovan</t>
  </si>
  <si>
    <t xml:space="preserve">Picoxistrobina; Protioconazol  </t>
  </si>
  <si>
    <t xml:space="preserve">21000.051356/2017-38</t>
  </si>
  <si>
    <t xml:space="preserve">Affront</t>
  </si>
  <si>
    <t xml:space="preserve">Azoxistrobina; Difenoconazol; Clorotalonil</t>
  </si>
  <si>
    <t xml:space="preserve">21000.049211/2019-39</t>
  </si>
  <si>
    <t xml:space="preserve">Boveril Plus </t>
  </si>
  <si>
    <t xml:space="preserve">21000.015855/2011-76</t>
  </si>
  <si>
    <t xml:space="preserve">Combinado</t>
  </si>
  <si>
    <t xml:space="preserve">Tebutiurom; Hexazinona </t>
  </si>
  <si>
    <t xml:space="preserve">21000.011337/2008-88</t>
  </si>
  <si>
    <t xml:space="preserve">Falgro 4 SL</t>
  </si>
  <si>
    <t xml:space="preserve">21000.010186/2011-46</t>
  </si>
  <si>
    <t xml:space="preserve">N-large </t>
  </si>
  <si>
    <t xml:space="preserve">Stoller do Brasil Ltda</t>
  </si>
  <si>
    <t xml:space="preserve">21000.009601/2012-08</t>
  </si>
  <si>
    <t xml:space="preserve">Higon E</t>
  </si>
  <si>
    <t xml:space="preserve">21000.000801/2013-78</t>
  </si>
  <si>
    <t xml:space="preserve">Acronis UBS </t>
  </si>
  <si>
    <t xml:space="preserve"> Piraclostrobina; Tiofanato Metílico</t>
  </si>
  <si>
    <t xml:space="preserve">21000.005631/2012-37</t>
  </si>
  <si>
    <t xml:space="preserve">Zagrone  TS </t>
  </si>
  <si>
    <t xml:space="preserve">21000.001526/2014-91</t>
  </si>
  <si>
    <t xml:space="preserve">Azoxy</t>
  </si>
  <si>
    <t xml:space="preserve">21000.002511/2013-69</t>
  </si>
  <si>
    <t xml:space="preserve">Azoxistrobin Nortox  </t>
  </si>
  <si>
    <t xml:space="preserve">21000.005341/2014-55</t>
  </si>
  <si>
    <t xml:space="preserve">Aproach Power BR </t>
  </si>
  <si>
    <t xml:space="preserve">21000.009038/2014-21</t>
  </si>
  <si>
    <t xml:space="preserve">Metomil 215 SL Nortox</t>
  </si>
  <si>
    <t xml:space="preserve">21000.044649/2020-64</t>
  </si>
  <si>
    <t xml:space="preserve">Bovemip  </t>
  </si>
  <si>
    <t xml:space="preserve">21000.044644/2020-31</t>
  </si>
  <si>
    <t xml:space="preserve">Metamip</t>
  </si>
  <si>
    <t xml:space="preserve">21000.042763/2020-50</t>
  </si>
  <si>
    <t xml:space="preserve">Tank  </t>
  </si>
  <si>
    <t xml:space="preserve">Cryptolaemus montrouzieri  </t>
  </si>
  <si>
    <t xml:space="preserve">21000.055204/2018-95</t>
  </si>
  <si>
    <t xml:space="preserve">Clopanto  </t>
  </si>
  <si>
    <t xml:space="preserve">21000.039720/2018-72</t>
  </si>
  <si>
    <t xml:space="preserve">Arremate  </t>
  </si>
  <si>
    <t xml:space="preserve">21000.010680/2012-91</t>
  </si>
  <si>
    <t xml:space="preserve"> Curanza Pro</t>
  </si>
  <si>
    <t xml:space="preserve">Ciantraniliprole </t>
  </si>
  <si>
    <t xml:space="preserve">21000.071413/2019-67</t>
  </si>
  <si>
    <t xml:space="preserve">Bovéria-Turbo WP</t>
  </si>
  <si>
    <t xml:space="preserve">21000.037401/2020-47</t>
  </si>
  <si>
    <t xml:space="preserve">Auin CE-A</t>
  </si>
  <si>
    <t xml:space="preserve">Beauveria bassiana</t>
  </si>
  <si>
    <t xml:space="preserve">Agrivalle </t>
  </si>
  <si>
    <t xml:space="preserve">21000.031942/2020-61</t>
  </si>
  <si>
    <t xml:space="preserve">Twixx-B</t>
  </si>
  <si>
    <t xml:space="preserve">21000.034672/2020-41</t>
  </si>
  <si>
    <t xml:space="preserve">MNG-08/20</t>
  </si>
  <si>
    <t xml:space="preserve">Hirsutella thompsonii</t>
  </si>
  <si>
    <t xml:space="preserve">21000.010134/2012-51</t>
  </si>
  <si>
    <t xml:space="preserve"> Fecyde</t>
  </si>
  <si>
    <t xml:space="preserve">21000.031608/2020-16</t>
  </si>
  <si>
    <t xml:space="preserve"> Twixx-A </t>
  </si>
  <si>
    <t xml:space="preserve">21000.018215/2018-94</t>
  </si>
  <si>
    <t xml:space="preserve">Bolt</t>
  </si>
  <si>
    <t xml:space="preserve"> Sulfentrazona ; Imazetapir</t>
  </si>
  <si>
    <t xml:space="preserve">21000.048756/2017-66</t>
  </si>
  <si>
    <t xml:space="preserve">Primeval 50 SC</t>
  </si>
  <si>
    <t xml:space="preserve">21000.048467/2017-67</t>
  </si>
  <si>
    <t xml:space="preserve">Smilodon 50 SC</t>
  </si>
  <si>
    <t xml:space="preserve">21000.004740/2015-80</t>
  </si>
  <si>
    <t xml:space="preserve">Offer 200 SL  </t>
  </si>
  <si>
    <t xml:space="preserve">Diquate  </t>
  </si>
  <si>
    <t xml:space="preserve">21000.004501/2018-72</t>
  </si>
  <si>
    <t xml:space="preserve"> Ajanta Super  </t>
  </si>
  <si>
    <t xml:space="preserve">Cipermetrina; Profenofós</t>
  </si>
  <si>
    <t xml:space="preserve">21000.036137/2020-24</t>
  </si>
  <si>
    <t xml:space="preserve"> DFCControl</t>
  </si>
  <si>
    <t xml:space="preserve">21000.007898/2013-40</t>
  </si>
  <si>
    <t xml:space="preserve">Soyaclean </t>
  </si>
  <si>
    <t xml:space="preserve">21000.000300/2013-91</t>
  </si>
  <si>
    <t xml:space="preserve">Zutron 250 WP  </t>
  </si>
  <si>
    <t xml:space="preserve">21000.008082/2015-03</t>
  </si>
  <si>
    <t xml:space="preserve">Acetamiprid CCAB 200 SP II </t>
  </si>
  <si>
    <t xml:space="preserve">21000.018000/2018-73</t>
  </si>
  <si>
    <t xml:space="preserve">Laijin</t>
  </si>
  <si>
    <t xml:space="preserve">21000.050885/2018-03</t>
  </si>
  <si>
    <t xml:space="preserve">Unanimus</t>
  </si>
  <si>
    <t xml:space="preserve">21000.026120/2017-63</t>
  </si>
  <si>
    <t xml:space="preserve">Atrazina 900 WG CHDS  </t>
  </si>
  <si>
    <t xml:space="preserve">21000.026132/2017-98</t>
  </si>
  <si>
    <t xml:space="preserve">Atrazina CCAB 900 WG </t>
  </si>
  <si>
    <t xml:space="preserve">21000.026131/2017-43</t>
  </si>
  <si>
    <t xml:space="preserve">Attract</t>
  </si>
  <si>
    <t xml:space="preserve"> 21000.008639/2012-55</t>
  </si>
  <si>
    <t xml:space="preserve">Odeon WG  </t>
  </si>
  <si>
    <t xml:space="preserve">21000.085942/2019-48</t>
  </si>
  <si>
    <t xml:space="preserve"> BioIsa</t>
  </si>
  <si>
    <t xml:space="preserve">Isaria fumosorosea cepa-ESALQ-3422</t>
  </si>
  <si>
    <t xml:space="preserve">21000.003993/2013-74</t>
  </si>
  <si>
    <t xml:space="preserve">Triclorpyr STK 480 EC</t>
  </si>
  <si>
    <t xml:space="preserve">21000.010872/2012-06</t>
  </si>
  <si>
    <t xml:space="preserve">Revus MZ</t>
  </si>
  <si>
    <t xml:space="preserve">Mancozebe; Mandipropamida</t>
  </si>
  <si>
    <t xml:space="preserve">21000.043210/2020-14</t>
  </si>
  <si>
    <t xml:space="preserve"> Beauveria SR</t>
  </si>
  <si>
    <t xml:space="preserve">Bio/org</t>
  </si>
  <si>
    <t xml:space="preserve">21000.010415/2013-94</t>
  </si>
  <si>
    <t xml:space="preserve">Margaren</t>
  </si>
  <si>
    <t xml:space="preserve">21000.042285/2020-88</t>
  </si>
  <si>
    <t xml:space="preserve">Congregga</t>
  </si>
  <si>
    <t xml:space="preserve"> GENICA</t>
  </si>
  <si>
    <t xml:space="preserve">21000.002433/2014-83</t>
  </si>
  <si>
    <t xml:space="preserve">Supermix</t>
  </si>
  <si>
    <t xml:space="preserve">21000.000785/2011-51</t>
  </si>
  <si>
    <t xml:space="preserve">Tagger</t>
  </si>
  <si>
    <t xml:space="preserve">Alta - América Latina </t>
  </si>
  <si>
    <t xml:space="preserve">21000.050925/2019-90</t>
  </si>
  <si>
    <t xml:space="preserve">AGVL008  </t>
  </si>
  <si>
    <t xml:space="preserve">Clonostachys rosea</t>
  </si>
  <si>
    <t xml:space="preserve">21000.002297/2015-11</t>
  </si>
  <si>
    <t xml:space="preserve">Fairestar</t>
  </si>
  <si>
    <t xml:space="preserve">21000.037260/2016-86</t>
  </si>
  <si>
    <t xml:space="preserve">Trifloxissulfuron CCAB 750 WG</t>
  </si>
  <si>
    <t xml:space="preserve">Trifloxissulfuron-sódico</t>
  </si>
  <si>
    <t xml:space="preserve">21000.005296/2014-39</t>
  </si>
  <si>
    <t xml:space="preserve">Haleb</t>
  </si>
  <si>
    <t xml:space="preserve">Ciproconazol </t>
  </si>
  <si>
    <t xml:space="preserve">21000.008486/2012-46</t>
  </si>
  <si>
    <t xml:space="preserve">Claque</t>
  </si>
  <si>
    <t xml:space="preserve">21000.006629/2012-85</t>
  </si>
  <si>
    <t xml:space="preserve">Gesazina​</t>
  </si>
  <si>
    <t xml:space="preserve">21000.010410/2013-61</t>
  </si>
  <si>
    <t xml:space="preserve">Widclear</t>
  </si>
  <si>
    <t xml:space="preserve">Fluroxipir-Meptílico </t>
  </si>
  <si>
    <t xml:space="preserve">21000.008121/2011-31</t>
  </si>
  <si>
    <t xml:space="preserve">Agrotop</t>
  </si>
  <si>
    <t xml:space="preserve">Pilarquim BR</t>
  </si>
  <si>
    <t xml:space="preserve">21000.055106/2017-77</t>
  </si>
  <si>
    <t xml:space="preserve">Allus</t>
  </si>
  <si>
    <t xml:space="preserve">Imazetapir; Sulfentrazona</t>
  </si>
  <si>
    <t xml:space="preserve">21000.041823/2020-17</t>
  </si>
  <si>
    <t xml:space="preserve">Opala WP</t>
  </si>
  <si>
    <t xml:space="preserve">21000.056103/2018-31</t>
  </si>
  <si>
    <t xml:space="preserve">Senha WG</t>
  </si>
  <si>
    <t xml:space="preserve">21000.015784/2019-69</t>
  </si>
  <si>
    <t xml:space="preserve"> Mesozine Xtra</t>
  </si>
  <si>
    <t xml:space="preserve">21000.022236/2016-42</t>
  </si>
  <si>
    <t xml:space="preserve">Glufosionato CCAB 200 SL</t>
  </si>
  <si>
    <t xml:space="preserve">21000.043079/2018-71</t>
  </si>
  <si>
    <t xml:space="preserve">Boundary EC</t>
  </si>
  <si>
    <t xml:space="preserve"> Metribuzim; S-metolacloro</t>
  </si>
  <si>
    <t xml:space="preserve">21000.063681/2016-62</t>
  </si>
  <si>
    <t xml:space="preserve"> Sonda</t>
  </si>
  <si>
    <t xml:space="preserve">21000.084704/2019-15</t>
  </si>
  <si>
    <t xml:space="preserve">Bove K </t>
  </si>
  <si>
    <t xml:space="preserve">21000.005404/2016-35</t>
  </si>
  <si>
    <t xml:space="preserve">Glufosinato Nortox</t>
  </si>
  <si>
    <t xml:space="preserve">21000.018676/2018-67</t>
  </si>
  <si>
    <t xml:space="preserve">Verdum WG</t>
  </si>
  <si>
    <t xml:space="preserve">21000.002233/2014-21</t>
  </si>
  <si>
    <t xml:space="preserve">Ommi EW</t>
  </si>
  <si>
    <t xml:space="preserve">21000.003085/2015-42</t>
  </si>
  <si>
    <t xml:space="preserve">Chaser EW</t>
  </si>
  <si>
    <t xml:space="preserve">21000.007083/2015-22</t>
  </si>
  <si>
    <t xml:space="preserve">Chaser EC​  </t>
  </si>
  <si>
    <t xml:space="preserve"> Tolfenpirade</t>
  </si>
  <si>
    <t xml:space="preserve">21000.010766/2010-52</t>
  </si>
  <si>
    <t xml:space="preserve">Ommi EC </t>
  </si>
  <si>
    <t xml:space="preserve">21000.059532/2020-85</t>
  </si>
  <si>
    <t xml:space="preserve">Bioscap</t>
  </si>
  <si>
    <t xml:space="preserve">21000.010607/2011-39</t>
  </si>
  <si>
    <t xml:space="preserve">Grover SE</t>
  </si>
  <si>
    <t xml:space="preserve">S-metolacloro; Hexazinona</t>
  </si>
  <si>
    <t xml:space="preserve">21000.034533/2020-17</t>
  </si>
  <si>
    <t xml:space="preserve">Nemattack</t>
  </si>
  <si>
    <t xml:space="preserve">Pochonia chlamydosporia</t>
  </si>
  <si>
    <t xml:space="preserve">21000.036513/2020-81</t>
  </si>
  <si>
    <t xml:space="preserve"> PC-Max</t>
  </si>
  <si>
    <t xml:space="preserve"> Pochonia chlamydosporia</t>
  </si>
  <si>
    <t xml:space="preserve">21000.036516/2020-14</t>
  </si>
  <si>
    <t xml:space="preserve">Clamax</t>
  </si>
  <si>
    <t xml:space="preserve">21000.052133/2020-93</t>
  </si>
  <si>
    <t xml:space="preserve">Trapper</t>
  </si>
  <si>
    <t xml:space="preserve">21000.060701/2020-20</t>
  </si>
  <si>
    <t xml:space="preserve">FlyControl</t>
  </si>
  <si>
    <t xml:space="preserve">21000.002019/2015-55</t>
  </si>
  <si>
    <t xml:space="preserve">Fidalgo</t>
  </si>
  <si>
    <t xml:space="preserve">21000.019953/2018-59</t>
  </si>
  <si>
    <t xml:space="preserve">Maxpac 250 EC  </t>
  </si>
  <si>
    <t xml:space="preserve">Allier</t>
  </si>
  <si>
    <t xml:space="preserve">21042.000640/2020-55</t>
  </si>
  <si>
    <t xml:space="preserve">Sulbracon</t>
  </si>
  <si>
    <t xml:space="preserve">Sulp-Mip</t>
  </si>
  <si>
    <t xml:space="preserve">21000.042765/2020-49</t>
  </si>
  <si>
    <t xml:space="preserve">Trilloi</t>
  </si>
  <si>
    <t xml:space="preserve">21000.039742/2020-57</t>
  </si>
  <si>
    <t xml:space="preserve">Fx Protection</t>
  </si>
  <si>
    <t xml:space="preserve">21000.013615/2020-28</t>
  </si>
  <si>
    <t xml:space="preserve">Boveria-Turbo SC </t>
  </si>
  <si>
    <t xml:space="preserve">21000.011826/2011-35</t>
  </si>
  <si>
    <t xml:space="preserve">Rocale  </t>
  </si>
  <si>
    <t xml:space="preserve">Tiametoxam, Difenoconazol, Metalaxil-M</t>
  </si>
  <si>
    <t xml:space="preserve">21000.003213/2012-13</t>
  </si>
  <si>
    <t xml:space="preserve">Maxim Advanced Professional</t>
  </si>
  <si>
    <t xml:space="preserve">Tiabendazol; Fludioxonil; Metalaxil-M</t>
  </si>
  <si>
    <t xml:space="preserve">21000.002453/2013-73</t>
  </si>
  <si>
    <t xml:space="preserve">Carion</t>
  </si>
  <si>
    <t xml:space="preserve">Azoxistrobina; Metalaxil-M; Fludioxonil</t>
  </si>
  <si>
    <t xml:space="preserve">21000.008755/2013-55</t>
  </si>
  <si>
    <t xml:space="preserve">Mertec</t>
  </si>
  <si>
    <t xml:space="preserve">Tiabendazol </t>
  </si>
  <si>
    <t xml:space="preserve">21000.002455/2013-62</t>
  </si>
  <si>
    <t xml:space="preserve">Gorgon 250 SC</t>
  </si>
  <si>
    <t xml:space="preserve">21000.001229/2010-11</t>
  </si>
  <si>
    <t xml:space="preserve">Dimilin 480 SC</t>
  </si>
  <si>
    <t xml:space="preserve">21000.004383/2013-98</t>
  </si>
  <si>
    <t xml:space="preserve">Megatrina  </t>
  </si>
  <si>
    <t xml:space="preserve">21000.008659/2014-98</t>
  </si>
  <si>
    <t xml:space="preserve">Sunpax  </t>
  </si>
  <si>
    <t xml:space="preserve">21000.009764/2013-63</t>
  </si>
  <si>
    <t xml:space="preserve">Redigo</t>
  </si>
  <si>
    <t xml:space="preserve">21000.082168/2019-13</t>
  </si>
  <si>
    <t xml:space="preserve">PreTec</t>
  </si>
  <si>
    <t xml:space="preserve">21000.002427/2014-26</t>
  </si>
  <si>
    <t xml:space="preserve">Triclopyr Stockton 480 EC</t>
  </si>
  <si>
    <t xml:space="preserve">21000.042764/2020-02</t>
  </si>
  <si>
    <t xml:space="preserve">Telper</t>
  </si>
  <si>
    <t xml:space="preserve">TopBio</t>
  </si>
  <si>
    <t xml:space="preserve">21000.057978/2019-31</t>
  </si>
  <si>
    <t xml:space="preserve">Beauve Protection</t>
  </si>
  <si>
    <t xml:space="preserve">21000.007811/2009-58</t>
  </si>
  <si>
    <t xml:space="preserve">Delta Técnico</t>
  </si>
  <si>
    <t xml:space="preserve">Ano de 2019</t>
  </si>
  <si>
    <t xml:space="preserve">21000.005039/2012-35</t>
  </si>
  <si>
    <t xml:space="preserve">Difenoconazole Js Técnico Helm</t>
  </si>
  <si>
    <t xml:space="preserve">21000.001245/2015-19</t>
  </si>
  <si>
    <t xml:space="preserve">Difenoconazole Técnico SNB</t>
  </si>
  <si>
    <t xml:space="preserve">21000.003708/2015-87</t>
  </si>
  <si>
    <t xml:space="preserve">Sulfentrazona Técnico IS</t>
  </si>
  <si>
    <t xml:space="preserve">21000.018050/2017-70</t>
  </si>
  <si>
    <t xml:space="preserve">Olasul Técnico</t>
  </si>
  <si>
    <t xml:space="preserve">21000.029014/2017-31</t>
  </si>
  <si>
    <t xml:space="preserve">Sulfentrazone OL Técnico Helm</t>
  </si>
  <si>
    <t xml:space="preserve">21000.004912/2015-15</t>
  </si>
  <si>
    <t xml:space="preserve">Inssimo</t>
  </si>
  <si>
    <t xml:space="preserve">Acibenzolar-S-Metílico</t>
  </si>
  <si>
    <t xml:space="preserve">21000.002971/2013-97</t>
  </si>
  <si>
    <t xml:space="preserve">Azoxystrobin Técnico YNG</t>
  </si>
  <si>
    <t xml:space="preserve">21000.029897/2017-80</t>
  </si>
  <si>
    <t xml:space="preserve">Diquat ZF Técnico Helm</t>
  </si>
  <si>
    <t xml:space="preserve">21000.008454/2016-74</t>
  </si>
  <si>
    <t xml:space="preserve">Metribuzim Técnico Nortox</t>
  </si>
  <si>
    <t xml:space="preserve">21000.009677/2013-14</t>
  </si>
  <si>
    <t xml:space="preserve">Roundup Original Mais</t>
  </si>
  <si>
    <t xml:space="preserve">21000.005821/2015-05</t>
  </si>
  <si>
    <t xml:space="preserve">Decisive</t>
  </si>
  <si>
    <t xml:space="preserve">21000.036600/2016-51</t>
  </si>
  <si>
    <t xml:space="preserve">Kasan Max 750 WG</t>
  </si>
  <si>
    <t xml:space="preserve">21000.039552/2016-53</t>
  </si>
  <si>
    <t xml:space="preserve">Taura 200 EC</t>
  </si>
  <si>
    <t xml:space="preserve">21000.027803/2016-57</t>
  </si>
  <si>
    <t xml:space="preserve">Elatus Trio</t>
  </si>
  <si>
    <t xml:space="preserve">Azoxistrobina, Benzovindiflupir, Difenoconazol</t>
  </si>
  <si>
    <t xml:space="preserve">21000.000445/2015-54</t>
  </si>
  <si>
    <t xml:space="preserve">Tiger 100 EW</t>
  </si>
  <si>
    <t xml:space="preserve">21000.004387/2013-76</t>
  </si>
  <si>
    <t xml:space="preserve">Topatudo</t>
  </si>
  <si>
    <t xml:space="preserve">Agroimport do Brasil</t>
  </si>
  <si>
    <t xml:space="preserve">21000.001643/2013-73</t>
  </si>
  <si>
    <t xml:space="preserve">Zardo</t>
  </si>
  <si>
    <t xml:space="preserve">21000.007847/2012-37</t>
  </si>
  <si>
    <t xml:space="preserve">Tamiz</t>
  </si>
  <si>
    <t xml:space="preserve">21000.006487/2015-07</t>
  </si>
  <si>
    <t xml:space="preserve">Agile</t>
  </si>
  <si>
    <t xml:space="preserve">Cletodim; Haloxifop</t>
  </si>
  <si>
    <t xml:space="preserve">21000.000354/2014-38</t>
  </si>
  <si>
    <t xml:space="preserve">Voraz EC</t>
  </si>
  <si>
    <t xml:space="preserve">Metomil; Novalurom</t>
  </si>
  <si>
    <t xml:space="preserve">21000.008154/2012-61</t>
  </si>
  <si>
    <t xml:space="preserve">Avicta 500 FS Pro</t>
  </si>
  <si>
    <t xml:space="preserve">21000.000108/2014-86</t>
  </si>
  <si>
    <t xml:space="preserve">Soyaguard Xtra</t>
  </si>
  <si>
    <t xml:space="preserve">21000.013348/2016-11</t>
  </si>
  <si>
    <t xml:space="preserve">Abamectin Técnico RdB</t>
  </si>
  <si>
    <t xml:space="preserve">21000.023171/2018-14</t>
  </si>
  <si>
    <t xml:space="preserve">Hexazinona Técnico Adama BR</t>
  </si>
  <si>
    <t xml:space="preserve">21000.004986/2014-71</t>
  </si>
  <si>
    <t xml:space="preserve">Tiofanato-Metílico Técnico Sup</t>
  </si>
  <si>
    <t xml:space="preserve">Tiofanato-metílico </t>
  </si>
  <si>
    <t xml:space="preserve">21000.014891/2016-27</t>
  </si>
  <si>
    <t xml:space="preserve">Tiofanato-Metílico Técnico Tide</t>
  </si>
  <si>
    <t xml:space="preserve">21000.008018/2017-86</t>
  </si>
  <si>
    <t xml:space="preserve">Tiofanato-Metílico Técnico Fersol</t>
  </si>
  <si>
    <t xml:space="preserve">21000.005142/2014-47</t>
  </si>
  <si>
    <t xml:space="preserve">Tiofanato-Metílico Técnico Consagro</t>
  </si>
  <si>
    <t xml:space="preserve">21000.009836/2007-24</t>
  </si>
  <si>
    <t xml:space="preserve">Indoxacarbe 150 EC</t>
  </si>
  <si>
    <t xml:space="preserve">21000.031655/2016-75</t>
  </si>
  <si>
    <t xml:space="preserve">Sensei</t>
  </si>
  <si>
    <t xml:space="preserve">21000.005401/2013-59</t>
  </si>
  <si>
    <t xml:space="preserve">Paclo BR</t>
  </si>
  <si>
    <t xml:space="preserve">21000.003335/2016-25</t>
  </si>
  <si>
    <t xml:space="preserve">Alibi Flora</t>
  </si>
  <si>
    <t xml:space="preserve">21000.045531/2017-58</t>
  </si>
  <si>
    <t xml:space="preserve">Difenoconazol Técnico CCAB</t>
  </si>
  <si>
    <t xml:space="preserve">21000.039815/2016-24</t>
  </si>
  <si>
    <t xml:space="preserve">Clorotalonil Técnico BRA</t>
  </si>
  <si>
    <t xml:space="preserve">21000.057967/2016-17</t>
  </si>
  <si>
    <t xml:space="preserve">2,4-D Técnico Alta II</t>
  </si>
  <si>
    <t xml:space="preserve">21000.000256/2015-81</t>
  </si>
  <si>
    <t xml:space="preserve">2,4-D Técnico Nortox CH</t>
  </si>
  <si>
    <t xml:space="preserve">21000.008283/2014-11</t>
  </si>
  <si>
    <t xml:space="preserve">Difenoconazole Técnico SUP</t>
  </si>
  <si>
    <t xml:space="preserve">21000.049911/2017-61</t>
  </si>
  <si>
    <t xml:space="preserve">Trychonyd FR 25</t>
  </si>
  <si>
    <t xml:space="preserve">21000.000877/2015-65</t>
  </si>
  <si>
    <t xml:space="preserve">Admiral 100 EW</t>
  </si>
  <si>
    <t xml:space="preserve">21000.000874/2015-21</t>
  </si>
  <si>
    <t xml:space="preserve">Cordial 100 EW</t>
  </si>
  <si>
    <t xml:space="preserve">21000.006258/2018-27</t>
  </si>
  <si>
    <t xml:space="preserve">Purpureonyd FR 25</t>
  </si>
  <si>
    <t xml:space="preserve">Paecilomyces lilacinus</t>
  </si>
  <si>
    <t xml:space="preserve">21000.008747/2009-22</t>
  </si>
  <si>
    <t xml:space="preserve">Diflubenzuron Técnico SH</t>
  </si>
  <si>
    <t xml:space="preserve">21000.006959/2014-32</t>
  </si>
  <si>
    <t xml:space="preserve">Glufosinato de Amônio Técnico Sinon</t>
  </si>
  <si>
    <t xml:space="preserve">Glufosinato - Sal de Amômio</t>
  </si>
  <si>
    <t xml:space="preserve">21000.001768/2015-65</t>
  </si>
  <si>
    <t xml:space="preserve">Glufosinato de Amônio Técnico Adama</t>
  </si>
  <si>
    <t xml:space="preserve">21000.033927/2018-33</t>
  </si>
  <si>
    <t xml:space="preserve">Clorpirifós Tradecorp Técnico II</t>
  </si>
  <si>
    <t xml:space="preserve">21000.004888/2015-14</t>
  </si>
  <si>
    <t xml:space="preserve">Fomesafem Técnico BRA</t>
  </si>
  <si>
    <t xml:space="preserve">21000.003546/2015-87</t>
  </si>
  <si>
    <t xml:space="preserve">Fomesafem Técnico Alta</t>
  </si>
  <si>
    <t xml:space="preserve">21000.008774/2013-81</t>
  </si>
  <si>
    <t xml:space="preserve">Glufosinato De Amônio Técnico Rainbow</t>
  </si>
  <si>
    <t xml:space="preserve">21000.005485/2015-92</t>
  </si>
  <si>
    <t xml:space="preserve">Glyphosate Técnico Sino-Agri</t>
  </si>
  <si>
    <t xml:space="preserve">21000.021594/2018-08</t>
  </si>
  <si>
    <t xml:space="preserve">Tebutiurom Técnico Alta III</t>
  </si>
  <si>
    <t xml:space="preserve">21000.003567/2015-01</t>
  </si>
  <si>
    <t xml:space="preserve">Tebutiuron Técnico Rainbow</t>
  </si>
  <si>
    <t xml:space="preserve">21000.007634/2013-96</t>
  </si>
  <si>
    <t xml:space="preserve">Tebutiurom Técnico OF</t>
  </si>
  <si>
    <t xml:space="preserve">21000.006154/2013-16</t>
  </si>
  <si>
    <t xml:space="preserve">Acefato Técnico CCAB II</t>
  </si>
  <si>
    <t xml:space="preserve">21000.000177/2016-51</t>
  </si>
  <si>
    <t xml:space="preserve">Imazapique Técnico Adama</t>
  </si>
  <si>
    <t xml:space="preserve">21000.004112/2015-02</t>
  </si>
  <si>
    <t xml:space="preserve">Imazapique Técnico Cropchem</t>
  </si>
  <si>
    <t xml:space="preserve">21000.003587/2015-73</t>
  </si>
  <si>
    <t xml:space="preserve">Imazapic Técnico Nortox</t>
  </si>
  <si>
    <t xml:space="preserve">21000.007354/2015-40</t>
  </si>
  <si>
    <t xml:space="preserve">Cyproconazole Técnico Sino-Agri</t>
  </si>
  <si>
    <t xml:space="preserve">21000.011825/2011-91</t>
  </si>
  <si>
    <t xml:space="preserve">Fuoro</t>
  </si>
  <si>
    <t xml:space="preserve">21000.011828/2011-24</t>
  </si>
  <si>
    <t xml:space="preserve">Sorba</t>
  </si>
  <si>
    <t xml:space="preserve">21000.000876/2015-11</t>
  </si>
  <si>
    <t xml:space="preserve">Fielder 100 EW</t>
  </si>
  <si>
    <t xml:space="preserve">21000.000875/2015-76</t>
  </si>
  <si>
    <t xml:space="preserve">Epingle 100 EW</t>
  </si>
  <si>
    <t xml:space="preserve">21000.024466/2018-16</t>
  </si>
  <si>
    <t xml:space="preserve">Bt-turbo Max</t>
  </si>
  <si>
    <t xml:space="preserve">Bacillus thuringiensis var. kurstaki</t>
  </si>
  <si>
    <t xml:space="preserve">21000.002116/2016-29</t>
  </si>
  <si>
    <t xml:space="preserve">Piriproxifen Nortox</t>
  </si>
  <si>
    <t xml:space="preserve">21000.024472/2018-65</t>
  </si>
  <si>
    <t xml:space="preserve">Bio-Hulk</t>
  </si>
  <si>
    <t xml:space="preserve">21000.004449/2017-73</t>
  </si>
  <si>
    <t xml:space="preserve">Natucontrol</t>
  </si>
  <si>
    <t xml:space="preserve">21000.009066/2014-49</t>
  </si>
  <si>
    <t xml:space="preserve">Celebrate</t>
  </si>
  <si>
    <t xml:space="preserve">Cletodim; Quizalofop</t>
  </si>
  <si>
    <t xml:space="preserve">21000.002765/2010-34</t>
  </si>
  <si>
    <t xml:space="preserve">Switch</t>
  </si>
  <si>
    <t xml:space="preserve">Cyprodinil; Fluxioxonil</t>
  </si>
  <si>
    <t xml:space="preserve">21000.005348/2010-43</t>
  </si>
  <si>
    <t xml:space="preserve">Invict</t>
  </si>
  <si>
    <t xml:space="preserve">21000.013849/2017-70</t>
  </si>
  <si>
    <t xml:space="preserve">Airone Inox</t>
  </si>
  <si>
    <t xml:space="preserve">Oxicloreto de Cobre; Hidróxido de Cobre</t>
  </si>
  <si>
    <t xml:space="preserve">21000.013837/2017-45</t>
  </si>
  <si>
    <t xml:space="preserve">Arione Scudo</t>
  </si>
  <si>
    <t xml:space="preserve">21000.014376/2011-32</t>
  </si>
  <si>
    <t xml:space="preserve">Bucanero</t>
  </si>
  <si>
    <t xml:space="preserve">21000.000125/2010-90</t>
  </si>
  <si>
    <t xml:space="preserve">Maxim Quattro</t>
  </si>
  <si>
    <t xml:space="preserve">21000.046476/2017-13</t>
  </si>
  <si>
    <t xml:space="preserve">Fysium</t>
  </si>
  <si>
    <t xml:space="preserve">21000.052264/2017-75</t>
  </si>
  <si>
    <t xml:space="preserve">Imidacloprido Técnico Atanor III</t>
  </si>
  <si>
    <t xml:space="preserve">21000.003781/2015-59</t>
  </si>
  <si>
    <t xml:space="preserve">Novaluron Técnico Ihara</t>
  </si>
  <si>
    <t xml:space="preserve">21000.047111/2018-97</t>
  </si>
  <si>
    <t xml:space="preserve">Tebuthiuron Técnico Lier</t>
  </si>
  <si>
    <t xml:space="preserve">21000.049261/2017-54</t>
  </si>
  <si>
    <t xml:space="preserve">Imidacloprid Técnico Sulphur Mills</t>
  </si>
  <si>
    <t xml:space="preserve">21000.013615/2018-11</t>
  </si>
  <si>
    <t xml:space="preserve">Lufenuron Técnico NS BRA</t>
  </si>
  <si>
    <t xml:space="preserve">21000.001452/2013-10</t>
  </si>
  <si>
    <t xml:space="preserve">Imazetapir Técnico CCAB</t>
  </si>
  <si>
    <t xml:space="preserve">21000.003534/2013-91</t>
  </si>
  <si>
    <t xml:space="preserve">Imazapique Técnico Mil</t>
  </si>
  <si>
    <t xml:space="preserve">21000.054473/2017-53</t>
  </si>
  <si>
    <t xml:space="preserve">Cyproconazole Técnico FB</t>
  </si>
  <si>
    <t xml:space="preserve">21000.009025/2011-18</t>
  </si>
  <si>
    <t xml:space="preserve">Diuron 500 SC Rainbow</t>
  </si>
  <si>
    <t xml:space="preserve">21000.002245/2013-74</t>
  </si>
  <si>
    <t xml:space="preserve">Veldara</t>
  </si>
  <si>
    <t xml:space="preserve">Piraclostrobina; Fluxapiroxade</t>
  </si>
  <si>
    <t xml:space="preserve">21000.049200/2017-97</t>
  </si>
  <si>
    <t xml:space="preserve">Metarhryd FR 25</t>
  </si>
  <si>
    <t xml:space="preserve">21000.044858/2018-93</t>
  </si>
  <si>
    <t xml:space="preserve">BF30.001</t>
  </si>
  <si>
    <t xml:space="preserve">21000.005489/2012-28</t>
  </si>
  <si>
    <t xml:space="preserve">Captain 500 WP</t>
  </si>
  <si>
    <t xml:space="preserve">21000.006574/2012-11</t>
  </si>
  <si>
    <t xml:space="preserve">Trilla</t>
  </si>
  <si>
    <t xml:space="preserve">21000.006578/2012-91</t>
  </si>
  <si>
    <t xml:space="preserve">Rainburon</t>
  </si>
  <si>
    <t xml:space="preserve">21000.004386/2013-21</t>
  </si>
  <si>
    <t xml:space="preserve">Atrazina Agro Import</t>
  </si>
  <si>
    <t xml:space="preserve">21000.009979/2012-01</t>
  </si>
  <si>
    <t xml:space="preserve">Exemplo</t>
  </si>
  <si>
    <t xml:space="preserve">Pf/PTE</t>
  </si>
  <si>
    <t xml:space="preserve">21000.002607/2012-46</t>
  </si>
  <si>
    <t xml:space="preserve">Davos</t>
  </si>
  <si>
    <t xml:space="preserve">21000.011216/2009-17</t>
  </si>
  <si>
    <t xml:space="preserve">Cartarys</t>
  </si>
  <si>
    <t xml:space="preserve">Cloridato de Cartape</t>
  </si>
  <si>
    <t xml:space="preserve">Volcano</t>
  </si>
  <si>
    <t xml:space="preserve">21000.003501/2011-89</t>
  </si>
  <si>
    <t xml:space="preserve">Calaris</t>
  </si>
  <si>
    <t xml:space="preserve">21000.010425/2013-20</t>
  </si>
  <si>
    <t xml:space="preserve">Atrazina CCAB 500 SC</t>
  </si>
  <si>
    <t xml:space="preserve">21000.026027/2017-59</t>
  </si>
  <si>
    <t xml:space="preserve">Acetamiprido 200 SP OF</t>
  </si>
  <si>
    <t xml:space="preserve">21000.004789/2012-90</t>
  </si>
  <si>
    <t xml:space="preserve">Lousal</t>
  </si>
  <si>
    <t xml:space="preserve">21000.042691/2016-64</t>
  </si>
  <si>
    <t xml:space="preserve">Acefato Técnico GSP</t>
  </si>
  <si>
    <t xml:space="preserve">21000.063712/2016-85</t>
  </si>
  <si>
    <t xml:space="preserve">Tiofanato Metílico Técnico FMC</t>
  </si>
  <si>
    <t xml:space="preserve">21000.003443/2013-55</t>
  </si>
  <si>
    <t xml:space="preserve">Tiametoxam Técnico YNG</t>
  </si>
  <si>
    <t xml:space="preserve">21000.040619/2016-01</t>
  </si>
  <si>
    <t xml:space="preserve">Comissário</t>
  </si>
  <si>
    <t xml:space="preserve">Bifentrina; Diafentiurom</t>
  </si>
  <si>
    <t xml:space="preserve">21000.009292/2011-87</t>
  </si>
  <si>
    <t xml:space="preserve">Nippon</t>
  </si>
  <si>
    <t xml:space="preserve">21000.015663/2011-60</t>
  </si>
  <si>
    <t xml:space="preserve">Atrazina Fersol 250 SC</t>
  </si>
  <si>
    <t xml:space="preserve">Fersol</t>
  </si>
  <si>
    <t xml:space="preserve">21000.007977/2012-70</t>
  </si>
  <si>
    <t xml:space="preserve">Kasan 800 WP</t>
  </si>
  <si>
    <t xml:space="preserve">21000.007630/2012-27</t>
  </si>
  <si>
    <t xml:space="preserve">Xopotó 800 WP</t>
  </si>
  <si>
    <t xml:space="preserve">21000.004098/2015-39</t>
  </si>
  <si>
    <t xml:space="preserve">Agrilist</t>
  </si>
  <si>
    <t xml:space="preserve">21000.003720/2015-91</t>
  </si>
  <si>
    <t xml:space="preserve">Enlist Solo</t>
  </si>
  <si>
    <t xml:space="preserve">21000.000624/2015-91</t>
  </si>
  <si>
    <t xml:space="preserve">Propanil Técnico Rainbow</t>
  </si>
  <si>
    <t xml:space="preserve">21000.046094/2017-90</t>
  </si>
  <si>
    <t xml:space="preserve">Tebuconazole Técnico Nufarm BR</t>
  </si>
  <si>
    <t xml:space="preserve">21000.058190/2016-08</t>
  </si>
  <si>
    <t xml:space="preserve">Clorotalonil Técnico Adama Brasil</t>
  </si>
  <si>
    <t xml:space="preserve">21000.016562/2017-00</t>
  </si>
  <si>
    <t xml:space="preserve">Clorotalonil Técnico Fersol</t>
  </si>
  <si>
    <t xml:space="preserve">21000.008930/2013-12</t>
  </si>
  <si>
    <t xml:space="preserve">Isoxaflutole Técnico Rainbow</t>
  </si>
  <si>
    <t xml:space="preserve">21000.051987/2018-38</t>
  </si>
  <si>
    <t xml:space="preserve">Glufosinato de Amônio Técnico Adama Brasil BR</t>
  </si>
  <si>
    <t xml:space="preserve">21000.006753/2015-93</t>
  </si>
  <si>
    <t xml:space="preserve">Glufosinato Técnico Ouro Fino</t>
  </si>
  <si>
    <t xml:space="preserve">21000.000448/2015-98</t>
  </si>
  <si>
    <t xml:space="preserve">Glufosinate Técnico Nortox</t>
  </si>
  <si>
    <t xml:space="preserve">21000.005751/2015-87</t>
  </si>
  <si>
    <t xml:space="preserve">Mancozeb Nortox 800 WP</t>
  </si>
  <si>
    <t xml:space="preserve">21000.007523/2013-80</t>
  </si>
  <si>
    <t xml:space="preserve">Triclopir CCAB 480 EC</t>
  </si>
  <si>
    <t xml:space="preserve">21000.007631/2012-71</t>
  </si>
  <si>
    <t xml:space="preserve">Alicerce</t>
  </si>
  <si>
    <t xml:space="preserve">21000.007606/2013-79</t>
  </si>
  <si>
    <t xml:space="preserve">Sweep Off</t>
  </si>
  <si>
    <t xml:space="preserve">21000.006006/2011-21</t>
  </si>
  <si>
    <t xml:space="preserve">Cricen</t>
  </si>
  <si>
    <t xml:space="preserve">Metalaxil-M; Tiabendazol; Fludioxonil; Tiametoxam </t>
  </si>
  <si>
    <t xml:space="preserve">21000.007674/2014-19</t>
  </si>
  <si>
    <t xml:space="preserve">Imidacloprid H Técnico Helm</t>
  </si>
  <si>
    <t xml:space="preserve">21000.007232/2014-72</t>
  </si>
  <si>
    <t xml:space="preserve">Fluazinam Nortox 500 SC</t>
  </si>
  <si>
    <t xml:space="preserve">21000.008841/2012-87</t>
  </si>
  <si>
    <t xml:space="preserve">Hodor</t>
  </si>
  <si>
    <t xml:space="preserve">21000.058060/2016-67</t>
  </si>
  <si>
    <t xml:space="preserve">Clorpirifós Nortox EC</t>
  </si>
  <si>
    <t xml:space="preserve">21000.003424/2013-29</t>
  </si>
  <si>
    <t xml:space="preserve">Novum</t>
  </si>
  <si>
    <t xml:space="preserve">Piraclostrobina; Tiofanato-metílico</t>
  </si>
  <si>
    <t xml:space="preserve">21000.003306/2009-34</t>
  </si>
  <si>
    <t xml:space="preserve">Douro 750 WG</t>
  </si>
  <si>
    <t xml:space="preserve">21000.010499/2013-66</t>
  </si>
  <si>
    <t xml:space="preserve">Cuantiva</t>
  </si>
  <si>
    <t xml:space="preserve">21000.050738/2017-44</t>
  </si>
  <si>
    <t xml:space="preserve">Acrux</t>
  </si>
  <si>
    <t xml:space="preserve">21000.031797/2018-02</t>
  </si>
  <si>
    <t xml:space="preserve">Bio Zenon</t>
  </si>
  <si>
    <t xml:space="preserve">21000.000098/2010-55</t>
  </si>
  <si>
    <t xml:space="preserve">Arrank</t>
  </si>
  <si>
    <t xml:space="preserve">Acetamiprido; Fipronil</t>
  </si>
  <si>
    <t xml:space="preserve">21000.006851/2014-40</t>
  </si>
  <si>
    <t xml:space="preserve"> Isoxaflutole Técnico Adama</t>
  </si>
  <si>
    <t xml:space="preserve">21000.031730/2018-60</t>
  </si>
  <si>
    <t xml:space="preserve">Glufosinado de Amônio Técnico Adama Brasil</t>
  </si>
  <si>
    <t xml:space="preserve">21000.001733/2015-26</t>
  </si>
  <si>
    <t xml:space="preserve">Picloram Técnico Adama</t>
  </si>
  <si>
    <t xml:space="preserve">21000.007975/2015-23</t>
  </si>
  <si>
    <t xml:space="preserve">Freno 240 EC</t>
  </si>
  <si>
    <t xml:space="preserve">21000.009016/2013-81</t>
  </si>
  <si>
    <t xml:space="preserve">Diuron JI 500 SC</t>
  </si>
  <si>
    <t xml:space="preserve">21000.007814/2012-97</t>
  </si>
  <si>
    <t xml:space="preserve">Salero</t>
  </si>
  <si>
    <t xml:space="preserve">21000.004591/2013-97</t>
  </si>
  <si>
    <t xml:space="preserve">Glifosal</t>
  </si>
  <si>
    <t xml:space="preserve">21000.004308/2014-16</t>
  </si>
  <si>
    <t xml:space="preserve">21000.009274/2011-03</t>
  </si>
  <si>
    <t xml:space="preserve">Imidacloprido Técnico JC</t>
  </si>
  <si>
    <t xml:space="preserve">21000.052831/2017-93</t>
  </si>
  <si>
    <t xml:space="preserve">Glufosinato Técnico OF I</t>
  </si>
  <si>
    <t xml:space="preserve">21000.019479/2016-01</t>
  </si>
  <si>
    <t xml:space="preserve">Glufosinato de Amônio Técnico CCAB II </t>
  </si>
  <si>
    <t xml:space="preserve">21000.055249/2017-89</t>
  </si>
  <si>
    <t xml:space="preserve">Ametrina Técnico OF I</t>
  </si>
  <si>
    <t xml:space="preserve">21000.005000/2012-18</t>
  </si>
  <si>
    <t xml:space="preserve">Glifosato Técnico Nortox NTG</t>
  </si>
  <si>
    <t xml:space="preserve">21000.005533/2017-12</t>
  </si>
  <si>
    <t xml:space="preserve">Glifosato Técnico Alta IV</t>
  </si>
  <si>
    <t xml:space="preserve">21000.062387/2016-33</t>
  </si>
  <si>
    <t xml:space="preserve">Glifosato Técnico OF I</t>
  </si>
  <si>
    <t xml:space="preserve">21000.004127/2013-09</t>
  </si>
  <si>
    <t xml:space="preserve">Ametrina Técnico Milênia BR</t>
  </si>
  <si>
    <t xml:space="preserve">21000.007070/2011-20</t>
  </si>
  <si>
    <t xml:space="preserve">Lambda-Cialotrina Técnico IN</t>
  </si>
  <si>
    <t xml:space="preserve">21000.021421/2016-10</t>
  </si>
  <si>
    <t xml:space="preserve">Difenoconazol Técnico Adama BR</t>
  </si>
  <si>
    <t xml:space="preserve">21000.039804/2017-25</t>
  </si>
  <si>
    <t xml:space="preserve">Difenoconazole Técnico JS FMC</t>
  </si>
  <si>
    <t xml:space="preserve">21000.010792/2012-42</t>
  </si>
  <si>
    <t xml:space="preserve">Carfentrazona-etílica Tradecorp Técnico</t>
  </si>
  <si>
    <t xml:space="preserve">21000.014274/2016-21</t>
  </si>
  <si>
    <t xml:space="preserve">Carfentrazone Etil Técnico Nortox</t>
  </si>
  <si>
    <t xml:space="preserve">21000.006657/2014-64</t>
  </si>
  <si>
    <t xml:space="preserve">Imidacloprido Técnico Nufarm BR</t>
  </si>
  <si>
    <t xml:space="preserve">21000.015603/2018-13</t>
  </si>
  <si>
    <t xml:space="preserve">Clomazone Técnico Adama</t>
  </si>
  <si>
    <t xml:space="preserve">21000.002798/2012-46</t>
  </si>
  <si>
    <t xml:space="preserve">Imidaclopride Técnico Tide</t>
  </si>
  <si>
    <t xml:space="preserve">21000.005249/2013-12</t>
  </si>
  <si>
    <t xml:space="preserve">Espirodiclofeno Técnico Ouro Fino</t>
  </si>
  <si>
    <t xml:space="preserve">21000.000612/2013-03</t>
  </si>
  <si>
    <t xml:space="preserve">Fosetil-Al Tradecorp Técnico</t>
  </si>
  <si>
    <t xml:space="preserve">21000.010869/2012-84</t>
  </si>
  <si>
    <t xml:space="preserve">Diafentiurom Técnico Nortox</t>
  </si>
  <si>
    <t xml:space="preserve">21000.006561/2015-87</t>
  </si>
  <si>
    <t xml:space="preserve">Tiametoxam Técnico Betachem</t>
  </si>
  <si>
    <t xml:space="preserve">21000.003131/2013-41</t>
  </si>
  <si>
    <t xml:space="preserve">Tiofanato Metil Técnico Nortox</t>
  </si>
  <si>
    <t xml:space="preserve">21000.009133/2017-78</t>
  </si>
  <si>
    <t xml:space="preserve">Indoxacarbe Técnico Sulphur Mills</t>
  </si>
  <si>
    <t xml:space="preserve">21000.023386/2017-54</t>
  </si>
  <si>
    <t xml:space="preserve">Indoxacarbe Técnico Tecnomyl</t>
  </si>
  <si>
    <t xml:space="preserve">21000.005805/2015-12</t>
  </si>
  <si>
    <t xml:space="preserve">Fipronil Técnico Sinon</t>
  </si>
  <si>
    <t xml:space="preserve">21000.005250/2013-39</t>
  </si>
  <si>
    <t xml:space="preserve">Azoxistrobina Técnico Ouro Fino</t>
  </si>
  <si>
    <t xml:space="preserve">21000.004503/2011-95</t>
  </si>
  <si>
    <t xml:space="preserve">Compass</t>
  </si>
  <si>
    <t xml:space="preserve">21000.007632/2012-16</t>
  </si>
  <si>
    <t xml:space="preserve">Troia</t>
  </si>
  <si>
    <t xml:space="preserve">21000.007836/2014-19</t>
  </si>
  <si>
    <t xml:space="preserve">Clomazone Técnico Nufarm BR</t>
  </si>
  <si>
    <t xml:space="preserve">21000.009034/2013-62</t>
  </si>
  <si>
    <t xml:space="preserve">Trinexapac Ethyl Tecnico UPL</t>
  </si>
  <si>
    <t xml:space="preserve">21000.008579/2014-32</t>
  </si>
  <si>
    <t xml:space="preserve">Trinexapaque Etil Tecnico Milenia</t>
  </si>
  <si>
    <t xml:space="preserve">21000.007431/2013-08</t>
  </si>
  <si>
    <t xml:space="preserve">Fipronil Técnico Coromandel</t>
  </si>
  <si>
    <t xml:space="preserve">21000.004983/2011-94</t>
  </si>
  <si>
    <t xml:space="preserve">Sinfone</t>
  </si>
  <si>
    <t xml:space="preserve">21000.003087/2012-99</t>
  </si>
  <si>
    <t xml:space="preserve">Difo 250 EC</t>
  </si>
  <si>
    <t xml:space="preserve">Nelty</t>
  </si>
  <si>
    <t xml:space="preserve">21000.007615/2014-41</t>
  </si>
  <si>
    <t xml:space="preserve">Fluazinam 500 SC Proventis</t>
  </si>
  <si>
    <t xml:space="preserve">21000.037251/2016-95</t>
  </si>
  <si>
    <t xml:space="preserve">Trinexapaque-Etílico Técnico Max</t>
  </si>
  <si>
    <t xml:space="preserve">21000.023960/2018-55</t>
  </si>
  <si>
    <t xml:space="preserve">Azoxistrobin Técnico Tecnomyl II</t>
  </si>
  <si>
    <t xml:space="preserve">21000.002074/2011-11</t>
  </si>
  <si>
    <t xml:space="preserve">Clorpirifós Rs Técnico Helm</t>
  </si>
  <si>
    <t xml:space="preserve">21000.001610/2015-95</t>
  </si>
  <si>
    <t xml:space="preserve">Glufosinato-Amonium Técnico GHA</t>
  </si>
  <si>
    <t xml:space="preserve">21000.031752/2016-68</t>
  </si>
  <si>
    <t xml:space="preserve">Tebuthiuron Técnico Agrogill</t>
  </si>
  <si>
    <t xml:space="preserve">21000.008584/2014-45</t>
  </si>
  <si>
    <t xml:space="preserve">Clorpirifós Técnico Adama</t>
  </si>
  <si>
    <t xml:space="preserve">21000.033595/2018-97</t>
  </si>
  <si>
    <t xml:space="preserve">Piriproxifem Técnico Tecnomyl </t>
  </si>
  <si>
    <t xml:space="preserve">21000.001114/2013-70</t>
  </si>
  <si>
    <t xml:space="preserve">Hexazinone Técnico R II</t>
  </si>
  <si>
    <t xml:space="preserve">21000.005650/2013-44</t>
  </si>
  <si>
    <t xml:space="preserve">Larvin Técnico BCS</t>
  </si>
  <si>
    <t xml:space="preserve">21000.009428/2013-11</t>
  </si>
  <si>
    <t xml:space="preserve">Hexazinona Técnico Milênia BR</t>
  </si>
  <si>
    <t xml:space="preserve">21000.038561/2018-99</t>
  </si>
  <si>
    <t xml:space="preserve">Beauvecontrol Extreme</t>
  </si>
  <si>
    <t xml:space="preserve">21000.001110/2012-19</t>
  </si>
  <si>
    <t xml:space="preserve">Azoxystrobin Técnico Nortox</t>
  </si>
  <si>
    <t xml:space="preserve">21000.004492/2012-24</t>
  </si>
  <si>
    <t xml:space="preserve">Hexazinona Tradecorp Técnico</t>
  </si>
  <si>
    <t xml:space="preserve">21000.008599/2012-41</t>
  </si>
  <si>
    <t xml:space="preserve">Hexazinona Técnico CCAB</t>
  </si>
  <si>
    <t xml:space="preserve">21000.003979/2014-51</t>
  </si>
  <si>
    <t xml:space="preserve">Broker Técnico CH</t>
  </si>
  <si>
    <t xml:space="preserve">21000.008584/2012-83</t>
  </si>
  <si>
    <t xml:space="preserve">Hexazinona Técnico Tecnomyl</t>
  </si>
  <si>
    <t xml:space="preserve">21000.004211/2012-33</t>
  </si>
  <si>
    <t xml:space="preserve">Hexazinona Técnico Nortox BR</t>
  </si>
  <si>
    <t xml:space="preserve">21000.010199/2013-87</t>
  </si>
  <si>
    <t xml:space="preserve">Metoxifenozida Técnico Rainbow</t>
  </si>
  <si>
    <t xml:space="preserve">21000.007266/2015-48</t>
  </si>
  <si>
    <t xml:space="preserve">Novaluron Técnico CCAB</t>
  </si>
  <si>
    <t xml:space="preserve">21000.002157/2015-34</t>
  </si>
  <si>
    <t xml:space="preserve">Novaluron JF Técnico FMC</t>
  </si>
  <si>
    <t xml:space="preserve">21000.008323/2014-25</t>
  </si>
  <si>
    <t xml:space="preserve">Novaluron Técnico Nova</t>
  </si>
  <si>
    <t xml:space="preserve">21000.003360/2014-47</t>
  </si>
  <si>
    <t xml:space="preserve">Novaluron Técnico Nortox</t>
  </si>
  <si>
    <t xml:space="preserve">21000.006768/2013-90</t>
  </si>
  <si>
    <t xml:space="preserve">Novaluron Tradecorp Tecnico</t>
  </si>
  <si>
    <t xml:space="preserve">21000.009504/2012-15</t>
  </si>
  <si>
    <t xml:space="preserve">2,4-D Técnico WI-Cropchem</t>
  </si>
  <si>
    <t xml:space="preserve">21000.031457/2016-10</t>
  </si>
  <si>
    <t xml:space="preserve">Clorpirifós Técnico Rainbow</t>
  </si>
  <si>
    <t xml:space="preserve">21000.043650/2016-95</t>
  </si>
  <si>
    <t xml:space="preserve">Glifosato Técnico Nortox IV</t>
  </si>
  <si>
    <t xml:space="preserve">21000.043589/2016-86</t>
  </si>
  <si>
    <t xml:space="preserve">Glifosato Técnico Adama Brasil</t>
  </si>
  <si>
    <t xml:space="preserve">21000.007435/2015-40</t>
  </si>
  <si>
    <t xml:space="preserve">Glufosinato de Amônio Técnico Tecnomyl</t>
  </si>
  <si>
    <t xml:space="preserve">21000.008745/2009-33</t>
  </si>
  <si>
    <t xml:space="preserve">Cloransulam Metil Técnico</t>
  </si>
  <si>
    <t xml:space="preserve">Cloransulam-metílico</t>
  </si>
  <si>
    <t xml:space="preserve">21000.006157/2015-11</t>
  </si>
  <si>
    <t xml:space="preserve">Helmet</t>
  </si>
  <si>
    <t xml:space="preserve">Flutolanil</t>
  </si>
  <si>
    <t xml:space="preserve">21000.036072/2017-11</t>
  </si>
  <si>
    <t xml:space="preserve">Metarhizium Oligos WP</t>
  </si>
  <si>
    <t xml:space="preserve">21000.006573/2012-69</t>
  </si>
  <si>
    <t xml:space="preserve">Farmozine</t>
  </si>
  <si>
    <t xml:space="preserve">21000.006288/2015-91</t>
  </si>
  <si>
    <t xml:space="preserve">Kaner 800 WG</t>
  </si>
  <si>
    <t xml:space="preserve">21000.006577/2012-47</t>
  </si>
  <si>
    <t xml:space="preserve">Herbzina</t>
  </si>
  <si>
    <t xml:space="preserve">21000.000004/2012-18</t>
  </si>
  <si>
    <t xml:space="preserve">Pireo</t>
  </si>
  <si>
    <t xml:space="preserve">21000.000970/2014-99</t>
  </si>
  <si>
    <t xml:space="preserve">Conivex 700</t>
  </si>
  <si>
    <t xml:space="preserve">21000.004095/2015-03</t>
  </si>
  <si>
    <t xml:space="preserve">Atualist</t>
  </si>
  <si>
    <t xml:space="preserve">21000.001983/2015-66</t>
  </si>
  <si>
    <t xml:space="preserve">Azoxystrobin Técnico Oxon</t>
  </si>
  <si>
    <t xml:space="preserve">21000.061875/2016-23</t>
  </si>
  <si>
    <t xml:space="preserve">Rinskor Técnico</t>
  </si>
  <si>
    <t xml:space="preserve">21000.023168/2016-39</t>
  </si>
  <si>
    <t xml:space="preserve">Mancozeb Nortox</t>
  </si>
  <si>
    <t xml:space="preserve">21000.063673/2016-16</t>
  </si>
  <si>
    <t xml:space="preserve">Magneto SC</t>
  </si>
  <si>
    <t xml:space="preserve">21000.030165/2018-13</t>
  </si>
  <si>
    <t xml:space="preserve">Stregga EC</t>
  </si>
  <si>
    <t xml:space="preserve">Vectorcontrol</t>
  </si>
  <si>
    <t xml:space="preserve">21000.045241/2018-95</t>
  </si>
  <si>
    <t xml:space="preserve">Cytolin</t>
  </si>
  <si>
    <t xml:space="preserve">Ácido giberélico; Benziladenina</t>
  </si>
  <si>
    <t xml:space="preserve">21000.005376/2015-75</t>
  </si>
  <si>
    <t xml:space="preserve">Horos Supra</t>
  </si>
  <si>
    <t xml:space="preserve">Picoxistrobina; Tebuconazol; Mancozebe</t>
  </si>
  <si>
    <t xml:space="preserve">21000.001935/2014-97</t>
  </si>
  <si>
    <t xml:space="preserve">Aspy 480 SC</t>
  </si>
  <si>
    <t xml:space="preserve">21000.002445/2011-65</t>
  </si>
  <si>
    <t xml:space="preserve">Synero</t>
  </si>
  <si>
    <t xml:space="preserve">21000.011626/2009-68</t>
  </si>
  <si>
    <t xml:space="preserve">Standak Duo</t>
  </si>
  <si>
    <t xml:space="preserve">Acetamipriodo; Fipronil</t>
  </si>
  <si>
    <t xml:space="preserve">21000.048995/2018-05</t>
  </si>
  <si>
    <t xml:space="preserve">Beauvel</t>
  </si>
  <si>
    <t xml:space="preserve">21000.049027/2018-16</t>
  </si>
  <si>
    <t xml:space="preserve">Nat Fungi</t>
  </si>
  <si>
    <t xml:space="preserve">21000.004982/2013-10</t>
  </si>
  <si>
    <t xml:space="preserve">Yovel</t>
  </si>
  <si>
    <t xml:space="preserve">21000.010769/2012-58</t>
  </si>
  <si>
    <t xml:space="preserve">Mattor</t>
  </si>
  <si>
    <t xml:space="preserve">21000.002037/2015-37</t>
  </si>
  <si>
    <t xml:space="preserve">Ralbuzin 480 SC</t>
  </si>
  <si>
    <t xml:space="preserve">21000.026941/2018-81</t>
  </si>
  <si>
    <t xml:space="preserve">Biobev</t>
  </si>
  <si>
    <t xml:space="preserve">Micro-bio</t>
  </si>
  <si>
    <t xml:space="preserve">21000.019690/2017-05 </t>
  </si>
  <si>
    <t xml:space="preserve">Verter</t>
  </si>
  <si>
    <t xml:space="preserve">Sulfoxaflor</t>
  </si>
  <si>
    <t xml:space="preserve">21000.019687/2017-83</t>
  </si>
  <si>
    <t xml:space="preserve">Exor SC</t>
  </si>
  <si>
    <t xml:space="preserve">21000.009995/2017-09</t>
  </si>
  <si>
    <t xml:space="preserve">Closer SC</t>
  </si>
  <si>
    <t xml:space="preserve">21000.001952/2014-24</t>
  </si>
  <si>
    <t xml:space="preserve">Exor </t>
  </si>
  <si>
    <t xml:space="preserve">21000.001951/2014-80</t>
  </si>
  <si>
    <t xml:space="preserve">21000.010206/2012-60</t>
  </si>
  <si>
    <t xml:space="preserve">Cresoxim Metílico Tradecorp Técnico</t>
  </si>
  <si>
    <t xml:space="preserve">21000.000422/2015-40</t>
  </si>
  <si>
    <t xml:space="preserve">Metomil Técnico YC</t>
  </si>
  <si>
    <t xml:space="preserve">21000.008927/2013-91</t>
  </si>
  <si>
    <t xml:space="preserve">Azoxystrobin Técnico Biorisk</t>
  </si>
  <si>
    <t xml:space="preserve">21000.009643/2013-11</t>
  </si>
  <si>
    <t xml:space="preserve">Cleaner</t>
  </si>
  <si>
    <t xml:space="preserve">21000.009040/2013-10</t>
  </si>
  <si>
    <t xml:space="preserve">Closer</t>
  </si>
  <si>
    <t xml:space="preserve">21000.015082/2018-02</t>
  </si>
  <si>
    <t xml:space="preserve">Glufosinato de Amônio Técnico NGC</t>
  </si>
  <si>
    <t xml:space="preserve">21000.011682/2019-74</t>
  </si>
  <si>
    <t xml:space="preserve">Glufosinato Y Técnico Helm</t>
  </si>
  <si>
    <t xml:space="preserve">21000.015883/2018-60</t>
  </si>
  <si>
    <t xml:space="preserve">Glufosinato Técnico Sulphur Mills</t>
  </si>
  <si>
    <t xml:space="preserve">21000.008387/2014-26</t>
  </si>
  <si>
    <t xml:space="preserve">PMG Técnico FH</t>
  </si>
  <si>
    <t xml:space="preserve">21000.006001/2015-22</t>
  </si>
  <si>
    <t xml:space="preserve">Indoxacarbe Técnico Adama</t>
  </si>
  <si>
    <t xml:space="preserve">21000.008789/2011-88</t>
  </si>
  <si>
    <t xml:space="preserve">2,4-D Tecnico Nortox BR</t>
  </si>
  <si>
    <t xml:space="preserve">21000.052901/2016-22</t>
  </si>
  <si>
    <t xml:space="preserve">Ciproconazol Técnico Proventis II</t>
  </si>
  <si>
    <t xml:space="preserve">21000.006840/2015-41</t>
  </si>
  <si>
    <t xml:space="preserve">Malation Técnico Prentiss</t>
  </si>
  <si>
    <t xml:space="preserve">21000.005539/2013-58</t>
  </si>
  <si>
    <t xml:space="preserve">Malationa Tecnica BRA</t>
  </si>
  <si>
    <t xml:space="preserve">21000.006031/2013-77</t>
  </si>
  <si>
    <t xml:space="preserve">Malation Tecnico CCAB</t>
  </si>
  <si>
    <t xml:space="preserve">21000.023890/2018-35</t>
  </si>
  <si>
    <t xml:space="preserve">Malation Técnico CCAB II</t>
  </si>
  <si>
    <t xml:space="preserve">21000.036106/2016-97</t>
  </si>
  <si>
    <t xml:space="preserve">Tiofanato-metílico Técnico Adama </t>
  </si>
  <si>
    <t xml:space="preserve">21000.027081/2017-11</t>
  </si>
  <si>
    <t xml:space="preserve">Clorotalonil Técnico Cropchem</t>
  </si>
  <si>
    <t xml:space="preserve">21000.003318/2018-50</t>
  </si>
  <si>
    <t xml:space="preserve">Chlorothalonil Tecnico FB</t>
  </si>
  <si>
    <t xml:space="preserve">21000.048468/2017-10</t>
  </si>
  <si>
    <t xml:space="preserve">Acefato Técnico Tide</t>
  </si>
  <si>
    <t xml:space="preserve">21000.010518/2012-73</t>
  </si>
  <si>
    <t xml:space="preserve">Glifosato 72 WG Alamos</t>
  </si>
  <si>
    <t xml:space="preserve">21000.009517/2017-91</t>
  </si>
  <si>
    <t xml:space="preserve">Loyant</t>
  </si>
  <si>
    <t xml:space="preserve">21000.052238/2016-66</t>
  </si>
  <si>
    <t xml:space="preserve">Nico 750 WG</t>
  </si>
  <si>
    <t xml:space="preserve">Dez Gold</t>
  </si>
  <si>
    <t xml:space="preserve">21000.010940/2011-48</t>
  </si>
  <si>
    <t xml:space="preserve">Vertimec 84 SC</t>
  </si>
  <si>
    <t xml:space="preserve">21000.003085/2012-08</t>
  </si>
  <si>
    <t xml:space="preserve">Savivo</t>
  </si>
  <si>
    <t xml:space="preserve">21000.006627/2012-96</t>
  </si>
  <si>
    <t xml:space="preserve">Sugarina</t>
  </si>
  <si>
    <t xml:space="preserve">21000.006628/2012-31</t>
  </si>
  <si>
    <t xml:space="preserve">Gesamena</t>
  </si>
  <si>
    <t xml:space="preserve">21000.009730/2013-79</t>
  </si>
  <si>
    <t xml:space="preserve">Wiper</t>
  </si>
  <si>
    <t xml:space="preserve">21000.009859/2013-87</t>
  </si>
  <si>
    <t xml:space="preserve">Atrazina 900 WG Atanor</t>
  </si>
  <si>
    <t xml:space="preserve">21000.004097/2015-94</t>
  </si>
  <si>
    <t xml:space="preserve">Walux</t>
  </si>
  <si>
    <t xml:space="preserve">21000.003376/2015-31</t>
  </si>
  <si>
    <t xml:space="preserve">Predador</t>
  </si>
  <si>
    <t xml:space="preserve">21000.008186/2019-33</t>
  </si>
  <si>
    <t xml:space="preserve">Glufosinato Técnico Albaugh</t>
  </si>
  <si>
    <t xml:space="preserve">21000.050431/2018-24</t>
  </si>
  <si>
    <t xml:space="preserve">2,4-D Técnico Albaugh</t>
  </si>
  <si>
    <t xml:space="preserve">21000.005626/2015-77</t>
  </si>
  <si>
    <t xml:space="preserve">Imazapir Técnico Nortox</t>
  </si>
  <si>
    <t xml:space="preserve">21000.000178/2016-04</t>
  </si>
  <si>
    <t xml:space="preserve">Imazapir Técnico Adama</t>
  </si>
  <si>
    <t xml:space="preserve">21000.007390/2015-11</t>
  </si>
  <si>
    <t xml:space="preserve">Imazapir Técnico Cropchem</t>
  </si>
  <si>
    <t xml:space="preserve">21000.004394/2016-11</t>
  </si>
  <si>
    <t xml:space="preserve">Imazapyr Técnico Rotam</t>
  </si>
  <si>
    <t xml:space="preserve">21000.037215/2017-11</t>
  </si>
  <si>
    <t xml:space="preserve">Pyriproxyfen Técnico Pyri</t>
  </si>
  <si>
    <t xml:space="preserve">21000.061431/2016-98</t>
  </si>
  <si>
    <t xml:space="preserve">Chlorfenapyr Técnico Rotam</t>
  </si>
  <si>
    <t xml:space="preserve">21000.017148/2017-18</t>
  </si>
  <si>
    <t xml:space="preserve">Indoxacarbe Técnico Ada</t>
  </si>
  <si>
    <t xml:space="preserve">21000.034343/2019-66</t>
  </si>
  <si>
    <t xml:space="preserve">Acetamiprid Técnico Tecnomyl II</t>
  </si>
  <si>
    <t xml:space="preserve">21000.011003/2019-67</t>
  </si>
  <si>
    <t xml:space="preserve">Acetamiprid Técnico Adama BR</t>
  </si>
  <si>
    <t xml:space="preserve">21000.025950/2018-54</t>
  </si>
  <si>
    <t xml:space="preserve">Azoxystrobin Técnico FB II</t>
  </si>
  <si>
    <t xml:space="preserve">21000.027691/2018-04</t>
  </si>
  <si>
    <t xml:space="preserve">Dibrometo de Diquate Técnico Adama BR</t>
  </si>
  <si>
    <t xml:space="preserve">21000.047178/2017-41</t>
  </si>
  <si>
    <t xml:space="preserve">Piriproxifem Técnico Ouro Fino</t>
  </si>
  <si>
    <t xml:space="preserve">21000.005592/2013-59</t>
  </si>
  <si>
    <t xml:space="preserve">Trinexapaque-etílico Técnico Ouro Fino</t>
  </si>
  <si>
    <t xml:space="preserve">21000.007278/2014-91</t>
  </si>
  <si>
    <t xml:space="preserve">Clorfenapir Técnico CCAB</t>
  </si>
  <si>
    <t xml:space="preserve">21000.005224/2014-91</t>
  </si>
  <si>
    <t xml:space="preserve">Clorfenapir Técnico BRA</t>
  </si>
  <si>
    <t xml:space="preserve">21000.006042/2014-38</t>
  </si>
  <si>
    <t xml:space="preserve">Clorfenapir Técnico Nortox</t>
  </si>
  <si>
    <t xml:space="preserve">21000.054073/2017-48</t>
  </si>
  <si>
    <t xml:space="preserve">Atrazina Técnico OF I</t>
  </si>
  <si>
    <t xml:space="preserve">21000.010297/2013-14</t>
  </si>
  <si>
    <t xml:space="preserve">Expedition</t>
  </si>
  <si>
    <t xml:space="preserve">Sulfoxaflor; Lambda-cialotrina</t>
  </si>
  <si>
    <t xml:space="preserve">21000.007433/2013-99</t>
  </si>
  <si>
    <t xml:space="preserve">Topinam</t>
  </si>
  <si>
    <t xml:space="preserve">21000.002388/2015-48</t>
  </si>
  <si>
    <t xml:space="preserve">Fluazinam CCAB 500 SC</t>
  </si>
  <si>
    <t xml:space="preserve">21000.006924/2014-01</t>
  </si>
  <si>
    <t xml:space="preserve">Nicosulfuron Nortox 750 WG</t>
  </si>
  <si>
    <t xml:space="preserve">21000.007176/2015-57</t>
  </si>
  <si>
    <t xml:space="preserve">CoiceBR</t>
  </si>
  <si>
    <t xml:space="preserve">21000.001815/2015-71</t>
  </si>
  <si>
    <t xml:space="preserve">Band 500 SC</t>
  </si>
  <si>
    <t xml:space="preserve">21000.010868/2012-30</t>
  </si>
  <si>
    <t xml:space="preserve">Selezione Nortox</t>
  </si>
  <si>
    <t xml:space="preserve">Atrazina; Nicossulfurom</t>
  </si>
  <si>
    <t xml:space="preserve">21000.009691/2013-18</t>
  </si>
  <si>
    <t xml:space="preserve">Mesotriona Nortox 480 SC</t>
  </si>
  <si>
    <t xml:space="preserve">21000.009060/2009-12</t>
  </si>
  <si>
    <t xml:space="preserve">Fluopyram Técnico Bayer</t>
  </si>
  <si>
    <t xml:space="preserve">Fluopiram</t>
  </si>
  <si>
    <t xml:space="preserve">21000.006650/2010-19</t>
  </si>
  <si>
    <t xml:space="preserve">Dinno Técnico</t>
  </si>
  <si>
    <t xml:space="preserve">Dinotefuram</t>
  </si>
  <si>
    <t xml:space="preserve">21000.004650/2015-99</t>
  </si>
  <si>
    <t xml:space="preserve">Propanil Técnico Adama</t>
  </si>
  <si>
    <t xml:space="preserve">21000.010942/2017-22</t>
  </si>
  <si>
    <t xml:space="preserve">Bifenthrin Técnico RTM</t>
  </si>
  <si>
    <t xml:space="preserve">21000.003552/2018-87</t>
  </si>
  <si>
    <t xml:space="preserve">Bifentrin Técnico Mega</t>
  </si>
  <si>
    <t xml:space="preserve">21000.045580/2018-71</t>
  </si>
  <si>
    <t xml:space="preserve">Bifentrina Técnico Tecnomyl</t>
  </si>
  <si>
    <t xml:space="preserve">21000.053603/2018-11</t>
  </si>
  <si>
    <t xml:space="preserve">Bifentrina Técnico Adama Brasil</t>
  </si>
  <si>
    <t xml:space="preserve">21000.04544/2016-06</t>
  </si>
  <si>
    <t xml:space="preserve">Triclopir-Butotílico Técnico Adama</t>
  </si>
  <si>
    <t xml:space="preserve">21000.044267/2017-35</t>
  </si>
  <si>
    <t xml:space="preserve">Triclopir Técnico Ouro Fino</t>
  </si>
  <si>
    <t xml:space="preserve">21000.060388/2016-43</t>
  </si>
  <si>
    <t xml:space="preserve">Triclopir Técnico Pilarquim</t>
  </si>
  <si>
    <t xml:space="preserve">21000.006514/2018-86</t>
  </si>
  <si>
    <t xml:space="preserve">Trichlopyr-Butotyl Técnico Lier</t>
  </si>
  <si>
    <t xml:space="preserve">21000.010323/2013-12</t>
  </si>
  <si>
    <t xml:space="preserve">Triclopir Técnico BRA</t>
  </si>
  <si>
    <t xml:space="preserve">21000.044923/2016-19</t>
  </si>
  <si>
    <t xml:space="preserve">Triclopir Técnico Tide</t>
  </si>
  <si>
    <t xml:space="preserve">21000.009392/2012-94</t>
  </si>
  <si>
    <t xml:space="preserve">Triclopyr Bee Técnico</t>
  </si>
  <si>
    <t xml:space="preserve">21000.010765/2012-70</t>
  </si>
  <si>
    <t xml:space="preserve">Ciproconazol Técnico Proventis</t>
  </si>
  <si>
    <t xml:space="preserve">21000.010053/2013-31</t>
  </si>
  <si>
    <t xml:space="preserve">Ciproconazol Técnico Agristar</t>
  </si>
  <si>
    <t xml:space="preserve">21000.009720/2013-33</t>
  </si>
  <si>
    <t xml:space="preserve">Ciproconazole Técnico Stockton</t>
  </si>
  <si>
    <t xml:space="preserve">21000.033522/2018-03</t>
  </si>
  <si>
    <t xml:space="preserve">Fipronil Técnico Ada</t>
  </si>
  <si>
    <t xml:space="preserve">21000.002097/2012-15</t>
  </si>
  <si>
    <t xml:space="preserve">Chlorimuron-Ethyl R Técnico Helm</t>
  </si>
  <si>
    <t xml:space="preserve">21000.015835/2011-03</t>
  </si>
  <si>
    <t xml:space="preserve">Clorimuron Técnico Nortox</t>
  </si>
  <si>
    <t xml:space="preserve">21000.000478/2014-13</t>
  </si>
  <si>
    <t xml:space="preserve">Novalurom Técnico BRA</t>
  </si>
  <si>
    <t xml:space="preserve">21000.008863/2013-28</t>
  </si>
  <si>
    <t xml:space="preserve">Azoxistrobina Técnico HX-Cropchem</t>
  </si>
  <si>
    <t xml:space="preserve">21000.009450/2013-61</t>
  </si>
  <si>
    <t xml:space="preserve">Azoxystrobin Técnico Rotam</t>
  </si>
  <si>
    <t xml:space="preserve">21000.004917/2014-67</t>
  </si>
  <si>
    <t xml:space="preserve">Azoxistrobina Técnico Agrisor</t>
  </si>
  <si>
    <t xml:space="preserve">21000.055980/2016-23</t>
  </si>
  <si>
    <t xml:space="preserve">Azoxistronia Técnico Brasil BR</t>
  </si>
  <si>
    <t xml:space="preserve">21000.039702/2017-18</t>
  </si>
  <si>
    <t xml:space="preserve">Azoxystrobin Técnico ZS</t>
  </si>
  <si>
    <t xml:space="preserve">21000.008206/2019-76</t>
  </si>
  <si>
    <t xml:space="preserve">Azoxistrobina Técnico Albaugh</t>
  </si>
  <si>
    <t xml:space="preserve">21000.006792/2013-29</t>
  </si>
  <si>
    <t xml:space="preserve">Azoxistrobina Técnico SH</t>
  </si>
  <si>
    <t xml:space="preserve">21000.001173/2015-18</t>
  </si>
  <si>
    <t xml:space="preserve">Azoxystrobin HV Técnico Helm</t>
  </si>
  <si>
    <t xml:space="preserve">21000.007294/2013-01</t>
  </si>
  <si>
    <t xml:space="preserve">Clorpirifós Técnico Sinon</t>
  </si>
  <si>
    <t xml:space="preserve">Sortic</t>
  </si>
  <si>
    <t xml:space="preserve">21000.002170/2014-11</t>
  </si>
  <si>
    <t xml:space="preserve">Haffor</t>
  </si>
  <si>
    <t xml:space="preserve">21000.000266/2015-17</t>
  </si>
  <si>
    <t xml:space="preserve">Poquer 240 EC</t>
  </si>
  <si>
    <t xml:space="preserve">ADAMA</t>
  </si>
  <si>
    <t xml:space="preserve">21000.058715/2016-05</t>
  </si>
  <si>
    <t xml:space="preserve">Verango Prime</t>
  </si>
  <si>
    <t xml:space="preserve">21000.005812/2012-63</t>
  </si>
  <si>
    <t xml:space="preserve">Meltan</t>
  </si>
  <si>
    <t xml:space="preserve">21000.002342/2018-71</t>
  </si>
  <si>
    <t xml:space="preserve">Relicta</t>
  </si>
  <si>
    <t xml:space="preserve">21000.009213/2011-38</t>
  </si>
  <si>
    <t xml:space="preserve">Coliseo</t>
  </si>
  <si>
    <t xml:space="preserve">21000.003262/2011-67</t>
  </si>
  <si>
    <t xml:space="preserve">Dinno</t>
  </si>
  <si>
    <t xml:space="preserve">21000.019214/2017-86</t>
  </si>
  <si>
    <t xml:space="preserve">Ilevo</t>
  </si>
  <si>
    <t xml:space="preserve">21000.002111/2011-91</t>
  </si>
  <si>
    <t xml:space="preserve">Starkle</t>
  </si>
  <si>
    <t xml:space="preserve">21000.004534/2009-21</t>
  </si>
  <si>
    <t xml:space="preserve">Gamit 800 EC</t>
  </si>
  <si>
    <t xml:space="preserve">21000.001804/2015-91</t>
  </si>
  <si>
    <t xml:space="preserve">Zeus</t>
  </si>
  <si>
    <t xml:space="preserve">Dinotefuram; Lambda-cialotrina</t>
  </si>
  <si>
    <t xml:space="preserve">21000.007294/2014-84</t>
  </si>
  <si>
    <t xml:space="preserve">Clorfenapir Técnico Tecnomyl</t>
  </si>
  <si>
    <t xml:space="preserve">21000.004035/2016-63</t>
  </si>
  <si>
    <t xml:space="preserve">Chlorfenapyr Técnico Basf</t>
  </si>
  <si>
    <t xml:space="preserve">21000.003573/2014-79</t>
  </si>
  <si>
    <t xml:space="preserve">Clorfenapir Técnico Cropchem</t>
  </si>
  <si>
    <t xml:space="preserve">21000.006208/2014-16</t>
  </si>
  <si>
    <t xml:space="preserve">Diurom Técnico OF</t>
  </si>
  <si>
    <t xml:space="preserve">21000.009514/2013-23</t>
  </si>
  <si>
    <t xml:space="preserve">Methomyl Técnico RTM</t>
  </si>
  <si>
    <t xml:space="preserve">21000.053479/2016-22</t>
  </si>
  <si>
    <t xml:space="preserve">Methomyl Técnico RdB</t>
  </si>
  <si>
    <t xml:space="preserve">21000.008612/2015-13</t>
  </si>
  <si>
    <t xml:space="preserve">Metomil Técnico Adama</t>
  </si>
  <si>
    <t xml:space="preserve">21000.032109/2019-02</t>
  </si>
  <si>
    <t xml:space="preserve">Chlorothalonil Técnico CHDS</t>
  </si>
  <si>
    <t xml:space="preserve">21000.054327/2018-17</t>
  </si>
  <si>
    <t xml:space="preserve">Clorpirifós Técnico Adama Brasil</t>
  </si>
  <si>
    <t xml:space="preserve">21000.006392/2015-85</t>
  </si>
  <si>
    <t xml:space="preserve">Glufosinato de Amônio Técnico CCAB</t>
  </si>
  <si>
    <t xml:space="preserve">21000.013448/2011-24</t>
  </si>
  <si>
    <t xml:space="preserve">Fluroxipir Meptílico Técnico Nortox</t>
  </si>
  <si>
    <t xml:space="preserve">21000.010252/2012-69</t>
  </si>
  <si>
    <t xml:space="preserve">Bispiribaque Técnico Crystal</t>
  </si>
  <si>
    <t xml:space="preserve">Bispiribaque-sódico</t>
  </si>
  <si>
    <t xml:space="preserve">21000.001928/2013-12</t>
  </si>
  <si>
    <t xml:space="preserve">Glifosato Técnico SH</t>
  </si>
  <si>
    <t xml:space="preserve">21000.005328/2013-15</t>
  </si>
  <si>
    <t xml:space="preserve">Bispiribac Técnico Nortox</t>
  </si>
  <si>
    <t xml:space="preserve">21000.002853/2012-06</t>
  </si>
  <si>
    <t xml:space="preserve">Clorimurom Etílico Tradecorp Técnico</t>
  </si>
  <si>
    <t xml:space="preserve">21000.001231/2013-33</t>
  </si>
  <si>
    <t xml:space="preserve">S-Metolacloro Técnico Proventis</t>
  </si>
  <si>
    <t xml:space="preserve">21000.023011/2017-94</t>
  </si>
  <si>
    <t xml:space="preserve">Cletodim Técnico STK</t>
  </si>
  <si>
    <t xml:space="preserve">21000.041878/2016-41</t>
  </si>
  <si>
    <t xml:space="preserve">Cletodim Técnico Adama Brasil</t>
  </si>
  <si>
    <t xml:space="preserve">21000.002513/2015-10</t>
  </si>
  <si>
    <t xml:space="preserve">Cletodim Técnico Rotam</t>
  </si>
  <si>
    <t xml:space="preserve">21000.002409/2014-44</t>
  </si>
  <si>
    <t xml:space="preserve">Cletodim Técnico Agristar</t>
  </si>
  <si>
    <t xml:space="preserve">21000.009531/2013-61</t>
  </si>
  <si>
    <t xml:space="preserve">Cletodim Técnico Proventis</t>
  </si>
  <si>
    <t xml:space="preserve">21000.045971/2018-96</t>
  </si>
  <si>
    <t xml:space="preserve">Fipronil Técnico Red Surcos</t>
  </si>
  <si>
    <t xml:space="preserve">21000.053179/2018-13</t>
  </si>
  <si>
    <t xml:space="preserve">Twixx</t>
  </si>
  <si>
    <t xml:space="preserve">21000.044274/2018-18</t>
  </si>
  <si>
    <t xml:space="preserve">Bio Bacteriophora</t>
  </si>
  <si>
    <t xml:space="preserve">21000.001805/2015-35</t>
  </si>
  <si>
    <t xml:space="preserve">Maxsan</t>
  </si>
  <si>
    <t xml:space="preserve">Dinotefuram; Piriproxifem</t>
  </si>
  <si>
    <t xml:space="preserve">21000.012354/2019-95</t>
  </si>
  <si>
    <t xml:space="preserve">BN40.001/19</t>
  </si>
  <si>
    <t xml:space="preserve">21000.000995/2014-92</t>
  </si>
  <si>
    <t xml:space="preserve">Sanvex</t>
  </si>
  <si>
    <t xml:space="preserve">21000.048031/2018-59</t>
  </si>
  <si>
    <t xml:space="preserve">Surtivo Ultra</t>
  </si>
  <si>
    <t xml:space="preserve">Vírus AcMNPV; Vírus ChinNPV; Vírus HearNPV; Vírus sfMNPV</t>
  </si>
  <si>
    <t xml:space="preserve">21000.040370/2018-97</t>
  </si>
  <si>
    <t xml:space="preserve">Surtivo Plus</t>
  </si>
  <si>
    <t xml:space="preserve">21000.004684/2014-01</t>
  </si>
  <si>
    <t xml:space="preserve">Moximate WP</t>
  </si>
  <si>
    <t xml:space="preserve">Mancozebe; Cimoxanil</t>
  </si>
  <si>
    <t xml:space="preserve">21000.023182/2018-02</t>
  </si>
  <si>
    <t xml:space="preserve">Glufosinate-ammonium Técnico RTM</t>
  </si>
  <si>
    <t xml:space="preserve">21000.043278/2017-06</t>
  </si>
  <si>
    <t xml:space="preserve">Glufosinato Técnico Alta II</t>
  </si>
  <si>
    <t xml:space="preserve">21000.020216/2016-37</t>
  </si>
  <si>
    <t xml:space="preserve">Piriproxifen CCAB 100 EC</t>
  </si>
  <si>
    <t xml:space="preserve">21000.003660/2014-26</t>
  </si>
  <si>
    <t xml:space="preserve">Valente Prime</t>
  </si>
  <si>
    <t xml:space="preserve">21000.006047/2012-07</t>
  </si>
  <si>
    <t xml:space="preserve">Sirtaki Gold</t>
  </si>
  <si>
    <t xml:space="preserve">Clomazona; Ametrina</t>
  </si>
  <si>
    <t xml:space="preserve">21000.001934/2011-08</t>
  </si>
  <si>
    <t xml:space="preserve">Glifosato Chemtura 480 SL</t>
  </si>
  <si>
    <t xml:space="preserve">21000.055927/2018-94</t>
  </si>
  <si>
    <t xml:space="preserve">MNG-08/14</t>
  </si>
  <si>
    <t xml:space="preserve">21000.051478/2017-24</t>
  </si>
  <si>
    <t xml:space="preserve">Audaz</t>
  </si>
  <si>
    <t xml:space="preserve">21000.010368/2013-89</t>
  </si>
  <si>
    <t xml:space="preserve">ImparBR</t>
  </si>
  <si>
    <t xml:space="preserve">21000.046683/2018-59</t>
  </si>
  <si>
    <t xml:space="preserve">TrichoBiogramma</t>
  </si>
  <si>
    <t xml:space="preserve">Assist Laboratórios Agronômicos</t>
  </si>
  <si>
    <t xml:space="preserve">21000.006629/2013-66</t>
  </si>
  <si>
    <t xml:space="preserve">Triclopir Butotílico Técnico Nortox</t>
  </si>
  <si>
    <t xml:space="preserve">21000.023962/2017-63</t>
  </si>
  <si>
    <t xml:space="preserve">Chlorfenapyr S Técnico Helm</t>
  </si>
  <si>
    <t xml:space="preserve">21000.037497/2017-48</t>
  </si>
  <si>
    <t xml:space="preserve">Glufosinato Técnico OF</t>
  </si>
  <si>
    <t xml:space="preserve">21000.038227/2018-35</t>
  </si>
  <si>
    <t xml:space="preserve">Glufosinate Técnico Nortox III</t>
  </si>
  <si>
    <t xml:space="preserve">21000.006039/2013-33</t>
  </si>
  <si>
    <t xml:space="preserve">Dolphin</t>
  </si>
  <si>
    <t xml:space="preserve">21000.004302/2008-92</t>
  </si>
  <si>
    <t xml:space="preserve">Perkill 250 EC</t>
  </si>
  <si>
    <t xml:space="preserve">21000.031794/2018-61</t>
  </si>
  <si>
    <t xml:space="preserve">Gaia Bio</t>
  </si>
  <si>
    <t xml:space="preserve">21000.043874/2019-40</t>
  </si>
  <si>
    <t xml:space="preserve">Chlorothalonil Técnico CCAB</t>
  </si>
  <si>
    <t xml:space="preserve">21000.018415/2019-28</t>
  </si>
  <si>
    <t xml:space="preserve">Bravo</t>
  </si>
  <si>
    <t xml:space="preserve">21000.044420/2018-13</t>
  </si>
  <si>
    <t xml:space="preserve">Profix</t>
  </si>
  <si>
    <t xml:space="preserve">21000.003986/2012-91</t>
  </si>
  <si>
    <t xml:space="preserve">Montana 480</t>
  </si>
  <si>
    <t xml:space="preserve">21000.004632/2015-15</t>
  </si>
  <si>
    <t xml:space="preserve">Spirit SC</t>
  </si>
  <si>
    <t xml:space="preserve">Dinotefuram; Flutriafol</t>
  </si>
  <si>
    <t xml:space="preserve">21000.000132/2017-68</t>
  </si>
  <si>
    <t xml:space="preserve">Prev-AM</t>
  </si>
  <si>
    <t xml:space="preserve">Óleo de Casca de Laranja</t>
  </si>
  <si>
    <t xml:space="preserve">21000.001750/2015-63</t>
  </si>
  <si>
    <t xml:space="preserve">Gamonium</t>
  </si>
  <si>
    <t xml:space="preserve">21000.008358/2013-83</t>
  </si>
  <si>
    <t xml:space="preserve">Tebuconazol Técnico Pilarquim</t>
  </si>
  <si>
    <t xml:space="preserve">21000.000257/2014-45</t>
  </si>
  <si>
    <t xml:space="preserve">Fluazinam Técnico Oxon</t>
  </si>
  <si>
    <t xml:space="preserve">21000.001554/2014-16</t>
  </si>
  <si>
    <t xml:space="preserve">Neozil Técnico </t>
  </si>
  <si>
    <t xml:space="preserve">21000.003353/2014-45</t>
  </si>
  <si>
    <t xml:space="preserve">Glifosato Técnico Wynca</t>
  </si>
  <si>
    <t xml:space="preserve">21000.003412/2014-85</t>
  </si>
  <si>
    <t xml:space="preserve">Tebuconazole Técnico RTM</t>
  </si>
  <si>
    <t xml:space="preserve">21000.002592/2015-69</t>
  </si>
  <si>
    <t xml:space="preserve">Azoxistrobina Técnico Rainbow</t>
  </si>
  <si>
    <t xml:space="preserve">21000.013860/2016-59</t>
  </si>
  <si>
    <t xml:space="preserve">Takumi Técnico</t>
  </si>
  <si>
    <t xml:space="preserve">21000.003275/2017-21</t>
  </si>
  <si>
    <t xml:space="preserve">Triclopyr-Butotyl Técnico Sino-Agri</t>
  </si>
  <si>
    <t xml:space="preserve">21000.014839/2017-51</t>
  </si>
  <si>
    <t xml:space="preserve">Glufosinato Técnico MCR</t>
  </si>
  <si>
    <t xml:space="preserve">21000.000627/2015-25</t>
  </si>
  <si>
    <t xml:space="preserve">Fluazinam Técnico SNB</t>
  </si>
  <si>
    <t xml:space="preserve">21000.007279/2014-36</t>
  </si>
  <si>
    <t xml:space="preserve">Trinexapacque-etílico Técnico Consagro</t>
  </si>
  <si>
    <t xml:space="preserve">21000.045084/2018-18</t>
  </si>
  <si>
    <t xml:space="preserve">2,4-D Técnico FRL</t>
  </si>
  <si>
    <t xml:space="preserve">21000.004597/2012-83</t>
  </si>
  <si>
    <t xml:space="preserve">Lambda-Cyhalothrin Técnico Sulphur Mills</t>
  </si>
  <si>
    <t xml:space="preserve">21000.016642/2019-19</t>
  </si>
  <si>
    <t xml:space="preserve"> TrichoBio-G  </t>
  </si>
  <si>
    <t xml:space="preserve">Trichogramma galloi​</t>
  </si>
  <si>
    <t xml:space="preserve">Farmbio</t>
  </si>
  <si>
    <t xml:space="preserve">21000.034727/2019-89</t>
  </si>
  <si>
    <t xml:space="preserve">Metarhizonat</t>
  </si>
  <si>
    <t xml:space="preserve">21000.054159/2018-51</t>
  </si>
  <si>
    <t xml:space="preserve">Bometil</t>
  </si>
  <si>
    <t xml:space="preserve">Beauveria bassiana; Metarhizium anisoplae</t>
  </si>
  <si>
    <t xml:space="preserve">21000.004624/2013-07</t>
  </si>
  <si>
    <t xml:space="preserve">Acefato Técnico FI</t>
  </si>
  <si>
    <t xml:space="preserve">21000.052959/2019-19</t>
  </si>
  <si>
    <t xml:space="preserve">Clorotalonil Técnico Denong</t>
  </si>
  <si>
    <t xml:space="preserve">21000.003093/2017-51</t>
  </si>
  <si>
    <t xml:space="preserve">Balance Prime</t>
  </si>
  <si>
    <t xml:space="preserve">21000.009525/2019-07</t>
  </si>
  <si>
    <t xml:space="preserve">Nemacontrol Super</t>
  </si>
  <si>
    <t xml:space="preserve">Bacillus amyloliquefaciens </t>
  </si>
  <si>
    <t xml:space="preserve">21000.034780/2018-07</t>
  </si>
  <si>
    <t xml:space="preserve">MNG-02/14</t>
  </si>
  <si>
    <t xml:space="preserve">21000.034781/2018-43</t>
  </si>
  <si>
    <t xml:space="preserve">MNG-06/14</t>
  </si>
  <si>
    <t xml:space="preserve">Paecilomyces fumosoroseus</t>
  </si>
  <si>
    <t xml:space="preserve">21000.001161/2013-13</t>
  </si>
  <si>
    <t xml:space="preserve">Deltametrina Tradecorp Técnico</t>
  </si>
  <si>
    <t xml:space="preserve">21000.001512/2013-96</t>
  </si>
  <si>
    <t xml:space="preserve">S-metolacloro Técnico UPL</t>
  </si>
  <si>
    <t xml:space="preserve">21000.005402/2013-01</t>
  </si>
  <si>
    <t xml:space="preserve">Tiametoxam Tradecorp Técnico</t>
  </si>
  <si>
    <t xml:space="preserve">21000.006718/2013-11</t>
  </si>
  <si>
    <t xml:space="preserve">Tiametoxam Técnico Rainbow</t>
  </si>
  <si>
    <t xml:space="preserve">21000.009171/2013-05</t>
  </si>
  <si>
    <t xml:space="preserve">Imidacloprido Sapec Técnico II</t>
  </si>
  <si>
    <t xml:space="preserve">21000.008548/2013-09</t>
  </si>
  <si>
    <t xml:space="preserve">Profenofós Técnico Nortox</t>
  </si>
  <si>
    <t xml:space="preserve">21000.002054/2014-93</t>
  </si>
  <si>
    <t xml:space="preserve">Imidacloprido Técnico Agristar</t>
  </si>
  <si>
    <t xml:space="preserve">21000.002696/2014-92</t>
  </si>
  <si>
    <t xml:space="preserve">Fluazinam Técnico Bailly</t>
  </si>
  <si>
    <t xml:space="preserve">21000.004704/2014-35</t>
  </si>
  <si>
    <t xml:space="preserve">Profenofós Sapec Técnico</t>
  </si>
  <si>
    <t xml:space="preserve">21000.003599/2014-17</t>
  </si>
  <si>
    <t xml:space="preserve">Tiametoxam Sapec Técnico II</t>
  </si>
  <si>
    <t xml:space="preserve">21000.003328/2015-42</t>
  </si>
  <si>
    <t xml:space="preserve">Fomesafen Técnico SD</t>
  </si>
  <si>
    <t xml:space="preserve">21000.010623/2016-36</t>
  </si>
  <si>
    <t xml:space="preserve">Indoxacarbe Técnico Adama BR</t>
  </si>
  <si>
    <t xml:space="preserve">21000.039120/2016-42</t>
  </si>
  <si>
    <t xml:space="preserve">Lambda-cialotrina Técnico BRA</t>
  </si>
  <si>
    <t xml:space="preserve">21000.025682/2019-51</t>
  </si>
  <si>
    <t xml:space="preserve">Tebuconazole Técnico TT</t>
  </si>
  <si>
    <t xml:space="preserve">21000.041334/2019-21</t>
  </si>
  <si>
    <t xml:space="preserve">Diafentiurom Técnico HY-Green</t>
  </si>
  <si>
    <t xml:space="preserve">HY-Green</t>
  </si>
  <si>
    <t xml:space="preserve">21000.028899/2018-32</t>
  </si>
  <si>
    <t xml:space="preserve">Glufosinato de Amônio Técnico BRA</t>
  </si>
  <si>
    <t xml:space="preserve">21000.020251/2018-18</t>
  </si>
  <si>
    <t xml:space="preserve">Glufosinato Técnico Nufarm</t>
  </si>
  <si>
    <t xml:space="preserve">21000.024499/2018-58</t>
  </si>
  <si>
    <t xml:space="preserve">Glufosinate-Ammonium Técnico Lier</t>
  </si>
  <si>
    <t xml:space="preserve">21000.054126/2016-40</t>
  </si>
  <si>
    <t xml:space="preserve">Glufosinato de Amônio Técnico Adama BR</t>
  </si>
  <si>
    <t xml:space="preserve">21000.006441/2014-07</t>
  </si>
  <si>
    <t xml:space="preserve">Captive</t>
  </si>
  <si>
    <t xml:space="preserve">21000.031843/2017-84</t>
  </si>
  <si>
    <t xml:space="preserve">Diafentiuron 500 SC OF</t>
  </si>
  <si>
    <t xml:space="preserve">21000.004385/2013-87</t>
  </si>
  <si>
    <t xml:space="preserve">Seletrina</t>
  </si>
  <si>
    <t xml:space="preserve">21000.055829/2018-57</t>
  </si>
  <si>
    <t xml:space="preserve">Vinemco</t>
  </si>
  <si>
    <t xml:space="preserve">21000.030580/2019-58</t>
  </si>
  <si>
    <t xml:space="preserve">Mycontrol ES </t>
  </si>
  <si>
    <t xml:space="preserve">Mitsui &amp; Co. </t>
  </si>
  <si>
    <t xml:space="preserve">21000.002914/2012-27</t>
  </si>
  <si>
    <t xml:space="preserve">Clorpirifós 48 EC Gharda</t>
  </si>
  <si>
    <t xml:space="preserve">21000.003080/2014-39</t>
  </si>
  <si>
    <t xml:space="preserve">Profenofós Técnico EL-Cropchem</t>
  </si>
  <si>
    <t xml:space="preserve">21000.018525/2019-90</t>
  </si>
  <si>
    <t xml:space="preserve">Bovenat</t>
  </si>
  <si>
    <t xml:space="preserve">21000.001477/2016-58</t>
  </si>
  <si>
    <t xml:space="preserve">Flutriafol Técnico Rotam</t>
  </si>
  <si>
    <t xml:space="preserve">21000.048944/2016-11</t>
  </si>
  <si>
    <t xml:space="preserve">Acetamiprid Nortox</t>
  </si>
  <si>
    <t xml:space="preserve">21000.007193/2019-18</t>
  </si>
  <si>
    <t xml:space="preserve">BI2003/16</t>
  </si>
  <si>
    <t xml:space="preserve">21000.053180/2018-30</t>
  </si>
  <si>
    <t xml:space="preserve">Sulis CE</t>
  </si>
  <si>
    <t xml:space="preserve">MFB Agrícola</t>
  </si>
  <si>
    <t xml:space="preserve">21000.005764/2019-80</t>
  </si>
  <si>
    <t xml:space="preserve">Podisibug</t>
  </si>
  <si>
    <t xml:space="preserve">Telenomus podisi​</t>
  </si>
  <si>
    <t xml:space="preserve">CP 2</t>
  </si>
  <si>
    <t xml:space="preserve">21000.002190/2011-31</t>
  </si>
  <si>
    <t xml:space="preserve">Major</t>
  </si>
  <si>
    <t xml:space="preserve">21000.010609/2011-28</t>
  </si>
  <si>
    <t xml:space="preserve">Fipronil Técnico AT</t>
  </si>
  <si>
    <t xml:space="preserve">21000.003925/2013-13</t>
  </si>
  <si>
    <t xml:space="preserve">Ciproconazole Técnico CCAB</t>
  </si>
  <si>
    <t xml:space="preserve">21000.000941/2013-46</t>
  </si>
  <si>
    <t xml:space="preserve">Ciproconazol Técnico ME2</t>
  </si>
  <si>
    <t xml:space="preserve">21000.007381/2013-51</t>
  </si>
  <si>
    <t xml:space="preserve">Clorotalonil Técnico Sinon</t>
  </si>
  <si>
    <t xml:space="preserve">21000.008512/2014-06</t>
  </si>
  <si>
    <t xml:space="preserve">Azoxystrobin Technical UPL BR</t>
  </si>
  <si>
    <t xml:space="preserve">21000.061967/2016-11</t>
  </si>
  <si>
    <t xml:space="preserve">Trinexapac JH Técnico Helm</t>
  </si>
  <si>
    <t xml:space="preserve">21000.016470/2017-11</t>
  </si>
  <si>
    <t xml:space="preserve">Trinexapaque-etílico Técnico Adama</t>
  </si>
  <si>
    <t xml:space="preserve">21000.051436/2017-93</t>
  </si>
  <si>
    <t xml:space="preserve">Trinexapaque Técnico Tecnomyl</t>
  </si>
  <si>
    <t xml:space="preserve">21000.021593/2018-55</t>
  </si>
  <si>
    <t xml:space="preserve">Difenoconazol Técnico Stockton</t>
  </si>
  <si>
    <t xml:space="preserve">21000.005705/2013-16</t>
  </si>
  <si>
    <t xml:space="preserve">Propiconazole Técnico Nortox BR</t>
  </si>
  <si>
    <t xml:space="preserve">Propiconazole</t>
  </si>
  <si>
    <t xml:space="preserve">21000.055913/2018-71</t>
  </si>
  <si>
    <t xml:space="preserve">Vestix</t>
  </si>
  <si>
    <t xml:space="preserve">21000.054224/2017-68</t>
  </si>
  <si>
    <t xml:space="preserve"> Sulfentrazone 500 SC Ouro Fino</t>
  </si>
  <si>
    <t xml:space="preserve">21000.018419/2019-14</t>
  </si>
  <si>
    <t xml:space="preserve">Optimun</t>
  </si>
  <si>
    <t xml:space="preserve">21000.015790/2011-69</t>
  </si>
  <si>
    <t xml:space="preserve">Clorpiri 480 EC</t>
  </si>
  <si>
    <t xml:space="preserve">21000.045256/2016-91</t>
  </si>
  <si>
    <t xml:space="preserve">Irado 800 WG</t>
  </si>
  <si>
    <t xml:space="preserve">21000.022331/2016-46</t>
  </si>
  <si>
    <t xml:space="preserve">Entoar</t>
  </si>
  <si>
    <t xml:space="preserve">21000.005466/2011-32</t>
  </si>
  <si>
    <t xml:space="preserve">Pilardifen</t>
  </si>
  <si>
    <t xml:space="preserve">21000.002186/2014-15</t>
  </si>
  <si>
    <t xml:space="preserve">Fomesafen Técnico LNH</t>
  </si>
  <si>
    <t xml:space="preserve">21000.043279/2017-42</t>
  </si>
  <si>
    <t xml:space="preserve">Fluroxipir-Meptílico Técnico Alta</t>
  </si>
  <si>
    <t xml:space="preserve">21000.009642/2013-77</t>
  </si>
  <si>
    <t xml:space="preserve">Sulfentrazone Técnico Rainbow</t>
  </si>
  <si>
    <t xml:space="preserve">21000.006396/2014-82</t>
  </si>
  <si>
    <t xml:space="preserve">Sulfentrazona Técnico Adama</t>
  </si>
  <si>
    <t xml:space="preserve">21000.002419/2018-11</t>
  </si>
  <si>
    <t xml:space="preserve">Flutriafol Técnico Nortox IV</t>
  </si>
  <si>
    <t xml:space="preserve">21000.040564/2017-10</t>
  </si>
  <si>
    <t xml:space="preserve">Indoxacarbe Técnico Nortox IV</t>
  </si>
  <si>
    <t xml:space="preserve">21000.004380/2013-54</t>
  </si>
  <si>
    <t xml:space="preserve">Duozina</t>
  </si>
  <si>
    <t xml:space="preserve">21000.006384/2015-39</t>
  </si>
  <si>
    <t xml:space="preserve"> Gliali</t>
  </si>
  <si>
    <t xml:space="preserve">21000.016637/2019-14</t>
  </si>
  <si>
    <t xml:space="preserve"> Trichobio-P</t>
  </si>
  <si>
    <t xml:space="preserve">21000.026707/2019-34</t>
  </si>
  <si>
    <t xml:space="preserve">Harvista 1,3 SC  </t>
  </si>
  <si>
    <t xml:space="preserve">21000.055353/2019-35</t>
  </si>
  <si>
    <t xml:space="preserve">JB Tri-G</t>
  </si>
  <si>
    <t xml:space="preserve">21000.004586/2011-12</t>
  </si>
  <si>
    <t xml:space="preserve">Lambda-cialotrina Técnico Alta</t>
  </si>
  <si>
    <t xml:space="preserve">21000.002158/2013-17</t>
  </si>
  <si>
    <t xml:space="preserve">Imidacloprido Técnico ME2</t>
  </si>
  <si>
    <t xml:space="preserve">Legisnovo</t>
  </si>
  <si>
    <t xml:space="preserve">21000.007552/2014-22</t>
  </si>
  <si>
    <t xml:space="preserve">Ácido Indol Butírico Técnico</t>
  </si>
  <si>
    <t xml:space="preserve">Ácido 4-Indol-3-Ilbutírico </t>
  </si>
  <si>
    <t xml:space="preserve">21000.008398/2015-97</t>
  </si>
  <si>
    <t xml:space="preserve">Clorpirifós Técnico NGC</t>
  </si>
  <si>
    <t xml:space="preserve">21000.049709/2017-30</t>
  </si>
  <si>
    <t xml:space="preserve">Indoxacarbe Técnico Cropchem II</t>
  </si>
  <si>
    <t xml:space="preserve">21000.009827/2018-96</t>
  </si>
  <si>
    <t xml:space="preserve">Indoxacarb Técnico RTM</t>
  </si>
  <si>
    <t xml:space="preserve">21000.005084/2013-71</t>
  </si>
  <si>
    <t xml:space="preserve">Ankara Técnico</t>
  </si>
  <si>
    <t xml:space="preserve">Data de Aprovaçcão</t>
  </si>
  <si>
    <t xml:space="preserve">21000.008695/2014-51</t>
  </si>
  <si>
    <t xml:space="preserve">Iprodiona Sapec 500 SC</t>
  </si>
  <si>
    <t xml:space="preserve">Ano de 2018</t>
  </si>
  <si>
    <t xml:space="preserve">21000.061394/2016-18</t>
  </si>
  <si>
    <t xml:space="preserve">Magic</t>
  </si>
  <si>
    <t xml:space="preserve">21000.000306/2010-16</t>
  </si>
  <si>
    <t xml:space="preserve">Glifosato Alta 480 SL</t>
  </si>
  <si>
    <t xml:space="preserve">Alta América Latina</t>
  </si>
  <si>
    <t xml:space="preserve">21000.007471/2012-61</t>
  </si>
  <si>
    <t xml:space="preserve">Glifosato Técnico Dinagro</t>
  </si>
  <si>
    <t xml:space="preserve">21000.010452/2012-11</t>
  </si>
  <si>
    <t xml:space="preserve">Dinamic Técnico RL</t>
  </si>
  <si>
    <t xml:space="preserve">Arysta Lifescience do Brasil</t>
  </si>
  <si>
    <t xml:space="preserve">21000.005700/2015-55</t>
  </si>
  <si>
    <t xml:space="preserve">NotávelBR</t>
  </si>
  <si>
    <t xml:space="preserve">21000.003755/2014-40</t>
  </si>
  <si>
    <t xml:space="preserve">Tebuconazole Técnico Stockton</t>
  </si>
  <si>
    <t xml:space="preserve">21000.004078/2009-10</t>
  </si>
  <si>
    <t xml:space="preserve">Rifle</t>
  </si>
  <si>
    <t xml:space="preserve">FMC Química do Brasil</t>
  </si>
  <si>
    <t xml:space="preserve">21000.002858/2009-25</t>
  </si>
  <si>
    <t xml:space="preserve">Castor</t>
  </si>
  <si>
    <t xml:space="preserve">21000.004983/2015-18</t>
  </si>
  <si>
    <t xml:space="preserve">Tebuconazol Técnico Adama</t>
  </si>
  <si>
    <t xml:space="preserve">Adama Brasil</t>
  </si>
  <si>
    <t xml:space="preserve">21000.003201/2012-81</t>
  </si>
  <si>
    <t xml:space="preserve">Topsin 875 WG</t>
  </si>
  <si>
    <t xml:space="preserve">21000.005628/2015-66</t>
  </si>
  <si>
    <t xml:space="preserve">Acetamiprido Nortox 200 SP</t>
  </si>
  <si>
    <t xml:space="preserve">21000.005598/2012-45</t>
  </si>
  <si>
    <t xml:space="preserve">Tebutiuron Técnico Nortox</t>
  </si>
  <si>
    <t xml:space="preserve">21000.004887/2015-70</t>
  </si>
  <si>
    <t xml:space="preserve">Acefato Técnico Adama BR</t>
  </si>
  <si>
    <t xml:space="preserve">21000.000566/2013-34</t>
  </si>
  <si>
    <t xml:space="preserve">Azoxistrobina Técnico Oxon</t>
  </si>
  <si>
    <t xml:space="preserve">Azoxystrobin Técnico Bailly</t>
  </si>
  <si>
    <t xml:space="preserve">21000.008876/2014-88</t>
  </si>
  <si>
    <t xml:space="preserve">Azoxistrobina Técnico SNB</t>
  </si>
  <si>
    <t xml:space="preserve">Sipcam UPL</t>
  </si>
  <si>
    <t xml:space="preserve">21000.007992/2015-61</t>
  </si>
  <si>
    <t xml:space="preserve">Acefato Técnico UPL BR</t>
  </si>
  <si>
    <t xml:space="preserve">21000.009091/2010-07</t>
  </si>
  <si>
    <t xml:space="preserve">Acefato Técnico CN</t>
  </si>
  <si>
    <t xml:space="preserve">21000.002939/2011-40</t>
  </si>
  <si>
    <t xml:space="preserve">Glifosato Tradecorp Técnico</t>
  </si>
  <si>
    <t xml:space="preserve">21000.010673/2012-90</t>
  </si>
  <si>
    <t xml:space="preserve">Tiametoxam Técnico Ouro Fino</t>
  </si>
  <si>
    <t xml:space="preserve">21000.001816/2015-15</t>
  </si>
  <si>
    <t xml:space="preserve">Aceta</t>
  </si>
  <si>
    <t xml:space="preserve">BRA Defensivos Agrícolas</t>
  </si>
  <si>
    <r>
      <rPr>
        <b val="true"/>
        <sz val="10"/>
        <color rgb="FF000066"/>
        <rFont val="Arial"/>
        <family val="2"/>
        <charset val="1"/>
      </rPr>
      <t xml:space="preserve">Bio </t>
    </r>
    <r>
      <rPr>
        <sz val="10"/>
        <color rgb="FF000066"/>
        <rFont val="Arial"/>
        <family val="2"/>
        <charset val="1"/>
      </rPr>
      <t xml:space="preserve">- Produto Formulado Biológico, Microbiológico, Bioquímico, Extrato Vegetal, Regulador de Crescimento ou Semioquímico</t>
    </r>
    <r>
      <rPr>
        <b val="true"/>
        <sz val="10"/>
        <color rgb="FF000066"/>
        <rFont val="Arial"/>
        <family val="2"/>
        <charset val="1"/>
      </rPr>
      <t xml:space="preserve">;</t>
    </r>
    <r>
      <rPr>
        <sz val="10"/>
        <color rgb="FF000066"/>
        <rFont val="Arial"/>
        <family val="2"/>
        <charset val="1"/>
      </rPr>
      <t xml:space="preserve"> de Baixo Risco</t>
    </r>
  </si>
  <si>
    <t xml:space="preserve">21000.001226/2014-10</t>
  </si>
  <si>
    <t xml:space="preserve">Krost 970 WG</t>
  </si>
  <si>
    <t xml:space="preserve">21000.000397/2013-32</t>
  </si>
  <si>
    <t xml:space="preserve">Natu</t>
  </si>
  <si>
    <t xml:space="preserve">21000.010776/2009-54</t>
  </si>
  <si>
    <t xml:space="preserve">Tebas</t>
  </si>
  <si>
    <t xml:space="preserve">21000.011132/2009-83</t>
  </si>
  <si>
    <t xml:space="preserve">Orbis</t>
  </si>
  <si>
    <t xml:space="preserve">21000.003716/2011-08</t>
  </si>
  <si>
    <t xml:space="preserve">Missil</t>
  </si>
  <si>
    <t xml:space="preserve">21000.002859/2013-56</t>
  </si>
  <si>
    <t xml:space="preserve">Helmoquate</t>
  </si>
  <si>
    <t xml:space="preserve">21000.005860/2010-90</t>
  </si>
  <si>
    <t xml:space="preserve">Gliforedy</t>
  </si>
  <si>
    <t xml:space="preserve">21000.005861/2010-34</t>
  </si>
  <si>
    <t xml:space="preserve">Gliforedy Nufarm</t>
  </si>
  <si>
    <t xml:space="preserve">21000.004920/2010-57</t>
  </si>
  <si>
    <t xml:space="preserve">Glifosato High Load</t>
  </si>
  <si>
    <t xml:space="preserve">21000.005936/2012-49</t>
  </si>
  <si>
    <t xml:space="preserve">Tebutiurom Nufarm 500 SC</t>
  </si>
  <si>
    <t xml:space="preserve">21000.005748/2015-63</t>
  </si>
  <si>
    <t xml:space="preserve">Acetamiprid Nortox SP</t>
  </si>
  <si>
    <t xml:space="preserve">21000.008043/2013-36</t>
  </si>
  <si>
    <t xml:space="preserve">Verdict Max</t>
  </si>
  <si>
    <t xml:space="preserve">21000.010839/2012-78</t>
  </si>
  <si>
    <t xml:space="preserve">Verdict Mays</t>
  </si>
  <si>
    <t xml:space="preserve">21000.008042/2013-91</t>
  </si>
  <si>
    <t xml:space="preserve">Gallant HL</t>
  </si>
  <si>
    <t xml:space="preserve">21000.008041/2013-47</t>
  </si>
  <si>
    <t xml:space="preserve">Verdict HL</t>
  </si>
  <si>
    <t xml:space="preserve">21000.010841/2012-47</t>
  </si>
  <si>
    <t xml:space="preserve">Gallant Mays</t>
  </si>
  <si>
    <t xml:space="preserve">21000.010840/2012-01</t>
  </si>
  <si>
    <t xml:space="preserve">Gallant Milho</t>
  </si>
  <si>
    <t xml:space="preserve">21000.010838/2012-23</t>
  </si>
  <si>
    <t xml:space="preserve">Verdict Milho</t>
  </si>
  <si>
    <t xml:space="preserve">21000.008130/2015-55</t>
  </si>
  <si>
    <t xml:space="preserve">Tebuconazol Técnico Nufarm</t>
  </si>
  <si>
    <t xml:space="preserve">21000.004234/2015-91</t>
  </si>
  <si>
    <t xml:space="preserve">Lufenuron Técnico SN</t>
  </si>
  <si>
    <t xml:space="preserve">21000.007870/2014-93</t>
  </si>
  <si>
    <t xml:space="preserve">Lufenurom Técnico SN-Cropchem</t>
  </si>
  <si>
    <t xml:space="preserve">21000.010301/2011-82</t>
  </si>
  <si>
    <t xml:space="preserve">Lufenuron Técnico Oxon</t>
  </si>
  <si>
    <t xml:space="preserve">21000.008040/2013-01</t>
  </si>
  <si>
    <t xml:space="preserve">Gallant Max</t>
  </si>
  <si>
    <t xml:space="preserve">21000.008014/2012-93</t>
  </si>
  <si>
    <t xml:space="preserve">Isoxaflutol Técnico Milenia</t>
  </si>
  <si>
    <t xml:space="preserve">21000.004097/2010-80</t>
  </si>
  <si>
    <t xml:space="preserve">Verdict NF</t>
  </si>
  <si>
    <t xml:space="preserve">Gallant NF</t>
  </si>
  <si>
    <t xml:space="preserve">21000.052275/2016-74</t>
  </si>
  <si>
    <t xml:space="preserve">Cotésia Biorganic</t>
  </si>
  <si>
    <t xml:space="preserve">Bioorganic</t>
  </si>
  <si>
    <t xml:space="preserve">Não determinada devido à natureza do produto (inimigos naturais)</t>
  </si>
  <si>
    <t xml:space="preserve">21000.026549/2016-70</t>
  </si>
  <si>
    <t xml:space="preserve">Piriproxifem Técnico Alta</t>
  </si>
  <si>
    <t xml:space="preserve">Piriproxifeno</t>
  </si>
  <si>
    <t xml:space="preserve">21000.055029/2016-74</t>
  </si>
  <si>
    <t xml:space="preserve">Piriproxifem Técnico BRA</t>
  </si>
  <si>
    <t xml:space="preserve">21000.030163/2016-62</t>
  </si>
  <si>
    <t xml:space="preserve">Piriproxifeno Técnico Cropchem</t>
  </si>
  <si>
    <t xml:space="preserve">21000.002075/2011-66</t>
  </si>
  <si>
    <t xml:space="preserve">Azoxystrobin TB Técnico Helm</t>
  </si>
  <si>
    <t xml:space="preserve">21000.008488/2014-05</t>
  </si>
  <si>
    <t xml:space="preserve">Diflubenzurom Técnico Ouro Fino</t>
  </si>
  <si>
    <t xml:space="preserve">21000.004475/2012-97</t>
  </si>
  <si>
    <t xml:space="preserve">Tebuconazole Técnico Nortox CH</t>
  </si>
  <si>
    <t xml:space="preserve">21000.004392/2009-01</t>
  </si>
  <si>
    <t xml:space="preserve">Bolero</t>
  </si>
  <si>
    <t xml:space="preserve">21000.000650/2009-71</t>
  </si>
  <si>
    <t xml:space="preserve">Swing Gold</t>
  </si>
  <si>
    <t xml:space="preserve">Dimoxistrobina; Epoxiconazol</t>
  </si>
  <si>
    <t xml:space="preserve">21000.002137/2011-30</t>
  </si>
  <si>
    <t xml:space="preserve">Glifosato Alta 757 SG</t>
  </si>
  <si>
    <t xml:space="preserve">21000.024540/2017-13</t>
  </si>
  <si>
    <t xml:space="preserve">Insidiomip</t>
  </si>
  <si>
    <t xml:space="preserve">21000.006889/2015-01</t>
  </si>
  <si>
    <t xml:space="preserve">Lambda-cyhalothrin JF Técnico Helm</t>
  </si>
  <si>
    <t xml:space="preserve">21000.002106/2011-89</t>
  </si>
  <si>
    <t xml:space="preserve">Lambda-cialotrina Tradecorp Técnico</t>
  </si>
  <si>
    <t xml:space="preserve">21000.005292/2015-31</t>
  </si>
  <si>
    <t xml:space="preserve">2,4-D Técnico STK</t>
  </si>
  <si>
    <t xml:space="preserve">21000.062885/2016-86</t>
  </si>
  <si>
    <t xml:space="preserve">Exterminador Bio</t>
  </si>
  <si>
    <t xml:space="preserve">Simbiose Indústria e Comércio</t>
  </si>
  <si>
    <t xml:space="preserve">21000.002104/2015-13</t>
  </si>
  <si>
    <t xml:space="preserve">Yang</t>
  </si>
  <si>
    <t xml:space="preserve">21000.020312/2016-85</t>
  </si>
  <si>
    <t xml:space="preserve">Winner Max EC</t>
  </si>
  <si>
    <t xml:space="preserve">21000.063173/2016-84</t>
  </si>
  <si>
    <t xml:space="preserve">Fitoneem</t>
  </si>
  <si>
    <r>
      <rPr>
        <sz val="11"/>
        <color rgb="FF000066"/>
        <rFont val="Arial"/>
        <family val="2"/>
        <charset val="1"/>
      </rPr>
      <t xml:space="preserve">Óleo de Nim (</t>
    </r>
    <r>
      <rPr>
        <i val="true"/>
        <sz val="10"/>
        <color rgb="FF000066"/>
        <rFont val="Arial"/>
        <family val="2"/>
        <charset val="1"/>
      </rPr>
      <t xml:space="preserve">Azadirachta indica</t>
    </r>
    <r>
      <rPr>
        <sz val="10"/>
        <color rgb="FF000066"/>
        <rFont val="Arial"/>
        <family val="2"/>
        <charset val="1"/>
      </rPr>
      <t xml:space="preserve">)</t>
    </r>
  </si>
  <si>
    <t xml:space="preserve">Dalneem</t>
  </si>
  <si>
    <t xml:space="preserve">21000.009305/2017-11</t>
  </si>
  <si>
    <t xml:space="preserve">Piriproxifem Técnico UPL</t>
  </si>
  <si>
    <t xml:space="preserve">21000.000269/2015-51</t>
  </si>
  <si>
    <t xml:space="preserve">Piriproxifen Técnico Adama</t>
  </si>
  <si>
    <t xml:space="preserve">21000.000437/2016-99</t>
  </si>
  <si>
    <t xml:space="preserve">Fluazinam Técnico Rotam</t>
  </si>
  <si>
    <t xml:space="preserve">21000.008618/2015-82</t>
  </si>
  <si>
    <t xml:space="preserve">Paclobutrazol Técnico Proplan</t>
  </si>
  <si>
    <t xml:space="preserve">21000.002711/2014-01</t>
  </si>
  <si>
    <t xml:space="preserve">Piriproxifen Técnico Nortox</t>
  </si>
  <si>
    <t xml:space="preserve">21000.007494/2014-37</t>
  </si>
  <si>
    <t xml:space="preserve">Piriproxifen Técnico CCAB</t>
  </si>
  <si>
    <t xml:space="preserve">21000.003579/2015-27</t>
  </si>
  <si>
    <t xml:space="preserve">Cletodim Técnico Alta</t>
  </si>
  <si>
    <t xml:space="preserve">21000.040524/2016-89</t>
  </si>
  <si>
    <t xml:space="preserve">Kraken 240 EC</t>
  </si>
  <si>
    <t xml:space="preserve">21000.004961/2012-13</t>
  </si>
  <si>
    <t xml:space="preserve">Azox 250 SC</t>
  </si>
  <si>
    <t xml:space="preserve">21000.002048/2015-17</t>
  </si>
  <si>
    <t xml:space="preserve">Tebuco Nortox SC</t>
  </si>
  <si>
    <t xml:space="preserve">21000.007432/2013-44</t>
  </si>
  <si>
    <t xml:space="preserve">Clean Spray</t>
  </si>
  <si>
    <t xml:space="preserve">21000.004756/2013-21</t>
  </si>
  <si>
    <t xml:space="preserve">Ponto Final</t>
  </si>
  <si>
    <t xml:space="preserve">Bthek Biotecnologia</t>
  </si>
  <si>
    <t xml:space="preserve">21000.010391/2013-73</t>
  </si>
  <si>
    <t xml:space="preserve">Fluensulfone Técnico</t>
  </si>
  <si>
    <t xml:space="preserve">21000.000826/2013-71</t>
  </si>
  <si>
    <t xml:space="preserve">Acetamipride Técnico Genbra</t>
  </si>
  <si>
    <t xml:space="preserve">21000.000037/2016-83</t>
  </si>
  <si>
    <t xml:space="preserve">Nimitz EC</t>
  </si>
  <si>
    <t xml:space="preserve">21000.009683/2017-97</t>
  </si>
  <si>
    <t xml:space="preserve">PFC-Control</t>
  </si>
  <si>
    <t xml:space="preserve">21000.001767/2015-11</t>
  </si>
  <si>
    <t xml:space="preserve">Tebuco Nortox 430 SC</t>
  </si>
  <si>
    <t xml:space="preserve">21000.010393/2013-62</t>
  </si>
  <si>
    <t xml:space="preserve">Nimitz</t>
  </si>
  <si>
    <t xml:space="preserve">21000.010352/2013-76</t>
  </si>
  <si>
    <t xml:space="preserve">Acetamiprid SHCC Técnico</t>
  </si>
  <si>
    <t xml:space="preserve"> Cross Link Consultoria e Comércio</t>
  </si>
  <si>
    <t xml:space="preserve">21000.008498/2009-75</t>
  </si>
  <si>
    <t xml:space="preserve">Hexazinona 750 Volcano</t>
  </si>
  <si>
    <t xml:space="preserve">Volcano Agrociência</t>
  </si>
  <si>
    <t xml:space="preserve">21000.000851/2015-17</t>
  </si>
  <si>
    <t xml:space="preserve">Atrazina Max Nortox</t>
  </si>
  <si>
    <t xml:space="preserve">21000.003465/2011-53</t>
  </si>
  <si>
    <t xml:space="preserve">Maestro 800 WG</t>
  </si>
  <si>
    <t xml:space="preserve">21000.062852/2016-36</t>
  </si>
  <si>
    <t xml:space="preserve">Nimitz BR</t>
  </si>
  <si>
    <t xml:space="preserve">21000.063862/2016-99</t>
  </si>
  <si>
    <t xml:space="preserve">Nimitz TS</t>
  </si>
  <si>
    <t xml:space="preserve">21000.003803/2012-38</t>
  </si>
  <si>
    <t xml:space="preserve">Simazin Técnico CCAB</t>
  </si>
  <si>
    <t xml:space="preserve">21000.010541/2013-49</t>
  </si>
  <si>
    <t xml:space="preserve">Cercobin 875 WG</t>
  </si>
  <si>
    <t xml:space="preserve">21000.004189/2014-93</t>
  </si>
  <si>
    <t xml:space="preserve">Lufenurom Técnico RI-Cropchem</t>
  </si>
  <si>
    <t xml:space="preserve">21000.003435/2011-47</t>
  </si>
  <si>
    <t xml:space="preserve">Simazina Técnico Alta</t>
  </si>
  <si>
    <t xml:space="preserve">21000.002243/2013-85</t>
  </si>
  <si>
    <t xml:space="preserve">Amulet Top</t>
  </si>
  <si>
    <t xml:space="preserve">21000.007273/2014-69</t>
  </si>
  <si>
    <t xml:space="preserve">Revolux</t>
  </si>
  <si>
    <t xml:space="preserve">Metoxifenozida; Espinetoram</t>
  </si>
  <si>
    <t xml:space="preserve">21000.008231/2014-45</t>
  </si>
  <si>
    <t xml:space="preserve">Fidele</t>
  </si>
  <si>
    <t xml:space="preserve">21000.008237/2014-12</t>
  </si>
  <si>
    <t xml:space="preserve">Intrepid Edge</t>
  </si>
  <si>
    <t xml:space="preserve">21000.008629/2011-39</t>
  </si>
  <si>
    <t xml:space="preserve">Atrazina 500 SC Rainbow</t>
  </si>
  <si>
    <t xml:space="preserve">21000.008628/2011-94</t>
  </si>
  <si>
    <t xml:space="preserve">Metomil Técnico Sinon</t>
  </si>
  <si>
    <t xml:space="preserve">21000.004931/2015-41</t>
  </si>
  <si>
    <t xml:space="preserve">Metomil Técnico Nortox CH</t>
  </si>
  <si>
    <t xml:space="preserve">21000.012506/2010-11</t>
  </si>
  <si>
    <t xml:space="preserve">Simazina Técnico Rainbow</t>
  </si>
  <si>
    <t xml:space="preserve">21000.004982/2015-73</t>
  </si>
  <si>
    <t xml:space="preserve">Simazina Técnico Adama</t>
  </si>
  <si>
    <t xml:space="preserve">21000.006488/2015-43</t>
  </si>
  <si>
    <t xml:space="preserve">Metomil Técnico Adama BR</t>
  </si>
  <si>
    <t xml:space="preserve">21000.001510/2013-05</t>
  </si>
  <si>
    <t xml:space="preserve">2,4-D Tecnico Agroimport</t>
  </si>
  <si>
    <t xml:space="preserve">Agro Import do Brasil</t>
  </si>
  <si>
    <t xml:space="preserve">21000.006550/2012-54</t>
  </si>
  <si>
    <t xml:space="preserve">Fludioxonil Tecnico Milenia</t>
  </si>
  <si>
    <t xml:space="preserve">21000.001075/2014-91</t>
  </si>
  <si>
    <t xml:space="preserve">Delfos Max 430 SC</t>
  </si>
  <si>
    <t xml:space="preserve">21000.007645/2011-12</t>
  </si>
  <si>
    <t xml:space="preserve">Tibet</t>
  </si>
  <si>
    <t xml:space="preserve">21000.002803/2015-63</t>
  </si>
  <si>
    <t xml:space="preserve">Linus 200 SP</t>
  </si>
  <si>
    <t xml:space="preserve">21000.008878/2008-29</t>
  </si>
  <si>
    <t xml:space="preserve">Airone</t>
  </si>
  <si>
    <t xml:space="preserve">Hidróxido de Cobre; Oxicloreto de Cobre</t>
  </si>
  <si>
    <t xml:space="preserve">21000.008195/2013-39</t>
  </si>
  <si>
    <t xml:space="preserve">Dominum XT</t>
  </si>
  <si>
    <t xml:space="preserve">Aminopiralide; Picloram; Triclopir-butotílico</t>
  </si>
  <si>
    <t xml:space="preserve">21000.008655/2013-29</t>
  </si>
  <si>
    <t xml:space="preserve">Planador XT</t>
  </si>
  <si>
    <t xml:space="preserve">21000.008656/2013-73</t>
  </si>
  <si>
    <t xml:space="preserve">Trueno XT</t>
  </si>
  <si>
    <t xml:space="preserve">21000.010394/2009-21</t>
  </si>
  <si>
    <t xml:space="preserve">Cartap Técnico Volcano</t>
  </si>
  <si>
    <t xml:space="preserve">Cartape</t>
  </si>
  <si>
    <t xml:space="preserve">21000.003926/2011-98</t>
  </si>
  <si>
    <t xml:space="preserve">Picloram Nortox 240 SL</t>
  </si>
  <si>
    <t xml:space="preserve">21000.003091/2012-57</t>
  </si>
  <si>
    <t xml:space="preserve">Dominum EZ Forestry</t>
  </si>
  <si>
    <t xml:space="preserve">21000.004159/2013-04</t>
  </si>
  <si>
    <t xml:space="preserve">Atuantt Técnico</t>
  </si>
  <si>
    <t xml:space="preserve">21000.003538/2013-79</t>
  </si>
  <si>
    <t xml:space="preserve">Triclopyr Tecnico CCAB</t>
  </si>
  <si>
    <t xml:space="preserve">21000.003555/2013-14</t>
  </si>
  <si>
    <t xml:space="preserve">Triclopir Tecnico Genbra</t>
  </si>
  <si>
    <t xml:space="preserve">21000.007268/2014-56</t>
  </si>
  <si>
    <t xml:space="preserve">Rizos</t>
  </si>
  <si>
    <t xml:space="preserve">Laboratório de Bio Controle Farroupilha</t>
  </si>
  <si>
    <t xml:space="preserve">21000.005813/2012-16</t>
  </si>
  <si>
    <t xml:space="preserve">Metry</t>
  </si>
  <si>
    <t xml:space="preserve">21000.008927/2009-12</t>
  </si>
  <si>
    <t xml:space="preserve">Fipronil Técnico Consagro</t>
  </si>
  <si>
    <t xml:space="preserve">21000.002994/2012-11</t>
  </si>
  <si>
    <t xml:space="preserve">Mancozeb CCAB 800 WP</t>
  </si>
  <si>
    <t xml:space="preserve">21000.004383/2012-15</t>
  </si>
  <si>
    <t xml:space="preserve">Sniper</t>
  </si>
  <si>
    <t xml:space="preserve">21000.003983/2015-09</t>
  </si>
  <si>
    <t xml:space="preserve">Tibet Prime</t>
  </si>
  <si>
    <t xml:space="preserve">21000.007903/2015-86</t>
  </si>
  <si>
    <t xml:space="preserve">Kroll</t>
  </si>
  <si>
    <t xml:space="preserve">Cletodim; Quizalofop-P-Etílico</t>
  </si>
  <si>
    <t xml:space="preserve">21000.001268/2011-08</t>
  </si>
  <si>
    <t xml:space="preserve">Triclopir-butotilico Tecnico Nufarm</t>
  </si>
  <si>
    <t xml:space="preserve">21000.050434/2016-04</t>
  </si>
  <si>
    <t xml:space="preserve">Cronnos OD</t>
  </si>
  <si>
    <t xml:space="preserve">21000.007267/2014-10</t>
  </si>
  <si>
    <t xml:space="preserve">Onix</t>
  </si>
  <si>
    <t xml:space="preserve">Bacillus methylotrophicus</t>
  </si>
  <si>
    <t xml:space="preserve">21000.010989/2012-81</t>
  </si>
  <si>
    <t xml:space="preserve">Banjo</t>
  </si>
  <si>
    <t xml:space="preserve">21000.004960/2012-61</t>
  </si>
  <si>
    <t xml:space="preserve">Ciproconazol Tradecorp Técnico </t>
  </si>
  <si>
    <t xml:space="preserve">21000.009066/2010-15</t>
  </si>
  <si>
    <t xml:space="preserve">Trop SL</t>
  </si>
  <si>
    <t xml:space="preserve">21000.008005/2010-31</t>
  </si>
  <si>
    <t xml:space="preserve">Revogar 800 WG</t>
  </si>
  <si>
    <t xml:space="preserve">21000.009065/2010-71</t>
  </si>
  <si>
    <t xml:space="preserve">Trop 480 SL</t>
  </si>
  <si>
    <t xml:space="preserve">21000.004125/2013-10</t>
  </si>
  <si>
    <t xml:space="preserve">Ciproconazol Técnico Genbra</t>
  </si>
  <si>
    <t xml:space="preserve">21000.010108/2011-41</t>
  </si>
  <si>
    <t xml:space="preserve">Convicto</t>
  </si>
  <si>
    <t xml:space="preserve">Azoxistrobina; Epoxiconazol</t>
  </si>
  <si>
    <t xml:space="preserve">21000.010106/2011-52</t>
  </si>
  <si>
    <t xml:space="preserve">Convicto SC</t>
  </si>
  <si>
    <t xml:space="preserve">21000.005438/2011-15</t>
  </si>
  <si>
    <t xml:space="preserve">Sparviero 50</t>
  </si>
  <si>
    <t xml:space="preserve">21000.003466/2011-06</t>
  </si>
  <si>
    <t xml:space="preserve">Maestro 250 FS</t>
  </si>
  <si>
    <t xml:space="preserve">21000.002116/2017-18</t>
  </si>
  <si>
    <t xml:space="preserve">Thiodiplus 350 FS</t>
  </si>
  <si>
    <t xml:space="preserve">21000.002112/2017-21</t>
  </si>
  <si>
    <t xml:space="preserve">Thiobio 350 SC</t>
  </si>
  <si>
    <t xml:space="preserve">21000.004922/2012-16</t>
  </si>
  <si>
    <t xml:space="preserve">Zino 750 WG</t>
  </si>
  <si>
    <t xml:space="preserve">21000.007812/2014-60</t>
  </si>
  <si>
    <t xml:space="preserve">Clariva PN BR</t>
  </si>
  <si>
    <t xml:space="preserve">Pasteuria nishizawae</t>
  </si>
  <si>
    <t xml:space="preserve">21000.010413/2013-03</t>
  </si>
  <si>
    <t xml:space="preserve">Soyclean Xtra</t>
  </si>
  <si>
    <t xml:space="preserve">21000.010890/2010-18</t>
  </si>
  <si>
    <t xml:space="preserve">Greener</t>
  </si>
  <si>
    <t xml:space="preserve">21000.007215/2012-73</t>
  </si>
  <si>
    <t xml:space="preserve">Station 240 SL</t>
  </si>
  <si>
    <t xml:space="preserve">21000.005764/2012-11</t>
  </si>
  <si>
    <t xml:space="preserve">Campestre 240 SL</t>
  </si>
  <si>
    <t xml:space="preserve">21000.012846/2010-42</t>
  </si>
  <si>
    <t xml:space="preserve">Glifosato DVA Agro Técnico</t>
  </si>
  <si>
    <t xml:space="preserve">21000.007984/2010-18</t>
  </si>
  <si>
    <t xml:space="preserve">Zonic</t>
  </si>
  <si>
    <t xml:space="preserve">Amicarbazona; Diurom; Hexazinona</t>
  </si>
  <si>
    <t xml:space="preserve">21000.008082/2010-91 </t>
  </si>
  <si>
    <t xml:space="preserve">Guerrero</t>
  </si>
  <si>
    <t xml:space="preserve">21000.010863/2012-15 </t>
  </si>
  <si>
    <t xml:space="preserve">Glifomega Técnico</t>
  </si>
  <si>
    <t xml:space="preserve">21000.010010/2011-94</t>
  </si>
  <si>
    <t xml:space="preserve">Luger</t>
  </si>
  <si>
    <t xml:space="preserve">21000.042531/2017-04</t>
  </si>
  <si>
    <t xml:space="preserve">Chrysogen</t>
  </si>
  <si>
    <r>
      <rPr>
        <sz val="10"/>
        <color rgb="FF000066"/>
        <rFont val="Arial"/>
        <family val="2"/>
        <charset val="1"/>
      </rPr>
      <t xml:space="preserve">Baculovirus - </t>
    </r>
    <r>
      <rPr>
        <i val="true"/>
        <sz val="10"/>
        <color rgb="FF000066"/>
        <rFont val="Arial"/>
        <family val="2"/>
        <charset val="1"/>
      </rPr>
      <t xml:space="preserve">Chrysodeixis includens</t>
    </r>
    <r>
      <rPr>
        <sz val="10"/>
        <color rgb="FF000066"/>
        <rFont val="Arial"/>
        <family val="2"/>
        <charset val="1"/>
      </rPr>
      <t xml:space="preserve"> nucleopolyhedrovirus (ChinNPV)</t>
    </r>
  </si>
  <si>
    <t xml:space="preserve">21000.044104/2017-52</t>
  </si>
  <si>
    <t xml:space="preserve">Chrysogen CCAB</t>
  </si>
  <si>
    <r>
      <rPr>
        <sz val="10"/>
        <color rgb="FF000066"/>
        <rFont val="Arial"/>
        <family val="2"/>
        <charset val="1"/>
      </rPr>
      <t xml:space="preserve">Baculovirus - </t>
    </r>
    <r>
      <rPr>
        <i val="true"/>
        <sz val="10"/>
        <color rgb="FF000066"/>
        <rFont val="Arial"/>
        <family val="2"/>
        <charset val="1"/>
      </rPr>
      <t xml:space="preserve">Chrysodeixis includens </t>
    </r>
    <r>
      <rPr>
        <sz val="10"/>
        <color rgb="FF000066"/>
        <rFont val="Arial"/>
        <family val="2"/>
        <charset val="1"/>
      </rPr>
      <t xml:space="preserve">nucleopolyhedrovirus (ChinNPV)</t>
    </r>
  </si>
  <si>
    <t xml:space="preserve">21000.004460/2013-18</t>
  </si>
  <si>
    <t xml:space="preserve">Acefato Técnico SUP</t>
  </si>
  <si>
    <t xml:space="preserve">21000.005153/2013-46</t>
  </si>
  <si>
    <t xml:space="preserve">Acefato Técnico Rainbow</t>
  </si>
  <si>
    <t xml:space="preserve">21000.009301/2013-00</t>
  </si>
  <si>
    <t xml:space="preserve">Acefato Técnico Biorisk</t>
  </si>
  <si>
    <t xml:space="preserve">21000.036239/2017-44 </t>
  </si>
  <si>
    <t xml:space="preserve">Cartugen</t>
  </si>
  <si>
    <r>
      <rPr>
        <sz val="10"/>
        <color rgb="FF000066"/>
        <rFont val="Arial"/>
        <family val="2"/>
        <charset val="1"/>
      </rPr>
      <t xml:space="preserve">Baculovirus - </t>
    </r>
    <r>
      <rPr>
        <i val="true"/>
        <sz val="10"/>
        <color rgb="FF000066"/>
        <rFont val="Arial"/>
        <family val="2"/>
        <charset val="1"/>
      </rPr>
      <t xml:space="preserve">Spodoptera frugiperda</t>
    </r>
    <r>
      <rPr>
        <sz val="10"/>
        <color rgb="FF000066"/>
        <rFont val="Arial"/>
        <family val="2"/>
        <charset val="1"/>
      </rPr>
      <t xml:space="preserve"> multiplenucleopolyhedrovirus (SfMNPV)</t>
    </r>
  </si>
  <si>
    <t xml:space="preserve">21000.038361/2017-55</t>
  </si>
  <si>
    <t xml:space="preserve">Cartugen CCAB</t>
  </si>
  <si>
    <t xml:space="preserve">21000.001009/2013-21</t>
  </si>
  <si>
    <t xml:space="preserve">Acefato Técnico AgroImport</t>
  </si>
  <si>
    <t xml:space="preserve">21000.003637/2014-31</t>
  </si>
  <si>
    <t xml:space="preserve">Acephate Technical</t>
  </si>
  <si>
    <t xml:space="preserve">21000.008115/2011-83 </t>
  </si>
  <si>
    <t xml:space="preserve">Ametrina 500 SC Rainbow</t>
  </si>
  <si>
    <t xml:space="preserve">21000.008203/2012-66</t>
  </si>
  <si>
    <t xml:space="preserve">Glifosato Atanor IV</t>
  </si>
  <si>
    <t xml:space="preserve">21000.015830/2011-72</t>
  </si>
  <si>
    <t xml:space="preserve">Flutriafol Tradecorp Técnico </t>
  </si>
  <si>
    <t xml:space="preserve">21000.010333/2012-69</t>
  </si>
  <si>
    <t xml:space="preserve">Cipermetrina Técnico Red Surcos</t>
  </si>
  <si>
    <t xml:space="preserve">21000.000812/2013-58</t>
  </si>
  <si>
    <t xml:space="preserve">Lavra</t>
  </si>
  <si>
    <t xml:space="preserve">21000.011211/2018-85</t>
  </si>
  <si>
    <t xml:space="preserve">Tiofanato Metil Técnico Nortox III</t>
  </si>
  <si>
    <t xml:space="preserve">21000.004048/2014-71</t>
  </si>
  <si>
    <t xml:space="preserve">Lufenuron Técnico Nortox CH</t>
  </si>
  <si>
    <t xml:space="preserve">21000.007052/2015-71</t>
  </si>
  <si>
    <t xml:space="preserve">Nicossulfuron Técnico RDB </t>
  </si>
  <si>
    <t xml:space="preserve">Nicosulfurom</t>
  </si>
  <si>
    <t xml:space="preserve">21000.040601/2016-09</t>
  </si>
  <si>
    <t xml:space="preserve">Nicossulfuron Técnico Sino-Agri</t>
  </si>
  <si>
    <t xml:space="preserve">21000.007556/2012-49</t>
  </si>
  <si>
    <t xml:space="preserve">Metomil Técnico</t>
  </si>
  <si>
    <t xml:space="preserve">21000.009798/2013-58</t>
  </si>
  <si>
    <t xml:space="preserve">Metomil Técnico Mil</t>
  </si>
  <si>
    <t xml:space="preserve">21000.018139/2017-36 </t>
  </si>
  <si>
    <t xml:space="preserve">Atrazina Técnica Adama</t>
  </si>
  <si>
    <t xml:space="preserve">21000.003108/2013-57</t>
  </si>
  <si>
    <t xml:space="preserve">Diflubenzurom Técnico ME2</t>
  </si>
  <si>
    <t xml:space="preserve">21000.008579/2015-13 </t>
  </si>
  <si>
    <t xml:space="preserve">Kraton</t>
  </si>
  <si>
    <t xml:space="preserve">21000.011793/2011-23 </t>
  </si>
  <si>
    <t xml:space="preserve">T-Hex</t>
  </si>
  <si>
    <t xml:space="preserve">Tiodicarbe; Hexazinona</t>
  </si>
  <si>
    <t xml:space="preserve">21000.002563/2011-73 </t>
  </si>
  <si>
    <t xml:space="preserve">Thiodicarb 350 FS</t>
  </si>
  <si>
    <t xml:space="preserve">21000.009276/2012-75 </t>
  </si>
  <si>
    <t xml:space="preserve">Atrazina 500 Sc Alamos</t>
  </si>
  <si>
    <t xml:space="preserve">Alamos do Brasil</t>
  </si>
  <si>
    <t xml:space="preserve">21000.003651/2014-35</t>
  </si>
  <si>
    <t xml:space="preserve">Flutriafol Técnico Nortox CH</t>
  </si>
  <si>
    <t xml:space="preserve">21000.015791/2011-11 </t>
  </si>
  <si>
    <t xml:space="preserve">Diquat Nufarm 200 SL</t>
  </si>
  <si>
    <t xml:space="preserve">21000.000606/2013-48</t>
  </si>
  <si>
    <t xml:space="preserve">Azoxistrobina Técnico Alta II</t>
  </si>
  <si>
    <t xml:space="preserve">21000.003113/2013-60</t>
  </si>
  <si>
    <t xml:space="preserve">Grandus WG</t>
  </si>
  <si>
    <t xml:space="preserve">Nicosulfurom; Atrazina</t>
  </si>
  <si>
    <t xml:space="preserve">21000.051444/2017-30</t>
  </si>
  <si>
    <t xml:space="preserve">Tiofanato-Metílico Técnico Mega</t>
  </si>
  <si>
    <t xml:space="preserve">21000.024269/2017-16</t>
  </si>
  <si>
    <t xml:space="preserve">Mancozebe Técnico BRA</t>
  </si>
  <si>
    <t xml:space="preserve">21000.009574/2012-65</t>
  </si>
  <si>
    <t xml:space="preserve">Wild</t>
  </si>
  <si>
    <t xml:space="preserve">21000.003559/2013-94</t>
  </si>
  <si>
    <t xml:space="preserve">Paicer</t>
  </si>
  <si>
    <t xml:space="preserve">21000.003405/2017-26 </t>
  </si>
  <si>
    <t xml:space="preserve">Faith</t>
  </si>
  <si>
    <t xml:space="preserve">21000.003407/2017-15 </t>
  </si>
  <si>
    <t xml:space="preserve">Faith SP</t>
  </si>
  <si>
    <t xml:space="preserve">21000.008070/2015-71 </t>
  </si>
  <si>
    <t xml:space="preserve">Cartago</t>
  </si>
  <si>
    <t xml:space="preserve">21000.010999/2011-36 </t>
  </si>
  <si>
    <t xml:space="preserve">Lufenurom Nufarm 50 EC</t>
  </si>
  <si>
    <t xml:space="preserve">21000.003864/2016-29</t>
  </si>
  <si>
    <t xml:space="preserve">Azoxistrobina Técnico Tide</t>
  </si>
  <si>
    <t xml:space="preserve">Tide do Brasil</t>
  </si>
  <si>
    <t xml:space="preserve">21000.025506/2017-58</t>
  </si>
  <si>
    <t xml:space="preserve">Daytona</t>
  </si>
  <si>
    <t xml:space="preserve">Koppert do Brasil Sistemas Biologicos</t>
  </si>
  <si>
    <t xml:space="preserve">21000.008037/2012-06</t>
  </si>
  <si>
    <t xml:space="preserve">Hexitiazoxi Tradecorp Técnico</t>
  </si>
  <si>
    <t xml:space="preserve">21000.006943/2015-19</t>
  </si>
  <si>
    <t xml:space="preserve">Cletodim Técnico Nufarm</t>
  </si>
  <si>
    <t xml:space="preserve">21000.006627/2015-39</t>
  </si>
  <si>
    <t xml:space="preserve">Clethodim Técnico BCS</t>
  </si>
  <si>
    <t xml:space="preserve">Bayer S.A.</t>
  </si>
  <si>
    <t xml:space="preserve">21000.008647/2015-44 </t>
  </si>
  <si>
    <t xml:space="preserve">Cletodim Técnico Adama</t>
  </si>
  <si>
    <t xml:space="preserve">21000.003899/2015-87</t>
  </si>
  <si>
    <t xml:space="preserve">Cletodim Técnico Cropchem</t>
  </si>
  <si>
    <t xml:space="preserve">21000.007381/2015-12</t>
  </si>
  <si>
    <t xml:space="preserve">Clethodim Técnico RTM</t>
  </si>
  <si>
    <t xml:space="preserve">21000.002693/2015-30</t>
  </si>
  <si>
    <t xml:space="preserve">Imazethapyr Técnico Biesterfeld</t>
  </si>
  <si>
    <t xml:space="preserve">Biesterfeld do Brasil</t>
  </si>
  <si>
    <t xml:space="preserve">21000.046918/2016-41 </t>
  </si>
  <si>
    <t xml:space="preserve">Imazetapir Técnico Adama BR </t>
  </si>
  <si>
    <t xml:space="preserve">21000.053343/2016-12 </t>
  </si>
  <si>
    <t xml:space="preserve">Imazetapir CTécnico Helm</t>
  </si>
  <si>
    <t xml:space="preserve">21000.007318/2012-33 </t>
  </si>
  <si>
    <t xml:space="preserve">Clomazone JB Técnico FMC</t>
  </si>
  <si>
    <t xml:space="preserve">21000.003874/2014-01</t>
  </si>
  <si>
    <t xml:space="preserve">2,4-D Técnico Agrisor</t>
  </si>
  <si>
    <t xml:space="preserve">21000.022661/2017-12 </t>
  </si>
  <si>
    <t xml:space="preserve">Diamond</t>
  </si>
  <si>
    <t xml:space="preserve">Trichoderma koningiopsis</t>
  </si>
  <si>
    <t xml:space="preserve">21000.006719/2013-57</t>
  </si>
  <si>
    <t xml:space="preserve">Captan Técnico Rainbow</t>
  </si>
  <si>
    <t xml:space="preserve">Captan</t>
  </si>
  <si>
    <t xml:space="preserve">21000.007270/2014-25</t>
  </si>
  <si>
    <t xml:space="preserve">Azoxistrobina Pré-Mistura Milenia</t>
  </si>
  <si>
    <t xml:space="preserve">21000.063767/2016-95</t>
  </si>
  <si>
    <t xml:space="preserve">Staff</t>
  </si>
  <si>
    <t xml:space="preserve">21000.006966/2013-53</t>
  </si>
  <si>
    <t xml:space="preserve">Spirodiclofeno Técnico Helm</t>
  </si>
  <si>
    <t xml:space="preserve">21000.021080/2017-63</t>
  </si>
  <si>
    <t xml:space="preserve">Espirodiclofeno Técnico Alta</t>
  </si>
  <si>
    <t xml:space="preserve">21000.031970/2017-83</t>
  </si>
  <si>
    <t xml:space="preserve">Spirodiclofeno Técnico Sulphur Mills</t>
  </si>
  <si>
    <t xml:space="preserve">21000.000272/2014-93</t>
  </si>
  <si>
    <t xml:space="preserve">Hexazinone Técnico RTM</t>
  </si>
  <si>
    <t xml:space="preserve">21000.009702/2012-71</t>
  </si>
  <si>
    <t xml:space="preserve">Hexazinona Técnica Proventis</t>
  </si>
  <si>
    <t xml:space="preserve">21000.004597/2018-79</t>
  </si>
  <si>
    <t xml:space="preserve">Imazetapir Técnico Alta</t>
  </si>
  <si>
    <t xml:space="preserve">21000.002181/2015-73 </t>
  </si>
  <si>
    <t xml:space="preserve">Imazetapyr Técnico SCY-Cropchem</t>
  </si>
  <si>
    <t xml:space="preserve">21000.053725/2016-46</t>
  </si>
  <si>
    <t xml:space="preserve">Hexazinone Técnico Sino-Agri</t>
  </si>
  <si>
    <t xml:space="preserve">21000.010451/2012-77 </t>
  </si>
  <si>
    <t xml:space="preserve">Dinamic Técnico DC</t>
  </si>
  <si>
    <t xml:space="preserve">21000.004412/2013-11</t>
  </si>
  <si>
    <t xml:space="preserve">Fluazinan Técnico SH</t>
  </si>
  <si>
    <t xml:space="preserve">21000.009679/2017-29 </t>
  </si>
  <si>
    <t xml:space="preserve">Super BT</t>
  </si>
  <si>
    <t xml:space="preserve"> Bacillus thuringiensis</t>
  </si>
  <si>
    <t xml:space="preserve">21000.009675/2017-41</t>
  </si>
  <si>
    <t xml:space="preserve">Eficaz Nema</t>
  </si>
  <si>
    <t xml:space="preserve">21000.021705/2017-97 </t>
  </si>
  <si>
    <t xml:space="preserve">Nematec</t>
  </si>
  <si>
    <t xml:space="preserve">Deladenus siricidicola</t>
  </si>
  <si>
    <t xml:space="preserve">Embrapa Florestas</t>
  </si>
  <si>
    <t xml:space="preserve">21000.004343/2017-70 </t>
  </si>
  <si>
    <t xml:space="preserve">Faith SD 750 SP</t>
  </si>
  <si>
    <t xml:space="preserve">21000.025508/2017-47 </t>
  </si>
  <si>
    <t xml:space="preserve">Octane</t>
  </si>
  <si>
    <t xml:space="preserve">21000.059152/2016-64</t>
  </si>
  <si>
    <t xml:space="preserve">Daniato</t>
  </si>
  <si>
    <t xml:space="preserve">21000.003761/2012-35 </t>
  </si>
  <si>
    <t xml:space="preserve">Batalha</t>
  </si>
  <si>
    <t xml:space="preserve">21000.010401/2010-28</t>
  </si>
  <si>
    <t xml:space="preserve">Chloromo</t>
  </si>
  <si>
    <t xml:space="preserve">Sabero Organics</t>
  </si>
  <si>
    <t xml:space="preserve">21000.036974/2017-58</t>
  </si>
  <si>
    <t xml:space="preserve">Serifel</t>
  </si>
  <si>
    <t xml:space="preserve">21000.003412/2013-02 </t>
  </si>
  <si>
    <t xml:space="preserve">Clomazona Tradecorp Técnico</t>
  </si>
  <si>
    <t xml:space="preserve">21000.008390/2014-40</t>
  </si>
  <si>
    <t xml:space="preserve">Metribuzin Pré-Mistura</t>
  </si>
  <si>
    <t xml:space="preserve">21000.006970/2014-01</t>
  </si>
  <si>
    <t xml:space="preserve">Pherodis HÁ</t>
  </si>
  <si>
    <t xml:space="preserve">(z)-11 hexadecenal; (z)-9- hexadecenal; (z)-7- hexadecenal</t>
  </si>
  <si>
    <t xml:space="preserve">21000.008630/2011-63</t>
  </si>
  <si>
    <t xml:space="preserve">Simatop Rainbow</t>
  </si>
  <si>
    <t xml:space="preserve">21000.049204/2017-75</t>
  </si>
  <si>
    <t xml:space="preserve">Surtivo Soja</t>
  </si>
  <si>
    <r>
      <rPr>
        <i val="true"/>
        <sz val="10"/>
        <color rgb="FF000066"/>
        <rFont val="Arial"/>
        <family val="2"/>
        <charset val="1"/>
      </rPr>
      <t xml:space="preserve">Chrysodeixis includens</t>
    </r>
    <r>
      <rPr>
        <sz val="10"/>
        <color rgb="FF000066"/>
        <rFont val="Arial"/>
        <family val="2"/>
        <charset val="1"/>
      </rPr>
      <t xml:space="preserve"> nucleopolihedrovirus (ChinNPV); </t>
    </r>
    <r>
      <rPr>
        <i val="true"/>
        <sz val="10"/>
        <color rgb="FF000066"/>
        <rFont val="Arial"/>
        <family val="2"/>
        <charset val="1"/>
      </rPr>
      <t xml:space="preserve">Helicoverpa armíger</t>
    </r>
    <r>
      <rPr>
        <sz val="10"/>
        <color rgb="FF000066"/>
        <rFont val="Arial"/>
        <family val="2"/>
        <charset val="1"/>
      </rPr>
      <t xml:space="preserve">a nucleopolihedrovirus (HaNPV = HearNPV)</t>
    </r>
  </si>
  <si>
    <t xml:space="preserve">21000.008326/2014-69</t>
  </si>
  <si>
    <t xml:space="preserve">Fontop</t>
  </si>
  <si>
    <t xml:space="preserve">Fluasifope-P-butílico</t>
  </si>
  <si>
    <t xml:space="preserve">21000.006062/2015-90</t>
  </si>
  <si>
    <t xml:space="preserve">Cuprital 700</t>
  </si>
  <si>
    <t xml:space="preserve">Oxicloreto de cobre</t>
  </si>
  <si>
    <t xml:space="preserve">21000.053922/2016-65</t>
  </si>
  <si>
    <t xml:space="preserve">Bequebr</t>
  </si>
  <si>
    <t xml:space="preserve">21000.001691/2012-81 </t>
  </si>
  <si>
    <t xml:space="preserve">Shambda 50 EC</t>
  </si>
  <si>
    <t xml:space="preserve">21000.010777/2009-07</t>
  </si>
  <si>
    <t xml:space="preserve">ATAK</t>
  </si>
  <si>
    <t xml:space="preserve">21000.005840/2014-42</t>
  </si>
  <si>
    <t xml:space="preserve">Lufenuron Nortox 100 EC</t>
  </si>
  <si>
    <t xml:space="preserve">21000.002028/2018-99</t>
  </si>
  <si>
    <t xml:space="preserve">Surtivo Soja CCAB</t>
  </si>
  <si>
    <r>
      <rPr>
        <i val="true"/>
        <sz val="11"/>
        <color rgb="FF000066"/>
        <rFont val="Arial"/>
        <family val="2"/>
        <charset val="1"/>
      </rPr>
      <t xml:space="preserve">Chrysodeixis includens</t>
    </r>
    <r>
      <rPr>
        <sz val="11"/>
        <color rgb="FF000066"/>
        <rFont val="Arial"/>
        <family val="2"/>
        <charset val="1"/>
      </rPr>
      <t xml:space="preserve"> nucleopolihedrovirus (ChinNPV); </t>
    </r>
    <r>
      <rPr>
        <i val="true"/>
        <sz val="11"/>
        <color rgb="FF000066"/>
        <rFont val="Arial"/>
        <family val="2"/>
        <charset val="1"/>
      </rPr>
      <t xml:space="preserve">Helicoverpa armígera</t>
    </r>
    <r>
      <rPr>
        <sz val="11"/>
        <color rgb="FF000066"/>
        <rFont val="Arial"/>
        <family val="2"/>
        <charset val="1"/>
      </rPr>
      <t xml:space="preserve"> nucleopolihedrovirus (HaNPV = HearNPV)</t>
    </r>
  </si>
  <si>
    <t xml:space="preserve">Source Top</t>
  </si>
  <si>
    <t xml:space="preserve">21000.002244/2013-20</t>
  </si>
  <si>
    <t xml:space="preserve">Belure Top</t>
  </si>
  <si>
    <t xml:space="preserve">21000.001311/2013-99 </t>
  </si>
  <si>
    <t xml:space="preserve">Troller</t>
  </si>
  <si>
    <t xml:space="preserve">21000.052348/2017-17</t>
  </si>
  <si>
    <t xml:space="preserve">Majestic</t>
  </si>
  <si>
    <t xml:space="preserve">21000.015927/2011-85</t>
  </si>
  <si>
    <t xml:space="preserve">Alvo 750 WG</t>
  </si>
  <si>
    <t xml:space="preserve">21000.058672/2016-50</t>
  </si>
  <si>
    <t xml:space="preserve">Kennox</t>
  </si>
  <si>
    <t xml:space="preserve">Cletodim; Haloxifop-P-Metílico</t>
  </si>
  <si>
    <t xml:space="preserve">21000.046482/2017-71</t>
  </si>
  <si>
    <t xml:space="preserve">Aptur-PF</t>
  </si>
  <si>
    <t xml:space="preserve">21000.049202/2017-86</t>
  </si>
  <si>
    <t xml:space="preserve">Lepigen</t>
  </si>
  <si>
    <r>
      <rPr>
        <i val="true"/>
        <sz val="11"/>
        <color rgb="FF000066"/>
        <rFont val="Arial"/>
        <family val="2"/>
        <charset val="1"/>
      </rPr>
      <t xml:space="preserve">Autographa californica</t>
    </r>
    <r>
      <rPr>
        <sz val="11"/>
        <color rgb="FF000066"/>
        <rFont val="Arial"/>
        <family val="2"/>
        <charset val="1"/>
      </rPr>
      <t xml:space="preserve"> Multiple Nucleopolyhedrovirus</t>
    </r>
  </si>
  <si>
    <t xml:space="preserve">21000.002029/2018-33</t>
  </si>
  <si>
    <t xml:space="preserve">Lepigen CCAB</t>
  </si>
  <si>
    <t xml:space="preserve">21000.010794/2012-31</t>
  </si>
  <si>
    <t xml:space="preserve">Boreal</t>
  </si>
  <si>
    <t xml:space="preserve">21000.009131/2012-74 </t>
  </si>
  <si>
    <t xml:space="preserve">Capote</t>
  </si>
  <si>
    <t xml:space="preserve">21000.003557/2018-18</t>
  </si>
  <si>
    <t xml:space="preserve">Agroneem</t>
  </si>
  <si>
    <t xml:space="preserve">Prophyto Comércio e Serviços</t>
  </si>
  <si>
    <t xml:space="preserve">21000.026214/2017-32</t>
  </si>
  <si>
    <t xml:space="preserve">Clorotalonil 500 SC OF</t>
  </si>
  <si>
    <t xml:space="preserve">21000.063818/2016-89 </t>
  </si>
  <si>
    <t xml:space="preserve">Zipper</t>
  </si>
  <si>
    <t xml:space="preserve">Mancozebe; Oxicloreto de Cobre</t>
  </si>
  <si>
    <t xml:space="preserve">21000.005071/2010-59</t>
  </si>
  <si>
    <t xml:space="preserve">Fluroxipir Técnico Tecnomyl</t>
  </si>
  <si>
    <t xml:space="preserve">21000.004140/2015-11</t>
  </si>
  <si>
    <t xml:space="preserve">Fluazinam Técnico Nortox BR</t>
  </si>
  <si>
    <t xml:space="preserve">21000.005375/2014-40 </t>
  </si>
  <si>
    <t xml:space="preserve">Fluazinam Técnico Nortox</t>
  </si>
  <si>
    <t xml:space="preserve">21000.005622/2012-46</t>
  </si>
  <si>
    <t xml:space="preserve">Captain 800 WG</t>
  </si>
  <si>
    <t xml:space="preserve">21000.046020/2017-53</t>
  </si>
  <si>
    <t xml:space="preserve">Nemakill</t>
  </si>
  <si>
    <t xml:space="preserve">21000.004396/2016-18 </t>
  </si>
  <si>
    <t xml:space="preserve">Origan 500 SC</t>
  </si>
  <si>
    <t xml:space="preserve">21000.052347/2017-64 </t>
  </si>
  <si>
    <t xml:space="preserve">Unique</t>
  </si>
  <si>
    <t xml:space="preserve">21000.004164/2013-17</t>
  </si>
  <si>
    <t xml:space="preserve">Diquat Técnico YN</t>
  </si>
  <si>
    <t xml:space="preserve">21000.007228/2014-12</t>
  </si>
  <si>
    <t xml:space="preserve">Diquat Técnico Nortox</t>
  </si>
  <si>
    <t xml:space="preserve">21000.005270/2015-71</t>
  </si>
  <si>
    <t xml:space="preserve">Diquat Técnico Cropchem</t>
  </si>
  <si>
    <t xml:space="preserve">21000.036496/2016-03</t>
  </si>
  <si>
    <t xml:space="preserve">Diquat Sapec Técnico</t>
  </si>
  <si>
    <t xml:space="preserve">21000.001591/2013-35</t>
  </si>
  <si>
    <t xml:space="preserve">Tiodicarbe Nufarm 350 SC</t>
  </si>
  <si>
    <t xml:space="preserve">21000.000621/2010-43 </t>
  </si>
  <si>
    <t xml:space="preserve">Uzat</t>
  </si>
  <si>
    <t xml:space="preserve">Cheminova</t>
  </si>
  <si>
    <t xml:space="preserve">21000.002573/2014-51</t>
  </si>
  <si>
    <t xml:space="preserve">Acetamiprid STK 200 SP</t>
  </si>
  <si>
    <t xml:space="preserve">21000.062383/2016-55</t>
  </si>
  <si>
    <t xml:space="preserve">Bitelo</t>
  </si>
  <si>
    <t xml:space="preserve">21000.008986/2018-73 </t>
  </si>
  <si>
    <t xml:space="preserve">Auin CE</t>
  </si>
  <si>
    <t xml:space="preserve">21000.052341/2017-97</t>
  </si>
  <si>
    <t xml:space="preserve">Vantaje</t>
  </si>
  <si>
    <t xml:space="preserve">21000.003513/2012-94</t>
  </si>
  <si>
    <t xml:space="preserve">Fluroxipir Técnico Rainbow</t>
  </si>
  <si>
    <t xml:space="preserve">21000.042847/2016-15</t>
  </si>
  <si>
    <t xml:space="preserve">Curbix 200 SC A</t>
  </si>
  <si>
    <t xml:space="preserve">Fenilpirazol</t>
  </si>
  <si>
    <t xml:space="preserve">21000.006599/2018-01</t>
  </si>
  <si>
    <t xml:space="preserve">Isomate-Ofm TT</t>
  </si>
  <si>
    <t xml:space="preserve">Acetato de (Z)-8-dodecenila; Acetato de (E)-8-dodecenila; (Z)-8-dodecenol</t>
  </si>
  <si>
    <t xml:space="preserve">Biocontrole</t>
  </si>
  <si>
    <t xml:space="preserve">21000.007483/2008-17</t>
  </si>
  <si>
    <t xml:space="preserve">Trovati</t>
  </si>
  <si>
    <t xml:space="preserve">21000.004916/2011-70</t>
  </si>
  <si>
    <t xml:space="preserve">Fipronil 250 FS Agria</t>
  </si>
  <si>
    <t xml:space="preserve">21000.053538/2017-43</t>
  </si>
  <si>
    <t xml:space="preserve">Trichodermil DS</t>
  </si>
  <si>
    <t xml:space="preserve">21000.053531/2017-21</t>
  </si>
  <si>
    <t xml:space="preserve">Cougar</t>
  </si>
  <si>
    <t xml:space="preserve">21000.049907/2017-01</t>
  </si>
  <si>
    <t xml:space="preserve">Boveryd FR 25</t>
  </si>
  <si>
    <t xml:space="preserve">21000.002341/2016-65</t>
  </si>
  <si>
    <t xml:space="preserve">Ávido BR</t>
  </si>
  <si>
    <t xml:space="preserve">21000.019734/2018-70</t>
  </si>
  <si>
    <t xml:space="preserve">Dobbel</t>
  </si>
  <si>
    <t xml:space="preserve">21000.005809/2012-40</t>
  </si>
  <si>
    <t xml:space="preserve">Glifosato XW Técnico</t>
  </si>
  <si>
    <t xml:space="preserve">21000.005367/2010-70</t>
  </si>
  <si>
    <t xml:space="preserve">Fluroxipir Técnico CCAB</t>
  </si>
  <si>
    <t xml:space="preserve">21000.001401/2012-07</t>
  </si>
  <si>
    <t xml:space="preserve">Fluroxypyr L Técnico Helm</t>
  </si>
  <si>
    <t xml:space="preserve">21000.006465/2012-96</t>
  </si>
  <si>
    <t xml:space="preserve">Fluroxypyr Técnico Volcano</t>
  </si>
  <si>
    <t xml:space="preserve">21000.010276/2012-18</t>
  </si>
  <si>
    <t xml:space="preserve">Fluroxypyr Meptil Técnico UPL</t>
  </si>
  <si>
    <t xml:space="preserve">21000.000872/2014-51</t>
  </si>
  <si>
    <t xml:space="preserve">Fluroxypyr-Meptyl Técnico Agrogill</t>
  </si>
  <si>
    <t xml:space="preserve">21000.000179/2016-41</t>
  </si>
  <si>
    <t xml:space="preserve">Fluroxipir Meptílico Técnico Adama</t>
  </si>
  <si>
    <t xml:space="preserve">21000.001520/2011-71</t>
  </si>
  <si>
    <t xml:space="preserve">Tecnup</t>
  </si>
  <si>
    <t xml:space="preserve">21000.053853/2017-71</t>
  </si>
  <si>
    <t xml:space="preserve">Hover</t>
  </si>
  <si>
    <t xml:space="preserve">21000.010932/2018-78</t>
  </si>
  <si>
    <t xml:space="preserve">JB Tri-P</t>
  </si>
  <si>
    <t xml:space="preserve">21000.023429/2016-11</t>
  </si>
  <si>
    <t xml:space="preserve">Glyphosate Técnico Fuhua</t>
  </si>
  <si>
    <t xml:space="preserve">21000.013417/2018-40</t>
  </si>
  <si>
    <t xml:space="preserve">Ametrina Técnica Nortox II</t>
  </si>
  <si>
    <t xml:space="preserve">21000.014173/2018-12</t>
  </si>
  <si>
    <t xml:space="preserve">Trilag</t>
  </si>
  <si>
    <t xml:space="preserve">21000.009225/2011-62</t>
  </si>
  <si>
    <t xml:space="preserve">Shelter FS</t>
  </si>
  <si>
    <t xml:space="preserve">21000.015650/2018-67</t>
  </si>
  <si>
    <t xml:space="preserve">Azoxystrobin Técnico Nortox IV</t>
  </si>
  <si>
    <t xml:space="preserve">21000.032655/2017-73</t>
  </si>
  <si>
    <t xml:space="preserve">Cletodim Técnico Alta II</t>
  </si>
  <si>
    <t xml:space="preserve">21000.006398/2013-91</t>
  </si>
  <si>
    <t xml:space="preserve">Sulfentrazone Técnico Proventis</t>
  </si>
  <si>
    <t xml:space="preserve">21000.007215/2013-54</t>
  </si>
  <si>
    <t xml:space="preserve">Sulfentrazone Técnico CCAB</t>
  </si>
  <si>
    <t xml:space="preserve">21000.010397/2010-06</t>
  </si>
  <si>
    <t xml:space="preserve">Lambda-Cialotrina Técnico Mil</t>
  </si>
  <si>
    <t xml:space="preserve">21000.008309/2014-21</t>
  </si>
  <si>
    <t xml:space="preserve">Indoxacarb Técnico CCAB</t>
  </si>
  <si>
    <t xml:space="preserve">21000.006442/2014-43</t>
  </si>
  <si>
    <t xml:space="preserve">Indoxacarb Técnico Gharda</t>
  </si>
  <si>
    <t xml:space="preserve">21000.015764/2011-31</t>
  </si>
  <si>
    <t xml:space="preserve">Azoxistrobina CCAB 250 SC</t>
  </si>
  <si>
    <t xml:space="preserve">21000.002571/2015-43</t>
  </si>
  <si>
    <t xml:space="preserve">Hollic</t>
  </si>
  <si>
    <t xml:space="preserve">Metiram; Piraclostrobina</t>
  </si>
  <si>
    <t xml:space="preserve">21000.008034/2015-15</t>
  </si>
  <si>
    <t xml:space="preserve">Bac Control Max EC</t>
  </si>
  <si>
    <t xml:space="preserve">21000.010931/2018-23</t>
  </si>
  <si>
    <t xml:space="preserve">Excellence Rugger</t>
  </si>
  <si>
    <t xml:space="preserve">Excellence - Produtos Biológicos</t>
  </si>
  <si>
    <t xml:space="preserve">21000.036457/2017-89</t>
  </si>
  <si>
    <t xml:space="preserve">Procimidona 500 SC OF</t>
  </si>
  <si>
    <t xml:space="preserve">21000.006957/2014-43</t>
  </si>
  <si>
    <t xml:space="preserve">Glifosato Técnico HT Helm</t>
  </si>
  <si>
    <t xml:space="preserve">21000.035424/2017-11</t>
  </si>
  <si>
    <t xml:space="preserve">Quartz SC</t>
  </si>
  <si>
    <t xml:space="preserve">21000.008677/2013-99</t>
  </si>
  <si>
    <t xml:space="preserve">Jaran 500 SC</t>
  </si>
  <si>
    <t xml:space="preserve">21000.004323/2014-56</t>
  </si>
  <si>
    <t xml:space="preserve">Glifosato Técnico CSG</t>
  </si>
  <si>
    <t xml:space="preserve">21000.011192/2018-97</t>
  </si>
  <si>
    <t xml:space="preserve">Maxunil Técnico</t>
  </si>
  <si>
    <t xml:space="preserve">21000.006848/2013-45</t>
  </si>
  <si>
    <t xml:space="preserve">Fipronil Técnico Pilarquim</t>
  </si>
  <si>
    <t xml:space="preserve">21000.010549/2012-24</t>
  </si>
  <si>
    <t xml:space="preserve">Fipronil Técico Hailir</t>
  </si>
  <si>
    <t xml:space="preserve">21000.001181/2013-94 </t>
  </si>
  <si>
    <t xml:space="preserve">Verlon</t>
  </si>
  <si>
    <t xml:space="preserve">21000.015765/2011-85 </t>
  </si>
  <si>
    <t xml:space="preserve">Assaris</t>
  </si>
  <si>
    <t xml:space="preserve">21000.008186/2015-18</t>
  </si>
  <si>
    <t xml:space="preserve">Adifac</t>
  </si>
  <si>
    <t xml:space="preserve">Bentazona; Imazamoxi</t>
  </si>
  <si>
    <t xml:space="preserve">21000.010847/2011-33</t>
  </si>
  <si>
    <t xml:space="preserve">ATRAZINA SD 500 SC</t>
  </si>
  <si>
    <t xml:space="preserve">21000.003297/2011-04 </t>
  </si>
  <si>
    <t xml:space="preserve">2,4-D (240) + Picloram(64) SL</t>
  </si>
  <si>
    <t xml:space="preserve">21000.005763/2010-05 </t>
  </si>
  <si>
    <t xml:space="preserve">Fabian WG</t>
  </si>
  <si>
    <t xml:space="preserve">Imazetapir; Chlorimurom</t>
  </si>
  <si>
    <t xml:space="preserve">21000.007420/2010-77</t>
  </si>
  <si>
    <t xml:space="preserve">Metagan</t>
  </si>
  <si>
    <t xml:space="preserve">21000.009170/2010-18</t>
  </si>
  <si>
    <t xml:space="preserve">AUG 126</t>
  </si>
  <si>
    <t xml:space="preserve">Quizalofop-P-Etílico</t>
  </si>
  <si>
    <t xml:space="preserve">21000.032876/2017-41</t>
  </si>
  <si>
    <t xml:space="preserve">21000.010826/2012-07</t>
  </si>
  <si>
    <t xml:space="preserve">Glifocopa</t>
  </si>
  <si>
    <t xml:space="preserve">Copalliance</t>
  </si>
  <si>
    <t xml:space="preserve">21000.040626/2016-02</t>
  </si>
  <si>
    <t xml:space="preserve">Trivor</t>
  </si>
  <si>
    <t xml:space="preserve">Acetamiprido; Piriproxifen</t>
  </si>
  <si>
    <t xml:space="preserve">21000.042230/2017-72</t>
  </si>
  <si>
    <t xml:space="preserve">Clorotalonil Técnico Alta</t>
  </si>
  <si>
    <t xml:space="preserve">21000.004900/2011-67</t>
  </si>
  <si>
    <t xml:space="preserve">Diflubenzurom Técnico CropChem</t>
  </si>
  <si>
    <t xml:space="preserve">21000.013334/2016-99</t>
  </si>
  <si>
    <t xml:space="preserve">Diflubenzuron Técnico Sulphur Mills</t>
  </si>
  <si>
    <t xml:space="preserve">21000.010793/2012-97</t>
  </si>
  <si>
    <t xml:space="preserve">Amicarbazona Tradecorp Técnico</t>
  </si>
  <si>
    <t xml:space="preserve">21000.007642/2014-13</t>
  </si>
  <si>
    <t xml:space="preserve">Fludioxonil Técnico Nufarm</t>
  </si>
  <si>
    <t xml:space="preserve">21000.006252/2012-64</t>
  </si>
  <si>
    <t xml:space="preserve">Fludioxonil Técnico Proventis</t>
  </si>
  <si>
    <t xml:space="preserve">21000.019274/2016-18</t>
  </si>
  <si>
    <t xml:space="preserve">Diafenthiuron Técnico RTM</t>
  </si>
  <si>
    <t xml:space="preserve">21000.002327/2014-08</t>
  </si>
  <si>
    <t xml:space="preserve">Diafentiurom Sapec Técnico</t>
  </si>
  <si>
    <t xml:space="preserve">21000.005978/2014-41 </t>
  </si>
  <si>
    <t xml:space="preserve">Diafentiurom Técnico CSG</t>
  </si>
  <si>
    <t xml:space="preserve">21000.003154/2011-94 </t>
  </si>
  <si>
    <t xml:space="preserve">Glifosato Técnico FT</t>
  </si>
  <si>
    <t xml:space="preserve">21000.002206/2014-58 </t>
  </si>
  <si>
    <t xml:space="preserve">Lamper 480 SC</t>
  </si>
  <si>
    <t xml:space="preserve">21000.008777/2013-15 </t>
  </si>
  <si>
    <t xml:space="preserve">Troya</t>
  </si>
  <si>
    <t xml:space="preserve">21000.010898/2017-51</t>
  </si>
  <si>
    <t xml:space="preserve">Noctovi GL</t>
  </si>
  <si>
    <t xml:space="preserve">Z-11 Hexadecenal; Z-9 Hexadecenal</t>
  </si>
  <si>
    <t xml:space="preserve">Isca Tecnologias</t>
  </si>
  <si>
    <t xml:space="preserve">21000.012242/2018-53</t>
  </si>
  <si>
    <t xml:space="preserve">Native</t>
  </si>
  <si>
    <t xml:space="preserve">Bacillus amyloliquefaciens; Trichoderma harzianum</t>
  </si>
  <si>
    <t xml:space="preserve">21000.009409/2018-07</t>
  </si>
  <si>
    <t xml:space="preserve">Tricho </t>
  </si>
  <si>
    <t xml:space="preserve">21000.034932/2017-82</t>
  </si>
  <si>
    <t xml:space="preserve">Templo</t>
  </si>
  <si>
    <t xml:space="preserve">21000.005291/2010-82</t>
  </si>
  <si>
    <t xml:space="preserve">Miura EC</t>
  </si>
  <si>
    <t xml:space="preserve">Quizalofop-p-etílico</t>
  </si>
  <si>
    <t xml:space="preserve">21000.036111/2016-08</t>
  </si>
  <si>
    <t xml:space="preserve">Absolut</t>
  </si>
  <si>
    <t xml:space="preserve">21000.027184/2018-62</t>
  </si>
  <si>
    <t xml:space="preserve">Califorce</t>
  </si>
  <si>
    <t xml:space="preserve">Neoseiulus californicus</t>
  </si>
  <si>
    <t xml:space="preserve">21000.024476/2018-43</t>
  </si>
  <si>
    <t xml:space="preserve">No-nema</t>
  </si>
  <si>
    <t xml:space="preserve">21000.003500/2011-34 </t>
  </si>
  <si>
    <t xml:space="preserve">Acucor</t>
  </si>
  <si>
    <t xml:space="preserve">Lambda-cialotrina; Clorantraniliprole</t>
  </si>
  <si>
    <t xml:space="preserve">21000.003502/2011-23</t>
  </si>
  <si>
    <t xml:space="preserve">Masumo</t>
  </si>
  <si>
    <t xml:space="preserve">21000.009419/2010-87</t>
  </si>
  <si>
    <t xml:space="preserve">AUG 103</t>
  </si>
  <si>
    <t xml:space="preserve">21000.008688/2009-92 </t>
  </si>
  <si>
    <t xml:space="preserve">Rivamax</t>
  </si>
  <si>
    <t xml:space="preserve">Carbendazim; Tebuconazol</t>
  </si>
  <si>
    <t xml:space="preserve">21000.002293/2012-81</t>
  </si>
  <si>
    <t xml:space="preserve">Zethapyr</t>
  </si>
  <si>
    <t xml:space="preserve">21000.002337/2014-35</t>
  </si>
  <si>
    <t xml:space="preserve">Muneo</t>
  </si>
  <si>
    <t xml:space="preserve">Alfas-cipermetrina; Fipronil; Piraclostrobina</t>
  </si>
  <si>
    <t xml:space="preserve">21000.003859/2011-10</t>
  </si>
  <si>
    <t xml:space="preserve">Diflubenzuron Técnico Prentiss</t>
  </si>
  <si>
    <t xml:space="preserve">21000.023227/2018-31</t>
  </si>
  <si>
    <t xml:space="preserve">Fipronil Técnico Hy-Green</t>
  </si>
  <si>
    <t xml:space="preserve">21000.008673/2015-72</t>
  </si>
  <si>
    <t xml:space="preserve">Diafentiurom Técnico Adama</t>
  </si>
  <si>
    <t xml:space="preserve">21000.018658/2018-85</t>
  </si>
  <si>
    <t xml:space="preserve">Azoxystrobin Técnico Nortox V</t>
  </si>
  <si>
    <t xml:space="preserve">21000.004049/2014-15</t>
  </si>
  <si>
    <t xml:space="preserve">Imazetapir Técnico Nortox BR</t>
  </si>
  <si>
    <t xml:space="preserve">21000.000670/2013-29</t>
  </si>
  <si>
    <t xml:space="preserve">Simazina Técnico Agroimport</t>
  </si>
  <si>
    <t xml:space="preserve">21000.004836/2010-33</t>
  </si>
  <si>
    <t xml:space="preserve">Clorpiri Técnico </t>
  </si>
  <si>
    <t xml:space="preserve">21000.046888/2017-53</t>
  </si>
  <si>
    <t xml:space="preserve">Amicarbazona Técnico Adama</t>
  </si>
  <si>
    <t xml:space="preserve">21000.008146/2012-15</t>
  </si>
  <si>
    <t xml:space="preserve">Dexa WG</t>
  </si>
  <si>
    <t xml:space="preserve">21000.017173/2018-74</t>
  </si>
  <si>
    <t xml:space="preserve">Biobaci</t>
  </si>
  <si>
    <t xml:space="preserve">21000.006252/2015-15</t>
  </si>
  <si>
    <t xml:space="preserve">Fluazinam Coonagro 500 SC</t>
  </si>
  <si>
    <t xml:space="preserve">21000.003137/2010-76</t>
  </si>
  <si>
    <t xml:space="preserve">Nongrass</t>
  </si>
  <si>
    <t xml:space="preserve">21000.038830/2017-36</t>
  </si>
  <si>
    <t xml:space="preserve">Ogiva</t>
  </si>
  <si>
    <t xml:space="preserve">21000.004388/2013-11</t>
  </si>
  <si>
    <t xml:space="preserve">Maxizato</t>
  </si>
  <si>
    <t xml:space="preserve">21000.006177/2012-31</t>
  </si>
  <si>
    <t xml:space="preserve">Glifossato K Atanor</t>
  </si>
  <si>
    <t xml:space="preserve">21000.002450/2013-30</t>
  </si>
  <si>
    <t xml:space="preserve">Novaluron Técnico UPL</t>
  </si>
  <si>
    <t xml:space="preserve">21000.005754/2011-97</t>
  </si>
  <si>
    <t xml:space="preserve">Glifosato Técnico Crystal</t>
  </si>
  <si>
    <t xml:space="preserve">Crystal Agro</t>
  </si>
  <si>
    <t xml:space="preserve">21000.010093/2012-01</t>
  </si>
  <si>
    <t xml:space="preserve">Glifosato Técnico Jt-Bra</t>
  </si>
  <si>
    <t xml:space="preserve">21000.004509/2011-62</t>
  </si>
  <si>
    <t xml:space="preserve">Glifosato Técnico Jt-Cropchem</t>
  </si>
  <si>
    <t xml:space="preserve">21000.008417/2014-02</t>
  </si>
  <si>
    <t xml:space="preserve">Dicamba Técnico GHA</t>
  </si>
  <si>
    <t xml:space="preserve">21000.004018/2015-45</t>
  </si>
  <si>
    <t xml:space="preserve">Sulfentrazona Técnico Of</t>
  </si>
  <si>
    <t xml:space="preserve">21000.061276/2016-18</t>
  </si>
  <si>
    <t xml:space="preserve">Tebuconazol Técnico Adama Brasil</t>
  </si>
  <si>
    <t xml:space="preserve">21000.001704/2014-83</t>
  </si>
  <si>
    <t xml:space="preserve">Fluazinam Técnico Ccab</t>
  </si>
  <si>
    <t xml:space="preserve">21000.003652/2014-80</t>
  </si>
  <si>
    <t xml:space="preserve">Amicarbazona Técnico Nortox</t>
  </si>
  <si>
    <t xml:space="preserve">21000.004651/2015-33</t>
  </si>
  <si>
    <t xml:space="preserve">Fluazinam Técnico Adama</t>
  </si>
  <si>
    <t xml:space="preserve">21000.014783/2011-40</t>
  </si>
  <si>
    <t xml:space="preserve">Metomil Técnico Nortox</t>
  </si>
  <si>
    <t xml:space="preserve">21000.006235/2015-70</t>
  </si>
  <si>
    <t xml:space="preserve">Snt Técnico</t>
  </si>
  <si>
    <t xml:space="preserve">21000.033250/2017-52</t>
  </si>
  <si>
    <t xml:space="preserve">Imazethapyr Técnico Imazet</t>
  </si>
  <si>
    <t xml:space="preserve">21000.008903/2014-12</t>
  </si>
  <si>
    <t xml:space="preserve">Fludioxonil Técnico Adama</t>
  </si>
  <si>
    <t xml:space="preserve">21000.008164/2010-35</t>
  </si>
  <si>
    <t xml:space="preserve">Nuzoxy 250 SC</t>
  </si>
  <si>
    <t xml:space="preserve">21000.002431/2013-11</t>
  </si>
  <si>
    <t xml:space="preserve">Avura</t>
  </si>
  <si>
    <t xml:space="preserve">21000.005185/2012-61</t>
  </si>
  <si>
    <t xml:space="preserve">Epimec</t>
  </si>
  <si>
    <t xml:space="preserve">21000.063814/2016-09</t>
  </si>
  <si>
    <t xml:space="preserve">Scooter Top</t>
  </si>
  <si>
    <t xml:space="preserve">Oxiquímica </t>
  </si>
  <si>
    <t xml:space="preserve">21000.063817/2016-34</t>
  </si>
  <si>
    <t xml:space="preserve">Reference</t>
  </si>
  <si>
    <t xml:space="preserve">21000.002021/2012-81</t>
  </si>
  <si>
    <t xml:space="preserve">Acefato CCAB 750 SP</t>
  </si>
  <si>
    <t xml:space="preserve">21000.048050/2016-13</t>
  </si>
  <si>
    <t xml:space="preserve">Sphere Max A</t>
  </si>
  <si>
    <t xml:space="preserve">21000.007130/2010-23</t>
  </si>
  <si>
    <t xml:space="preserve">Bleran</t>
  </si>
  <si>
    <t xml:space="preserve">21000.007419/2010-42</t>
  </si>
  <si>
    <t xml:space="preserve">Gopan</t>
  </si>
  <si>
    <t xml:space="preserve">21000.048052/2016-11</t>
  </si>
  <si>
    <t xml:space="preserve">Sphere Max B</t>
  </si>
  <si>
    <t xml:space="preserve">Trifloxistrobina; ciproconazol</t>
  </si>
  <si>
    <t xml:space="preserve">21000.010543/2013-38</t>
  </si>
  <si>
    <t xml:space="preserve">Magneto Técnico</t>
  </si>
  <si>
    <t xml:space="preserve">21000.006903/2017-21</t>
  </si>
  <si>
    <t xml:space="preserve">Clomazone Técnico Oxon II</t>
  </si>
  <si>
    <t xml:space="preserve">21000.008204/2013-91</t>
  </si>
  <si>
    <t xml:space="preserve">Clomazone Técnico CT</t>
  </si>
  <si>
    <t xml:space="preserve">21000.003359/2015-01</t>
  </si>
  <si>
    <t xml:space="preserve">Clomazone Técnico Rotam</t>
  </si>
  <si>
    <t xml:space="preserve">21000.002408/2014-08</t>
  </si>
  <si>
    <t xml:space="preserve">Clomazone Técnico Nortox BR</t>
  </si>
  <si>
    <t xml:space="preserve">21000.008395/2014-72</t>
  </si>
  <si>
    <t xml:space="preserve">Clomazone Técnico Cq-Cropchem</t>
  </si>
  <si>
    <t xml:space="preserve">21000.000160/2015-13</t>
  </si>
  <si>
    <t xml:space="preserve">Picoxistrobina Técnico Adama</t>
  </si>
  <si>
    <t xml:space="preserve">21000.007233/2011-74</t>
  </si>
  <si>
    <t xml:space="preserve">Tiametoxam Técnico IN</t>
  </si>
  <si>
    <t xml:space="preserve">21000.008577/2014-43</t>
  </si>
  <si>
    <t xml:space="preserve">Sulfentrazona Técnico Adama Brasil</t>
  </si>
  <si>
    <t xml:space="preserve">21000.003378/2015-20</t>
  </si>
  <si>
    <t xml:space="preserve">Sulfentrazone Técnico CCAB II</t>
  </si>
  <si>
    <t xml:space="preserve">21000.035416/2016-94</t>
  </si>
  <si>
    <t xml:space="preserve">Sulfentrazone T Técnico Helm</t>
  </si>
  <si>
    <t xml:space="preserve">21000.005419/2014-31</t>
  </si>
  <si>
    <t xml:space="preserve">Sulfentrazone Técnico Tagros</t>
  </si>
  <si>
    <t xml:space="preserve">21000.001667/2010-80</t>
  </si>
  <si>
    <t xml:space="preserve">Imidacloprido Técnico Hailir</t>
  </si>
  <si>
    <t xml:space="preserve">21000.006572/2010-52</t>
  </si>
  <si>
    <t xml:space="preserve">Difenoconazole Tecnico Pilarquim</t>
  </si>
  <si>
    <t xml:space="preserve">21000.002055/2012-76</t>
  </si>
  <si>
    <t xml:space="preserve">Difo Técnico</t>
  </si>
  <si>
    <t xml:space="preserve">21000.008697/2013-60</t>
  </si>
  <si>
    <t xml:space="preserve">Cyproconazole Técnico Agria BR</t>
  </si>
  <si>
    <t xml:space="preserve">21000.003407/2014-72</t>
  </si>
  <si>
    <t xml:space="preserve">Keltor</t>
  </si>
  <si>
    <t xml:space="preserve">21000.008032/2015-18</t>
  </si>
  <si>
    <t xml:space="preserve">Glufosinate-Ammonium 200 SL Yonon</t>
  </si>
  <si>
    <t xml:space="preserve">21000.002094/2011-92</t>
  </si>
  <si>
    <t xml:space="preserve">Pastor</t>
  </si>
  <si>
    <t xml:space="preserve">21000.004473/2014-60</t>
  </si>
  <si>
    <t xml:space="preserve">Álibi</t>
  </si>
  <si>
    <t xml:space="preserve">21000.008305/2013-62</t>
  </si>
  <si>
    <t xml:space="preserve">Fleris</t>
  </si>
  <si>
    <t xml:space="preserve">21000.007633/2012-61</t>
  </si>
  <si>
    <t xml:space="preserve">Mancozeb Indofil 800 WP</t>
  </si>
  <si>
    <t xml:space="preserve">21000.003805/2013-16</t>
  </si>
  <si>
    <t xml:space="preserve">Atrazina + Nicosulfuron Nortox WG</t>
  </si>
  <si>
    <t xml:space="preserve">Atrazina; Nicosulfuron</t>
  </si>
  <si>
    <t xml:space="preserve">21000.004379/2013-20</t>
  </si>
  <si>
    <t xml:space="preserve">Strong</t>
  </si>
  <si>
    <t xml:space="preserve">21000.000107/2014-31</t>
  </si>
  <si>
    <t xml:space="preserve">Soyatop Xtra</t>
  </si>
  <si>
    <t xml:space="preserve">21000.008307/2013-51</t>
  </si>
  <si>
    <t xml:space="preserve">Truzon</t>
  </si>
  <si>
    <t xml:space="preserve">21000.007282/2012-98</t>
  </si>
  <si>
    <t xml:space="preserve">Tejo</t>
  </si>
  <si>
    <t xml:space="preserve">21000.037777/2016-75</t>
  </si>
  <si>
    <t xml:space="preserve">Glufosinato 280 SL UPL</t>
  </si>
  <si>
    <t xml:space="preserve">21000.006445/2013-04</t>
  </si>
  <si>
    <t xml:space="preserve">Glint</t>
  </si>
  <si>
    <t xml:space="preserve">21000.001519/2011-46</t>
  </si>
  <si>
    <t xml:space="preserve">Glifosato Soma</t>
  </si>
  <si>
    <t xml:space="preserve">21000.009729/2013-44</t>
  </si>
  <si>
    <t xml:space="preserve">Wiper Xtra</t>
  </si>
  <si>
    <t xml:space="preserve">21000.009731/2013-13</t>
  </si>
  <si>
    <t xml:space="preserve">Clenil Xtra</t>
  </si>
  <si>
    <t xml:space="preserve">21000.007605/2013-24</t>
  </si>
  <si>
    <t xml:space="preserve">2,4-D Super Amine SG</t>
  </si>
  <si>
    <t xml:space="preserve">21000.046019/2017-29</t>
  </si>
  <si>
    <t xml:space="preserve">Acetamiprido Técnico Sulphur Mills</t>
  </si>
  <si>
    <t xml:space="preserve">21000.007570/2013-23</t>
  </si>
  <si>
    <t xml:space="preserve">Azoxistrobina Técnico Ft-Cropchem</t>
  </si>
  <si>
    <t xml:space="preserve">21000.003816/2015-50</t>
  </si>
  <si>
    <t xml:space="preserve">Cloreto De Mepiquate Técnico CCAB</t>
  </si>
  <si>
    <t xml:space="preserve">21000.001508/2014-17</t>
  </si>
  <si>
    <t xml:space="preserve">Nicosulfuron Sapec Técnico II</t>
  </si>
  <si>
    <t xml:space="preserve">21000.010993/2012-40</t>
  </si>
  <si>
    <t xml:space="preserve">Nicosulfuron Técnico Stockton</t>
  </si>
  <si>
    <t xml:space="preserve">21000.009105/2013-27</t>
  </si>
  <si>
    <t xml:space="preserve">Nicosulfuron Técnico R Helm</t>
  </si>
  <si>
    <t xml:space="preserve">21000.006770/2013-69</t>
  </si>
  <si>
    <t xml:space="preserve">Imazetapir Sapec Técnico</t>
  </si>
  <si>
    <t xml:space="preserve">21000.003082/2014-28</t>
  </si>
  <si>
    <t xml:space="preserve">Imazetapir Técnico Mil</t>
  </si>
  <si>
    <t xml:space="preserve">21000.037373/2017-62</t>
  </si>
  <si>
    <t xml:space="preserve">Imazetapir N Técnico Helm</t>
  </si>
  <si>
    <t xml:space="preserve">21000.003676/2014-39</t>
  </si>
  <si>
    <t xml:space="preserve">Imazetapir Técnico Proventis</t>
  </si>
  <si>
    <t xml:space="preserve">21000.024473/2018-18</t>
  </si>
  <si>
    <t xml:space="preserve">Bio-Imune</t>
  </si>
  <si>
    <t xml:space="preserve">21000.007729/2014-91</t>
  </si>
  <si>
    <t xml:space="preserve">Torero</t>
  </si>
  <si>
    <t xml:space="preserve">21000.038827/2017-12</t>
  </si>
  <si>
    <t xml:space="preserve">Mojjave</t>
  </si>
  <si>
    <t xml:space="preserve">21000.006111/2013-22</t>
  </si>
  <si>
    <t xml:space="preserve">Flutriafol Nortox</t>
  </si>
  <si>
    <t xml:space="preserve">21000.007521/2015-52</t>
  </si>
  <si>
    <t xml:space="preserve">Diafentiruon 500 SC Proventis</t>
  </si>
  <si>
    <t xml:space="preserve">21000.007438/2013-11</t>
  </si>
  <si>
    <t xml:space="preserve">Paclobutrazol 250 SC UPL</t>
  </si>
  <si>
    <t xml:space="preserve">21000.007434/2013-33</t>
  </si>
  <si>
    <t xml:space="preserve">Fipronil 250 FS Genbra</t>
  </si>
  <si>
    <t xml:space="preserve">21000.004474/2014-12</t>
  </si>
  <si>
    <t xml:space="preserve">Damast</t>
  </si>
  <si>
    <t xml:space="preserve">Agrobio</t>
  </si>
  <si>
    <t xml:space="preserve">21000.011794/2018-44</t>
  </si>
  <si>
    <t xml:space="preserve">Excellence MIG-66</t>
  </si>
  <si>
    <t xml:space="preserve">21000.032814/2017-30</t>
  </si>
  <si>
    <t xml:space="preserve">Clomazone 500 EC OF</t>
  </si>
  <si>
    <t xml:space="preserve">21000.011452/2011-58</t>
  </si>
  <si>
    <t xml:space="preserve">Clorpirifós Técnico Gharda</t>
  </si>
  <si>
    <t xml:space="preserve">21000.011711/2011-41</t>
  </si>
  <si>
    <t xml:space="preserve">Metomil Técnico Volcano</t>
  </si>
  <si>
    <t xml:space="preserve">21000.005811/2012-19</t>
  </si>
  <si>
    <t xml:space="preserve">Sulfentrazona Tradecorp Técnico</t>
  </si>
  <si>
    <t xml:space="preserve">21000.001302/2015-60</t>
  </si>
  <si>
    <t xml:space="preserve">Clorpirifós Técnico Cheminova GH</t>
  </si>
  <si>
    <t xml:space="preserve">21000.008002/2015-10</t>
  </si>
  <si>
    <t xml:space="preserve">Clorpirifós Técnico Sulphur Mills</t>
  </si>
  <si>
    <t xml:space="preserve">21000.011823/2016-14</t>
  </si>
  <si>
    <t xml:space="preserve">Sulfentrazone Técnico Nortox</t>
  </si>
  <si>
    <t xml:space="preserve">21000.019271/2016-84</t>
  </si>
  <si>
    <t xml:space="preserve">Sulfentrazone Técnico Rotam</t>
  </si>
  <si>
    <t xml:space="preserve">21000.005568/2013-10</t>
  </si>
  <si>
    <t xml:space="preserve">Sulfoxaflor Técnico</t>
  </si>
  <si>
    <t xml:space="preserve">21000.000235/2011-32</t>
  </si>
  <si>
    <t xml:space="preserve">Thiophanate Methyl Técnico DVA</t>
  </si>
  <si>
    <t xml:space="preserve">Ano de 2017</t>
  </si>
  <si>
    <t xml:space="preserve">21000.006287/2012-01</t>
  </si>
  <si>
    <t xml:space="preserve">Fipronil Nortox</t>
  </si>
  <si>
    <t xml:space="preserve">21000.013303/2016-38</t>
  </si>
  <si>
    <t xml:space="preserve">Quartzo</t>
  </si>
  <si>
    <t xml:space="preserve">Bacillus licheniformis; Bacillus subtilis</t>
  </si>
  <si>
    <t xml:space="preserve">21000.000622/2010-98</t>
  </si>
  <si>
    <t xml:space="preserve">Decision 750 SP</t>
  </si>
  <si>
    <t xml:space="preserve">21000.010865/2011-15</t>
  </si>
  <si>
    <t xml:space="preserve">Atrazina Técnica Fersol</t>
  </si>
  <si>
    <t xml:space="preserve">Ameribras</t>
  </si>
  <si>
    <t xml:space="preserve">21000.005170/2011-11</t>
  </si>
  <si>
    <t xml:space="preserve">Captan Técnico SD</t>
  </si>
  <si>
    <t xml:space="preserve">21000.001193/2012-38</t>
  </si>
  <si>
    <t xml:space="preserve">Paraquat Técnico Nortox</t>
  </si>
  <si>
    <t xml:space="preserve">Dicloreto de Paraquate</t>
  </si>
  <si>
    <t xml:space="preserve">21000.008821/2012-14</t>
  </si>
  <si>
    <t xml:space="preserve">Flutriafol Técnico CCAB</t>
  </si>
  <si>
    <t xml:space="preserve">21000.002874/2014-85</t>
  </si>
  <si>
    <t xml:space="preserve">Flutriafol Técnico Nortox BR</t>
  </si>
  <si>
    <t xml:space="preserve">21000.003946/2014-10</t>
  </si>
  <si>
    <t xml:space="preserve">Flutriafol Técnico Proventis</t>
  </si>
  <si>
    <t xml:space="preserve">21000.005797/2011-72</t>
  </si>
  <si>
    <t xml:space="preserve">Flutriafol Técnico Nortox</t>
  </si>
  <si>
    <t xml:space="preserve">21000.005721/2013-17</t>
  </si>
  <si>
    <t xml:space="preserve">Flutriafol Técnico SUP</t>
  </si>
  <si>
    <t xml:space="preserve">21000.005838/2013-92</t>
  </si>
  <si>
    <t xml:space="preserve">Flutriafol Técnico SV BRA</t>
  </si>
  <si>
    <t xml:space="preserve">21000.006011/2013-04</t>
  </si>
  <si>
    <t xml:space="preserve">Flutriafol Técnico SV-Cropchem</t>
  </si>
  <si>
    <t xml:space="preserve">21000.007458/2013-92</t>
  </si>
  <si>
    <t xml:space="preserve">Flutriafol Técnico Cheminova</t>
  </si>
  <si>
    <t xml:space="preserve">21000.015733/2016-94</t>
  </si>
  <si>
    <t xml:space="preserve">Flutriafol Técnico STK</t>
  </si>
  <si>
    <t xml:space="preserve">21000.034819/2016-16</t>
  </si>
  <si>
    <t xml:space="preserve">Flutriafol Técnico Adama BR</t>
  </si>
  <si>
    <t xml:space="preserve">21000.041148/2016-40</t>
  </si>
  <si>
    <t xml:space="preserve">Presence</t>
  </si>
  <si>
    <t xml:space="preserve">21000.003697/2015-35</t>
  </si>
  <si>
    <t xml:space="preserve">Bac Control Max WP</t>
  </si>
  <si>
    <t xml:space="preserve">21000.003996/2012-27</t>
  </si>
  <si>
    <t xml:space="preserve">Mesotriona Técnica Proventis</t>
  </si>
  <si>
    <t xml:space="preserve">S3 Consultoria</t>
  </si>
  <si>
    <t xml:space="preserve">21000.004455/2015-69</t>
  </si>
  <si>
    <t xml:space="preserve">Acetamiprido Técnico Dinagro</t>
  </si>
  <si>
    <t xml:space="preserve">21000.010419/2013-72</t>
  </si>
  <si>
    <t xml:space="preserve">PonteiroBR</t>
  </si>
  <si>
    <t xml:space="preserve">21000.002089/2015-11</t>
  </si>
  <si>
    <t xml:space="preserve">Oleaje</t>
  </si>
  <si>
    <t xml:space="preserve">Bacillus firmus</t>
  </si>
  <si>
    <t xml:space="preserve">21000.002090/2015-38</t>
  </si>
  <si>
    <t xml:space="preserve">Andril</t>
  </si>
  <si>
    <t xml:space="preserve">21000.002591/2015-14</t>
  </si>
  <si>
    <t xml:space="preserve">Tarik WP</t>
  </si>
  <si>
    <t xml:space="preserve">21000.003695/2015-46</t>
  </si>
  <si>
    <t xml:space="preserve">Helymax</t>
  </si>
  <si>
    <t xml:space="preserve">21000.002749/2010-41</t>
  </si>
  <si>
    <t xml:space="preserve">Paraquat Técnico Biesterfeld</t>
  </si>
  <si>
    <t xml:space="preserve">21000.003438/2014-23</t>
  </si>
  <si>
    <t xml:space="preserve">Acetamiprido Técnico HY-Cropchem</t>
  </si>
  <si>
    <t xml:space="preserve">21000.009832/2013-30</t>
  </si>
  <si>
    <t xml:space="preserve">Glufosinate- Ammonium Técnico UPL</t>
  </si>
  <si>
    <t xml:space="preserve">21000.010517/2012-29</t>
  </si>
  <si>
    <t xml:space="preserve">Acetamiprid Técnico CCAB II</t>
  </si>
  <si>
    <t xml:space="preserve">21000.010486/2010-44</t>
  </si>
  <si>
    <t xml:space="preserve">Glifosato Técnico Genbra III</t>
  </si>
  <si>
    <t xml:space="preserve">21000.008047/2014-03</t>
  </si>
  <si>
    <t xml:space="preserve">Ryzup 400</t>
  </si>
  <si>
    <t xml:space="preserve">21000.010647/2010-08</t>
  </si>
  <si>
    <t xml:space="preserve">Glifosato Técnico CCAB IV</t>
  </si>
  <si>
    <t xml:space="preserve">21000.008050/2011-76</t>
  </si>
  <si>
    <t xml:space="preserve">Acetamiprid Técnico Nortox</t>
  </si>
  <si>
    <t xml:space="preserve">21000.008487/2014-52</t>
  </si>
  <si>
    <t xml:space="preserve">Acetamiprido Técnico Ouro Fino</t>
  </si>
  <si>
    <t xml:space="preserve">21000.003008/2013-21</t>
  </si>
  <si>
    <t xml:space="preserve">Acetamiprido Técnico Nufarm</t>
  </si>
  <si>
    <t xml:space="preserve">21000.010515/2012-30</t>
  </si>
  <si>
    <t xml:space="preserve">Acetamiprido Técnico Proventis</t>
  </si>
  <si>
    <t xml:space="preserve">21000.002136/2011-95</t>
  </si>
  <si>
    <t xml:space="preserve">Nicossulfurom Técnico Nufarm</t>
  </si>
  <si>
    <t xml:space="preserve">21000.000510/2013-80</t>
  </si>
  <si>
    <t xml:space="preserve">Acetamiprido Técnico OF</t>
  </si>
  <si>
    <t xml:space="preserve">21000.002027/2015-00</t>
  </si>
  <si>
    <t xml:space="preserve">Diflubenzuron Técnico Proventis</t>
  </si>
  <si>
    <t xml:space="preserve">21000.009681/2012-93</t>
  </si>
  <si>
    <t xml:space="preserve">Diflubenzurom Técnico Nufarm NCS</t>
  </si>
  <si>
    <t xml:space="preserve">21000.007905/2013-11</t>
  </si>
  <si>
    <t xml:space="preserve">Flutriafol Técnico Stockton</t>
  </si>
  <si>
    <t xml:space="preserve">21000.023653/2016-11</t>
  </si>
  <si>
    <t xml:space="preserve">Flutri Técnico SD</t>
  </si>
  <si>
    <t xml:space="preserve">Sharda do Brasil</t>
  </si>
  <si>
    <t xml:space="preserve">21000.007868/2014-14</t>
  </si>
  <si>
    <t xml:space="preserve">Acetamiprido Técnico SN-Cropchem</t>
  </si>
  <si>
    <t xml:space="preserve">21000.012011/2011-73</t>
  </si>
  <si>
    <t xml:space="preserve">Acetamiprido Técnico Macroseeds</t>
  </si>
  <si>
    <t xml:space="preserve">Macroseeds</t>
  </si>
  <si>
    <t xml:space="preserve">21000.004603/2015-45</t>
  </si>
  <si>
    <t xml:space="preserve">Acetamiprido Técnico Agristar</t>
  </si>
  <si>
    <t xml:space="preserve">21000.011407/2009-89</t>
  </si>
  <si>
    <t xml:space="preserve">ProntoBR</t>
  </si>
  <si>
    <t xml:space="preserve">21000.006409/2014-13</t>
  </si>
  <si>
    <t xml:space="preserve">Acetamiprido Técnico BRA</t>
  </si>
  <si>
    <t xml:space="preserve">21000.001488/2015-57</t>
  </si>
  <si>
    <t xml:space="preserve">Acetamiprido Técnico SD</t>
  </si>
  <si>
    <t xml:space="preserve">21000.006767/2011-83</t>
  </si>
  <si>
    <t xml:space="preserve">Atrazina 900 WG Rainbow</t>
  </si>
  <si>
    <t xml:space="preserve">21000.005729/2012-94</t>
  </si>
  <si>
    <t xml:space="preserve">Farmozine Plus</t>
  </si>
  <si>
    <t xml:space="preserve">21000.005728/2012-40</t>
  </si>
  <si>
    <t xml:space="preserve">Herbizina Plus</t>
  </si>
  <si>
    <t xml:space="preserve">21000.006061/2009-05</t>
  </si>
  <si>
    <t xml:space="preserve">Fipronil 25% FS (CDEX 119A FP)</t>
  </si>
  <si>
    <t xml:space="preserve">21000.002738/2010-61</t>
  </si>
  <si>
    <t xml:space="preserve">Gifosato IPA 480 Rainbow</t>
  </si>
  <si>
    <t xml:space="preserve">21000.002786/2011-31</t>
  </si>
  <si>
    <t xml:space="preserve">Glifosato Alta 720 WG</t>
  </si>
  <si>
    <t xml:space="preserve">21000.007996/2010-34</t>
  </si>
  <si>
    <t xml:space="preserve">Sugoy Técnico</t>
  </si>
  <si>
    <t xml:space="preserve">Metominostrobina</t>
  </si>
  <si>
    <t xml:space="preserve">21000.010405/2010-14</t>
  </si>
  <si>
    <t xml:space="preserve">Fusão</t>
  </si>
  <si>
    <t xml:space="preserve">Metominostrobina; Tebuconazol</t>
  </si>
  <si>
    <t xml:space="preserve">21000.002175/2011-92</t>
  </si>
  <si>
    <t xml:space="preserve">Glufosinate-Ammonium DVA 200 SL</t>
  </si>
  <si>
    <t xml:space="preserve">21000.006838/2014-91</t>
  </si>
  <si>
    <t xml:space="preserve">Dipel ES NT</t>
  </si>
  <si>
    <t xml:space="preserve">21000.000223/2013-70</t>
  </si>
  <si>
    <t xml:space="preserve">Copa</t>
  </si>
  <si>
    <t xml:space="preserve">21000.008430/2012-91</t>
  </si>
  <si>
    <t xml:space="preserve">Glifosato 720 WG Nortox</t>
  </si>
  <si>
    <t xml:space="preserve">21000.007437/2011-13</t>
  </si>
  <si>
    <t xml:space="preserve">Comboio 80 WG</t>
  </si>
  <si>
    <t xml:space="preserve">21000.007369/2010-01</t>
  </si>
  <si>
    <t xml:space="preserve">Glifosato Técnico Genbra II</t>
  </si>
  <si>
    <t xml:space="preserve">21000.007559/2010-11</t>
  </si>
  <si>
    <t xml:space="preserve">Glifosato Técnico CCAB III</t>
  </si>
  <si>
    <t xml:space="preserve">21000.010367/2013-34</t>
  </si>
  <si>
    <t xml:space="preserve">Flutriafol Técnico OF</t>
  </si>
  <si>
    <t xml:space="preserve">21000.042852/2016-10</t>
  </si>
  <si>
    <t xml:space="preserve">Flutriafol Técnico OF I</t>
  </si>
  <si>
    <t xml:space="preserve">21000.010657/2011-16</t>
  </si>
  <si>
    <t xml:space="preserve">Ametrina Técnico Oxon</t>
  </si>
  <si>
    <t xml:space="preserve">21000.006473/2013-13</t>
  </si>
  <si>
    <t xml:space="preserve">Ametrina Técnico ZS-Cropchem</t>
  </si>
  <si>
    <t xml:space="preserve">21000.001187/2014-42</t>
  </si>
  <si>
    <t xml:space="preserve">Ametrina Técnico BRA</t>
  </si>
  <si>
    <t xml:space="preserve">21000.008775/2013-26</t>
  </si>
  <si>
    <t xml:space="preserve">Ametrina Técnico ZS</t>
  </si>
  <si>
    <t xml:space="preserve">21000.012852/2016-95</t>
  </si>
  <si>
    <t xml:space="preserve">Ametrina Técnico SD</t>
  </si>
  <si>
    <t xml:space="preserve">21000.002326/2014-55</t>
  </si>
  <si>
    <t xml:space="preserve">Mesotriona Sapec Técnico</t>
  </si>
  <si>
    <t xml:space="preserve">21000.002380/2012-39</t>
  </si>
  <si>
    <t xml:space="preserve">Tebuconazol Técnico CN</t>
  </si>
  <si>
    <t xml:space="preserve">21000.000809/2010-91</t>
  </si>
  <si>
    <t xml:space="preserve">Mepiquat Chloride Técnico DVA</t>
  </si>
  <si>
    <t xml:space="preserve">21000.007604/2013-80</t>
  </si>
  <si>
    <t xml:space="preserve">Diafentiuron Genbra 500 SC</t>
  </si>
  <si>
    <t xml:space="preserve">21000.007660/2013-14</t>
  </si>
  <si>
    <t xml:space="preserve">Diafentiuron CCAB 500 SC</t>
  </si>
  <si>
    <t xml:space="preserve">21000.004354/2015-98</t>
  </si>
  <si>
    <t xml:space="preserve">Acetamiprido Técnico CH</t>
  </si>
  <si>
    <t xml:space="preserve">21000.009170/2013-52</t>
  </si>
  <si>
    <t xml:space="preserve">Azoxistrobin Técnico Stockton</t>
  </si>
  <si>
    <t xml:space="preserve">21000.007093/2010-53</t>
  </si>
  <si>
    <t xml:space="preserve">Atrazina Técnico SD</t>
  </si>
  <si>
    <t xml:space="preserve">21000.001807/2015-24</t>
  </si>
  <si>
    <t xml:space="preserve">Bold</t>
  </si>
  <si>
    <t xml:space="preserve">Acetamiprido; Fempropatrina</t>
  </si>
  <si>
    <t xml:space="preserve">21000.009694/2011-81</t>
  </si>
  <si>
    <t xml:space="preserve">Fipronil Técnico Agroimport</t>
  </si>
  <si>
    <t xml:space="preserve">Fipronil Técnico Rainbow</t>
  </si>
  <si>
    <t xml:space="preserve">21000.001594/2014-50</t>
  </si>
  <si>
    <t xml:space="preserve">Provence Total</t>
  </si>
  <si>
    <t xml:space="preserve">Indaziflam; Isoxaflutole</t>
  </si>
  <si>
    <t xml:space="preserve">21000.003845/2015-11</t>
  </si>
  <si>
    <t xml:space="preserve">Tebuconazole Técnico Sino-Agri</t>
  </si>
  <si>
    <t xml:space="preserve">Lemma Consultoria</t>
  </si>
  <si>
    <t xml:space="preserve">21000.001632/2011-21</t>
  </si>
  <si>
    <t xml:space="preserve">Carbendazim STK 500 SC </t>
  </si>
  <si>
    <t xml:space="preserve">Crosslink</t>
  </si>
  <si>
    <t xml:space="preserve">21000.001910/2011-41</t>
  </si>
  <si>
    <t xml:space="preserve">Carbendazim STK 500 SC - A</t>
  </si>
  <si>
    <t xml:space="preserve">21000.001909/2011-16</t>
  </si>
  <si>
    <t xml:space="preserve">Carbendazim STK 500 SC -B</t>
  </si>
  <si>
    <t xml:space="preserve">21000.005559/2011-67</t>
  </si>
  <si>
    <t xml:space="preserve">Fipronil Nortox TS</t>
  </si>
  <si>
    <t xml:space="preserve">21000.004207/2009-70</t>
  </si>
  <si>
    <t xml:space="preserve">Cruiser 600 FS</t>
  </si>
  <si>
    <t xml:space="preserve">21000.046517/2016-91</t>
  </si>
  <si>
    <t xml:space="preserve">Metarhizium JCO WP</t>
  </si>
  <si>
    <t xml:space="preserve"> JCO Indústria e Comércio</t>
  </si>
  <si>
    <t xml:space="preserve">21000.008840/2011-51</t>
  </si>
  <si>
    <t xml:space="preserve">Tebuconazol Técnico FG</t>
  </si>
  <si>
    <t xml:space="preserve">21000.007567/2014-91</t>
  </si>
  <si>
    <t xml:space="preserve">Clorotalonil Técnico Adama</t>
  </si>
  <si>
    <t xml:space="preserve">21000.001112/2013-81</t>
  </si>
  <si>
    <t xml:space="preserve">Clorotalonil Técnico Rainbow</t>
  </si>
  <si>
    <t xml:space="preserve">21000.009067/2014-93</t>
  </si>
  <si>
    <t xml:space="preserve">Eleitto</t>
  </si>
  <si>
    <t xml:space="preserve">Acetamiprido; Etofemproxi</t>
  </si>
  <si>
    <t xml:space="preserve">21000.010542/2013-93</t>
  </si>
  <si>
    <t xml:space="preserve">Fusão EC</t>
  </si>
  <si>
    <t xml:space="preserve">21000.003112/2009-39</t>
  </si>
  <si>
    <t xml:space="preserve">Credit 480</t>
  </si>
  <si>
    <t xml:space="preserve">21000.010790/2012-53</t>
  </si>
  <si>
    <t xml:space="preserve">Dermacor BR</t>
  </si>
  <si>
    <t xml:space="preserve">DuPont</t>
  </si>
  <si>
    <t xml:space="preserve">21000.011542/2010-68</t>
  </si>
  <si>
    <t xml:space="preserve">Diurom Técnico Nufarm</t>
  </si>
  <si>
    <t xml:space="preserve">21000.005196/2011-60</t>
  </si>
  <si>
    <t xml:space="preserve">Prisma Plus</t>
  </si>
  <si>
    <t xml:space="preserve">21000.005081/2013-37</t>
  </si>
  <si>
    <t xml:space="preserve">Token</t>
  </si>
  <si>
    <t xml:space="preserve">21000.001237/2011-49</t>
  </si>
  <si>
    <t xml:space="preserve">Lactofen Técnico BRA</t>
  </si>
  <si>
    <t xml:space="preserve">21000.005545/2013-13</t>
  </si>
  <si>
    <t xml:space="preserve">Pilartime</t>
  </si>
  <si>
    <t xml:space="preserve">21000.002391/2015-61</t>
  </si>
  <si>
    <t xml:space="preserve">Xeque Mate</t>
  </si>
  <si>
    <t xml:space="preserve">21000.001648/2012-15</t>
  </si>
  <si>
    <t xml:space="preserve">Imazetapir Técnico Rainbow</t>
  </si>
  <si>
    <t xml:space="preserve">21000.002004/2015-97</t>
  </si>
  <si>
    <t xml:space="preserve">Imazetapir Técnico Adama</t>
  </si>
  <si>
    <t xml:space="preserve">21000.009583/2011-75</t>
  </si>
  <si>
    <t xml:space="preserve">Diurom Tradecorp Técnico</t>
  </si>
  <si>
    <t xml:space="preserve">21000.005627/2015-11</t>
  </si>
  <si>
    <t xml:space="preserve">Clorotalonil Técnico Nortox II</t>
  </si>
  <si>
    <t xml:space="preserve">21000.005617/2014-03</t>
  </si>
  <si>
    <t xml:space="preserve">Clorotalonil Técnico Nortox</t>
  </si>
  <si>
    <t xml:space="preserve">21000.009824/2013-48</t>
  </si>
  <si>
    <t xml:space="preserve">Acetamiprid Sapec Técnico</t>
  </si>
  <si>
    <t xml:space="preserve">21000.002997/2014-16</t>
  </si>
  <si>
    <t xml:space="preserve">Kicker SUP</t>
  </si>
  <si>
    <t xml:space="preserve">21000.009049/2013-21</t>
  </si>
  <si>
    <t xml:space="preserve">Cletodim CCAB 240 EC</t>
  </si>
  <si>
    <t xml:space="preserve">21000.005909/2014-38</t>
  </si>
  <si>
    <t xml:space="preserve">Kicker  </t>
  </si>
  <si>
    <t xml:space="preserve">21000.006171/2014-26</t>
  </si>
  <si>
    <t xml:space="preserve">Creox</t>
  </si>
  <si>
    <t xml:space="preserve">21000.010951/2011-28</t>
  </si>
  <si>
    <t xml:space="preserve">Fipronil 80 WG Gharda</t>
  </si>
  <si>
    <t xml:space="preserve">21000.006845/2014-92</t>
  </si>
  <si>
    <t xml:space="preserve">Mospilan WG</t>
  </si>
  <si>
    <t xml:space="preserve">21000.005639/2015-46</t>
  </si>
  <si>
    <t xml:space="preserve">Gran Protect</t>
  </si>
  <si>
    <t xml:space="preserve">Dioxido de Silicio</t>
  </si>
  <si>
    <t xml:space="preserve">Mineração Pesquisa Brasileira</t>
  </si>
  <si>
    <t xml:space="preserve">21000.001810/2015-48</t>
  </si>
  <si>
    <t xml:space="preserve">Totalit</t>
  </si>
  <si>
    <t xml:space="preserve">Bentiavalicarbe Isopropílico; Clorothalonil</t>
  </si>
  <si>
    <t xml:space="preserve">21000.004355/2009-94</t>
  </si>
  <si>
    <t xml:space="preserve">Dividend Supreme</t>
  </si>
  <si>
    <t xml:space="preserve">Tiametoxam; Difenoconazol; Metalaxil-M</t>
  </si>
  <si>
    <t xml:space="preserve">21000.002234/2014-75</t>
  </si>
  <si>
    <t xml:space="preserve">Sanmite EW</t>
  </si>
  <si>
    <t xml:space="preserve">Piridabem</t>
  </si>
  <si>
    <t xml:space="preserve">21000.006553/2015-31</t>
  </si>
  <si>
    <t xml:space="preserve">Targa Max</t>
  </si>
  <si>
    <t xml:space="preserve">Quizalofope-p-Etílico</t>
  </si>
  <si>
    <t xml:space="preserve">21000.008407/2015-40</t>
  </si>
  <si>
    <t xml:space="preserve">Cletodim Nortox</t>
  </si>
  <si>
    <t xml:space="preserve">21000.010844/2011-08</t>
  </si>
  <si>
    <t xml:space="preserve">Ace 750 SP</t>
  </si>
  <si>
    <t xml:space="preserve">21000.003648/2014-11</t>
  </si>
  <si>
    <t xml:space="preserve">Tebutiuron Técnico Nortox BR</t>
  </si>
  <si>
    <t xml:space="preserve">21000.001090/2015-11</t>
  </si>
  <si>
    <t xml:space="preserve">Ciproconazol Técnico Sapec II</t>
  </si>
  <si>
    <t xml:space="preserve">21000.002175/2012-73</t>
  </si>
  <si>
    <t xml:space="preserve">Tebutiurom Tradecorp Técnico</t>
  </si>
  <si>
    <t xml:space="preserve">21000.001942/2015-70</t>
  </si>
  <si>
    <t xml:space="preserve">Tebutiurom Técnico Proventis</t>
  </si>
  <si>
    <t xml:space="preserve">21000.032286/2016-38</t>
  </si>
  <si>
    <t xml:space="preserve">Tebutiurom Técnico Proventis II</t>
  </si>
  <si>
    <t xml:space="preserve">21000.005669/2015-52</t>
  </si>
  <si>
    <t xml:space="preserve">Sulfentrazone UPL 500 SC</t>
  </si>
  <si>
    <t xml:space="preserve">21000.011192/2011-11</t>
  </si>
  <si>
    <t xml:space="preserve">Arreio Milenia</t>
  </si>
  <si>
    <t xml:space="preserve">Fluroxipir-metílico; Picloram</t>
  </si>
  <si>
    <t xml:space="preserve">21000.001038/2013-01</t>
  </si>
  <si>
    <t xml:space="preserve">Clorotalonil Técnico Biorisk</t>
  </si>
  <si>
    <t xml:space="preserve">21000.011675/2009­09</t>
  </si>
  <si>
    <t xml:space="preserve">Duo</t>
  </si>
  <si>
    <t xml:space="preserve">21000.010564/2009-77</t>
  </si>
  <si>
    <t xml:space="preserve">Seculo</t>
  </si>
  <si>
    <t xml:space="preserve">21000.003773/2015-11</t>
  </si>
  <si>
    <t xml:space="preserve">Horos Ultra</t>
  </si>
  <si>
    <t xml:space="preserve">Picoxistrobina; Tebuconazole; Mancozebe</t>
  </si>
  <si>
    <t xml:space="preserve">21000.007281/2012-43</t>
  </si>
  <si>
    <t xml:space="preserve">Cloridrato de Propamocarbe Tradecorp Técnico</t>
  </si>
  <si>
    <t xml:space="preserve">Cloridrato de Propamocarbe</t>
  </si>
  <si>
    <t xml:space="preserve">21000.009172/2013-41</t>
  </si>
  <si>
    <t xml:space="preserve">Metomil Sapec Técnico</t>
  </si>
  <si>
    <t xml:space="preserve">21000.006984/2014-16</t>
  </si>
  <si>
    <t xml:space="preserve">Porcel 100 EC</t>
  </si>
  <si>
    <t xml:space="preserve">21000.008154/2015-12</t>
  </si>
  <si>
    <t xml:space="preserve">Bio Lobésia</t>
  </si>
  <si>
    <t xml:space="preserve">Feromônio Sintético</t>
  </si>
  <si>
    <t xml:space="preserve">21000.003277/2009-19</t>
  </si>
  <si>
    <t xml:space="preserve">Glifosato NUF BR</t>
  </si>
  <si>
    <t xml:space="preserve">21000.005567/2013-75</t>
  </si>
  <si>
    <t xml:space="preserve">Cletodim Pré-Mistura Milenia</t>
  </si>
  <si>
    <t xml:space="preserve">21000.004852/2010-26</t>
  </si>
  <si>
    <t xml:space="preserve">Deltametrina Técnico Tagros</t>
  </si>
  <si>
    <t xml:space="preserve">21000.004392/2012-06</t>
  </si>
  <si>
    <t xml:space="preserve">Fluazinam Técnico Milenia</t>
  </si>
  <si>
    <t xml:space="preserve">21000.004895/2012-73</t>
  </si>
  <si>
    <t xml:space="preserve">Paraquate Técnico Milenia</t>
  </si>
  <si>
    <t xml:space="preserve">Paraquate</t>
  </si>
  <si>
    <t xml:space="preserve">21000.006891/2011-49</t>
  </si>
  <si>
    <t xml:space="preserve">Metaflumizone Técnico</t>
  </si>
  <si>
    <t xml:space="preserve">Metaflumizone </t>
  </si>
  <si>
    <t xml:space="preserve">21000.008308/2016-49</t>
  </si>
  <si>
    <t xml:space="preserve">Gr-Inn</t>
  </si>
  <si>
    <t xml:space="preserve">MFB</t>
  </si>
  <si>
    <t xml:space="preserve">21000.007458/2015-54</t>
  </si>
  <si>
    <t xml:space="preserve">UPL 138 FP BR</t>
  </si>
  <si>
    <t xml:space="preserve">21000.048361/2016-82</t>
  </si>
  <si>
    <t xml:space="preserve">Paraquate Técnico Vanon</t>
  </si>
  <si>
    <t xml:space="preserve">21000.005837/2013-48</t>
  </si>
  <si>
    <t xml:space="preserve">Lactofen Técnico SUP</t>
  </si>
  <si>
    <t xml:space="preserve">21000.007413/2012-37</t>
  </si>
  <si>
    <t xml:space="preserve">Flupyradifurone Técnico</t>
  </si>
  <si>
    <t xml:space="preserve">Flupiradifurona</t>
  </si>
  <si>
    <t xml:space="preserve">21000.035489/2016-86</t>
  </si>
  <si>
    <t xml:space="preserve">Defend WDG</t>
  </si>
  <si>
    <t xml:space="preserve">Quimetal</t>
  </si>
  <si>
    <t xml:space="preserve">21000.006527/2009-64</t>
  </si>
  <si>
    <t xml:space="preserve">Spindle</t>
  </si>
  <si>
    <t xml:space="preserve">Espinosade</t>
  </si>
  <si>
    <t xml:space="preserve">21000.006806/2012-23</t>
  </si>
  <si>
    <t xml:space="preserve">Fipronil Técnico CCAB II</t>
  </si>
  <si>
    <t xml:space="preserve">21000.000964/2013-51</t>
  </si>
  <si>
    <t xml:space="preserve">Fipronil Técnico ME2</t>
  </si>
  <si>
    <t xml:space="preserve">21000.005070/2009-71</t>
  </si>
  <si>
    <t xml:space="preserve">Fezan</t>
  </si>
  <si>
    <t xml:space="preserve">tebuconazol</t>
  </si>
  <si>
    <t xml:space="preserve">21000.008594/2014-81</t>
  </si>
  <si>
    <t xml:space="preserve">Fipronil Técnico Proventis II</t>
  </si>
  <si>
    <t xml:space="preserve">21000.007207/2012-27</t>
  </si>
  <si>
    <t xml:space="preserve">Fipronil Técnico Genbra</t>
  </si>
  <si>
    <t xml:space="preserve">21000.006576/2012-01</t>
  </si>
  <si>
    <t xml:space="preserve">Clearup</t>
  </si>
  <si>
    <t xml:space="preserve">21000.008543/2015-30</t>
  </si>
  <si>
    <t xml:space="preserve">Volpe</t>
  </si>
  <si>
    <t xml:space="preserve">21000.006056/2013-71</t>
  </si>
  <si>
    <t xml:space="preserve">Tiodicarbe 800 WG Genbra</t>
  </si>
  <si>
    <t xml:space="preserve">21000.007129/2008-84</t>
  </si>
  <si>
    <t xml:space="preserve">Hexazinone 250 SL Base</t>
  </si>
  <si>
    <t xml:space="preserve">Agrialliance</t>
  </si>
  <si>
    <t xml:space="preserve">21000.005943/2014-11</t>
  </si>
  <si>
    <t xml:space="preserve">Clorotalonil 500 SC</t>
  </si>
  <si>
    <t xml:space="preserve">21000.006969/2014-78</t>
  </si>
  <si>
    <t xml:space="preserve">Veraneio</t>
  </si>
  <si>
    <t xml:space="preserve">Baculovirus HaNPV</t>
  </si>
  <si>
    <t xml:space="preserve">Tiodicarbe CCAB 800 WG</t>
  </si>
  <si>
    <t xml:space="preserve">21000.004765/2011-50</t>
  </si>
  <si>
    <t xml:space="preserve">Propiconazol 250 EC Agria</t>
  </si>
  <si>
    <t xml:space="preserve">21000.005469/2015-08</t>
  </si>
  <si>
    <t xml:space="preserve">Trichoibi P</t>
  </si>
  <si>
    <t xml:space="preserve">IBI Agentes Biológicos</t>
  </si>
  <si>
    <t xml:space="preserve">21000.007622/2014-42</t>
  </si>
  <si>
    <t xml:space="preserve">EnlistDuo</t>
  </si>
  <si>
    <t xml:space="preserve">2,4-D; Glifosato</t>
  </si>
  <si>
    <t xml:space="preserve">21000.006606/2009-75</t>
  </si>
  <si>
    <t xml:space="preserve">Clorpirifós Poland 480 EC</t>
  </si>
  <si>
    <t xml:space="preserve">21000.006634/2011-15</t>
  </si>
  <si>
    <t xml:space="preserve">Cortador 806 SL</t>
  </si>
  <si>
    <t xml:space="preserve">21000.007813/2014-12</t>
  </si>
  <si>
    <t xml:space="preserve">Clariva PN</t>
  </si>
  <si>
    <t xml:space="preserve">Pasteuria nishizawae</t>
  </si>
  <si>
    <t xml:space="preserve">21000.006575/2012-58</t>
  </si>
  <si>
    <t xml:space="preserve">Weedspray</t>
  </si>
  <si>
    <t xml:space="preserve">21000.003407/2010-49</t>
  </si>
  <si>
    <t xml:space="preserve">Shambda Técnico</t>
  </si>
  <si>
    <t xml:space="preserve">21000.001340/2014-31</t>
  </si>
  <si>
    <t xml:space="preserve">2,4-D Técnico SD BRA</t>
  </si>
  <si>
    <t xml:space="preserve">21000.001004/2014-99</t>
  </si>
  <si>
    <t xml:space="preserve">2,4-D Técnico UPL BR</t>
  </si>
  <si>
    <t xml:space="preserve">21000.002899/2014-89</t>
  </si>
  <si>
    <t xml:space="preserve">2,4-D Técnico Milenia</t>
  </si>
  <si>
    <t xml:space="preserve">21000.009438/2013-56</t>
  </si>
  <si>
    <t xml:space="preserve">Mesotriona Nortox</t>
  </si>
  <si>
    <t xml:space="preserve">21000.010031/2010-29</t>
  </si>
  <si>
    <t xml:space="preserve">Procymidone Técnico Rotam</t>
  </si>
  <si>
    <t xml:space="preserve">21000.001139/2014-54</t>
  </si>
  <si>
    <t xml:space="preserve">Procimidone Técnico Proventis</t>
  </si>
  <si>
    <t xml:space="preserve">21000.003005/2011-25</t>
  </si>
  <si>
    <t xml:space="preserve">Produtivo</t>
  </si>
  <si>
    <t xml:space="preserve">21000.000652/2013-47</t>
  </si>
  <si>
    <t xml:space="preserve">Procimidona Técnico Ouro Fino</t>
  </si>
  <si>
    <t xml:space="preserve">21000.000885/2014-21</t>
  </si>
  <si>
    <t xml:space="preserve">Lambda-Cialotrina Sapec Técnico II</t>
  </si>
  <si>
    <t xml:space="preserve">21000.006740/2014-33</t>
  </si>
  <si>
    <t xml:space="preserve">Lambda-Cyhalothrim Técnico RTM</t>
  </si>
  <si>
    <t xml:space="preserve">21000.003896/2012-09</t>
  </si>
  <si>
    <t xml:space="preserve">Fipronil Técnico Proventis</t>
  </si>
  <si>
    <t xml:space="preserve">21000.001801/2009-17</t>
  </si>
  <si>
    <t xml:space="preserve">Jambtrim 120 EC</t>
  </si>
  <si>
    <t xml:space="preserve">21000.009315/2011-53</t>
  </si>
  <si>
    <t xml:space="preserve">Tebuconazole Técnico Proventis</t>
  </si>
  <si>
    <t xml:space="preserve">21000.000409/2014-18</t>
  </si>
  <si>
    <t xml:space="preserve">Diafentiurom Técnico Ouro Fino</t>
  </si>
  <si>
    <t xml:space="preserve">21000.006843/2015-84</t>
  </si>
  <si>
    <t xml:space="preserve">UPL 138 FP</t>
  </si>
  <si>
    <t xml:space="preserve">Acetamiprido; Bifentrin</t>
  </si>
  <si>
    <t xml:space="preserve">21000.007522/2012-54</t>
  </si>
  <si>
    <t xml:space="preserve">Tebuconazole Tecnico Suphur Mills</t>
  </si>
  <si>
    <t xml:space="preserve">21000.004807/2015-86</t>
  </si>
  <si>
    <t xml:space="preserve">Verismo</t>
  </si>
  <si>
    <t xml:space="preserve">21000.003444/2012-19</t>
  </si>
  <si>
    <t xml:space="preserve">Kaiso Sorbie</t>
  </si>
  <si>
    <t xml:space="preserve">21000.008965/2014-24</t>
  </si>
  <si>
    <t xml:space="preserve">Taffeta 200 SP</t>
  </si>
  <si>
    <t xml:space="preserve">21000.007490/2012-97</t>
  </si>
  <si>
    <t xml:space="preserve">Cimoxanil Tradecorp Técnico</t>
  </si>
  <si>
    <t xml:space="preserve">21000.011712/2011-95</t>
  </si>
  <si>
    <t xml:space="preserve">Diquat 200 SL Rainbow</t>
  </si>
  <si>
    <t xml:space="preserve">21000.006048/2012-43</t>
  </si>
  <si>
    <t xml:space="preserve">Spraykill</t>
  </si>
  <si>
    <t xml:space="preserve">21000.006049/2012-98</t>
  </si>
  <si>
    <t xml:space="preserve">Blowout</t>
  </si>
  <si>
    <t xml:space="preserve">21000.009658/2013-80</t>
  </si>
  <si>
    <t xml:space="preserve">Kyron 750 WG</t>
  </si>
  <si>
    <t xml:space="preserve">21000.008495/2012-37</t>
  </si>
  <si>
    <t xml:space="preserve">Fluazinam Nufarm 500 SC</t>
  </si>
  <si>
    <t xml:space="preserve">21000.013515/2016-15</t>
  </si>
  <si>
    <t xml:space="preserve">Lambdacialotrin Pré-mistura 250 CS</t>
  </si>
  <si>
    <t xml:space="preserve">21000.008662/2011-69</t>
  </si>
  <si>
    <t xml:space="preserve">Thiodi 350 SC</t>
  </si>
  <si>
    <t xml:space="preserve">21000.008656/2014-54</t>
  </si>
  <si>
    <t xml:space="preserve">Abadin 72 EC</t>
  </si>
  <si>
    <t xml:space="preserve">21000.010581/2008-23</t>
  </si>
  <si>
    <t xml:space="preserve">Rayo</t>
  </si>
  <si>
    <t xml:space="preserve">21000.006786/2014-52</t>
  </si>
  <si>
    <t xml:space="preserve">Azoxistrobina Técnico SUP</t>
  </si>
  <si>
    <t xml:space="preserve">21000.007278/2015-72</t>
  </si>
  <si>
    <t xml:space="preserve">Azoxistrobina Sapec Técnico III</t>
  </si>
  <si>
    <t xml:space="preserve">21000.007353/2015-03</t>
  </si>
  <si>
    <t xml:space="preserve">Azoxystrobin Técnico Sino-Agri</t>
  </si>
  <si>
    <t xml:space="preserve">21000.034822/2016-30</t>
  </si>
  <si>
    <t xml:space="preserve">Azoxistrobina Técnico Adama Brasil</t>
  </si>
  <si>
    <t xml:space="preserve">21000.041918/2016-54</t>
  </si>
  <si>
    <t xml:space="preserve">Azoxistrobina TB Técnico Oxon</t>
  </si>
  <si>
    <t xml:space="preserve">21000.005377/2015-10</t>
  </si>
  <si>
    <t xml:space="preserve">Azimut Supra</t>
  </si>
  <si>
    <t xml:space="preserve">Azoxistrobina; Tebuconazole; Mancozebe</t>
  </si>
  <si>
    <t xml:space="preserve">21000.008818/2014-54</t>
  </si>
  <si>
    <t xml:space="preserve">Take 750 SP</t>
  </si>
  <si>
    <t xml:space="preserve">21000.008860/2014-75</t>
  </si>
  <si>
    <t xml:space="preserve">Ttrishul 750 SP</t>
  </si>
  <si>
    <t xml:space="preserve">21000.008722/2014-96</t>
  </si>
  <si>
    <t xml:space="preserve">Fate 750 SP</t>
  </si>
  <si>
    <t xml:space="preserve">21000.004726/2009-38</t>
  </si>
  <si>
    <t xml:space="preserve">Marte WG</t>
  </si>
  <si>
    <t xml:space="preserve">21000.002351/2013-58</t>
  </si>
  <si>
    <t xml:space="preserve">Alverde</t>
  </si>
  <si>
    <t xml:space="preserve">21000.010786/2012-95</t>
  </si>
  <si>
    <t xml:space="preserve">Imazapique Técnico Milenia</t>
  </si>
  <si>
    <t xml:space="preserve">21000.008160/2012-19</t>
  </si>
  <si>
    <t xml:space="preserve">Paclobutrazol Tradecorp Técnico</t>
  </si>
  <si>
    <t xml:space="preserve">21000.010900/2010-15</t>
  </si>
  <si>
    <t xml:space="preserve">Glifosato Técnico Chemtura III</t>
  </si>
  <si>
    <t xml:space="preserve">Chemtura</t>
  </si>
  <si>
    <t xml:space="preserve">21000.011792/2009-64</t>
  </si>
  <si>
    <t xml:space="preserve">Cinelli 250 FS</t>
  </si>
  <si>
    <t xml:space="preserve">21000.014922/2011-35</t>
  </si>
  <si>
    <t xml:space="preserve">Fomesafen 250 SL DVA</t>
  </si>
  <si>
    <t xml:space="preserve">21000.010420/2013-05</t>
  </si>
  <si>
    <t xml:space="preserve">AutênticoBR</t>
  </si>
  <si>
    <t xml:space="preserve">21000.007414/2012-81</t>
  </si>
  <si>
    <t xml:space="preserve">Sivanto Prime 200 SL</t>
  </si>
  <si>
    <t xml:space="preserve">21000.002176/2012-18</t>
  </si>
  <si>
    <t xml:space="preserve">Mancozebe Tradecorp Técnico</t>
  </si>
  <si>
    <t xml:space="preserve">21000.041052/2016-81</t>
  </si>
  <si>
    <t xml:space="preserve">Mancozeb Técnico Nortox II</t>
  </si>
  <si>
    <t xml:space="preserve">21000.008927/2014-71</t>
  </si>
  <si>
    <t xml:space="preserve">Mantis 400 WG</t>
  </si>
  <si>
    <t xml:space="preserve">21000.009907/2010-94</t>
  </si>
  <si>
    <t xml:space="preserve">Pledge SC</t>
  </si>
  <si>
    <t xml:space="preserve">21000.009910/2010-16</t>
  </si>
  <si>
    <t xml:space="preserve">Sumisoya 500 SC</t>
  </si>
  <si>
    <t xml:space="preserve">21000.009906/2010-40</t>
  </si>
  <si>
    <t xml:space="preserve">Sumyzin 500 SC</t>
  </si>
  <si>
    <t xml:space="preserve">Toucan 250 FS</t>
  </si>
  <si>
    <t xml:space="preserve">21000.009384/2010-86</t>
  </si>
  <si>
    <t xml:space="preserve">Flumyzim 500 SC</t>
  </si>
  <si>
    <t xml:space="preserve">21000.007599/2012-24</t>
  </si>
  <si>
    <t xml:space="preserve">Thiodi   </t>
  </si>
  <si>
    <t xml:space="preserve">21000.005571/2009-57</t>
  </si>
  <si>
    <t xml:space="preserve">Flutriafol; Carbendazim</t>
  </si>
  <si>
    <t xml:space="preserve">21000.005572/2009-00</t>
  </si>
  <si>
    <t xml:space="preserve">Sperto</t>
  </si>
  <si>
    <t xml:space="preserve">21000.001410/2015-32</t>
  </si>
  <si>
    <t xml:space="preserve">Javelin WG</t>
  </si>
  <si>
    <t xml:space="preserve">21000.004800/2012-11</t>
  </si>
  <si>
    <t xml:space="preserve">Imidacloprido Técnico DVA</t>
  </si>
  <si>
    <t xml:space="preserve">21000.002810/2010-51</t>
  </si>
  <si>
    <t xml:space="preserve">Picloram Técnico Nufarm</t>
  </si>
  <si>
    <t xml:space="preserve">21000.002721/2012-76</t>
  </si>
  <si>
    <t xml:space="preserve">Diquat NH Técnico Helm</t>
  </si>
  <si>
    <t xml:space="preserve">21000.063790/2016-80</t>
  </si>
  <si>
    <t xml:space="preserve">Diquat Técnico Nortox III</t>
  </si>
  <si>
    <t xml:space="preserve">21000.005713/2015-24</t>
  </si>
  <si>
    <t xml:space="preserve">UPL 216 FP</t>
  </si>
  <si>
    <t xml:space="preserve">Azoxistrobina; Mancozebe; Ciproconazol</t>
  </si>
  <si>
    <t xml:space="preserve">21000.014297/2011-21</t>
  </si>
  <si>
    <t xml:space="preserve">Bixafen Técnico</t>
  </si>
  <si>
    <t xml:space="preserve">Imidacloprid Técnico HS</t>
  </si>
  <si>
    <t xml:space="preserve">21000.005470/2015-24</t>
  </si>
  <si>
    <t xml:space="preserve">Trichoibi G</t>
  </si>
  <si>
    <t xml:space="preserve">21000.008869/2014-86</t>
  </si>
  <si>
    <t xml:space="preserve">Mesotriona CCAB 400 SC</t>
  </si>
  <si>
    <t xml:space="preserve">21000.005573/2009-46</t>
  </si>
  <si>
    <t xml:space="preserve">Soberano</t>
  </si>
  <si>
    <t xml:space="preserve">21000.005302/2013-77</t>
  </si>
  <si>
    <t xml:space="preserve">Fox Xpro</t>
  </si>
  <si>
    <t xml:space="preserve">21000.003274/2010-19</t>
  </si>
  <si>
    <t xml:space="preserve">Imidacloprid Técnico AgroImport</t>
  </si>
  <si>
    <t xml:space="preserve">AgroImport</t>
  </si>
  <si>
    <t xml:space="preserve">21000.006755/2010-78</t>
  </si>
  <si>
    <t xml:space="preserve">Imidacloprido Técnico Nufarm</t>
  </si>
  <si>
    <t xml:space="preserve">21000.000341/2014-69</t>
  </si>
  <si>
    <t xml:space="preserve">Acetamiprido Nufarm 200 SC</t>
  </si>
  <si>
    <t xml:space="preserve">21000.007141/2009-70</t>
  </si>
  <si>
    <t xml:space="preserve">Albatross 800 WG</t>
  </si>
  <si>
    <t xml:space="preserve">21000.006209/2009-01</t>
  </si>
  <si>
    <t xml:space="preserve">Imidacloprido Técnico D'Verde</t>
  </si>
  <si>
    <t xml:space="preserve">21000.010958/2009-25</t>
  </si>
  <si>
    <t xml:space="preserve">Imidaclorpido Técnico Agria</t>
  </si>
  <si>
    <t xml:space="preserve">21000.006652/2009-74</t>
  </si>
  <si>
    <t xml:space="preserve">Imidacloprido Técnico SIB</t>
  </si>
  <si>
    <t xml:space="preserve">21000.009202/2013-10</t>
  </si>
  <si>
    <t xml:space="preserve">Carbendazim Técnico NW Biesterfeld</t>
  </si>
  <si>
    <t xml:space="preserve">Carbendazim Técnico Wynca</t>
  </si>
  <si>
    <t xml:space="preserve">21000.001910/2015-74</t>
  </si>
  <si>
    <t xml:space="preserve">Carbendazim Técnico RdB</t>
  </si>
  <si>
    <t xml:space="preserve">21000.016882/2016-71</t>
  </si>
  <si>
    <t xml:space="preserve">Carbendazim Técnico Adama</t>
  </si>
  <si>
    <t xml:space="preserve">21000.055578/2016-49</t>
  </si>
  <si>
    <t xml:space="preserve">Tebuconazole Técnico Nortox IV</t>
  </si>
  <si>
    <t xml:space="preserve">21000.008891/2014-26</t>
  </si>
  <si>
    <t xml:space="preserve">Nillus</t>
  </si>
  <si>
    <t xml:space="preserve">21000.011343/2011-31</t>
  </si>
  <si>
    <t xml:space="preserve">Carbendazim Técnico CN</t>
  </si>
  <si>
    <t xml:space="preserve">21000.009525/2012-22</t>
  </si>
  <si>
    <t xml:space="preserve">Diflubenzuron Técnico CCAB</t>
  </si>
  <si>
    <t xml:space="preserve">21000.002574/2011-53</t>
  </si>
  <si>
    <t xml:space="preserve">Glifosato Técnico NAG</t>
  </si>
  <si>
    <t xml:space="preserve">21000.009090/2012-16</t>
  </si>
  <si>
    <t xml:space="preserve">Glifosato Técnico AK</t>
  </si>
  <si>
    <t xml:space="preserve">21000.009543/2012-12</t>
  </si>
  <si>
    <t xml:space="preserve">Diflubenzuron Técnico Genbra</t>
  </si>
  <si>
    <t xml:space="preserve">21000.003437/2014-89</t>
  </si>
  <si>
    <t xml:space="preserve">Mesotrione 480 SC Proventis</t>
  </si>
  <si>
    <t xml:space="preserve">21000.003618/2011-62</t>
  </si>
  <si>
    <t xml:space="preserve">Mancozeb Sabero 800 WP</t>
  </si>
  <si>
    <t xml:space="preserve">21000.010633/2010-86</t>
  </si>
  <si>
    <t xml:space="preserve">Rotaxil 500 SC</t>
  </si>
  <si>
    <t xml:space="preserve">21000.003694/2014-11</t>
  </si>
  <si>
    <t xml:space="preserve">AfincoBR</t>
  </si>
  <si>
    <t xml:space="preserve">21000.005701/2015-08</t>
  </si>
  <si>
    <t xml:space="preserve">ParrudoBR</t>
  </si>
  <si>
    <t xml:space="preserve">21000.011333/2011-03</t>
  </si>
  <si>
    <t xml:space="preserve">Keyzol EC</t>
  </si>
  <si>
    <t xml:space="preserve">21000.022946/2016-72</t>
  </si>
  <si>
    <t xml:space="preserve">UPL 216 FP BR</t>
  </si>
  <si>
    <t xml:space="preserve">21000.004975/2012-29</t>
  </si>
  <si>
    <t xml:space="preserve">Rotaxil </t>
  </si>
  <si>
    <t xml:space="preserve">21000.008446/2014-66</t>
  </si>
  <si>
    <t xml:space="preserve">Mesotrione 480 SC PLS CL1</t>
  </si>
  <si>
    <t xml:space="preserve">21000.003617/2011-18</t>
  </si>
  <si>
    <t xml:space="preserve">Sabizeb 800 WP</t>
  </si>
  <si>
    <t xml:space="preserve">21000.010935/2011-35</t>
  </si>
  <si>
    <t xml:space="preserve">Elatus 150 EC</t>
  </si>
  <si>
    <t xml:space="preserve">21000.010982/2012-60</t>
  </si>
  <si>
    <t xml:space="preserve">Paclobutrazol Técnico UPL</t>
  </si>
  <si>
    <t xml:space="preserve">21000.004344/2010-48</t>
  </si>
  <si>
    <t xml:space="preserve">Raksha 800 WP</t>
  </si>
  <si>
    <t xml:space="preserve">21000.004345/2010-92</t>
  </si>
  <si>
    <t xml:space="preserve">UTHANE 800 WP</t>
  </si>
  <si>
    <t xml:space="preserve">21000.007683/2009-42</t>
  </si>
  <si>
    <t xml:space="preserve">Carbendazim 500 Volcano</t>
  </si>
  <si>
    <t xml:space="preserve">21000.004253/2011-93</t>
  </si>
  <si>
    <t xml:space="preserve">Hexazuron</t>
  </si>
  <si>
    <t xml:space="preserve">21000.003230/2010-81</t>
  </si>
  <si>
    <t xml:space="preserve">Mepiquat Chloride DVA 250 SL</t>
  </si>
  <si>
    <t xml:space="preserve">21000.002482/2013-35</t>
  </si>
  <si>
    <t xml:space="preserve">Marathon 800 WG</t>
  </si>
  <si>
    <t xml:space="preserve">21000.008596/2015-51</t>
  </si>
  <si>
    <t xml:space="preserve">TAFFETA</t>
  </si>
  <si>
    <t xml:space="preserve">21000.003780/2015-12</t>
  </si>
  <si>
    <t xml:space="preserve">TAFFETA HS</t>
  </si>
  <si>
    <t xml:space="preserve">21000.003707/2015-32</t>
  </si>
  <si>
    <t xml:space="preserve">TAFFETA HS 200 SP</t>
  </si>
  <si>
    <t xml:space="preserve">21000.002844/2015-50</t>
  </si>
  <si>
    <t xml:space="preserve">TAFFETA SP</t>
  </si>
  <si>
    <t xml:space="preserve">21000.009314/2017-02</t>
  </si>
  <si>
    <t xml:space="preserve">Interceptor</t>
  </si>
  <si>
    <t xml:space="preserve">21000.004379/2012-49</t>
  </si>
  <si>
    <t xml:space="preserve">Cymoxanil Técnico Indofil</t>
  </si>
  <si>
    <t xml:space="preserve">21000.052730/2016-31</t>
  </si>
  <si>
    <t xml:space="preserve">Carbendazim Técnico Sino-Agri</t>
  </si>
  <si>
    <t xml:space="preserve">21000.031608/2016-21</t>
  </si>
  <si>
    <t xml:space="preserve">Absoluto SC</t>
  </si>
  <si>
    <t xml:space="preserve">21000.037948/2016-66</t>
  </si>
  <si>
    <t xml:space="preserve">Challenger</t>
  </si>
  <si>
    <t xml:space="preserve"> Paecilomyces lilacinus</t>
  </si>
  <si>
    <t xml:space="preserve">21000.001039/2015-17</t>
  </si>
  <si>
    <t xml:space="preserve">Acetamiprid 200 SP UPL BR</t>
  </si>
  <si>
    <t xml:space="preserve">21000.012621/2010-96</t>
  </si>
  <si>
    <t xml:space="preserve">Adante Xtra</t>
  </si>
  <si>
    <t xml:space="preserve">Azoxistrobina; Ciproconazol; Tiametoxam</t>
  </si>
  <si>
    <t xml:space="preserve">21000.009068/2013-57</t>
  </si>
  <si>
    <t xml:space="preserve">Cletodim 240 EC Genbra</t>
  </si>
  <si>
    <t xml:space="preserve">21000.003109/2013-00</t>
  </si>
  <si>
    <t xml:space="preserve">Boiadeiro 800 WG</t>
  </si>
  <si>
    <t xml:space="preserve">21000.007274/2013-22</t>
  </si>
  <si>
    <t xml:space="preserve">Benzoato de Emamectina Técnico</t>
  </si>
  <si>
    <t xml:space="preserve">21000.012448/2010-26</t>
  </si>
  <si>
    <t xml:space="preserve">Haloxifop CCAB 124,7 EC</t>
  </si>
  <si>
    <t xml:space="preserve">Haloxifop metílico</t>
  </si>
  <si>
    <t xml:space="preserve">21000.009371/2009-73</t>
  </si>
  <si>
    <t xml:space="preserve">Permethrin 384 EC</t>
  </si>
  <si>
    <t xml:space="preserve">Vigna</t>
  </si>
  <si>
    <t xml:space="preserve">21000.012238/2010-38</t>
  </si>
  <si>
    <t xml:space="preserve">Haloxifop-metílico 124,7 EC Genbra</t>
  </si>
  <si>
    <t xml:space="preserve">21000.005583/2013-68</t>
  </si>
  <si>
    <t xml:space="preserve">Lambda-cyhalothrin Pré-mistura</t>
  </si>
  <si>
    <t xml:space="preserve">lambda-cialotrina</t>
  </si>
  <si>
    <t xml:space="preserve">21000.006321/2014-00</t>
  </si>
  <si>
    <t xml:space="preserve">Abamectin 72 EC Nortox</t>
  </si>
  <si>
    <t xml:space="preserve">21000.013627/2011-61</t>
  </si>
  <si>
    <t xml:space="preserve">Permetrina 384 EC DVA</t>
  </si>
  <si>
    <t xml:space="preserve">21000.007281/2013-24</t>
  </si>
  <si>
    <t xml:space="preserve">Proclaim 50</t>
  </si>
  <si>
    <t xml:space="preserve">21000.010400/2010-83</t>
  </si>
  <si>
    <t xml:space="preserve">CHLORSAB 480 EC</t>
  </si>
  <si>
    <t xml:space="preserve">21000.005197/2009-90</t>
  </si>
  <si>
    <t xml:space="preserve">Shelter 250 FS</t>
  </si>
  <si>
    <t xml:space="preserve">21000.007163/2010-73</t>
  </si>
  <si>
    <t xml:space="preserve">Diflumax 240 SC</t>
  </si>
  <si>
    <t xml:space="preserve">21000.010149/2009-13</t>
  </si>
  <si>
    <t xml:space="preserve">Permetrina CCAB EC</t>
  </si>
  <si>
    <t xml:space="preserve">21000.010578/2010-24</t>
  </si>
  <si>
    <t xml:space="preserve">Hexazinona Nortox SL</t>
  </si>
  <si>
    <t xml:space="preserve">21000.000298/2013-51</t>
  </si>
  <si>
    <t xml:space="preserve">Krost 806 SL</t>
  </si>
  <si>
    <t xml:space="preserve">21000.007712/2012-71</t>
  </si>
  <si>
    <t xml:space="preserve">Chiva WP</t>
  </si>
  <si>
    <t xml:space="preserve">Absoluto WG</t>
  </si>
  <si>
    <t xml:space="preserve">21000.002232/2014-86</t>
  </si>
  <si>
    <t xml:space="preserve">Approve WG</t>
  </si>
  <si>
    <t xml:space="preserve">Tiofanato-Metílico; Fluazinam</t>
  </si>
  <si>
    <t xml:space="preserve">21000.003782/2015-01</t>
  </si>
  <si>
    <t xml:space="preserve">Viviful SC</t>
  </si>
  <si>
    <t xml:space="preserve">Proexadiona Cálcica</t>
  </si>
  <si>
    <t xml:space="preserve">21000.006971/2014-47</t>
  </si>
  <si>
    <t xml:space="preserve">Puma</t>
  </si>
  <si>
    <t xml:space="preserve">21000.005712/2015-80</t>
  </si>
  <si>
    <t xml:space="preserve">Tridium</t>
  </si>
  <si>
    <t xml:space="preserve">Azoxistrobina; Mancozebe; Tebuconazol</t>
  </si>
  <si>
    <t xml:space="preserve">21000.010480/2011-58</t>
  </si>
  <si>
    <t xml:space="preserve">Protone</t>
  </si>
  <si>
    <t xml:space="preserve">21000.001078/2016-97</t>
  </si>
  <si>
    <t xml:space="preserve">Helymax EC</t>
  </si>
  <si>
    <t xml:space="preserve">21000.008236/2014-78</t>
  </si>
  <si>
    <t xml:space="preserve">Neolist</t>
  </si>
  <si>
    <t xml:space="preserve">Arrange</t>
  </si>
  <si>
    <t xml:space="preserve">21000.008235/2014-23</t>
  </si>
  <si>
    <t xml:space="preserve">Lifter</t>
  </si>
  <si>
    <t xml:space="preserve">21000.006847/2014-81</t>
  </si>
  <si>
    <t xml:space="preserve">Cerconil</t>
  </si>
  <si>
    <t xml:space="preserve">Tiofanato-Metílico; Clorotalonil</t>
  </si>
  <si>
    <t xml:space="preserve">21000.003975/2012-10</t>
  </si>
  <si>
    <t xml:space="preserve">Diflucrop</t>
  </si>
  <si>
    <t xml:space="preserve">21000.002737/2013-60</t>
  </si>
  <si>
    <t xml:space="preserve">Instal 800 WG</t>
  </si>
  <si>
    <t xml:space="preserve">21000.009317/2017-38</t>
  </si>
  <si>
    <t xml:space="preserve">No Hop</t>
  </si>
  <si>
    <t xml:space="preserve">21000.009310/2017-16</t>
  </si>
  <si>
    <t xml:space="preserve">Insect</t>
  </si>
  <si>
    <t xml:space="preserve">21000.002856/2017-46</t>
  </si>
  <si>
    <t xml:space="preserve">Trianum WG</t>
  </si>
  <si>
    <t xml:space="preserve">21000.009306/2017-58</t>
  </si>
  <si>
    <t xml:space="preserve">Albatroz</t>
  </si>
  <si>
    <t xml:space="preserve">21000.062472/2016-00</t>
  </si>
  <si>
    <t xml:space="preserve">Avenger</t>
  </si>
  <si>
    <t xml:space="preserve">21000.062470/2016-11</t>
  </si>
  <si>
    <t xml:space="preserve">Entomite</t>
  </si>
  <si>
    <t xml:space="preserve">Stratiolaelaps scimitus</t>
  </si>
  <si>
    <t xml:space="preserve">21000.062468/2016-33</t>
  </si>
  <si>
    <t xml:space="preserve">Celta</t>
  </si>
  <si>
    <t xml:space="preserve">Phytoseiulus macropilis</t>
  </si>
  <si>
    <t xml:space="preserve">21000.010693/2017-75</t>
  </si>
  <si>
    <t xml:space="preserve">Arcar</t>
  </si>
  <si>
    <t xml:space="preserve">21000.061964/2016-70</t>
  </si>
  <si>
    <t xml:space="preserve">Votivo Prime</t>
  </si>
  <si>
    <t xml:space="preserve">21000.004691/2017-47</t>
  </si>
  <si>
    <t xml:space="preserve">Oleaje Prime</t>
  </si>
  <si>
    <t xml:space="preserve">21000.004686/2017-34</t>
  </si>
  <si>
    <t xml:space="preserve">Andril Prime</t>
  </si>
  <si>
    <t xml:space="preserve">21000.008957/2014-88</t>
  </si>
  <si>
    <t xml:space="preserve">Cymoxanil Técnico ISK</t>
  </si>
  <si>
    <t xml:space="preserve">ISK Biosciences do Brasil</t>
  </si>
  <si>
    <t xml:space="preserve">21000.011206/2011-04</t>
  </si>
  <si>
    <t xml:space="preserve">Tebuconazole Técnico Sinon</t>
  </si>
  <si>
    <t xml:space="preserve">Sinon do Brasil</t>
  </si>
  <si>
    <t xml:space="preserve">21000.003898/2015-32</t>
  </si>
  <si>
    <t xml:space="preserve">Panga 900 WG</t>
  </si>
  <si>
    <t xml:space="preserve">21000.003775/2015-00</t>
  </si>
  <si>
    <t xml:space="preserve">Dicamba Técnico Adama</t>
  </si>
  <si>
    <t xml:space="preserve">21000.008328/2011-13</t>
  </si>
  <si>
    <t xml:space="preserve">Dicamba Técnico Rainbow</t>
  </si>
  <si>
    <t xml:space="preserve">21000.010825/2012-54</t>
  </si>
  <si>
    <t xml:space="preserve">Dicamba Técnico Nufarm BR</t>
  </si>
  <si>
    <t xml:space="preserve">21000.007384/2016-37</t>
  </si>
  <si>
    <t xml:space="preserve">Flutriafol Técnico Sulphur Mills</t>
  </si>
  <si>
    <t xml:space="preserve">21000.005439/2011-60</t>
  </si>
  <si>
    <t xml:space="preserve">Flutriafol Técnico AL Prentiss</t>
  </si>
  <si>
    <t xml:space="preserve">21000.003437/2011-36</t>
  </si>
  <si>
    <t xml:space="preserve">Flutriafol Técnico AS BRA</t>
  </si>
  <si>
    <t xml:space="preserve">21000.010005/2013-43</t>
  </si>
  <si>
    <t xml:space="preserve">Fluazinam Técnico Proventis</t>
  </si>
  <si>
    <t xml:space="preserve">21000.002596/2014-66</t>
  </si>
  <si>
    <t xml:space="preserve">Fluazinam Técnico ME2</t>
  </si>
  <si>
    <t xml:space="preserve">21000.003558/2013-40</t>
  </si>
  <si>
    <t xml:space="preserve">Dicamba Tecnico Atanor</t>
  </si>
  <si>
    <t xml:space="preserve">21000.000841/2016-62</t>
  </si>
  <si>
    <t xml:space="preserve">Fipronil Técnico Sulphur Mills</t>
  </si>
  <si>
    <t xml:space="preserve">21000.007022/2011-31</t>
  </si>
  <si>
    <t xml:space="preserve">Fipronil Técnico Tagros</t>
  </si>
  <si>
    <t xml:space="preserve">21000.000972/2010-54</t>
  </si>
  <si>
    <t xml:space="preserve">Chlorimuron -Ethyl Técnico August</t>
  </si>
  <si>
    <t xml:space="preserve">21000.001519/2015-70</t>
  </si>
  <si>
    <t xml:space="preserve">2,4-D Técnico Uniphos</t>
  </si>
  <si>
    <t xml:space="preserve">21000.002347/2012-17</t>
  </si>
  <si>
    <t xml:space="preserve">Tiametoxam GSP Técnico Helm</t>
  </si>
  <si>
    <t xml:space="preserve">21000.000891/2013-05</t>
  </si>
  <si>
    <t xml:space="preserve">Tiametoxan Técnico Nortox</t>
  </si>
  <si>
    <t xml:space="preserve">21000.003943/2011-25</t>
  </si>
  <si>
    <t xml:space="preserve">Tiametoxam Técnico Nufarm</t>
  </si>
  <si>
    <t xml:space="preserve">21000.011477/2009-37</t>
  </si>
  <si>
    <t xml:space="preserve">Thiametoxam Técnico Agria</t>
  </si>
  <si>
    <t xml:space="preserve">21000.005378/2013-01</t>
  </si>
  <si>
    <t xml:space="preserve">Thiametoxam Técnico Rotam</t>
  </si>
  <si>
    <t xml:space="preserve">21000.002159/2013-61</t>
  </si>
  <si>
    <t xml:space="preserve">Tiametoxam Técnico ME2</t>
  </si>
  <si>
    <t xml:space="preserve">21000.008952/2009-98</t>
  </si>
  <si>
    <t xml:space="preserve">Thiametoxam Técnico DVA</t>
  </si>
  <si>
    <t xml:space="preserve">21000.010516/2012-84</t>
  </si>
  <si>
    <t xml:space="preserve">Tiametoxam Técnico Proventis</t>
  </si>
  <si>
    <t xml:space="preserve">21000.003179/2012-79</t>
  </si>
  <si>
    <t xml:space="preserve">Tiametoxam Técnico Nufarm BR</t>
  </si>
  <si>
    <t xml:space="preserve">21000.008749/2011-36</t>
  </si>
  <si>
    <t xml:space="preserve">Tiametoxam Técnico Genbra</t>
  </si>
  <si>
    <t xml:space="preserve">21000.010976/2012-11</t>
  </si>
  <si>
    <t xml:space="preserve">Hexazinone Técnico Rainbow</t>
  </si>
  <si>
    <t xml:space="preserve">21000.008777/2011-53</t>
  </si>
  <si>
    <t xml:space="preserve">Thiametoxan Técnico CCAB</t>
  </si>
  <si>
    <t xml:space="preserve">21000.007111/2011-88</t>
  </si>
  <si>
    <t xml:space="preserve">Tiametoxam Técnico Alta</t>
  </si>
  <si>
    <t xml:space="preserve">21000.001020/2015-62</t>
  </si>
  <si>
    <t xml:space="preserve">Glifosato Técnico Dipil</t>
  </si>
  <si>
    <t xml:space="preserve">Dipil</t>
  </si>
  <si>
    <t xml:space="preserve">21000.007042/2014-55</t>
  </si>
  <si>
    <t xml:space="preserve">Hexazinona Técnico Adama</t>
  </si>
  <si>
    <t xml:space="preserve">21000.001379/2015-30</t>
  </si>
  <si>
    <t xml:space="preserve">Cletodim Pré-mistura Nortox (PM)</t>
  </si>
  <si>
    <t xml:space="preserve">21000.004019/2014-17</t>
  </si>
  <si>
    <t xml:space="preserve">Hexazinone Técnichal </t>
  </si>
  <si>
    <t xml:space="preserve">21000.001934/2014-42</t>
  </si>
  <si>
    <t xml:space="preserve">hexazinone Técnico RDB</t>
  </si>
  <si>
    <t xml:space="preserve">21000.056092/2016-28</t>
  </si>
  <si>
    <t xml:space="preserve">Tebuconazole Técnico RHK</t>
  </si>
  <si>
    <t xml:space="preserve">21000.008963/2012-73</t>
  </si>
  <si>
    <t xml:space="preserve">Tebuconazole Técnico MKW</t>
  </si>
  <si>
    <t xml:space="preserve">21000.005656/2014-01</t>
  </si>
  <si>
    <t xml:space="preserve">Tebuconazole S Técnico Helm</t>
  </si>
  <si>
    <t xml:space="preserve">21000.004314/2011-12</t>
  </si>
  <si>
    <t xml:space="preserve">Flufenoxuron Técnico Basf</t>
  </si>
  <si>
    <t xml:space="preserve">21000.009644/2013-66</t>
  </si>
  <si>
    <t xml:space="preserve">Cleaner Xtra</t>
  </si>
  <si>
    <t xml:space="preserve">21000.000668/2013-50</t>
  </si>
  <si>
    <t xml:space="preserve">Ametrina Técnico SWR Agroimport</t>
  </si>
  <si>
    <t xml:space="preserve">21000.008486/2015-99</t>
  </si>
  <si>
    <t xml:space="preserve">2,4-D Técnico Ouro Fino</t>
  </si>
  <si>
    <t xml:space="preserve">21000.010281/2013-10</t>
  </si>
  <si>
    <t xml:space="preserve">Tiametoxam Técnico HG</t>
  </si>
  <si>
    <t xml:space="preserve">21000.002704/2012-39</t>
  </si>
  <si>
    <t xml:space="preserve">Enduro</t>
  </si>
  <si>
    <t xml:space="preserve">21000.004968/2012-27</t>
  </si>
  <si>
    <t xml:space="preserve">Trueno EZ</t>
  </si>
  <si>
    <t xml:space="preserve">21000.002164/2012-93</t>
  </si>
  <si>
    <t xml:space="preserve">Dominum EZ</t>
  </si>
  <si>
    <t xml:space="preserve">21000.004412/2009-35</t>
  </si>
  <si>
    <t xml:space="preserve">Simbio Mix</t>
  </si>
  <si>
    <t xml:space="preserve">21000.004393/2009-47</t>
  </si>
  <si>
    <t xml:space="preserve">Cuprosate Gold 720 WP</t>
  </si>
  <si>
    <t xml:space="preserve">21000.006929/2010-01</t>
  </si>
  <si>
    <t xml:space="preserve">Unimark 480 SC</t>
  </si>
  <si>
    <t xml:space="preserve">21000.003516/2010-66</t>
  </si>
  <si>
    <t xml:space="preserve">Mepiquat Chloride 25% SL (CDX 402A FP)</t>
  </si>
  <si>
    <t xml:space="preserve">21000.007043/2017-42</t>
  </si>
  <si>
    <t xml:space="preserve">Tebuconazole Técnico OF</t>
  </si>
  <si>
    <t xml:space="preserve">21000.007849/2011-45</t>
  </si>
  <si>
    <t xml:space="preserve">Tebuconazol Tradecorp Técnico</t>
  </si>
  <si>
    <t xml:space="preserve">21000.008598/2013-88</t>
  </si>
  <si>
    <t xml:space="preserve">Piriproxifem Sapec 100 EC</t>
  </si>
  <si>
    <t xml:space="preserve">21000.010173/2017-62</t>
  </si>
  <si>
    <t xml:space="preserve">Tebuconazole Técnico UPL BR</t>
  </si>
  <si>
    <t xml:space="preserve">21000.010825/2011-73</t>
  </si>
  <si>
    <t xml:space="preserve">Glifosato Técnico CHN</t>
  </si>
  <si>
    <t xml:space="preserve">21000.008583/2012-39</t>
  </si>
  <si>
    <t xml:space="preserve">Glifo Técnico Dinagro</t>
  </si>
  <si>
    <t xml:space="preserve">21000.007894/2017-95</t>
  </si>
  <si>
    <t xml:space="preserve">Acetamiprido Técnico Gilmore</t>
  </si>
  <si>
    <t xml:space="preserve">21000.008314/2012-72</t>
  </si>
  <si>
    <t xml:space="preserve">EnlistD SL</t>
  </si>
  <si>
    <t xml:space="preserve">21000.008238/2014-67</t>
  </si>
  <si>
    <t xml:space="preserve">Duolist</t>
  </si>
  <si>
    <t xml:space="preserve">21000.004627/2012-51</t>
  </si>
  <si>
    <t xml:space="preserve">Tebuconazole Tech Oxon</t>
  </si>
  <si>
    <t xml:space="preserve">21000.001423/2014-21</t>
  </si>
  <si>
    <t xml:space="preserve">Meson 480 SC</t>
  </si>
  <si>
    <t xml:space="preserve">21000.001418/2015-07</t>
  </si>
  <si>
    <t xml:space="preserve">Thuricide SC</t>
  </si>
  <si>
    <r>
      <rPr>
        <i val="true"/>
        <sz val="11"/>
        <color rgb="FF000066"/>
        <rFont val="Arial"/>
        <family val="2"/>
        <charset val="1"/>
      </rPr>
      <t xml:space="preserve">Bacillus thuringiensis</t>
    </r>
    <r>
      <rPr>
        <sz val="11"/>
        <color rgb="FF000066"/>
        <rFont val="Arial"/>
        <family val="2"/>
        <charset val="1"/>
      </rPr>
      <t xml:space="preserve"> var. kurstaki</t>
    </r>
  </si>
  <si>
    <t xml:space="preserve">21000.010354/2013-65</t>
  </si>
  <si>
    <t xml:space="preserve">Esplanade Optima</t>
  </si>
  <si>
    <t xml:space="preserve">Indaziflam; Iodossulfurom-metílico-sódico</t>
  </si>
  <si>
    <t xml:space="preserve">21000.013910/2011-93</t>
  </si>
  <si>
    <t xml:space="preserve">Aug 136</t>
  </si>
  <si>
    <t xml:space="preserve">21000.013047/2011-74</t>
  </si>
  <si>
    <t xml:space="preserve">Curygen EC</t>
  </si>
  <si>
    <t xml:space="preserve">21000.011439/2016-11</t>
  </si>
  <si>
    <t xml:space="preserve">Iscalure Armigera</t>
  </si>
  <si>
    <t xml:space="preserve">(Z)-9-Hexadecenal (Z9-16:Ald); (Z)-11-Hexadecenal (Z11-16:Ald)</t>
  </si>
  <si>
    <t xml:space="preserve">21000.006581/2017-10</t>
  </si>
  <si>
    <t xml:space="preserve">Tarik EC</t>
  </si>
  <si>
    <r>
      <rPr>
        <i val="true"/>
        <sz val="11"/>
        <color rgb="FF000066"/>
        <rFont val="Arial"/>
        <family val="2"/>
        <charset val="1"/>
      </rPr>
      <t xml:space="preserve">Bacillus thuringiensis</t>
    </r>
    <r>
      <rPr>
        <sz val="11"/>
        <color rgb="FF000066"/>
        <rFont val="Arial"/>
        <family val="2"/>
        <charset val="1"/>
      </rPr>
      <t xml:space="preserve"> var. </t>
    </r>
    <r>
      <rPr>
        <i val="true"/>
        <sz val="11"/>
        <color rgb="FF000066"/>
        <rFont val="Arial"/>
        <family val="2"/>
        <charset val="1"/>
      </rPr>
      <t xml:space="preserve">kurstaki</t>
    </r>
  </si>
  <si>
    <t xml:space="preserve">21000.016005/2011-95</t>
  </si>
  <si>
    <t xml:space="preserve">Shyper 250 EC</t>
  </si>
  <si>
    <t xml:space="preserve">21000.007289/2012-18</t>
  </si>
  <si>
    <t xml:space="preserve">Glifosato 480 SL Alamos</t>
  </si>
  <si>
    <t xml:space="preserve">21000.057149/2016-14</t>
  </si>
  <si>
    <t xml:space="preserve">VirControl S.F</t>
  </si>
  <si>
    <r>
      <rPr>
        <sz val="11"/>
        <color rgb="FF000066"/>
        <rFont val="Arial"/>
        <family val="2"/>
        <charset val="1"/>
      </rPr>
      <t xml:space="preserve">Baculovírus </t>
    </r>
    <r>
      <rPr>
        <i val="true"/>
        <sz val="11"/>
        <color rgb="FF000066"/>
        <rFont val="Arial"/>
        <family val="2"/>
        <charset val="1"/>
      </rPr>
      <t xml:space="preserve">Spodoptera frugiperda</t>
    </r>
  </si>
  <si>
    <t xml:space="preserve">21000.006585/2017-06</t>
  </si>
  <si>
    <t xml:space="preserve">BioBVB</t>
  </si>
  <si>
    <t xml:space="preserve">Vital Brasil Chemical</t>
  </si>
  <si>
    <t xml:space="preserve">21000.011494/2011-99</t>
  </si>
  <si>
    <t xml:space="preserve">Aug 137</t>
  </si>
  <si>
    <t xml:space="preserve">21000.004049/2010-91</t>
  </si>
  <si>
    <t xml:space="preserve">Seven</t>
  </si>
  <si>
    <t xml:space="preserve">21000.002040/2010-46</t>
  </si>
  <si>
    <t xml:space="preserve">Lost</t>
  </si>
  <si>
    <t xml:space="preserve">21000.045429/2017-52</t>
  </si>
  <si>
    <t xml:space="preserve">Reacher</t>
  </si>
  <si>
    <t xml:space="preserve">Trissolcus basalis</t>
  </si>
  <si>
    <t xml:space="preserve">21000.061341/2016-05</t>
  </si>
  <si>
    <t xml:space="preserve">OriusIBI</t>
  </si>
  <si>
    <t xml:space="preserve">21000.019999/2017-97</t>
  </si>
  <si>
    <t xml:space="preserve">Trichogramma pretiosum AMIPA</t>
  </si>
  <si>
    <t xml:space="preserve">21000.012744/2010-27</t>
  </si>
  <si>
    <t xml:space="preserve">Vindra 425 SC</t>
  </si>
  <si>
    <t xml:space="preserve">Clorotalonil; Cimoxanil</t>
  </si>
  <si>
    <t xml:space="preserve">Ano de 2016</t>
  </si>
  <si>
    <t xml:space="preserve">21000.010269/2010-54</t>
  </si>
  <si>
    <t xml:space="preserve">Diuron Técnico CH</t>
  </si>
  <si>
    <t xml:space="preserve">21000.012844/2010-53</t>
  </si>
  <si>
    <t xml:space="preserve">Nicosulfuron Técnico DVA BR</t>
  </si>
  <si>
    <t xml:space="preserve">21000.001313/2013-88</t>
  </si>
  <si>
    <t xml:space="preserve">Diuron Técnico Biesterfeld</t>
  </si>
  <si>
    <t xml:space="preserve">21000.010272/2010-78</t>
  </si>
  <si>
    <t xml:space="preserve">Spot SC</t>
  </si>
  <si>
    <t xml:space="preserve">Boscalida; Dimoxistrobina</t>
  </si>
  <si>
    <t xml:space="preserve">21000.002512/2013-11</t>
  </si>
  <si>
    <t xml:space="preserve">Diuron Técnico Nortox</t>
  </si>
  <si>
    <t xml:space="preserve">Diuron</t>
  </si>
  <si>
    <t xml:space="preserve">21000.009535/2013-49</t>
  </si>
  <si>
    <t xml:space="preserve">Diuron Técnico CHN</t>
  </si>
  <si>
    <t xml:space="preserve">21000.007820/2009-49</t>
  </si>
  <si>
    <t xml:space="preserve">FatorBR</t>
  </si>
  <si>
    <t xml:space="preserve">21000.008485/2014-63</t>
  </si>
  <si>
    <t xml:space="preserve">Helicovex</t>
  </si>
  <si>
    <t xml:space="preserve">Baculovírus</t>
  </si>
  <si>
    <t xml:space="preserve">21000.008484/2014-19</t>
  </si>
  <si>
    <t xml:space="preserve">Verparex</t>
  </si>
  <si>
    <t xml:space="preserve">21000.004867/2012-56</t>
  </si>
  <si>
    <t xml:space="preserve">Boral Duo</t>
  </si>
  <si>
    <t xml:space="preserve">Diurom; Sulfentrazona</t>
  </si>
  <si>
    <t xml:space="preserve">21000.006048/2011-62</t>
  </si>
  <si>
    <t xml:space="preserve">Paraquate Nufarm 200 SL</t>
  </si>
  <si>
    <t xml:space="preserve">21000.009788/2013-12</t>
  </si>
  <si>
    <t xml:space="preserve">Biorhizium WP</t>
  </si>
  <si>
    <t xml:space="preserve">Bioenergia</t>
  </si>
  <si>
    <t xml:space="preserve">21000.009789/2013-67</t>
  </si>
  <si>
    <t xml:space="preserve">Biorhizium GR</t>
  </si>
  <si>
    <t xml:space="preserve">21000.006504/2014-17</t>
  </si>
  <si>
    <t xml:space="preserve">Bio Defense</t>
  </si>
  <si>
    <t xml:space="preserve">Biodefensive</t>
  </si>
  <si>
    <t xml:space="preserve">21000.007143/2009-69</t>
  </si>
  <si>
    <t xml:space="preserve">Indaziflam Técnico</t>
  </si>
  <si>
    <t xml:space="preserve">21000.010797/2010-11</t>
  </si>
  <si>
    <t xml:space="preserve">Acetamiprido Técnico HS</t>
  </si>
  <si>
    <t xml:space="preserve">21000.008577/2009-86</t>
  </si>
  <si>
    <t xml:space="preserve">Clomazone Técnico Sinon</t>
  </si>
  <si>
    <t xml:space="preserve">21000.008894/2014-60</t>
  </si>
  <si>
    <t xml:space="preserve">Atrazina Técnico OF</t>
  </si>
  <si>
    <t xml:space="preserve">21000.001467/2013-70</t>
  </si>
  <si>
    <t xml:space="preserve">Diquat Técnico CCAB</t>
  </si>
  <si>
    <t xml:space="preserve">Diquat</t>
  </si>
  <si>
    <t xml:space="preserve">21000.007895/2014-97</t>
  </si>
  <si>
    <t xml:space="preserve">Dibrometo de Diquat Técnico Adama</t>
  </si>
  <si>
    <t xml:space="preserve">21000.000262/2015-39</t>
  </si>
  <si>
    <t xml:space="preserve">2,4-D Técnico GHA</t>
  </si>
  <si>
    <t xml:space="preserve">21000.000667/2015-77</t>
  </si>
  <si>
    <t xml:space="preserve">2,4-D Técnico GH</t>
  </si>
  <si>
    <t xml:space="preserve">21000.000695/2015-94</t>
  </si>
  <si>
    <t xml:space="preserve">2,4-D Técnico CA</t>
  </si>
  <si>
    <t xml:space="preserve">21000.006922/2014-12</t>
  </si>
  <si>
    <t xml:space="preserve">Atrazina Técnico FW</t>
  </si>
  <si>
    <t xml:space="preserve">21000.010588/2010-60</t>
  </si>
  <si>
    <t xml:space="preserve">Diflubenzuron Técnico August</t>
  </si>
  <si>
    <t xml:space="preserve">21000.004625/2010-09</t>
  </si>
  <si>
    <t xml:space="preserve">Profenofós Técnico Coromandel</t>
  </si>
  <si>
    <t xml:space="preserve">21000.010864/2009-56</t>
  </si>
  <si>
    <t xml:space="preserve">Profenofós Técnico DVA</t>
  </si>
  <si>
    <t xml:space="preserve">21000.005423/2010-76</t>
  </si>
  <si>
    <t xml:space="preserve">Atrazina Técnico CH</t>
  </si>
  <si>
    <t xml:space="preserve">21000.000195/2010-48</t>
  </si>
  <si>
    <t xml:space="preserve">Nicosulfuron Técnico August</t>
  </si>
  <si>
    <t xml:space="preserve">21000.003961/2010-26</t>
  </si>
  <si>
    <t xml:space="preserve">Alion</t>
  </si>
  <si>
    <t xml:space="preserve">21000.000726/2015-15</t>
  </si>
  <si>
    <t xml:space="preserve">2,4-D Técnico ND</t>
  </si>
  <si>
    <t xml:space="preserve">21000.000746/2015-88</t>
  </si>
  <si>
    <t xml:space="preserve">2,4-D Técnico MCR</t>
  </si>
  <si>
    <t xml:space="preserve">21000.008465/2010-69</t>
  </si>
  <si>
    <t xml:space="preserve">Glyphon</t>
  </si>
  <si>
    <t xml:space="preserve">21000.004249/2011-25</t>
  </si>
  <si>
    <t xml:space="preserve">Diquash 200 SH</t>
  </si>
  <si>
    <t xml:space="preserve">21000.003275/2012-17</t>
  </si>
  <si>
    <t xml:space="preserve">Effort</t>
  </si>
  <si>
    <t xml:space="preserve">21000.006628/2015-83</t>
  </si>
  <si>
    <t xml:space="preserve">Methacontrol</t>
  </si>
  <si>
    <t xml:space="preserve">21000.001829/2015-94</t>
  </si>
  <si>
    <t xml:space="preserve">Beauvecontrol</t>
  </si>
  <si>
    <t xml:space="preserve">21000.010914/2010-39</t>
  </si>
  <si>
    <t xml:space="preserve">Copros</t>
  </si>
  <si>
    <t xml:space="preserve">Abamectina; Clorantraniliprole</t>
  </si>
  <si>
    <t xml:space="preserve">21000.006629/2010-13</t>
  </si>
  <si>
    <t xml:space="preserve">Astral</t>
  </si>
  <si>
    <t xml:space="preserve">21000.010577/2010-80</t>
  </si>
  <si>
    <t xml:space="preserve">Nicosulfurom Nortox</t>
  </si>
  <si>
    <t xml:space="preserve">21000.006892/2007-15</t>
  </si>
  <si>
    <t xml:space="preserve">Cultifix</t>
  </si>
  <si>
    <t xml:space="preserve">21000.008313/2011-47</t>
  </si>
  <si>
    <t xml:space="preserve">Pride</t>
  </si>
  <si>
    <t xml:space="preserve">21000.003506/2011-10</t>
  </si>
  <si>
    <t xml:space="preserve">Esplanade</t>
  </si>
  <si>
    <t xml:space="preserve">21000.012431/2010-79</t>
  </si>
  <si>
    <t xml:space="preserve">Êxito 215 SL</t>
  </si>
  <si>
    <t xml:space="preserve">21000.005552/2009-21</t>
  </si>
  <si>
    <t xml:space="preserve">Carbendazim Técnico Volcano</t>
  </si>
  <si>
    <t xml:space="preserve">21000.007881/2014-73</t>
  </si>
  <si>
    <t xml:space="preserve">Beauveria Oligos WP</t>
  </si>
  <si>
    <t xml:space="preserve">Oligos Biotec</t>
  </si>
  <si>
    <t xml:space="preserve">21000.008480/2014-31</t>
  </si>
  <si>
    <t xml:space="preserve">Bt Control</t>
  </si>
  <si>
    <t xml:space="preserve">21000.015754/2011-03</t>
  </si>
  <si>
    <t xml:space="preserve">Atectra soy</t>
  </si>
  <si>
    <t xml:space="preserve">21000.015854/2011-21</t>
  </si>
  <si>
    <t xml:space="preserve">Sector</t>
  </si>
  <si>
    <t xml:space="preserve">21000.000587/2012-79</t>
  </si>
  <si>
    <t xml:space="preserve">Outliner</t>
  </si>
  <si>
    <t xml:space="preserve">Triclopir-Butotílico; Fluroxipir-Meptílico</t>
  </si>
  <si>
    <t xml:space="preserve">21000.004269/2009-81</t>
  </si>
  <si>
    <t xml:space="preserve">Cipermetrina Téc. Action</t>
  </si>
  <si>
    <t xml:space="preserve">Action</t>
  </si>
  <si>
    <t xml:space="preserve">21000.008712/2011-16</t>
  </si>
  <si>
    <t xml:space="preserve">Verimark</t>
  </si>
  <si>
    <t xml:space="preserve">21000.007207/2009-21</t>
  </si>
  <si>
    <t xml:space="preserve">Segurobr</t>
  </si>
  <si>
    <t xml:space="preserve">21000.012441/2010-12</t>
  </si>
  <si>
    <t xml:space="preserve">Mancozeb Técnico Cropchem</t>
  </si>
  <si>
    <t xml:space="preserve">21000.009008/2013-34</t>
  </si>
  <si>
    <t xml:space="preserve">Paraquate Alta 200 SL</t>
  </si>
  <si>
    <t xml:space="preserve">21000.001565/2014-98</t>
  </si>
  <si>
    <t xml:space="preserve">Mancozebe Técnico UPL BR</t>
  </si>
  <si>
    <t xml:space="preserve">21000.001605/2014-00</t>
  </si>
  <si>
    <t xml:space="preserve">Rizotec</t>
  </si>
  <si>
    <t xml:space="preserve">Rizoflora</t>
  </si>
  <si>
    <t xml:space="preserve">21000.002767/2010-23</t>
  </si>
  <si>
    <t xml:space="preserve">Opera XE</t>
  </si>
  <si>
    <t xml:space="preserve">Epoxiconazol; Fluxapiroxade; Piraclostrobina</t>
  </si>
  <si>
    <t xml:space="preserve">21000.010005/2010-09</t>
  </si>
  <si>
    <t xml:space="preserve">Lufenurom Técnico Alta</t>
  </si>
  <si>
    <t xml:space="preserve">21000.010168/2010-83</t>
  </si>
  <si>
    <t xml:space="preserve">Lufenurom Técnico Nufarm</t>
  </si>
  <si>
    <t xml:space="preserve">21000.010033/2012-80</t>
  </si>
  <si>
    <t xml:space="preserve">Lufenurom Técnico CCAB II</t>
  </si>
  <si>
    <t xml:space="preserve">21000.003293/2012-07</t>
  </si>
  <si>
    <t xml:space="preserve">Lufenurom Técnico Proventis</t>
  </si>
  <si>
    <t xml:space="preserve">21000.009905/2012-67</t>
  </si>
  <si>
    <t xml:space="preserve">Lufenurom Técnico MG2</t>
  </si>
  <si>
    <t xml:space="preserve">MG2</t>
  </si>
  <si>
    <t xml:space="preserve">21000.004210/2012-99</t>
  </si>
  <si>
    <t xml:space="preserve">Lufenurom Técnico Nortox BR</t>
  </si>
  <si>
    <t xml:space="preserve">21000.008432/2013-61</t>
  </si>
  <si>
    <t xml:space="preserve">Lufenurom Técnico Stockton</t>
  </si>
  <si>
    <t xml:space="preserve">21000.000655/2010-38</t>
  </si>
  <si>
    <t xml:space="preserve">Picloram Téc. Genbra</t>
  </si>
  <si>
    <t xml:space="preserve">21000.003768/2012-57</t>
  </si>
  <si>
    <t xml:space="preserve">Fluazinam Téc. Nufarm</t>
  </si>
  <si>
    <t xml:space="preserve">21000.006633/2011-62</t>
  </si>
  <si>
    <t xml:space="preserve">Paraquat Téc. CCAB II</t>
  </si>
  <si>
    <t xml:space="preserve">Paraquat</t>
  </si>
  <si>
    <t xml:space="preserve">21000.012136/2010-12</t>
  </si>
  <si>
    <t xml:space="preserve">Thidiazuron Técnico DVA</t>
  </si>
  <si>
    <t xml:space="preserve">21000.010937/2011-24</t>
  </si>
  <si>
    <t xml:space="preserve">Axane</t>
  </si>
  <si>
    <t xml:space="preserve">21000.006214/2014-73</t>
  </si>
  <si>
    <t xml:space="preserve">Atrazina Tpecnica Nortox BR</t>
  </si>
  <si>
    <t xml:space="preserve">21000.008957/2010-54</t>
  </si>
  <si>
    <t xml:space="preserve">Glifosato Nortox SL</t>
  </si>
  <si>
    <t xml:space="preserve">21000.004430/2014-84</t>
  </si>
  <si>
    <t xml:space="preserve">Glifosato Técnico FW</t>
  </si>
  <si>
    <t xml:space="preserve">21000.008486/2014-16</t>
  </si>
  <si>
    <t xml:space="preserve">Gemstar LC</t>
  </si>
  <si>
    <t xml:space="preserve">21000.000573/2015-06</t>
  </si>
  <si>
    <t xml:space="preserve">Mancozeb Técnico Nortox</t>
  </si>
  <si>
    <t xml:space="preserve">21000.007882/2014-18</t>
  </si>
  <si>
    <t xml:space="preserve">Metarhizium oligos</t>
  </si>
  <si>
    <t xml:space="preserve">21000.006302/2014-75</t>
  </si>
  <si>
    <t xml:space="preserve">Bioveria WP</t>
  </si>
  <si>
    <t xml:space="preserve">21000.010229/2013-55</t>
  </si>
  <si>
    <t xml:space="preserve">Metapremium</t>
  </si>
  <si>
    <t xml:space="preserve">Biopremium</t>
  </si>
  <si>
    <t xml:space="preserve">21000.002874/2015-66</t>
  </si>
  <si>
    <t xml:space="preserve">Cartucho VIT</t>
  </si>
  <si>
    <t xml:space="preserve">Grupo Vitae</t>
  </si>
  <si>
    <t xml:space="preserve">21000.000653/2010-49</t>
  </si>
  <si>
    <t xml:space="preserve">Picloram Técnico CCAB</t>
  </si>
  <si>
    <t xml:space="preserve">21000.005117/2011-11</t>
  </si>
  <si>
    <t xml:space="preserve">Tebuconazol 200 EC Agria</t>
  </si>
  <si>
    <t xml:space="preserve">Agria</t>
  </si>
  <si>
    <t xml:space="preserve">21000.015816/2011-79</t>
  </si>
  <si>
    <t xml:space="preserve">Glifosato CCAB BR</t>
  </si>
  <si>
    <t xml:space="preserve">21000.001628/2013-25</t>
  </si>
  <si>
    <t xml:space="preserve">Metarhizium Probio</t>
  </si>
  <si>
    <t xml:space="preserve">Probio</t>
  </si>
  <si>
    <t xml:space="preserve">21000.004453/2015-70</t>
  </si>
  <si>
    <t xml:space="preserve">Cotesia Marilia</t>
  </si>
  <si>
    <t xml:space="preserve">IM Criação</t>
  </si>
  <si>
    <t xml:space="preserve">21000.000651/2013-01</t>
  </si>
  <si>
    <t xml:space="preserve">Sulfentrazona Téc. Ouro Fino</t>
  </si>
  <si>
    <t xml:space="preserve">21000.005384/2014-31</t>
  </si>
  <si>
    <t xml:space="preserve">Bifentrin Técnico UPL</t>
  </si>
  <si>
    <t xml:space="preserve">21000.010981/2012-15</t>
  </si>
  <si>
    <t xml:space="preserve">Sulfentrazona Téc. UPL</t>
  </si>
  <si>
    <t xml:space="preserve">21000.003886/2013-46</t>
  </si>
  <si>
    <t xml:space="preserve">Sulfentrazona Téc. SUP</t>
  </si>
  <si>
    <t xml:space="preserve">21000.004383/2011-26</t>
  </si>
  <si>
    <t xml:space="preserve">Diflubenzuron Técnico BRA</t>
  </si>
  <si>
    <t xml:space="preserve">21000.002421/2015-30</t>
  </si>
  <si>
    <t xml:space="preserve">Bifentrin Técnico Proventis</t>
  </si>
  <si>
    <t xml:space="preserve">21000.011548/2011-16</t>
  </si>
  <si>
    <t xml:space="preserve">Bifentrin Técnico Rotam</t>
  </si>
  <si>
    <t xml:space="preserve">21000.006377/2012-94</t>
  </si>
  <si>
    <t xml:space="preserve">Fomesafem Técnico CCAB</t>
  </si>
  <si>
    <t xml:space="preserve">21000.011295/2010-08</t>
  </si>
  <si>
    <t xml:space="preserve">Fomesafem Técnico DVA</t>
  </si>
  <si>
    <t xml:space="preserve">21000.001828/2014-69</t>
  </si>
  <si>
    <t xml:space="preserve">Fomesafem Técnico Agristar</t>
  </si>
  <si>
    <t xml:space="preserve">21000.004846/2013-11</t>
  </si>
  <si>
    <t xml:space="preserve">Fomesafem Técnico Rotam</t>
  </si>
  <si>
    <t xml:space="preserve">21000.006253/2012-17</t>
  </si>
  <si>
    <t xml:space="preserve">Fomesafem Técnico Proventis</t>
  </si>
  <si>
    <t xml:space="preserve">S3 Serviços</t>
  </si>
  <si>
    <t xml:space="preserve">21000.007503/2012-28</t>
  </si>
  <si>
    <t xml:space="preserve">Fomesafem Técnico Nufarm</t>
  </si>
  <si>
    <t xml:space="preserve">21000.008506/2012-89</t>
  </si>
  <si>
    <t xml:space="preserve">Paraquate 200 SL Alamos</t>
  </si>
  <si>
    <t xml:space="preserve">21000.000421/2015-03</t>
  </si>
  <si>
    <t xml:space="preserve">Metomil Técnico YM</t>
  </si>
  <si>
    <t xml:space="preserve">21000.003824/2010-91</t>
  </si>
  <si>
    <t xml:space="preserve">2,4-D Ácido Técnico</t>
  </si>
  <si>
    <t xml:space="preserve">21000.006702/2009-13</t>
  </si>
  <si>
    <t xml:space="preserve">Glifosato Técnico CCAB II</t>
  </si>
  <si>
    <t xml:space="preserve">21000.006703/2009-68</t>
  </si>
  <si>
    <t xml:space="preserve">Glifosato Téncico Genbra</t>
  </si>
  <si>
    <t xml:space="preserve">21000.007390/2014-22</t>
  </si>
  <si>
    <t xml:space="preserve">Zethamaxx</t>
  </si>
  <si>
    <t xml:space="preserve">Imazapir; Flumioxazina</t>
  </si>
  <si>
    <t xml:space="preserve">21000.000129/2010-78</t>
  </si>
  <si>
    <t xml:space="preserve">Glifosato Técnico Alta</t>
  </si>
  <si>
    <t xml:space="preserve">21000.010111/2013-27</t>
  </si>
  <si>
    <t xml:space="preserve">Kaiso Sorbie BR</t>
  </si>
  <si>
    <t xml:space="preserve">21000.010421/2013-41</t>
  </si>
  <si>
    <t xml:space="preserve">GrandeBR</t>
  </si>
  <si>
    <t xml:space="preserve">21000.002215/2014-49</t>
  </si>
  <si>
    <t xml:space="preserve">Fipronil Nuf 250 FS</t>
  </si>
  <si>
    <t xml:space="preserve">21000.003942/2013-42</t>
  </si>
  <si>
    <t xml:space="preserve">Diafentiurom Técnico Genbra</t>
  </si>
  <si>
    <t xml:space="preserve">21000.009074/2013-12</t>
  </si>
  <si>
    <t xml:space="preserve">Diafentiurom Técnico Milênia</t>
  </si>
  <si>
    <t xml:space="preserve">21000.012501/2010-99</t>
  </si>
  <si>
    <t xml:space="preserve">Bispyribac Técnico DVA</t>
  </si>
  <si>
    <t xml:space="preserve">Bispyribac</t>
  </si>
  <si>
    <t xml:space="preserve">21000.015809/2011-77</t>
  </si>
  <si>
    <t xml:space="preserve">Versatilis XE</t>
  </si>
  <si>
    <t xml:space="preserve">21000.010648/2010-44</t>
  </si>
  <si>
    <t xml:space="preserve">Tiodicarbe Técnico Nufarm</t>
  </si>
  <si>
    <t xml:space="preserve">21000.006514/2011-18</t>
  </si>
  <si>
    <t xml:space="preserve">Tiodicarbe Técnico Nufarm BR</t>
  </si>
  <si>
    <t xml:space="preserve">21000.004786/2012-56</t>
  </si>
  <si>
    <t xml:space="preserve">Approve</t>
  </si>
  <si>
    <t xml:space="preserve">21000.006410/2012-86</t>
  </si>
  <si>
    <t xml:space="preserve">Tiodicarbe Técnico Proventis</t>
  </si>
  <si>
    <t xml:space="preserve">21000.007449/2013-00</t>
  </si>
  <si>
    <t xml:space="preserve">Tiodicarbe Técnico ME2</t>
  </si>
  <si>
    <t xml:space="preserve">21000.006144/2014-53</t>
  </si>
  <si>
    <t xml:space="preserve">Bifentrina Sapec Técnico II</t>
  </si>
  <si>
    <t xml:space="preserve">21000.010532/2013-58</t>
  </si>
  <si>
    <t xml:space="preserve">Sesitra</t>
  </si>
  <si>
    <t xml:space="preserve">21000.005852/2014-77</t>
  </si>
  <si>
    <t xml:space="preserve">Nemacontrol</t>
  </si>
  <si>
    <t xml:space="preserve">21000.000405/2014-21</t>
  </si>
  <si>
    <t xml:space="preserve">Tiodicarbe Técnico Sinochem</t>
  </si>
  <si>
    <t xml:space="preserve">21000.003038/2014-18</t>
  </si>
  <si>
    <t xml:space="preserve">Opala</t>
  </si>
  <si>
    <t xml:space="preserve">Laborartório Farropilha</t>
  </si>
  <si>
    <t xml:space="preserve">21000.004854/2015-20</t>
  </si>
  <si>
    <t xml:space="preserve">Cryptomip</t>
  </si>
  <si>
    <t xml:space="preserve">21000.007266/2014-67</t>
  </si>
  <si>
    <t xml:space="preserve">Metarhyd</t>
  </si>
  <si>
    <t xml:space="preserve">Tz Biotech</t>
  </si>
  <si>
    <t xml:space="preserve">21000.008537/2015-82</t>
  </si>
  <si>
    <t xml:space="preserve">Boveria-turbo</t>
  </si>
  <si>
    <t xml:space="preserve">21000.003716/2015-23</t>
  </si>
  <si>
    <t xml:space="preserve">Organic WP</t>
  </si>
  <si>
    <t xml:space="preserve">21000.014280/2011-74</t>
  </si>
  <si>
    <t xml:space="preserve">Firmeza</t>
  </si>
  <si>
    <t xml:space="preserve">21000.008538/2015-27</t>
  </si>
  <si>
    <t xml:space="preserve">Meta-turbo</t>
  </si>
  <si>
    <t xml:space="preserve">21000.005550/2014-07</t>
  </si>
  <si>
    <t xml:space="preserve">Borall Full</t>
  </si>
  <si>
    <t xml:space="preserve">21000.000593/2010-64</t>
  </si>
  <si>
    <t xml:space="preserve">Glifosato Técnico GH Helm</t>
  </si>
  <si>
    <t xml:space="preserve">21000.008624/2010-25</t>
  </si>
  <si>
    <t xml:space="preserve">Glifosato Técnico São Vicente</t>
  </si>
  <si>
    <t xml:space="preserve">São Vicente</t>
  </si>
  <si>
    <t xml:space="preserve">21000.001533/2011-40</t>
  </si>
  <si>
    <t xml:space="preserve">Glifosato Técnico GVC</t>
  </si>
  <si>
    <t xml:space="preserve">GVC</t>
  </si>
  <si>
    <t xml:space="preserve">21000.004393/2012-42</t>
  </si>
  <si>
    <t xml:space="preserve">Glifosato GH Técnico Prentis</t>
  </si>
  <si>
    <t xml:space="preserve">21000.009288/2010-38</t>
  </si>
  <si>
    <t xml:space="preserve">Imazapic Técnico DVA</t>
  </si>
  <si>
    <t xml:space="preserve">Imazapic</t>
  </si>
  <si>
    <t xml:space="preserve">21000.002547/2010-08</t>
  </si>
  <si>
    <t xml:space="preserve">XerifeBR</t>
  </si>
  <si>
    <t xml:space="preserve">Clomazone; Hezazinona</t>
  </si>
  <si>
    <t xml:space="preserve">21000.003334/2009-51</t>
  </si>
  <si>
    <t xml:space="preserve">Spot</t>
  </si>
  <si>
    <t xml:space="preserve">Dimoxistrobina; Boscalida</t>
  </si>
  <si>
    <t xml:space="preserve">21000.001437/2011-00</t>
  </si>
  <si>
    <t xml:space="preserve">Chiave 215 SL</t>
  </si>
  <si>
    <t xml:space="preserve">21000.010964/2012-88</t>
  </si>
  <si>
    <t xml:space="preserve">Glifosato Técnico Dow Agroscience III</t>
  </si>
  <si>
    <t xml:space="preserve">21000.002451/2013-84</t>
  </si>
  <si>
    <t xml:space="preserve">Tiodicarbe Técnico CCAB</t>
  </si>
  <si>
    <t xml:space="preserve">21000.002458/2013-04</t>
  </si>
  <si>
    <t xml:space="preserve">Tiodicarbe Técnico Genbra</t>
  </si>
  <si>
    <t xml:space="preserve">21000.003803/2013-19</t>
  </si>
  <si>
    <t xml:space="preserve">Trinexapac Técnico CCAB</t>
  </si>
  <si>
    <t xml:space="preserve">21000.008743/2013-21</t>
  </si>
  <si>
    <t xml:space="preserve">Trinexapaque-etílico Técnico ME2</t>
  </si>
  <si>
    <t xml:space="preserve">21000.001111/2013-36</t>
  </si>
  <si>
    <t xml:space="preserve">Trinexapac Técnico Proventis</t>
  </si>
  <si>
    <t xml:space="preserve">21000.008817/2014-18</t>
  </si>
  <si>
    <t xml:space="preserve">Diafentiurm Técnico Nufarm</t>
  </si>
  <si>
    <t xml:space="preserve">21000.006666/2014-55</t>
  </si>
  <si>
    <t xml:space="preserve">Glifosato Técnico GH BRA</t>
  </si>
  <si>
    <t xml:space="preserve">21000.006345/2014-04</t>
  </si>
  <si>
    <t xml:space="preserve">Glifosato Técnico GHA</t>
  </si>
  <si>
    <t xml:space="preserve">21000.008417/2015-85</t>
  </si>
  <si>
    <t xml:space="preserve">Pyriproxyfen Técnico Sino-agri</t>
  </si>
  <si>
    <t xml:space="preserve">21000.008440/2014-99</t>
  </si>
  <si>
    <t xml:space="preserve">Chiave Sup</t>
  </si>
  <si>
    <t xml:space="preserve">21000.009034/2008-03</t>
  </si>
  <si>
    <t xml:space="preserve">Banzai</t>
  </si>
  <si>
    <t xml:space="preserve">21000.007871/2011-95</t>
  </si>
  <si>
    <t xml:space="preserve">Herold SC</t>
  </si>
  <si>
    <t xml:space="preserve">21000.008741/2015-01</t>
  </si>
  <si>
    <t xml:space="preserve">21000.008742/2015-48</t>
  </si>
  <si>
    <t xml:space="preserve">21000.001266/2011-19</t>
  </si>
  <si>
    <t xml:space="preserve">Nicossulfuron Tradecorp 40 OD</t>
  </si>
  <si>
    <t xml:space="preserve">21000.000790/2013-26</t>
  </si>
  <si>
    <t xml:space="preserve">Glifosato Técnico Alta II</t>
  </si>
  <si>
    <t xml:space="preserve">21000.007720/2010-56</t>
  </si>
  <si>
    <t xml:space="preserve">Predom 800 WG</t>
  </si>
  <si>
    <t xml:space="preserve">21000.007761/2008-28</t>
  </si>
  <si>
    <t xml:space="preserve">Mirador 250 SC</t>
  </si>
  <si>
    <t xml:space="preserve">21000.005764/2010-41</t>
  </si>
  <si>
    <t xml:space="preserve">Difcor 250 EC</t>
  </si>
  <si>
    <t xml:space="preserve">Cross Link</t>
  </si>
  <si>
    <t xml:space="preserve">21000.008970/2010-11</t>
  </si>
  <si>
    <t xml:space="preserve">AUG 122</t>
  </si>
  <si>
    <t xml:space="preserve">21000.006546/2012-96</t>
  </si>
  <si>
    <t xml:space="preserve">Lambda-cyhalothrin Técnico Syn</t>
  </si>
  <si>
    <t xml:space="preserve">21000.001723/2011-67</t>
  </si>
  <si>
    <t xml:space="preserve">Azoxistrobin Técnico Sinon</t>
  </si>
  <si>
    <t xml:space="preserve">21000.003926/2013-50</t>
  </si>
  <si>
    <t xml:space="preserve">Diafentiurom Técnico CCAB</t>
  </si>
  <si>
    <t xml:space="preserve">21000.007035/2013-72</t>
  </si>
  <si>
    <t xml:space="preserve">Atrazina Técnico ZS - Cropchem</t>
  </si>
  <si>
    <t xml:space="preserve">21000.008772/2013-92</t>
  </si>
  <si>
    <t xml:space="preserve">Atrazina Técnico ZS</t>
  </si>
  <si>
    <t xml:space="preserve">21000.010501/2013-05</t>
  </si>
  <si>
    <t xml:space="preserve">Versatilis</t>
  </si>
  <si>
    <t xml:space="preserve">21000.005142/2010-13</t>
  </si>
  <si>
    <t xml:space="preserve">Dublon SC</t>
  </si>
  <si>
    <t xml:space="preserve">21000.007186/2012-40</t>
  </si>
  <si>
    <t xml:space="preserve">Mesotrione Técnico Nortox</t>
  </si>
  <si>
    <t xml:space="preserve">21000.006563/2013-12</t>
  </si>
  <si>
    <t xml:space="preserve">Lambda-Cialotrina Técnico GAT</t>
  </si>
  <si>
    <t xml:space="preserve">Vitalis</t>
  </si>
  <si>
    <t xml:space="preserve">21000.010055/2013-21</t>
  </si>
  <si>
    <t xml:space="preserve">Lambda-Cialotrina Técnica Nufarm BR</t>
  </si>
  <si>
    <t xml:space="preserve">21000.006999/2015-65</t>
  </si>
  <si>
    <t xml:space="preserve">Ecometa Power</t>
  </si>
  <si>
    <t xml:space="preserve">21000.007696/2015-60</t>
  </si>
  <si>
    <t xml:space="preserve">Cotésia Flavipes Bioflora</t>
  </si>
  <si>
    <t xml:space="preserve">Bioflora</t>
  </si>
  <si>
    <t xml:space="preserve">21000.004150/2014-76</t>
  </si>
  <si>
    <t xml:space="preserve">Pyriproxyfen Técnico Rotam</t>
  </si>
  <si>
    <t xml:space="preserve">21000.001404/2014-02</t>
  </si>
  <si>
    <t xml:space="preserve">Lambda Cialotrina Técnico BR</t>
  </si>
  <si>
    <t xml:space="preserve">21000.001170/2014-95</t>
  </si>
  <si>
    <t xml:space="preserve">Atrazina Técnio BRA</t>
  </si>
  <si>
    <t xml:space="preserve">21000.007218/2013-98</t>
  </si>
  <si>
    <t xml:space="preserve">Mesotrione Técnico Rotam</t>
  </si>
  <si>
    <t xml:space="preserve">21000.007671/2013-02</t>
  </si>
  <si>
    <t xml:space="preserve">Mesotriona Técnico FT-Cropchem</t>
  </si>
  <si>
    <t xml:space="preserve">21000.010032/2012-35</t>
  </si>
  <si>
    <t xml:space="preserve">Mesotriona Técnico CCAB</t>
  </si>
  <si>
    <t xml:space="preserve">21000.004637/2014-59</t>
  </si>
  <si>
    <t xml:space="preserve">Mesotriona Técnico Milênia</t>
  </si>
  <si>
    <t xml:space="preserve">21000.001556/2011-94</t>
  </si>
  <si>
    <t xml:space="preserve">Dicamax</t>
  </si>
  <si>
    <t xml:space="preserve">21000.006450/2014-90</t>
  </si>
  <si>
    <t xml:space="preserve">Diafentiurom Técnico Proventis</t>
  </si>
  <si>
    <t xml:space="preserve">21000.006004/2011-32</t>
  </si>
  <si>
    <t xml:space="preserve">Metribuzim Tradecorp Técnico</t>
  </si>
  <si>
    <t xml:space="preserve">21000.003562/2012-27</t>
  </si>
  <si>
    <t xml:space="preserve">Azoxistrobina Tradecorp Técnico</t>
  </si>
  <si>
    <t xml:space="preserve">21000.009378/2012-91</t>
  </si>
  <si>
    <t xml:space="preserve">Piriproxifem Tradecorp Técnico</t>
  </si>
  <si>
    <t xml:space="preserve">21000.007000/2015-03</t>
  </si>
  <si>
    <t xml:space="preserve">Ecobass</t>
  </si>
  <si>
    <t xml:space="preserve">21000.006117/2014-81</t>
  </si>
  <si>
    <t xml:space="preserve">Azoxistrobina 50 + Mancozebe 700 WG UPL BR</t>
  </si>
  <si>
    <t xml:space="preserve">Azoxistrobina; Mancozebe</t>
  </si>
  <si>
    <t xml:space="preserve">21000.001162/2013-68</t>
  </si>
  <si>
    <t xml:space="preserve">Iprodiona Tradecorp Técnico</t>
  </si>
  <si>
    <t xml:space="preserve">21000.008466/2014-37</t>
  </si>
  <si>
    <t xml:space="preserve">Fomesafen Técnico Cheminova</t>
  </si>
  <si>
    <t xml:space="preserve">21000.005620/2009-51</t>
  </si>
  <si>
    <t xml:space="preserve">Trinexapac Técnico Cheminova</t>
  </si>
  <si>
    <t xml:space="preserve">21000.001113/2013-25</t>
  </si>
  <si>
    <t xml:space="preserve">Glifosato G Técnico Agroimport</t>
  </si>
  <si>
    <t xml:space="preserve">21000.003090/2012-11</t>
  </si>
  <si>
    <t xml:space="preserve">2,4-D Pré Mistura Dow Agrosciences</t>
  </si>
  <si>
    <t xml:space="preserve">21000.005707/2015-77</t>
  </si>
  <si>
    <t xml:space="preserve">Patrol SL</t>
  </si>
  <si>
    <t xml:space="preserve">Gliufosinato</t>
  </si>
  <si>
    <t xml:space="preserve">21000.004229/1996-08</t>
  </si>
  <si>
    <t xml:space="preserve">Diclosulam Técnico</t>
  </si>
  <si>
    <t xml:space="preserve">21000.010533/2013-01</t>
  </si>
  <si>
    <t xml:space="preserve">Picoxistrobina Técnico Milênia</t>
  </si>
  <si>
    <t xml:space="preserve">21000.008703/2009-01</t>
  </si>
  <si>
    <t xml:space="preserve">Glifosato Técnico Mey</t>
  </si>
  <si>
    <t xml:space="preserve">21000.001729/2010-53</t>
  </si>
  <si>
    <t xml:space="preserve">Quizalofop-P-Ethyl Técnico August</t>
  </si>
  <si>
    <t xml:space="preserve">Quizalofop-p-etil</t>
  </si>
  <si>
    <t xml:space="preserve">21000.006708/2009-91</t>
  </si>
  <si>
    <t xml:space="preserve">Glifosato Técnico Chemtura</t>
  </si>
  <si>
    <t xml:space="preserve">21000.007368/2010-59</t>
  </si>
  <si>
    <t xml:space="preserve">Glifosato Técnico Chemtura II</t>
  </si>
  <si>
    <t xml:space="preserve">21000.006974/2014-81</t>
  </si>
  <si>
    <t xml:space="preserve">Diplomata K</t>
  </si>
  <si>
    <t xml:space="preserve">Difenoconazole Técnico August</t>
  </si>
  <si>
    <t xml:space="preserve">21000.001819/2015-59</t>
  </si>
  <si>
    <t xml:space="preserve">Vessarya</t>
  </si>
  <si>
    <t xml:space="preserve">Picoxistrobina; Benzovindiflupir</t>
  </si>
  <si>
    <t xml:space="preserve">21000.003918/2010-61</t>
  </si>
  <si>
    <t xml:space="preserve">Clorpirifós Técnico Nortox</t>
  </si>
  <si>
    <t xml:space="preserve">21000.005650/2010-00</t>
  </si>
  <si>
    <t xml:space="preserve">Paraquate Técnico Agroimport</t>
  </si>
  <si>
    <t xml:space="preserve">21000.011415/2010-69</t>
  </si>
  <si>
    <t xml:space="preserve">Paraquat LR Técnico Helm</t>
  </si>
  <si>
    <t xml:space="preserve">21000.009053/2012-16</t>
  </si>
  <si>
    <t xml:space="preserve">Paraquate Técnico Red Surcos</t>
  </si>
  <si>
    <t xml:space="preserve">21000.004205/2013-67</t>
  </si>
  <si>
    <t xml:space="preserve">Docloreto de Paraquate Técnico Alta II</t>
  </si>
  <si>
    <t xml:space="preserve">21000.001228/2014-09</t>
  </si>
  <si>
    <t xml:space="preserve">Clorpirifós Técnico EL - Cropchem</t>
  </si>
  <si>
    <t xml:space="preserve">21000.000140/2013-81</t>
  </si>
  <si>
    <t xml:space="preserve">Paraquate Técnico JL BRA</t>
  </si>
  <si>
    <t xml:space="preserve">21000.005733/2011-71</t>
  </si>
  <si>
    <t xml:space="preserve">Clorpirifós Tradecorp 480 EC</t>
  </si>
  <si>
    <t xml:space="preserve">21000.010609/2010-47</t>
  </si>
  <si>
    <t xml:space="preserve">Zura 806 SL</t>
  </si>
  <si>
    <t xml:space="preserve">21000.008893/2014-15</t>
  </si>
  <si>
    <t xml:space="preserve">BrutoBR</t>
  </si>
  <si>
    <t xml:space="preserve">21000.004216/2011-85</t>
  </si>
  <si>
    <t xml:space="preserve">Indaziflam &amp; Metribuzim</t>
  </si>
  <si>
    <t xml:space="preserve">Indaziflam; Metribuzim</t>
  </si>
  <si>
    <t xml:space="preserve">21000.007939/2013-06</t>
  </si>
  <si>
    <t xml:space="preserve">Gamation</t>
  </si>
  <si>
    <t xml:space="preserve">Malationa; Gama-Cialotrina</t>
  </si>
  <si>
    <t xml:space="preserve">21000.005659/2011-93</t>
  </si>
  <si>
    <t xml:space="preserve">Hercules 806 SL</t>
  </si>
  <si>
    <t xml:space="preserve">21000.005839/2011-75</t>
  </si>
  <si>
    <t xml:space="preserve">Gladiador 806 SL</t>
  </si>
  <si>
    <t xml:space="preserve">21000.008306/2013-15</t>
  </si>
  <si>
    <t xml:space="preserve">Gravun</t>
  </si>
  <si>
    <t xml:space="preserve">21000.006791/2013-84</t>
  </si>
  <si>
    <t xml:space="preserve">Paraquat Técnico LA</t>
  </si>
  <si>
    <t xml:space="preserve">21000.009676/2010-19</t>
  </si>
  <si>
    <t xml:space="preserve">AUG 117</t>
  </si>
  <si>
    <t xml:space="preserve">Tebuconazol; Propiconazol</t>
  </si>
  <si>
    <t xml:space="preserve">21000.005887/2010-82</t>
  </si>
  <si>
    <t xml:space="preserve">Robigon EC</t>
  </si>
  <si>
    <t xml:space="preserve">21000.001118/2011-96</t>
  </si>
  <si>
    <t xml:space="preserve">Haloxifop Alta 1089 EC</t>
  </si>
  <si>
    <t xml:space="preserve">Haloxifop-p-Metílico</t>
  </si>
  <si>
    <t xml:space="preserve">21000.002797/2011-11</t>
  </si>
  <si>
    <t xml:space="preserve">Pilarico</t>
  </si>
  <si>
    <t xml:space="preserve">21000.008122/2011-85</t>
  </si>
  <si>
    <t xml:space="preserve">Amaiz</t>
  </si>
  <si>
    <t xml:space="preserve">21000.005098/2012-11</t>
  </si>
  <si>
    <t xml:space="preserve">Timorex Gold</t>
  </si>
  <si>
    <r>
      <rPr>
        <sz val="11"/>
        <color rgb="FF000066"/>
        <rFont val="Arial"/>
        <family val="2"/>
        <charset val="1"/>
      </rPr>
      <t xml:space="preserve">Extrato de </t>
    </r>
    <r>
      <rPr>
        <i val="true"/>
        <sz val="10"/>
        <color rgb="FF000066"/>
        <rFont val="Arial"/>
        <family val="2"/>
        <charset val="1"/>
      </rPr>
      <t xml:space="preserve">Mameluca alternifolia</t>
    </r>
  </si>
  <si>
    <t xml:space="preserve">21000.008481/2014-85</t>
  </si>
  <si>
    <t xml:space="preserve">Best</t>
  </si>
  <si>
    <t xml:space="preserve">21000.008471/2014-40</t>
  </si>
  <si>
    <t xml:space="preserve">Costar</t>
  </si>
  <si>
    <t xml:space="preserve">21000.007265/2014-12</t>
  </si>
  <si>
    <t xml:space="preserve">Boveryd</t>
  </si>
  <si>
    <t xml:space="preserve">21000.008795/2014-88</t>
  </si>
  <si>
    <t xml:space="preserve">Stimucontrol</t>
  </si>
  <si>
    <t xml:space="preserve">21000.008831/2011-61</t>
  </si>
  <si>
    <t xml:space="preserve">AUG 131</t>
  </si>
  <si>
    <t xml:space="preserve">21000.008864/2014-53</t>
  </si>
  <si>
    <t xml:space="preserve">Paraquat Técnico Stockton</t>
  </si>
  <si>
    <t xml:space="preserve">21000.008300/2014-11</t>
  </si>
  <si>
    <t xml:space="preserve">Votivo</t>
  </si>
  <si>
    <t xml:space="preserve">21000.007596/2013-71</t>
  </si>
  <si>
    <t xml:space="preserve">Cletodim Técnico CCAB</t>
  </si>
  <si>
    <t xml:space="preserve">21000.002291/2014-54</t>
  </si>
  <si>
    <t xml:space="preserve">Atrazina RW 500 SC</t>
  </si>
  <si>
    <t xml:space="preserve">21000.007607/2013-13</t>
  </si>
  <si>
    <t xml:space="preserve">Cletodim Técnico Genbra</t>
  </si>
  <si>
    <t xml:space="preserve">21000.008696/2013-15</t>
  </si>
  <si>
    <t xml:space="preserve">Cletodim Técnico UPL</t>
  </si>
  <si>
    <t xml:space="preserve">21000.007187/2013-75</t>
  </si>
  <si>
    <t xml:space="preserve">Tiofanato-metílico Técnico ME2</t>
  </si>
  <si>
    <t xml:space="preserve">21000.009056/2011-61</t>
  </si>
  <si>
    <t xml:space="preserve">Azoxistrobin Técnico Proventis</t>
  </si>
  <si>
    <t xml:space="preserve">21000.011841/2009-69</t>
  </si>
  <si>
    <t xml:space="preserve">Picloram Técnico Ouro Fino</t>
  </si>
  <si>
    <t xml:space="preserve">21000.009899/2012-48</t>
  </si>
  <si>
    <t xml:space="preserve">Glifosato Técnico Biorisk</t>
  </si>
  <si>
    <t xml:space="preserve">21000.003458/2013-13</t>
  </si>
  <si>
    <t xml:space="preserve">Clorotalonil Técnico Ouro Fino</t>
  </si>
  <si>
    <t xml:space="preserve">21000.003461/2013-37</t>
  </si>
  <si>
    <t xml:space="preserve">Cletodim Técnico Nortox</t>
  </si>
  <si>
    <t xml:space="preserve">21000.004705/2014-80</t>
  </si>
  <si>
    <t xml:space="preserve">Tiofanato-metílico Sapec Técnico</t>
  </si>
  <si>
    <t xml:space="preserve">21000.008640/2014-41</t>
  </si>
  <si>
    <t xml:space="preserve">Clorotalonil Técnico OF</t>
  </si>
  <si>
    <t xml:space="preserve">21000.007753/2014-20</t>
  </si>
  <si>
    <t xml:space="preserve">Clorotalonil Técnico Agrisor</t>
  </si>
  <si>
    <t xml:space="preserve">21000.011674/2009-56</t>
  </si>
  <si>
    <t xml:space="preserve">Glyphosh Técnico</t>
  </si>
  <si>
    <t xml:space="preserve">21000.002358/2015-31</t>
  </si>
  <si>
    <t xml:space="preserve">Chlorothalonil Técnico Sino-agri</t>
  </si>
  <si>
    <t xml:space="preserve">21000.004606/2015-89</t>
  </si>
  <si>
    <t xml:space="preserve">Chlorothalonil Técnico Oxon</t>
  </si>
  <si>
    <t xml:space="preserve">21000.008305/2015-24</t>
  </si>
  <si>
    <t xml:space="preserve">Clorotalonil Técnico Adama BR</t>
  </si>
  <si>
    <t xml:space="preserve">21000.008567/2015-99</t>
  </si>
  <si>
    <t xml:space="preserve">Chlorotalonil Técnico RTM</t>
  </si>
  <si>
    <t xml:space="preserve">21000.024318/2016-21</t>
  </si>
  <si>
    <t xml:space="preserve">Clorotalonil Técnico ALS</t>
  </si>
  <si>
    <t xml:space="preserve">21000.030849/2016-53</t>
  </si>
  <si>
    <t xml:space="preserve">Paraquate Técnico Adama BR</t>
  </si>
  <si>
    <t xml:space="preserve">21000.029835/2016-97</t>
  </si>
  <si>
    <t xml:space="preserve">Glifosato Técnico Adama BR</t>
  </si>
  <si>
    <t xml:space="preserve">21000.001808/2015-79</t>
  </si>
  <si>
    <t xml:space="preserve">Privilege</t>
  </si>
  <si>
    <t xml:space="preserve">21000.001654/2008-96</t>
  </si>
  <si>
    <t xml:space="preserve">Clothianidin Técnico SCB</t>
  </si>
  <si>
    <t xml:space="preserve">21000.012859/2010-11</t>
  </si>
  <si>
    <t xml:space="preserve">Dessicash 200 SL</t>
  </si>
  <si>
    <t xml:space="preserve">21000.007846/2011-10</t>
  </si>
  <si>
    <t xml:space="preserve">Azoxistrobin Técnico CCAB</t>
  </si>
  <si>
    <t xml:space="preserve">21000.010052/2013-97</t>
  </si>
  <si>
    <t xml:space="preserve">Azoxistrobina Técna Agristar</t>
  </si>
  <si>
    <t xml:space="preserve">21000.015569/2011-19</t>
  </si>
  <si>
    <t xml:space="preserve">Clorotalonil Técnico CN</t>
  </si>
  <si>
    <t xml:space="preserve">21000.003885/2013-00</t>
  </si>
  <si>
    <t xml:space="preserve">Tiofanato Técnico CCAB</t>
  </si>
  <si>
    <t xml:space="preserve">21000.003273/2012-28</t>
  </si>
  <si>
    <t xml:space="preserve">Desali</t>
  </si>
  <si>
    <t xml:space="preserve">Azoxistrbina; Benzovindiflupir</t>
  </si>
  <si>
    <t xml:space="preserve">21000.003638/2014-86</t>
  </si>
  <si>
    <t xml:space="preserve">Fipronil Técnico CSG</t>
  </si>
  <si>
    <t xml:space="preserve">21000.005990/2014-56</t>
  </si>
  <si>
    <t xml:space="preserve">Fipronil Técnico Adama BR</t>
  </si>
  <si>
    <t xml:space="preserve">21000.003146/2014-91</t>
  </si>
  <si>
    <t xml:space="preserve">Fipronil Técnico Adama</t>
  </si>
  <si>
    <t xml:space="preserve">21000.001412/2015-21</t>
  </si>
  <si>
    <t xml:space="preserve">Dicloreto de Paraquate Técnico NRS-Cropchem</t>
  </si>
  <si>
    <t xml:space="preserve">21000.006904/2015-11</t>
  </si>
  <si>
    <t xml:space="preserve">Clethodim Técnico Oxon</t>
  </si>
  <si>
    <t xml:space="preserve">21000.009227/2012-32</t>
  </si>
  <si>
    <t xml:space="preserve">Azoxistrobina Técnica ME2</t>
  </si>
  <si>
    <t xml:space="preserve">21000.006208/2013-35</t>
  </si>
  <si>
    <t xml:space="preserve">Fipronil Técnico YNG</t>
  </si>
  <si>
    <t xml:space="preserve">21000.002406/2015-91</t>
  </si>
  <si>
    <t xml:space="preserve">Clorotalonil Técnico UPL BR</t>
  </si>
  <si>
    <t xml:space="preserve">21000.009068/2014-38</t>
  </si>
  <si>
    <t xml:space="preserve">Ecoshot</t>
  </si>
  <si>
    <t xml:space="preserve">21000.006676/2014-91</t>
  </si>
  <si>
    <t xml:space="preserve">SeveroBR</t>
  </si>
  <si>
    <t xml:space="preserve">21000.007968/2015-21</t>
  </si>
  <si>
    <t xml:space="preserve">Biobac</t>
  </si>
  <si>
    <t xml:space="preserve">21000.010245/2013-48</t>
  </si>
  <si>
    <t xml:space="preserve">Tiofanato-metílico Técnico Stockton</t>
  </si>
  <si>
    <t xml:space="preserve">21000.006388/2010-11</t>
  </si>
  <si>
    <t xml:space="preserve">Paraquate Técnico De Sangosse</t>
  </si>
  <si>
    <t xml:space="preserve">21000.004188/2014-49</t>
  </si>
  <si>
    <t xml:space="preserve">Tiofanato-metílico Técnico Proventis</t>
  </si>
  <si>
    <t xml:space="preserve">21000.001180/2013-40</t>
  </si>
  <si>
    <t xml:space="preserve">Tiofanato-metílico Técnico Cropchem</t>
  </si>
  <si>
    <t xml:space="preserve">21000.010051/2013-42</t>
  </si>
  <si>
    <t xml:space="preserve">Tiofanato-metílico Técnico Agristar</t>
  </si>
  <si>
    <t xml:space="preserve">21000.008200/2013-11</t>
  </si>
  <si>
    <t xml:space="preserve">Cyproconazole Técnico UPL</t>
  </si>
  <si>
    <t xml:space="preserve">Ciproconazole</t>
  </si>
  <si>
    <t xml:space="preserve">21000.002589/2015-45</t>
  </si>
  <si>
    <t xml:space="preserve">Paraquat Técnico JL Prentiss</t>
  </si>
  <si>
    <t xml:space="preserve">21000.027341/2016-78</t>
  </si>
  <si>
    <t xml:space="preserve">Iprodione Técnico Nortox</t>
  </si>
  <si>
    <t xml:space="preserve">21000.008309/2016-93</t>
  </si>
  <si>
    <t xml:space="preserve">Auin</t>
  </si>
  <si>
    <t xml:space="preserve">21000.002751/2010-11</t>
  </si>
  <si>
    <t xml:space="preserve">2,4-D DMA 806 Rainbow</t>
  </si>
  <si>
    <t xml:space="preserve">Ano de 2015</t>
  </si>
  <si>
    <t xml:space="preserve">21000.006050/2012-12</t>
  </si>
  <si>
    <t xml:space="preserve">Dinaxine</t>
  </si>
  <si>
    <t xml:space="preserve">21000.006051/2012-67</t>
  </si>
  <si>
    <t xml:space="preserve">Herbina</t>
  </si>
  <si>
    <t xml:space="preserve">21000.011672/2008-86</t>
  </si>
  <si>
    <t xml:space="preserve">Fluazifop Sinon</t>
  </si>
  <si>
    <t xml:space="preserve">Fluazifop-p-butilico</t>
  </si>
  <si>
    <t xml:space="preserve">21000.008258/2007-17</t>
  </si>
  <si>
    <t xml:space="preserve">Graolin 500 EC</t>
  </si>
  <si>
    <t xml:space="preserve">Pirimifós-Metílico</t>
  </si>
  <si>
    <t xml:space="preserve">21000.002147/2012-56</t>
  </si>
  <si>
    <t xml:space="preserve">Glider 720 SC</t>
  </si>
  <si>
    <t xml:space="preserve">21000.004364/2009-85</t>
  </si>
  <si>
    <t xml:space="preserve">Nadran</t>
  </si>
  <si>
    <t xml:space="preserve">21000.007283/2013-13</t>
  </si>
  <si>
    <t xml:space="preserve">Metabio</t>
  </si>
  <si>
    <t xml:space="preserve">Biofungi</t>
  </si>
  <si>
    <t xml:space="preserve">21000.002917/2014-22</t>
  </si>
  <si>
    <t xml:space="preserve">Metarplan</t>
  </si>
  <si>
    <t xml:space="preserve">Asplan</t>
  </si>
  <si>
    <t xml:space="preserve">21000.002918/2014-77</t>
  </si>
  <si>
    <t xml:space="preserve">Cotesiaasplan</t>
  </si>
  <si>
    <t xml:space="preserve">21000.007662/2012-22</t>
  </si>
  <si>
    <t xml:space="preserve">Haloxyfop-P-Methyl Técnico Volcano</t>
  </si>
  <si>
    <t xml:space="preserve">Haloxyfop-P-Methyl</t>
  </si>
  <si>
    <t xml:space="preserve">21000.003565/2010-07</t>
  </si>
  <si>
    <t xml:space="preserve">2,4-D DMA 806 RN</t>
  </si>
  <si>
    <t xml:space="preserve">21000.008456/2011-59</t>
  </si>
  <si>
    <t xml:space="preserve">Carbendazim Técnico Aga</t>
  </si>
  <si>
    <t xml:space="preserve">21000.014986/2006-79</t>
  </si>
  <si>
    <t xml:space="preserve">Avatar</t>
  </si>
  <si>
    <t xml:space="preserve">21000.002414/2010-23</t>
  </si>
  <si>
    <t xml:space="preserve">Tebutiurom Técnico CCAB</t>
  </si>
  <si>
    <t xml:space="preserve">21000.009868/2010-25</t>
  </si>
  <si>
    <t xml:space="preserve">Tebutiurom Técnico Nufarm</t>
  </si>
  <si>
    <t xml:space="preserve">21000.002744/2012-81</t>
  </si>
  <si>
    <t xml:space="preserve">Tebutiurom Técnico Nufarm GR</t>
  </si>
  <si>
    <t xml:space="preserve">21000.002413/2010-89</t>
  </si>
  <si>
    <t xml:space="preserve">Tebutiurom Técnico Genbra</t>
  </si>
  <si>
    <t xml:space="preserve">21000.005127/2009-31</t>
  </si>
  <si>
    <t xml:space="preserve">Glifosato Técnico</t>
  </si>
  <si>
    <t xml:space="preserve">21000.002681/2009-67</t>
  </si>
  <si>
    <t xml:space="preserve">Prestige</t>
  </si>
  <si>
    <t xml:space="preserve">21000.006989/2010-15</t>
  </si>
  <si>
    <t xml:space="preserve">Imidacloprido Técnico Alta</t>
  </si>
  <si>
    <t xml:space="preserve">21000.008006/2013-28</t>
  </si>
  <si>
    <t xml:space="preserve">Tricho-Galloi Bug</t>
  </si>
  <si>
    <t xml:space="preserve">21000.008007/2013-72</t>
  </si>
  <si>
    <t xml:space="preserve">Tricho-Pre Bug</t>
  </si>
  <si>
    <t xml:space="preserve">21000.008987/2010-61</t>
  </si>
  <si>
    <t xml:space="preserve">Rancona 450 FS</t>
  </si>
  <si>
    <t xml:space="preserve">Ipconazole</t>
  </si>
  <si>
    <t xml:space="preserve">21000.011807/2009-94</t>
  </si>
  <si>
    <t xml:space="preserve">Arboro</t>
  </si>
  <si>
    <t xml:space="preserve">21000.001999/2013-15</t>
  </si>
  <si>
    <t xml:space="preserve">Contrap</t>
  </si>
  <si>
    <t xml:space="preserve">Serricornim</t>
  </si>
  <si>
    <t xml:space="preserve">Ioto</t>
  </si>
  <si>
    <t xml:space="preserve">21000.006070/2007-26</t>
  </si>
  <si>
    <t xml:space="preserve">Chemtura Ipconazole Thiram 10/350 FS</t>
  </si>
  <si>
    <t xml:space="preserve">Ipconazole; Tiram</t>
  </si>
  <si>
    <t xml:space="preserve">21000.001290/2010-69</t>
  </si>
  <si>
    <t xml:space="preserve">Fulfill</t>
  </si>
  <si>
    <t xml:space="preserve">21000.010082/2012-12</t>
  </si>
  <si>
    <t xml:space="preserve">Thiodicarb 800 WG UPL</t>
  </si>
  <si>
    <t xml:space="preserve">21000.010715/2009-97</t>
  </si>
  <si>
    <t xml:space="preserve">Tebuconazole Técnico Agroimport</t>
  </si>
  <si>
    <t xml:space="preserve">21000.008367/2010-21</t>
  </si>
  <si>
    <t xml:space="preserve">Permetrina Técnico DVA BR</t>
  </si>
  <si>
    <t xml:space="preserve">21000.010917/2009-39</t>
  </si>
  <si>
    <t xml:space="preserve">Imidacloprid Técnico August</t>
  </si>
  <si>
    <t xml:space="preserve">21000.005722/2014-34</t>
  </si>
  <si>
    <t xml:space="preserve">Azoxistrobina 50 + Mancozebe 700 WG UPL</t>
  </si>
  <si>
    <t xml:space="preserve">21000.010130/2008-96</t>
  </si>
  <si>
    <t xml:space="preserve">Triclopir Bee Técnico Milenia</t>
  </si>
  <si>
    <t xml:space="preserve">21000.004630/2011-94</t>
  </si>
  <si>
    <t xml:space="preserve">Dessicash</t>
  </si>
  <si>
    <t xml:space="preserve">21000.007978/2010-52</t>
  </si>
  <si>
    <t xml:space="preserve">Fluroxipir-Meptílico Técnico Nufarm</t>
  </si>
  <si>
    <t xml:space="preserve">21000.007681/2009-53</t>
  </si>
  <si>
    <t xml:space="preserve">Cipermetrina Tagros 250 EC</t>
  </si>
  <si>
    <t xml:space="preserve">21000.011019/2010-31</t>
  </si>
  <si>
    <t xml:space="preserve">Arreio Pasto</t>
  </si>
  <si>
    <t xml:space="preserve">21000.008107/2010-56</t>
  </si>
  <si>
    <t xml:space="preserve">Cyper Copa 250 EC</t>
  </si>
  <si>
    <t xml:space="preserve">21000.013399/2011-20</t>
  </si>
  <si>
    <t xml:space="preserve">Cipermetrina 250 EC DVA</t>
  </si>
  <si>
    <t xml:space="preserve">21000.000720/2009-91</t>
  </si>
  <si>
    <t xml:space="preserve">Sombrero</t>
  </si>
  <si>
    <t xml:space="preserve">21000.012235/2010-02</t>
  </si>
  <si>
    <t xml:space="preserve">2,4-D Técnico Biorisk</t>
  </si>
  <si>
    <t xml:space="preserve">21000.004287/2012-69</t>
  </si>
  <si>
    <t xml:space="preserve">2,4-D DM Técnico Helm</t>
  </si>
  <si>
    <t xml:space="preserve">21000.000519/2009-12</t>
  </si>
  <si>
    <t xml:space="preserve">Pingbr</t>
  </si>
  <si>
    <t xml:space="preserve">21000.007985/2010-54</t>
  </si>
  <si>
    <t xml:space="preserve">Poderoso</t>
  </si>
  <si>
    <t xml:space="preserve">Amicarbazone; Tebutiurom</t>
  </si>
  <si>
    <t xml:space="preserve">21000.008081/2010-46</t>
  </si>
  <si>
    <t xml:space="preserve">Predileto</t>
  </si>
  <si>
    <t xml:space="preserve">21000.008578/2009-21</t>
  </si>
  <si>
    <t xml:space="preserve">Cipermetrina 250 EC CCAB</t>
  </si>
  <si>
    <t xml:space="preserve">21000.000889/2008-61</t>
  </si>
  <si>
    <t xml:space="preserve">Wish 500 SC</t>
  </si>
  <si>
    <t xml:space="preserve">21000.000265/2015-75</t>
  </si>
  <si>
    <t xml:space="preserve">Cotezem</t>
  </si>
  <si>
    <t xml:space="preserve">Raizen</t>
  </si>
  <si>
    <t xml:space="preserve">21000.004973/2012-30</t>
  </si>
  <si>
    <t xml:space="preserve">Predatox</t>
  </si>
  <si>
    <t xml:space="preserve">21000.009603/2012-99</t>
  </si>
  <si>
    <t xml:space="preserve">Metarriz GR Biocontrol</t>
  </si>
  <si>
    <t xml:space="preserve">21000.009858/2010-90</t>
  </si>
  <si>
    <t xml:space="preserve">Genit GAT</t>
  </si>
  <si>
    <t xml:space="preserve">21000.010072/2010-15</t>
  </si>
  <si>
    <t xml:space="preserve">Census GAT</t>
  </si>
  <si>
    <t xml:space="preserve">21000.001689/2014-73</t>
  </si>
  <si>
    <t xml:space="preserve">Cotesia Biocana GO</t>
  </si>
  <si>
    <t xml:space="preserve">Braz e Costa</t>
  </si>
  <si>
    <t xml:space="preserve">21000.010080/2010-61</t>
  </si>
  <si>
    <t xml:space="preserve">Arreio</t>
  </si>
  <si>
    <t xml:space="preserve">21000.008353/2010-16</t>
  </si>
  <si>
    <t xml:space="preserve">Previnil 720 SC</t>
  </si>
  <si>
    <t xml:space="preserve">21000.007649/2011-92</t>
  </si>
  <si>
    <t xml:space="preserve">Prestige Plus</t>
  </si>
  <si>
    <t xml:space="preserve">21000.006055/2012-45</t>
  </si>
  <si>
    <t xml:space="preserve">Quatdown</t>
  </si>
  <si>
    <t xml:space="preserve">21000.006052/2012-10</t>
  </si>
  <si>
    <t xml:space="preserve">Sprayquat</t>
  </si>
  <si>
    <t xml:space="preserve">21000.001722/2015-46</t>
  </si>
  <si>
    <t xml:space="preserve">Hopper</t>
  </si>
  <si>
    <t xml:space="preserve">21000.004510/2011-97</t>
  </si>
  <si>
    <t xml:space="preserve">Paraquat 200 SL Rainbow</t>
  </si>
  <si>
    <t xml:space="preserve">21000.011694/2008-46</t>
  </si>
  <si>
    <t xml:space="preserve">Crosser</t>
  </si>
  <si>
    <t xml:space="preserve">21000.002136/2013-57</t>
  </si>
  <si>
    <t xml:space="preserve">Gli-Up 720 WG</t>
  </si>
  <si>
    <t xml:space="preserve">21000.001547/2009-49</t>
  </si>
  <si>
    <t xml:space="preserve">Dorado</t>
  </si>
  <si>
    <t xml:space="preserve">21000.012239/2010-82</t>
  </si>
  <si>
    <t xml:space="preserve">2,4-D Amina SL Genbra</t>
  </si>
  <si>
    <t xml:space="preserve">21000.012445/2010-92</t>
  </si>
  <si>
    <t xml:space="preserve">2,4-D Amina CCAB 806 SL</t>
  </si>
  <si>
    <t xml:space="preserve">21000.008383/2012-86</t>
  </si>
  <si>
    <t xml:space="preserve">2,4-D 806 SL Alamos</t>
  </si>
  <si>
    <t xml:space="preserve">21000.006226/2008-50</t>
  </si>
  <si>
    <t xml:space="preserve">Dimetomorfe Técnico Milenia</t>
  </si>
  <si>
    <t xml:space="preserve">21000.000476/2010-09</t>
  </si>
  <si>
    <t xml:space="preserve">Propiconazole Técnico August</t>
  </si>
  <si>
    <t xml:space="preserve">21000.001308/2011-11</t>
  </si>
  <si>
    <t xml:space="preserve">Metomil Téc. SIB</t>
  </si>
  <si>
    <t xml:space="preserve">21000.008443/2014-22</t>
  </si>
  <si>
    <t xml:space="preserve">Gemstar Max</t>
  </si>
  <si>
    <t xml:space="preserve">Hz-NPV</t>
  </si>
  <si>
    <t xml:space="preserve">Mtsui</t>
  </si>
  <si>
    <t xml:space="preserve">21000.009717/2009-33</t>
  </si>
  <si>
    <t xml:space="preserve">Metomil Técnico CCAB</t>
  </si>
  <si>
    <t xml:space="preserve">21000.008456/2014-00</t>
  </si>
  <si>
    <t xml:space="preserve">Hz-NPV CCAB</t>
  </si>
  <si>
    <t xml:space="preserve">21000.008491/2014-11</t>
  </si>
  <si>
    <t xml:space="preserve">Bio Helicoverpa</t>
  </si>
  <si>
    <t xml:space="preserve">21000.005180/2009-32</t>
  </si>
  <si>
    <t xml:space="preserve">Carbendazim SC Cheminova</t>
  </si>
  <si>
    <t xml:space="preserve">21000.009604/2012-33</t>
  </si>
  <si>
    <t xml:space="preserve">Bouveriz WP Biocontrol</t>
  </si>
  <si>
    <t xml:space="preserve">21000.002497/2011-31</t>
  </si>
  <si>
    <t xml:space="preserve">Metomil Técnico CCAB II</t>
  </si>
  <si>
    <t xml:space="preserve">21000.008472/2014-94</t>
  </si>
  <si>
    <t xml:space="preserve">Armigen</t>
  </si>
  <si>
    <t xml:space="preserve">Macena</t>
  </si>
  <si>
    <t xml:space="preserve">21000.009816/2007-53</t>
  </si>
  <si>
    <t xml:space="preserve">Quadris</t>
  </si>
  <si>
    <t xml:space="preserve">21000.007650/2012-06</t>
  </si>
  <si>
    <t xml:space="preserve">Azact CE </t>
  </si>
  <si>
    <t xml:space="preserve">Azadiractina</t>
  </si>
  <si>
    <t xml:space="preserve">Luiz Arthur</t>
  </si>
  <si>
    <t xml:space="preserve">21000.010479/2009-17</t>
  </si>
  <si>
    <t xml:space="preserve">Metomil Técnico China</t>
  </si>
  <si>
    <t xml:space="preserve">21000.000003/2012-65</t>
  </si>
  <si>
    <t xml:space="preserve">Fezan Gold</t>
  </si>
  <si>
    <t xml:space="preserve">21000.010182/2011-68</t>
  </si>
  <si>
    <t xml:space="preserve">Trifloxissulfurom Sódico Técnico Genbra</t>
  </si>
  <si>
    <t xml:space="preserve">Trifloxissulfurom</t>
  </si>
  <si>
    <t xml:space="preserve">21000.005407/2012-45</t>
  </si>
  <si>
    <t xml:space="preserve">Glyphosate Technical Gly</t>
  </si>
  <si>
    <t xml:space="preserve">21000.010281/2008-44</t>
  </si>
  <si>
    <t xml:space="preserve">Axor</t>
  </si>
  <si>
    <t xml:space="preserve">Lufenurom; Profenofós</t>
  </si>
  <si>
    <t xml:space="preserve">21000.002859/2009-70</t>
  </si>
  <si>
    <t xml:space="preserve">Fipronova</t>
  </si>
  <si>
    <t xml:space="preserve">21000.001253/2015-65</t>
  </si>
  <si>
    <t xml:space="preserve">Trichomip-G</t>
  </si>
  <si>
    <t xml:space="preserve">21000.000685/2015-59</t>
  </si>
  <si>
    <t xml:space="preserve">Trichomip-P</t>
  </si>
  <si>
    <t xml:space="preserve">21000.010337/2011-66</t>
  </si>
  <si>
    <t xml:space="preserve">Triflorssulfuron Sódico Técnico CCAB</t>
  </si>
  <si>
    <t xml:space="preserve">21000.001905/2009-13</t>
  </si>
  <si>
    <t xml:space="preserve">Dalneem EC</t>
  </si>
  <si>
    <t xml:space="preserve">Dalquim</t>
  </si>
  <si>
    <t xml:space="preserve">21000.007719/2014-44</t>
  </si>
  <si>
    <t xml:space="preserve">Metarhizium JCO</t>
  </si>
  <si>
    <t xml:space="preserve">21000.004079/2009-64</t>
  </si>
  <si>
    <t xml:space="preserve">Script</t>
  </si>
  <si>
    <t xml:space="preserve">21000.002976/2013-10</t>
  </si>
  <si>
    <t xml:space="preserve">Tupan 720 WG</t>
  </si>
  <si>
    <t xml:space="preserve">21000.009693/2011-37</t>
  </si>
  <si>
    <t xml:space="preserve">Cheval 480 SC</t>
  </si>
  <si>
    <t xml:space="preserve">De sangosse</t>
  </si>
  <si>
    <t xml:space="preserve">21000.010596/2011-97</t>
  </si>
  <si>
    <t xml:space="preserve">Dermacor</t>
  </si>
  <si>
    <t xml:space="preserve">21000.007720/2014-80</t>
  </si>
  <si>
    <t xml:space="preserve">Beauveria JCO</t>
  </si>
  <si>
    <t xml:space="preserve">21000.006883/2013-64</t>
  </si>
  <si>
    <t xml:space="preserve">Arizium</t>
  </si>
  <si>
    <t xml:space="preserve">Tecnicontrol</t>
  </si>
  <si>
    <t xml:space="preserve">21000.000355/2014-82</t>
  </si>
  <si>
    <t xml:space="preserve">Granada</t>
  </si>
  <si>
    <t xml:space="preserve">Farroupilha</t>
  </si>
  <si>
    <t xml:space="preserve">21000.007304/2010-58</t>
  </si>
  <si>
    <t xml:space="preserve">Metarhizen WP</t>
  </si>
  <si>
    <t xml:space="preserve">Raízen</t>
  </si>
  <si>
    <t xml:space="preserve">21000.002251/2011-60</t>
  </si>
  <si>
    <t xml:space="preserve">Metarhizen</t>
  </si>
  <si>
    <t xml:space="preserve">21000.008483/2013-93</t>
  </si>
  <si>
    <t xml:space="preserve">Tricho-Strip P</t>
  </si>
  <si>
    <t xml:space="preserve">21000.009365/2013-01</t>
  </si>
  <si>
    <t xml:space="preserve">Diuron Técnico Proventis</t>
  </si>
  <si>
    <t xml:space="preserve">21000.005609/2013-78</t>
  </si>
  <si>
    <t xml:space="preserve">Diuron Técnico Nufarm NG</t>
  </si>
  <si>
    <t xml:space="preserve">21000.007758/2014-52</t>
  </si>
  <si>
    <t xml:space="preserve">Captor</t>
  </si>
  <si>
    <t xml:space="preserve">21000.001013/2015-61</t>
  </si>
  <si>
    <t xml:space="preserve">Stratiomip</t>
  </si>
  <si>
    <t xml:space="preserve">21000.016010/2011-06</t>
  </si>
  <si>
    <t xml:space="preserve">Dorado EC</t>
  </si>
  <si>
    <t xml:space="preserve">21000.004698/2013-35</t>
  </si>
  <si>
    <t xml:space="preserve">Glyphotal WG</t>
  </si>
  <si>
    <t xml:space="preserve">United Phosphorus</t>
  </si>
  <si>
    <t xml:space="preserve">21000.009041/2010-11</t>
  </si>
  <si>
    <t xml:space="preserve">Voliam Targo</t>
  </si>
  <si>
    <t xml:space="preserve">Clorantraniliprole; Abamectina</t>
  </si>
  <si>
    <t xml:space="preserve">21000.000008/2013-79</t>
  </si>
  <si>
    <t xml:space="preserve">Voraz</t>
  </si>
  <si>
    <t xml:space="preserve">21000.011551/2009-15</t>
  </si>
  <si>
    <t xml:space="preserve">Epoxiconazole 125 Sinon</t>
  </si>
  <si>
    <t xml:space="preserve">21000.002901/2010-96</t>
  </si>
  <si>
    <t xml:space="preserve">Glufosinate-Ammonium Técnico DVA</t>
  </si>
  <si>
    <t xml:space="preserve">21000.000669/2013-02</t>
  </si>
  <si>
    <t xml:space="preserve">Atrazina Técnico Agroimport</t>
  </si>
  <si>
    <t xml:space="preserve">21000.009977/2013-95</t>
  </si>
  <si>
    <t xml:space="preserve">Diuron Técnico UPL</t>
  </si>
  <si>
    <t xml:space="preserve">21000.007678/2014-05</t>
  </si>
  <si>
    <t xml:space="preserve">Flak 200 SL</t>
  </si>
  <si>
    <t xml:space="preserve">21000.008585/2014-90</t>
  </si>
  <si>
    <t xml:space="preserve">Glufosinate-Ammonium Téc. Milenia</t>
  </si>
  <si>
    <t xml:space="preserve">21000.009242/2013-61</t>
  </si>
  <si>
    <t xml:space="preserve">Diuron Técnico Wynca</t>
  </si>
  <si>
    <t xml:space="preserve">21000.011710/2011-04</t>
  </si>
  <si>
    <t xml:space="preserve">Diuron Técnico Nufarm</t>
  </si>
  <si>
    <t xml:space="preserve">21000.001504/2014-21</t>
  </si>
  <si>
    <t xml:space="preserve">Glufosinate-Ammonium Téc. GT</t>
  </si>
  <si>
    <t xml:space="preserve">21000.009209/2010-99</t>
  </si>
  <si>
    <t xml:space="preserve">Diuron Técnico CN</t>
  </si>
  <si>
    <t xml:space="preserve">21000.012868/2010-11</t>
  </si>
  <si>
    <t xml:space="preserve">Diquat Técnico Rainbow</t>
  </si>
  <si>
    <t xml:space="preserve">21000.000740/2010-04</t>
  </si>
  <si>
    <t xml:space="preserve">Diuron Técnico Genbra</t>
  </si>
  <si>
    <t xml:space="preserve">21000.000656/2010-82</t>
  </si>
  <si>
    <t xml:space="preserve">Diuron Técnico CCAB</t>
  </si>
  <si>
    <t xml:space="preserve">21000.006611/2012-83</t>
  </si>
  <si>
    <t xml:space="preserve">Glifosato Técnico Ouro Fino BR</t>
  </si>
  <si>
    <t xml:space="preserve">21000.007392/2012-50</t>
  </si>
  <si>
    <t xml:space="preserve">Glifosato Técnico Red Surcos II</t>
  </si>
  <si>
    <t xml:space="preserve">21000.001117/2013-11</t>
  </si>
  <si>
    <t xml:space="preserve">Glifosato Técnico SWR Agroimport</t>
  </si>
  <si>
    <t xml:space="preserve">21000.007680/2009-17</t>
  </si>
  <si>
    <t xml:space="preserve">Acefato Técnico DVA BR</t>
  </si>
  <si>
    <t xml:space="preserve">21000.008461/2011-61</t>
  </si>
  <si>
    <t xml:space="preserve">Cyantraniliprole Técnico</t>
  </si>
  <si>
    <t xml:space="preserve">21000.000649/2009-47</t>
  </si>
  <si>
    <t xml:space="preserve">Dimoxystrobin Técnico</t>
  </si>
  <si>
    <t xml:space="preserve">Dimoxistrobim</t>
  </si>
  <si>
    <t xml:space="preserve">21000.008123/2012-19</t>
  </si>
  <si>
    <t xml:space="preserve">Diuron Técnico SUP</t>
  </si>
  <si>
    <t xml:space="preserve">21000.001900/2009-91</t>
  </si>
  <si>
    <t xml:space="preserve">Diuron Técnico Pilarquim</t>
  </si>
  <si>
    <t xml:space="preserve">21000.006419/2010-25</t>
  </si>
  <si>
    <t xml:space="preserve">Glifosato Técnico CH</t>
  </si>
  <si>
    <t xml:space="preserve">21000.006299/2012-28</t>
  </si>
  <si>
    <t xml:space="preserve">Abamectina Tradecorp Técnico</t>
  </si>
  <si>
    <t xml:space="preserve">21000.009512/2009-58</t>
  </si>
  <si>
    <t xml:space="preserve">Paraquat Técnico CCAB</t>
  </si>
  <si>
    <t xml:space="preserve">21000.011580/2010-11</t>
  </si>
  <si>
    <t xml:space="preserve">Instivo</t>
  </si>
  <si>
    <t xml:space="preserve">21000.009554/2013-75</t>
  </si>
  <si>
    <t xml:space="preserve">Metarriz Plus WP Biocontrol</t>
  </si>
  <si>
    <t xml:space="preserve">21000.007827/2009-61</t>
  </si>
  <si>
    <t xml:space="preserve">Glifosato 480 SL</t>
  </si>
  <si>
    <t xml:space="preserve">21000.003315/2015-73</t>
  </si>
  <si>
    <t xml:space="preserve">Cotésia Tecnobil</t>
  </si>
  <si>
    <t xml:space="preserve">William Lab.</t>
  </si>
  <si>
    <t xml:space="preserve">21000.003314/2015-29</t>
  </si>
  <si>
    <t xml:space="preserve">Cotésia Controbil</t>
  </si>
  <si>
    <t xml:space="preserve">Wilson Barbosa</t>
  </si>
  <si>
    <t xml:space="preserve">21000.008711/2011-63</t>
  </si>
  <si>
    <t xml:space="preserve">Benevia</t>
  </si>
  <si>
    <t xml:space="preserve">21000.000619/2010-74</t>
  </si>
  <si>
    <t xml:space="preserve">21000.010674/2012-34</t>
  </si>
  <si>
    <t xml:space="preserve">2,4 D Técnico Ouro Fino</t>
  </si>
  <si>
    <t xml:space="preserve">Ano de 2014</t>
  </si>
  <si>
    <t xml:space="preserve">21000.001039/2013-47</t>
  </si>
  <si>
    <t xml:space="preserve">2,4 D Técnico SUP</t>
  </si>
  <si>
    <t xml:space="preserve">21000.001116/2013-69</t>
  </si>
  <si>
    <t xml:space="preserve">2,4 D Técnico SWR Agroimport</t>
  </si>
  <si>
    <t xml:space="preserve">21000.009979/2008-17</t>
  </si>
  <si>
    <t xml:space="preserve">Cipermetrina Técnica Ouro Fino</t>
  </si>
  <si>
    <t xml:space="preserve">21000.010975/2012-68</t>
  </si>
  <si>
    <t xml:space="preserve">2,4-D Técnico SWT</t>
  </si>
  <si>
    <t xml:space="preserve">21000.004626/2012-15</t>
  </si>
  <si>
    <t xml:space="preserve">Clomazone Técnico Oxon</t>
  </si>
  <si>
    <t xml:space="preserve">21000.005504/2010-76</t>
  </si>
  <si>
    <t xml:space="preserve">Nicosulfuron Técnico Nortox BR</t>
  </si>
  <si>
    <t xml:space="preserve">21000.002618/2008-40</t>
  </si>
  <si>
    <t xml:space="preserve">Okay Técnico</t>
  </si>
  <si>
    <t xml:space="preserve">Ciflumetofem</t>
  </si>
  <si>
    <t xml:space="preserve">21000.011519/2008-59</t>
  </si>
  <si>
    <t xml:space="preserve">Permetrina Técnico Ouro Fino</t>
  </si>
  <si>
    <t xml:space="preserve">21000.009041/2009-88</t>
  </si>
  <si>
    <t xml:space="preserve">Glifosato Técnico Copalliance</t>
  </si>
  <si>
    <t xml:space="preserve">21000.002620/2008-19</t>
  </si>
  <si>
    <t xml:space="preserve">Okay</t>
  </si>
  <si>
    <t xml:space="preserve">21000.003652/2009-12</t>
  </si>
  <si>
    <t xml:space="preserve">Cipermethrin Técnico Helm</t>
  </si>
  <si>
    <t xml:space="preserve">21000.000458/2013-61</t>
  </si>
  <si>
    <t xml:space="preserve">2,4 - D Técnico Red Surcos</t>
  </si>
  <si>
    <t xml:space="preserve">21000.005072/2010-01</t>
  </si>
  <si>
    <t xml:space="preserve">Clomazone Técnico CCAB</t>
  </si>
  <si>
    <t xml:space="preserve">21000.011747/2008-29</t>
  </si>
  <si>
    <t xml:space="preserve">Trunker</t>
  </si>
  <si>
    <t xml:space="preserve">Triclopir</t>
  </si>
  <si>
    <t xml:space="preserve">21000.008808/2008-71</t>
  </si>
  <si>
    <t xml:space="preserve">Leale SC</t>
  </si>
  <si>
    <t xml:space="preserve">21000.005167/2007-11</t>
  </si>
  <si>
    <t xml:space="preserve">Fore NT</t>
  </si>
  <si>
    <t xml:space="preserve">21000.005186/2007-48</t>
  </si>
  <si>
    <t xml:space="preserve">Fore NT WP</t>
  </si>
  <si>
    <t xml:space="preserve">21000.002619/2008-94</t>
  </si>
  <si>
    <t xml:space="preserve">Obny Técnico</t>
  </si>
  <si>
    <t xml:space="preserve">21000.009427/2009-90</t>
  </si>
  <si>
    <t xml:space="preserve">Permetrina Técnico CCAB</t>
  </si>
  <si>
    <t xml:space="preserve">21000.002621/2008-63</t>
  </si>
  <si>
    <t xml:space="preserve">Obny</t>
  </si>
  <si>
    <t xml:space="preserve">21000.002098/2012-51</t>
  </si>
  <si>
    <t xml:space="preserve">Benzovindiflupir Técnico</t>
  </si>
  <si>
    <t xml:space="preserve">Benzovindiflupir</t>
  </si>
  <si>
    <t xml:space="preserve">21000.010934/2011-91</t>
  </si>
  <si>
    <t xml:space="preserve">Elatus</t>
  </si>
  <si>
    <t xml:space="preserve">21000.006796/2009-21</t>
  </si>
  <si>
    <t xml:space="preserve">Permethrin Técnico Tagros</t>
  </si>
  <si>
    <t xml:space="preserve">21000.010940/2010-76</t>
  </si>
  <si>
    <t xml:space="preserve">Cymoxanil Técnico Rotam</t>
  </si>
  <si>
    <t xml:space="preserve">21000.000149/2009-13</t>
  </si>
  <si>
    <t xml:space="preserve">Lambda Cialotrina Técnica Milênia</t>
  </si>
  <si>
    <t xml:space="preserve">Milenia</t>
  </si>
  <si>
    <t xml:space="preserve">21000.000470/2010-23</t>
  </si>
  <si>
    <t xml:space="preserve">Clomazone Técnico GAT</t>
  </si>
  <si>
    <t xml:space="preserve">21000.010402/2008-58</t>
  </si>
  <si>
    <t xml:space="preserve">Cloreto de Mepiquat Técnico</t>
  </si>
  <si>
    <t xml:space="preserve">Cloredo de Mepiquate</t>
  </si>
  <si>
    <t xml:space="preserve">21000.007975/2010-19</t>
  </si>
  <si>
    <t xml:space="preserve">Tiodicarbe Técnico Consagro</t>
  </si>
  <si>
    <t xml:space="preserve">21000.009716/2012-94</t>
  </si>
  <si>
    <t xml:space="preserve">Metarfito</t>
  </si>
  <si>
    <t xml:space="preserve">FitoAgro</t>
  </si>
  <si>
    <t xml:space="preserve">21000.007566/2011-01</t>
  </si>
  <si>
    <t xml:space="preserve">Fipronil Alta 250 FS</t>
  </si>
  <si>
    <t xml:space="preserve">21000.005593/2009-17</t>
  </si>
  <si>
    <t xml:space="preserve">Cruiser Advanced</t>
  </si>
  <si>
    <t xml:space="preserve">Metalaxil-M; Tiabendazol; Fludioxonil; Tiametoxam</t>
  </si>
  <si>
    <t xml:space="preserve">21000.008723/2011-98</t>
  </si>
  <si>
    <t xml:space="preserve">Granary</t>
  </si>
  <si>
    <t xml:space="preserve">21000.011794/2009-53</t>
  </si>
  <si>
    <t xml:space="preserve">Rephon 800 WG</t>
  </si>
  <si>
    <t xml:space="preserve">21000.003420/2009-08</t>
  </si>
  <si>
    <t xml:space="preserve">Clomazone Técnico Ouro Fino</t>
  </si>
  <si>
    <t xml:space="preserve">21000.000495/2010-27</t>
  </si>
  <si>
    <t xml:space="preserve">Mazotam 800 WG</t>
  </si>
  <si>
    <t xml:space="preserve">21000.002313/2012-14</t>
  </si>
  <si>
    <t xml:space="preserve">Eminent XL</t>
  </si>
  <si>
    <t xml:space="preserve">Azoxistrobina; Tetraconazol</t>
  </si>
  <si>
    <t xml:space="preserve">21000.005004/2009-09</t>
  </si>
  <si>
    <t xml:space="preserve">Glizmax NF</t>
  </si>
  <si>
    <t xml:space="preserve">21000.004202/2009-47</t>
  </si>
  <si>
    <t xml:space="preserve">Ace Técnico</t>
  </si>
  <si>
    <t xml:space="preserve">21000.007378/2011-75</t>
  </si>
  <si>
    <t xml:space="preserve">Metiz</t>
  </si>
  <si>
    <t xml:space="preserve">21000.001024/2009-01</t>
  </si>
  <si>
    <t xml:space="preserve">Clorimuron Sinon</t>
  </si>
  <si>
    <t xml:space="preserve">Clorimurom</t>
  </si>
  <si>
    <t xml:space="preserve">21000.002565/2009-48</t>
  </si>
  <si>
    <t xml:space="preserve">Pyroxsulam Técnico</t>
  </si>
  <si>
    <t xml:space="preserve">21000.012463/2010-74</t>
  </si>
  <si>
    <t xml:space="preserve">Tricea</t>
  </si>
  <si>
    <t xml:space="preserve">21000.007223/2009-14</t>
  </si>
  <si>
    <t xml:space="preserve">Erradicur</t>
  </si>
  <si>
    <t xml:space="preserve">21000.010582/2008-78</t>
  </si>
  <si>
    <t xml:space="preserve">Rusther WH</t>
  </si>
  <si>
    <t xml:space="preserve">21000.010583/2008-12</t>
  </si>
  <si>
    <t xml:space="preserve">Stinger WG</t>
  </si>
  <si>
    <t xml:space="preserve">21000.010584/2008-67</t>
  </si>
  <si>
    <t xml:space="preserve">Fusta WG</t>
  </si>
  <si>
    <t xml:space="preserve">21000.006172/2009-11</t>
  </si>
  <si>
    <t xml:space="preserve">Epoxiconazole Técnico Sinon</t>
  </si>
  <si>
    <t xml:space="preserve">21000.004732/2010-29</t>
  </si>
  <si>
    <t xml:space="preserve">Clomazone Técnico Genbra</t>
  </si>
  <si>
    <t xml:space="preserve">21000.004973/2010-78</t>
  </si>
  <si>
    <t xml:space="preserve">Difcor Técnico</t>
  </si>
  <si>
    <t xml:space="preserve">Difeconazole</t>
  </si>
  <si>
    <t xml:space="preserve">21000.008516/2010-52</t>
  </si>
  <si>
    <t xml:space="preserve">Diuron Técnico Hailir</t>
  </si>
  <si>
    <t xml:space="preserve">Diurom; Tidiazurom</t>
  </si>
  <si>
    <t xml:space="preserve">21000.006538/2008-63</t>
  </si>
  <si>
    <t xml:space="preserve">Ametista</t>
  </si>
  <si>
    <t xml:space="preserve">Bifentrina; Cipermetrina</t>
  </si>
  <si>
    <t xml:space="preserve">21000.004245/2010-66</t>
  </si>
  <si>
    <t xml:space="preserve">Azoxystrobina Técnico Nufarm</t>
  </si>
  <si>
    <t xml:space="preserve">21000.004050/2010-16</t>
  </si>
  <si>
    <t xml:space="preserve">Tebutiurom Alta 500 SC</t>
  </si>
  <si>
    <t xml:space="preserve">21000.005629/2010-04</t>
  </si>
  <si>
    <t xml:space="preserve">2,4 - D Alta 806 SL</t>
  </si>
  <si>
    <t xml:space="preserve">21000.007219/2011-71</t>
  </si>
  <si>
    <t xml:space="preserve">Azoxistrobina + Flutriafol Alta 500 SC</t>
  </si>
  <si>
    <t xml:space="preserve">Azoxistrobina; Flutriafol</t>
  </si>
  <si>
    <t xml:space="preserve">21000.005415/2010-20</t>
  </si>
  <si>
    <t xml:space="preserve">Monaris</t>
  </si>
  <si>
    <t xml:space="preserve">21000.011046/2008-90</t>
  </si>
  <si>
    <t xml:space="preserve">Galop M</t>
  </si>
  <si>
    <t xml:space="preserve">21000.010253/2008-27</t>
  </si>
  <si>
    <t xml:space="preserve">Shyper Técnico</t>
  </si>
  <si>
    <t xml:space="preserve">21000.001328/2009-60</t>
  </si>
  <si>
    <t xml:space="preserve">Fera Ultra</t>
  </si>
  <si>
    <t xml:space="preserve">Glifosato; Carfentrazona-etílica</t>
  </si>
  <si>
    <t xml:space="preserve">21000.010626/2010-84</t>
  </si>
  <si>
    <t xml:space="preserve">Imazacure 500 EC</t>
  </si>
  <si>
    <t xml:space="preserve">Defensive</t>
  </si>
  <si>
    <t xml:space="preserve">21000.009928/2009-76</t>
  </si>
  <si>
    <t xml:space="preserve">Tebuconazole Técnico August</t>
  </si>
  <si>
    <t xml:space="preserve">21000.011789/2009-41</t>
  </si>
  <si>
    <t xml:space="preserve">Azoxystrobin Técnico DVA</t>
  </si>
  <si>
    <t xml:space="preserve">21000.008790/2011-11</t>
  </si>
  <si>
    <t xml:space="preserve">Clomazone Técnico Nortox</t>
  </si>
  <si>
    <t xml:space="preserve">21000.002986/2009-79</t>
  </si>
  <si>
    <t xml:space="preserve">Rigol</t>
  </si>
  <si>
    <t xml:space="preserve">21000.002987/2009-13</t>
  </si>
  <si>
    <t xml:space="preserve">Cyborg</t>
  </si>
  <si>
    <t xml:space="preserve">21000.003229/2010-56</t>
  </si>
  <si>
    <t xml:space="preserve">Methomyl DVA 215 SL</t>
  </si>
  <si>
    <t xml:space="preserve">21000.003653/2009-67</t>
  </si>
  <si>
    <t xml:space="preserve">Methomyl 21,5% SL (CDX 130 FP)</t>
  </si>
  <si>
    <t xml:space="preserve">21000.010506/2007-81</t>
  </si>
  <si>
    <t xml:space="preserve">Lancelot</t>
  </si>
  <si>
    <t xml:space="preserve">21000.000217/2013-12</t>
  </si>
  <si>
    <t xml:space="preserve">Cotesia Auca</t>
  </si>
  <si>
    <t xml:space="preserve">Auca Controle</t>
  </si>
  <si>
    <t xml:space="preserve">21000.008233/2013-53</t>
  </si>
  <si>
    <t xml:space="preserve">Cotesia Bioamil</t>
  </si>
  <si>
    <t xml:space="preserve">Anésia Mendes</t>
  </si>
  <si>
    <t xml:space="preserve">21000.001281/2010-78</t>
  </si>
  <si>
    <t xml:space="preserve">2,4-D Técnico AL</t>
  </si>
  <si>
    <t xml:space="preserve">21000.007308/2013-89</t>
  </si>
  <si>
    <t xml:space="preserve">Wheater</t>
  </si>
  <si>
    <t xml:space="preserve">21000.008120/2010-13</t>
  </si>
  <si>
    <t xml:space="preserve">UP-Stage 500 EC</t>
  </si>
  <si>
    <t xml:space="preserve">21000.001678/2008-45</t>
  </si>
  <si>
    <t xml:space="preserve">Ipconazole Técnico</t>
  </si>
  <si>
    <t xml:space="preserve">21000.004087/2009-19</t>
  </si>
  <si>
    <t xml:space="preserve">Soberano BR</t>
  </si>
  <si>
    <t xml:space="preserve">21000.011101/2007-61</t>
  </si>
  <si>
    <t xml:space="preserve">21000.008270/2008-72</t>
  </si>
  <si>
    <t xml:space="preserve">Jornada</t>
  </si>
  <si>
    <t xml:space="preserve">21000.008343/2008-58</t>
  </si>
  <si>
    <t xml:space="preserve">Panoramic</t>
  </si>
  <si>
    <t xml:space="preserve">21000.005322/2008-81</t>
  </si>
  <si>
    <t xml:space="preserve">Spinetoram Técnico</t>
  </si>
  <si>
    <t xml:space="preserve">21000.011518/2008-12</t>
  </si>
  <si>
    <t xml:space="preserve">Brit BR</t>
  </si>
  <si>
    <t xml:space="preserve">21000.006039/2010-91</t>
  </si>
  <si>
    <t xml:space="preserve">Paraquat Técnico Alamos</t>
  </si>
  <si>
    <t xml:space="preserve">21000.000399/2010-89</t>
  </si>
  <si>
    <t xml:space="preserve">Lambda-cyhalothrin Técnico August</t>
  </si>
  <si>
    <t xml:space="preserve">21000.010827/2012-43</t>
  </si>
  <si>
    <t xml:space="preserve">Gliforte</t>
  </si>
  <si>
    <t xml:space="preserve">21000.006249/2009-45</t>
  </si>
  <si>
    <t xml:space="preserve">Clorimuron Etil Técnico De Sangosse</t>
  </si>
  <si>
    <t xml:space="preserve">21000.003951/2010-91</t>
  </si>
  <si>
    <t xml:space="preserve">Deltametrina Técnico Isagro</t>
  </si>
  <si>
    <t xml:space="preserve">21000.006573/2010-05</t>
  </si>
  <si>
    <t xml:space="preserve">Nicosulfuron Técnico Pilarquim</t>
  </si>
  <si>
    <t xml:space="preserve">21000.008897/2010-70</t>
  </si>
  <si>
    <t xml:space="preserve">Paraquat Técnico Nufarm</t>
  </si>
  <si>
    <t xml:space="preserve">21000.005779/2011-91</t>
  </si>
  <si>
    <t xml:space="preserve">Clorpirifós Técnico Consagro</t>
  </si>
  <si>
    <t xml:space="preserve">21000.013991/2011-21</t>
  </si>
  <si>
    <t xml:space="preserve">Abamectin Técnico Syn</t>
  </si>
  <si>
    <t xml:space="preserve">21000.002061/2012-23</t>
  </si>
  <si>
    <t xml:space="preserve">Paraquat Técnico Atanor</t>
  </si>
  <si>
    <t xml:space="preserve">21000.009912/2011-88</t>
  </si>
  <si>
    <t xml:space="preserve">Dicloreto de Paraquate Técnico SR</t>
  </si>
  <si>
    <t xml:space="preserve">21000.009978/2007-91</t>
  </si>
  <si>
    <t xml:space="preserve">Actigard</t>
  </si>
  <si>
    <t xml:space="preserve">Acibenzolar-s-metílico</t>
  </si>
  <si>
    <t xml:space="preserve">21000.009849/2012-61</t>
  </si>
  <si>
    <t xml:space="preserve">Abamectin Técnico CCAB II</t>
  </si>
  <si>
    <t xml:space="preserve">21000.003170/2013-49</t>
  </si>
  <si>
    <t xml:space="preserve">Abamectin Técnico Ouro Fino</t>
  </si>
  <si>
    <t xml:space="preserve">21000.004493/2012-79</t>
  </si>
  <si>
    <t xml:space="preserve">Clorimurom Etílico Tradecorp Técnico 980</t>
  </si>
  <si>
    <t xml:space="preserve">Clorimurom-Etil</t>
  </si>
  <si>
    <t xml:space="preserve">21000.004935/2012-87</t>
  </si>
  <si>
    <t xml:space="preserve">DCP Técnico Ouro Fino</t>
  </si>
  <si>
    <t xml:space="preserve">21000.003103/2014-13</t>
  </si>
  <si>
    <t xml:space="preserve">Abamectina Técnico Cropchem</t>
  </si>
  <si>
    <t xml:space="preserve">21000.003236/2014-81</t>
  </si>
  <si>
    <t xml:space="preserve">Abamectin Técnico CCAB III</t>
  </si>
  <si>
    <t xml:space="preserve">21000.003248/2014-14</t>
  </si>
  <si>
    <t xml:space="preserve">Abamectin Técnico Volcano II</t>
  </si>
  <si>
    <t xml:space="preserve">21000.003366/2014-14</t>
  </si>
  <si>
    <t xml:space="preserve">Abamectin Técnico Syngenta HV</t>
  </si>
  <si>
    <t xml:space="preserve">21000.003555/2014-97</t>
  </si>
  <si>
    <t xml:space="preserve">Abamectin Técnico OF</t>
  </si>
  <si>
    <t xml:space="preserve">21000.004915/2011-25</t>
  </si>
  <si>
    <t xml:space="preserve">Fipronil 800 WG Agria</t>
  </si>
  <si>
    <t xml:space="preserve">21000.003102/2014-61</t>
  </si>
  <si>
    <t xml:space="preserve">Abamectin Técnico Nortox BR</t>
  </si>
  <si>
    <t xml:space="preserve">21000.011283/2010-75</t>
  </si>
  <si>
    <t xml:space="preserve">Fipronil Técnico Charda</t>
  </si>
  <si>
    <t xml:space="preserve">21000.006241/2009-89</t>
  </si>
  <si>
    <t xml:space="preserve">Megasato Técnico</t>
  </si>
  <si>
    <t xml:space="preserve">21000.007284/2013-68</t>
  </si>
  <si>
    <t xml:space="preserve">Bovebio</t>
  </si>
  <si>
    <t xml:space="preserve">21000.008858/2013-15</t>
  </si>
  <si>
    <t xml:space="preserve">Biovespa</t>
  </si>
  <si>
    <t xml:space="preserve">21000.008482/2013-49</t>
  </si>
  <si>
    <t xml:space="preserve">Bioeco Cotésia</t>
  </si>
  <si>
    <t xml:space="preserve">Bio Eco Cana</t>
  </si>
  <si>
    <t xml:space="preserve">21000.006248/2009-09</t>
  </si>
  <si>
    <t xml:space="preserve">Clorimurom Etil Técnico Agroimport</t>
  </si>
  <si>
    <t xml:space="preserve">21000.001629/2013-70</t>
  </si>
  <si>
    <t xml:space="preserve">Cotésia Probio</t>
  </si>
  <si>
    <t xml:space="preserve">21000.003247/2014-61</t>
  </si>
  <si>
    <t xml:space="preserve">Abamectin Técnico Genbra</t>
  </si>
  <si>
    <t xml:space="preserve">21000.001115/2013-14</t>
  </si>
  <si>
    <t xml:space="preserve">Clorimuron Etil Técnico Rainbow</t>
  </si>
  <si>
    <t xml:space="preserve">21000.000308/2010-13</t>
  </si>
  <si>
    <t xml:space="preserve">Ametrina Alta 500 SC</t>
  </si>
  <si>
    <t xml:space="preserve">21000.003224/2014-57</t>
  </si>
  <si>
    <t xml:space="preserve">Abamectina Técnico Nufarm BR</t>
  </si>
  <si>
    <t xml:space="preserve">21000.003643/2014-99</t>
  </si>
  <si>
    <t xml:space="preserve">Abamectin Técnico Agria</t>
  </si>
  <si>
    <t xml:space="preserve">21000.000652/2010-02</t>
  </si>
  <si>
    <t xml:space="preserve">Haloxifop Metílico Técnico CCAB</t>
  </si>
  <si>
    <t xml:space="preserve">Haloxifope</t>
  </si>
  <si>
    <t xml:space="preserve">21000.000654/2010-93</t>
  </si>
  <si>
    <t xml:space="preserve">Haloxifop Metílico Técnico Genbra</t>
  </si>
  <si>
    <t xml:space="preserve">21000.002274/2010-11</t>
  </si>
  <si>
    <t xml:space="preserve">Abone</t>
  </si>
  <si>
    <t xml:space="preserve">21000.009147/2010-15</t>
  </si>
  <si>
    <t xml:space="preserve">Aug 120</t>
  </si>
  <si>
    <t xml:space="preserve">21000.002821/2010-31</t>
  </si>
  <si>
    <t xml:space="preserve">Haloxyfop P Methyl Técnico</t>
  </si>
  <si>
    <t xml:space="preserve">21000.012505/2010-77</t>
  </si>
  <si>
    <t xml:space="preserve">Haloxyfop P Methyl Técnico Rainbow</t>
  </si>
  <si>
    <t xml:space="preserve">21000.007567/2011-48</t>
  </si>
  <si>
    <t xml:space="preserve">Dicloreto de Paraquate Técnico Alta</t>
  </si>
  <si>
    <t xml:space="preserve">21000.009293/2011-21</t>
  </si>
  <si>
    <t xml:space="preserve">Haloxyfop P Metílico Técnico Nufarm</t>
  </si>
  <si>
    <t xml:space="preserve">21000.010423/2010-98</t>
  </si>
  <si>
    <t xml:space="preserve">Haloxyfop P Metílico Técnico Alta</t>
  </si>
  <si>
    <t xml:space="preserve">21000.004422/2014-38</t>
  </si>
  <si>
    <t xml:space="preserve">Abamectin Técnico DVA</t>
  </si>
  <si>
    <t xml:space="preserve">21000.003401/2012-33</t>
  </si>
  <si>
    <t xml:space="preserve">Chlorimuron-Etílico Técnico Helm</t>
  </si>
  <si>
    <t xml:space="preserve">21000.002478/2010-24</t>
  </si>
  <si>
    <t xml:space="preserve">Bedane</t>
  </si>
  <si>
    <t xml:space="preserve">Interprod</t>
  </si>
  <si>
    <t xml:space="preserve">21000.005009/2010-67</t>
  </si>
  <si>
    <t xml:space="preserve">Cipermetrina Técnico Atanor</t>
  </si>
  <si>
    <t xml:space="preserve">21000.006541/2011-82</t>
  </si>
  <si>
    <t xml:space="preserve">Glifosato 720 WG Rainbow</t>
  </si>
  <si>
    <t xml:space="preserve">21000.011377/2009-19</t>
  </si>
  <si>
    <t xml:space="preserve">2,4-D Ácido Técnico Genbra</t>
  </si>
  <si>
    <t xml:space="preserve">21000.011475/2009-48</t>
  </si>
  <si>
    <t xml:space="preserve">Acefato Técnico CCAB</t>
  </si>
  <si>
    <t xml:space="preserve">21000.009652/2009-26</t>
  </si>
  <si>
    <t xml:space="preserve">Tebutiurom Técnico Consagro</t>
  </si>
  <si>
    <t xml:space="preserve">21000.004529/2012-14</t>
  </si>
  <si>
    <t xml:space="preserve">Regalia Maxx</t>
  </si>
  <si>
    <r>
      <rPr>
        <sz val="11"/>
        <color rgb="FF000066"/>
        <rFont val="Arial"/>
        <family val="2"/>
        <charset val="1"/>
      </rPr>
      <t xml:space="preserve">Extrato de </t>
    </r>
    <r>
      <rPr>
        <i val="true"/>
        <sz val="11"/>
        <color rgb="FF000066"/>
        <rFont val="Arial"/>
        <family val="2"/>
        <charset val="1"/>
      </rPr>
      <t xml:space="preserve">Reynoutria sachalinensis</t>
    </r>
  </si>
  <si>
    <t xml:space="preserve">21000.005730/2012-19</t>
  </si>
  <si>
    <t xml:space="preserve">Knock Out</t>
  </si>
  <si>
    <t xml:space="preserve">21000.005731/2012-63</t>
  </si>
  <si>
    <t xml:space="preserve">Wipe Out</t>
  </si>
  <si>
    <t xml:space="preserve">21000.009584/2008-14</t>
  </si>
  <si>
    <t xml:space="preserve">Carbendazim Nortox 500 SC</t>
  </si>
  <si>
    <t xml:space="preserve">21000.011375/2009-11</t>
  </si>
  <si>
    <t xml:space="preserve">2,4-D Ácido Técnico CCAB</t>
  </si>
  <si>
    <t xml:space="preserve">21000.006960/2011-14</t>
  </si>
  <si>
    <t xml:space="preserve">2,4-D Técnico SR Cropchem</t>
  </si>
  <si>
    <t xml:space="preserve">21000.003897/2010-83</t>
  </si>
  <si>
    <t xml:space="preserve">Tebuconazole Técnico Alta</t>
  </si>
  <si>
    <t xml:space="preserve">21000.002638/2011-16</t>
  </si>
  <si>
    <t xml:space="preserve">Carbendazim Técnico Ag</t>
  </si>
  <si>
    <t xml:space="preserve">21000.005641/2008-96</t>
  </si>
  <si>
    <t xml:space="preserve">Exalt</t>
  </si>
  <si>
    <t xml:space="preserve">21000.005642/2008-31</t>
  </si>
  <si>
    <t xml:space="preserve">Delegate</t>
  </si>
  <si>
    <t xml:space="preserve">21000.005227/2010-00</t>
  </si>
  <si>
    <t xml:space="preserve">Avguron Extra SC</t>
  </si>
  <si>
    <t xml:space="preserve">21000.000472/2010-12</t>
  </si>
  <si>
    <t xml:space="preserve">Acefato Técnico Nufarm</t>
  </si>
  <si>
    <t xml:space="preserve">21000.000641/2011-03</t>
  </si>
  <si>
    <t xml:space="preserve">Carbendazim Aga Técnico</t>
  </si>
  <si>
    <t xml:space="preserve">21000.001571/2012-83</t>
  </si>
  <si>
    <t xml:space="preserve">Azoxystrobin 250 SC DVA</t>
  </si>
  <si>
    <t xml:space="preserve">21000.003234/2011-40</t>
  </si>
  <si>
    <t xml:space="preserve">Fipronil Técnico Nufarm Br</t>
  </si>
  <si>
    <t xml:space="preserve">21000.000150/2009-30</t>
  </si>
  <si>
    <t xml:space="preserve">Glifosato Técnico PM Milênia</t>
  </si>
  <si>
    <t xml:space="preserve">Milênia</t>
  </si>
  <si>
    <t xml:space="preserve">Ano de 2013</t>
  </si>
  <si>
    <t xml:space="preserve">21000.009605/2011-05</t>
  </si>
  <si>
    <t xml:space="preserve">Ametrin Técnico CCAB</t>
  </si>
  <si>
    <t xml:space="preserve">21000.010851/2009-87</t>
  </si>
  <si>
    <t xml:space="preserve">Ametrina Técnico ALTA</t>
  </si>
  <si>
    <t xml:space="preserve">21000.007947/2010-00</t>
  </si>
  <si>
    <t xml:space="preserve">Excolha</t>
  </si>
  <si>
    <t xml:space="preserve">21000.007688/2008-04</t>
  </si>
  <si>
    <t xml:space="preserve">Fusta BR</t>
  </si>
  <si>
    <t xml:space="preserve">21000.005312/2012-21</t>
  </si>
  <si>
    <t xml:space="preserve">Metarriz WP Biocontrol</t>
  </si>
  <si>
    <t xml:space="preserve">21000.009589/2012-23</t>
  </si>
  <si>
    <t xml:space="preserve">Cotesia Fioagro</t>
  </si>
  <si>
    <t xml:space="preserve">Fitoagro</t>
  </si>
  <si>
    <t xml:space="preserve">21000.000722/2009-81</t>
  </si>
  <si>
    <t xml:space="preserve">Metribuzim Técnico Milenia</t>
  </si>
  <si>
    <t xml:space="preserve">21000.001264/2011-11</t>
  </si>
  <si>
    <t xml:space="preserve">Nicosulfuron Tradecorp Técnico</t>
  </si>
  <si>
    <t xml:space="preserve">21000.010094/2008-61</t>
  </si>
  <si>
    <t xml:space="preserve">Heat</t>
  </si>
  <si>
    <t xml:space="preserve">21000.011781/2011-07</t>
  </si>
  <si>
    <t xml:space="preserve">Cotesia Agrobio</t>
  </si>
  <si>
    <t xml:space="preserve">Tonon</t>
  </si>
  <si>
    <t xml:space="preserve">21000.000136/2010-70</t>
  </si>
  <si>
    <t xml:space="preserve">Glifosato G Técnico Rainbow</t>
  </si>
  <si>
    <t xml:space="preserve">21000.009224/2011-18</t>
  </si>
  <si>
    <t xml:space="preserve">Shelter</t>
  </si>
  <si>
    <t xml:space="preserve">21000.004552/2010-47</t>
  </si>
  <si>
    <t xml:space="preserve">Ametryn Technical</t>
  </si>
  <si>
    <t xml:space="preserve">21000.002549/2010-99</t>
  </si>
  <si>
    <t xml:space="preserve">Lucens</t>
  </si>
  <si>
    <t xml:space="preserve">Metolacloro</t>
  </si>
  <si>
    <t xml:space="preserve">21000.006675/2010-12</t>
  </si>
  <si>
    <t xml:space="preserve">Game</t>
  </si>
  <si>
    <t xml:space="preserve">DVA UPL</t>
  </si>
  <si>
    <t xml:space="preserve">21000.008996/2011-31</t>
  </si>
  <si>
    <t xml:space="preserve">Atrazin Técnico CCAB</t>
  </si>
  <si>
    <t xml:space="preserve">21000.006040/2010-15</t>
  </si>
  <si>
    <t xml:space="preserve">Atrazina Técnica Alamos</t>
  </si>
  <si>
    <t xml:space="preserve">21000.005008/2010-12</t>
  </si>
  <si>
    <t xml:space="preserve">Atrazina Técnica Atanor II</t>
  </si>
  <si>
    <t xml:space="preserve">21000.011302/2008-49</t>
  </si>
  <si>
    <t xml:space="preserve">Narval 40 SC</t>
  </si>
  <si>
    <t xml:space="preserve">21000.002237/2009-40</t>
  </si>
  <si>
    <t xml:space="preserve">Ponto</t>
  </si>
  <si>
    <t xml:space="preserve">21000.006963/2007-71</t>
  </si>
  <si>
    <t xml:space="preserve">Finex</t>
  </si>
  <si>
    <t xml:space="preserve">21000.003511/2007-38</t>
  </si>
  <si>
    <t xml:space="preserve">Adsec AB</t>
  </si>
  <si>
    <t xml:space="preserve">Amina graxa polimerizada</t>
  </si>
  <si>
    <t xml:space="preserve">Akzo Nobel</t>
  </si>
  <si>
    <t xml:space="preserve">21000.009205/2008-96</t>
  </si>
  <si>
    <t xml:space="preserve">Voliam Flexi</t>
  </si>
  <si>
    <t xml:space="preserve">Clorantraniliprole; Tiametoxam</t>
  </si>
  <si>
    <t xml:space="preserve">21000.011949/2009-51</t>
  </si>
  <si>
    <t xml:space="preserve">Paraquat Técnico Rainbow</t>
  </si>
  <si>
    <t xml:space="preserve">21000.001829/2007-84</t>
  </si>
  <si>
    <t xml:space="preserve">Moncut Técnico</t>
  </si>
  <si>
    <t xml:space="preserve">21000.008682/2008-34</t>
  </si>
  <si>
    <t xml:space="preserve">Lambda Cyhalothrin Técnico Biesterfeld</t>
  </si>
  <si>
    <t xml:space="preserve">21000.004551/2010-01</t>
  </si>
  <si>
    <t xml:space="preserve">Atrazine Technical</t>
  </si>
  <si>
    <t xml:space="preserve">21000.015926/2011-31</t>
  </si>
  <si>
    <t xml:space="preserve">Preciso</t>
  </si>
  <si>
    <t xml:space="preserve">21000.007003/2010-24</t>
  </si>
  <si>
    <t xml:space="preserve">Coragen</t>
  </si>
  <si>
    <t xml:space="preserve">21000.004184/2007-31</t>
  </si>
  <si>
    <t xml:space="preserve">Ritmo 280</t>
  </si>
  <si>
    <t xml:space="preserve">Piritiobaque-sódico</t>
  </si>
  <si>
    <t xml:space="preserve">21000.010073/2010-60</t>
  </si>
  <si>
    <t xml:space="preserve">Espada</t>
  </si>
  <si>
    <t xml:space="preserve">21000.002278/2010-71</t>
  </si>
  <si>
    <t xml:space="preserve">Thidiazuron Tecnico August</t>
  </si>
  <si>
    <t xml:space="preserve">21000.004709/2007-39</t>
  </si>
  <si>
    <t xml:space="preserve">Moncut</t>
  </si>
  <si>
    <t xml:space="preserve">21000.007488/2009-12</t>
  </si>
  <si>
    <t xml:space="preserve">Pottente</t>
  </si>
  <si>
    <t xml:space="preserve">Benfuracarbe</t>
  </si>
  <si>
    <t xml:space="preserve">21000.002202/2010-46</t>
  </si>
  <si>
    <t xml:space="preserve">Pratico</t>
  </si>
  <si>
    <t xml:space="preserve">Flutriafol; Imidaclopride</t>
  </si>
  <si>
    <t xml:space="preserve">21000.007505/2010-55</t>
  </si>
  <si>
    <t xml:space="preserve">Hexazinone Tecnico De Sangosse</t>
  </si>
  <si>
    <t xml:space="preserve">21000.003156/2010-01</t>
  </si>
  <si>
    <t xml:space="preserve">Gardomil</t>
  </si>
  <si>
    <t xml:space="preserve">21000.005443/2009-11</t>
  </si>
  <si>
    <t xml:space="preserve">Glifosato Tecnico UPL</t>
  </si>
  <si>
    <t xml:space="preserve">21000.003898/2010-28</t>
  </si>
  <si>
    <t xml:space="preserve">Tebutiurom Tecnico Alta</t>
  </si>
  <si>
    <t xml:space="preserve">21000.005511/2010-78</t>
  </si>
  <si>
    <t xml:space="preserve">Tiodicarb Tecnico Alta</t>
  </si>
  <si>
    <t xml:space="preserve">21000.011540/2011-50</t>
  </si>
  <si>
    <t xml:space="preserve">Ecotrich WP</t>
  </si>
  <si>
    <t xml:space="preserve">Balagro</t>
  </si>
  <si>
    <t xml:space="preserve">21000.000769/2007-82</t>
  </si>
  <si>
    <t xml:space="preserve">Priori Top</t>
  </si>
  <si>
    <t xml:space="preserve">21000.005930/2010-18</t>
  </si>
  <si>
    <t xml:space="preserve">Dinamic Técnico Arysta</t>
  </si>
  <si>
    <t xml:space="preserve">Amircabazone</t>
  </si>
  <si>
    <t xml:space="preserve">21000.008677/2009-11</t>
  </si>
  <si>
    <t xml:space="preserve">Fipronil Técnico Roral</t>
  </si>
  <si>
    <t xml:space="preserve">21000.004121/2009-47</t>
  </si>
  <si>
    <t xml:space="preserve">Base 480 SL</t>
  </si>
  <si>
    <t xml:space="preserve">21000.000719/2008-86</t>
  </si>
  <si>
    <t xml:space="preserve">Imazetapir CCAB 106 SL</t>
  </si>
  <si>
    <t xml:space="preserve">21000.008226/2010-17</t>
  </si>
  <si>
    <t xml:space="preserve">Satir-GAT</t>
  </si>
  <si>
    <t xml:space="preserve">21000.008661/2010-33</t>
  </si>
  <si>
    <t xml:space="preserve">Samor-GAT</t>
  </si>
  <si>
    <t xml:space="preserve">21000.006513/2010-84</t>
  </si>
  <si>
    <t xml:space="preserve">Hexazionane Técnico Agroimport</t>
  </si>
  <si>
    <t xml:space="preserve">21000.004799/2010-63</t>
  </si>
  <si>
    <t xml:space="preserve">Glifosato Técnico YN</t>
  </si>
  <si>
    <t xml:space="preserve">21000.008659/2010-64</t>
  </si>
  <si>
    <t xml:space="preserve">Lambda Cyhalothrin Técnico</t>
  </si>
  <si>
    <t xml:space="preserve">21000.007668/2008-13</t>
  </si>
  <si>
    <t xml:space="preserve">Actara 750 SG</t>
  </si>
  <si>
    <t xml:space="preserve">21000.010613/2007-18</t>
  </si>
  <si>
    <t xml:space="preserve">Permetrina Técnico UPL</t>
  </si>
  <si>
    <t xml:space="preserve">21000.002298/2009-17</t>
  </si>
  <si>
    <t xml:space="preserve">Cipermetrina Técnico CCAB</t>
  </si>
  <si>
    <t xml:space="preserve">21000.010649/2010-99</t>
  </si>
  <si>
    <t xml:space="preserve">Imazetapir Técnico</t>
  </si>
  <si>
    <t xml:space="preserve">21000.004812/2011-65</t>
  </si>
  <si>
    <t xml:space="preserve">Nemat</t>
  </si>
  <si>
    <t xml:space="preserve">Paecilomyces lilanus</t>
  </si>
  <si>
    <t xml:space="preserve">21000.009794/2011-16</t>
  </si>
  <si>
    <t xml:space="preserve">Helmstar Plus</t>
  </si>
  <si>
    <t xml:space="preserve">21000.012390/2010-11</t>
  </si>
  <si>
    <t xml:space="preserve">Chlorothalonil Técnico</t>
  </si>
  <si>
    <t xml:space="preserve">21000.009456/2010-95</t>
  </si>
  <si>
    <t xml:space="preserve">Hexazinona Ténica Nufarm</t>
  </si>
  <si>
    <t xml:space="preserve">21000.007238/2010-16</t>
  </si>
  <si>
    <t xml:space="preserve">Hexazinona Ténica Alta</t>
  </si>
  <si>
    <t xml:space="preserve">21000.005455/2009-38</t>
  </si>
  <si>
    <t xml:space="preserve">Opera SE</t>
  </si>
  <si>
    <t xml:space="preserve">Epoxiconazol; Piraclostrobina</t>
  </si>
  <si>
    <t xml:space="preserve">21000.005788/2009-67</t>
  </si>
  <si>
    <t xml:space="preserve">Manfil 800 WP</t>
  </si>
  <si>
    <t xml:space="preserve">21000.007762/2008-72</t>
  </si>
  <si>
    <t xml:space="preserve">Canion</t>
  </si>
  <si>
    <t xml:space="preserve">21000.005917/2007-55</t>
  </si>
  <si>
    <t xml:space="preserve">Spitz</t>
  </si>
  <si>
    <t xml:space="preserve">21000.010911/2008-81</t>
  </si>
  <si>
    <t xml:space="preserve">Imazatapir 106 BR</t>
  </si>
  <si>
    <t xml:space="preserve">21000.011512/2008-37</t>
  </si>
  <si>
    <t xml:space="preserve">Centric</t>
  </si>
  <si>
    <t xml:space="preserve">21000.005743/2012-98</t>
  </si>
  <si>
    <t xml:space="preserve">Baculovirus Soja WP</t>
  </si>
  <si>
    <t xml:space="preserve">Bosquirolli</t>
  </si>
  <si>
    <t xml:space="preserve">21000.005744/2012-32</t>
  </si>
  <si>
    <t xml:space="preserve">Baculovirus Alamo</t>
  </si>
  <si>
    <t xml:space="preserve">21000.003303/2009-09</t>
  </si>
  <si>
    <t xml:space="preserve">Aliado 480 SL</t>
  </si>
  <si>
    <t xml:space="preserve">21000.009050/2009-79</t>
  </si>
  <si>
    <t xml:space="preserve">Diuron Técnico De Sangosse</t>
  </si>
  <si>
    <t xml:space="preserve">21000.002737/2010-17</t>
  </si>
  <si>
    <t xml:space="preserve">Diuron Técnico Agroimport</t>
  </si>
  <si>
    <t xml:space="preserve">21000.006298/2009-71</t>
  </si>
  <si>
    <t xml:space="preserve">Metribuzim Técnico Rallis</t>
  </si>
  <si>
    <t xml:space="preserve">21000.010055/2008-63</t>
  </si>
  <si>
    <t xml:space="preserve">Pantani 750 WG</t>
  </si>
  <si>
    <t xml:space="preserve">21000.005441/2009-14</t>
  </si>
  <si>
    <t xml:space="preserve">Imazapic Técnico UPL</t>
  </si>
  <si>
    <t xml:space="preserve">21000.014769/2006-89</t>
  </si>
  <si>
    <t xml:space="preserve">Indoxacarbe Técnico 900</t>
  </si>
  <si>
    <t xml:space="preserve">21000.002424/2009-25</t>
  </si>
  <si>
    <t xml:space="preserve">Memory</t>
  </si>
  <si>
    <t xml:space="preserve">21000.010937/2010-43</t>
  </si>
  <si>
    <t xml:space="preserve">Hexazinona Técnico Hailir</t>
  </si>
  <si>
    <t xml:space="preserve">21000.002547/2009-66</t>
  </si>
  <si>
    <t xml:space="preserve">Coronel BR</t>
  </si>
  <si>
    <t xml:space="preserve">21000.005846/2012-58</t>
  </si>
  <si>
    <t xml:space="preserve">Ecotesia</t>
  </si>
  <si>
    <t xml:space="preserve">21000.000549/2010-54</t>
  </si>
  <si>
    <t xml:space="preserve">Natera</t>
  </si>
  <si>
    <t xml:space="preserve">Ciproconazol; Tiametoxam</t>
  </si>
  <si>
    <t xml:space="preserve">21000.003778/2010-21</t>
  </si>
  <si>
    <t xml:space="preserve">Ishipron</t>
  </si>
  <si>
    <t xml:space="preserve">Corfluazurom</t>
  </si>
  <si>
    <t xml:space="preserve">21000.007236/2010-27</t>
  </si>
  <si>
    <t xml:space="preserve">Diuron Técnico Alta</t>
  </si>
  <si>
    <t xml:space="preserve">21000.000891/2011-35</t>
  </si>
  <si>
    <t xml:space="preserve">Metamax Líquido</t>
  </si>
  <si>
    <t xml:space="preserve">Bio Soja</t>
  </si>
  <si>
    <t xml:space="preserve">21000.004144/2011-76</t>
  </si>
  <si>
    <t xml:space="preserve">Ares 250 CS</t>
  </si>
  <si>
    <t xml:space="preserve">21000.006203/2010-60</t>
  </si>
  <si>
    <t xml:space="preserve">Kingbo</t>
  </si>
  <si>
    <r>
      <rPr>
        <sz val="11"/>
        <color rgb="FF000066"/>
        <rFont val="Arial"/>
        <family val="2"/>
        <charset val="1"/>
      </rPr>
      <t xml:space="preserve">Oximatrine (Extrato etanólico de </t>
    </r>
    <r>
      <rPr>
        <i val="true"/>
        <sz val="11"/>
        <color rgb="FF000066"/>
        <rFont val="Arial"/>
        <family val="2"/>
        <charset val="1"/>
      </rPr>
      <t xml:space="preserve">Sophora flavescens</t>
    </r>
    <r>
      <rPr>
        <sz val="11"/>
        <color rgb="FF000066"/>
        <rFont val="Arial"/>
        <family val="2"/>
        <charset val="1"/>
      </rPr>
      <t xml:space="preserve">)</t>
    </r>
  </si>
  <si>
    <t xml:space="preserve">21000.002513/2010-13</t>
  </si>
  <si>
    <t xml:space="preserve">Fluxapyroxad Técnico</t>
  </si>
  <si>
    <t xml:space="preserve">21000.009898/2010-31</t>
  </si>
  <si>
    <t xml:space="preserve">Orkestra SC</t>
  </si>
  <si>
    <t xml:space="preserve">Fluxapiroxade; Piraclostrobina</t>
  </si>
  <si>
    <t xml:space="preserve">21000.011303/2008-93</t>
  </si>
  <si>
    <t xml:space="preserve">Tyson 750 WG</t>
  </si>
  <si>
    <t xml:space="preserve">21000.007719/2011-11</t>
  </si>
  <si>
    <t xml:space="preserve">Carbendazim Técnico China II</t>
  </si>
  <si>
    <t xml:space="preserve">21000.007206/2009-87</t>
  </si>
  <si>
    <t xml:space="preserve">Acefato Técnico</t>
  </si>
  <si>
    <t xml:space="preserve">21000.010370/2010-13</t>
  </si>
  <si>
    <t xml:space="preserve">Carbendazim Técnico China</t>
  </si>
  <si>
    <t xml:space="preserve">21000.007776/2009-77</t>
  </si>
  <si>
    <t xml:space="preserve">Diflubenzuron Técnico Agroimport</t>
  </si>
  <si>
    <t xml:space="preserve">21000.009564/2008-43</t>
  </si>
  <si>
    <t xml:space="preserve">Imazapir Técnico Milenia</t>
  </si>
  <si>
    <t xml:space="preserve">21000.004707/2007-40</t>
  </si>
  <si>
    <t xml:space="preserve">Grap Baculovirus</t>
  </si>
  <si>
    <t xml:space="preserve">Baculovirus</t>
  </si>
  <si>
    <t xml:space="preserve">Agrocete</t>
  </si>
  <si>
    <t xml:space="preserve">21000.002974/2009-44</t>
  </si>
  <si>
    <t xml:space="preserve">Cruiser Opti</t>
  </si>
  <si>
    <t xml:space="preserve">Lambda-Cialotrina; Tiametoxam</t>
  </si>
  <si>
    <t xml:space="preserve">21000.009621/2008-94</t>
  </si>
  <si>
    <t xml:space="preserve">Durivo</t>
  </si>
  <si>
    <t xml:space="preserve">21000.008486/2009-41</t>
  </si>
  <si>
    <t xml:space="preserve">Cimoxanil Técnico Cropchem</t>
  </si>
  <si>
    <t xml:space="preserve">21000.002018/2010-04</t>
  </si>
  <si>
    <t xml:space="preserve">Mancozeb Técnico CCAB</t>
  </si>
  <si>
    <t xml:space="preserve">21000.009695/2011-26</t>
  </si>
  <si>
    <t xml:space="preserve">Kyron 40 SC</t>
  </si>
  <si>
    <t xml:space="preserve">21000.010655/2011-27</t>
  </si>
  <si>
    <t xml:space="preserve">Lotus 40 SC</t>
  </si>
  <si>
    <t xml:space="preserve">21000.002513/2009-71</t>
  </si>
  <si>
    <t xml:space="preserve">Picloram 103 + 2,4 - D 406 SL DVA</t>
  </si>
  <si>
    <t xml:space="preserve">21000.005485/2010-88</t>
  </si>
  <si>
    <t xml:space="preserve">Metribuzim 480 SC DVA</t>
  </si>
  <si>
    <t xml:space="preserve">21000.009953/2012-55</t>
  </si>
  <si>
    <t xml:space="preserve">Tiofanato metílico Técnico Pilarquim</t>
  </si>
  <si>
    <t xml:space="preserve">21000.002795/2012-11</t>
  </si>
  <si>
    <t xml:space="preserve">Thiophanate-methyl G Técnico Helm</t>
  </si>
  <si>
    <t xml:space="preserve">21000.003831/2010-93</t>
  </si>
  <si>
    <t xml:space="preserve">Record</t>
  </si>
  <si>
    <t xml:space="preserve">21000.002738/2009-28</t>
  </si>
  <si>
    <t xml:space="preserve">Acetamiprid Técnico Milenia</t>
  </si>
  <si>
    <t xml:space="preserve">21000.009445/2010-13</t>
  </si>
  <si>
    <t xml:space="preserve">Incrível</t>
  </si>
  <si>
    <t xml:space="preserve">Acetamiprido; Alfa-Cipermetrina</t>
  </si>
  <si>
    <t xml:space="preserve">21000.012387/2010-05</t>
  </si>
  <si>
    <t xml:space="preserve">Fastac Duo</t>
  </si>
  <si>
    <t xml:space="preserve">21000.003276/2009-66</t>
  </si>
  <si>
    <t xml:space="preserve">Glifosato Nuf</t>
  </si>
  <si>
    <t xml:space="preserve">21000.007878/2008-10</t>
  </si>
  <si>
    <t xml:space="preserve">Rajer 250 WG</t>
  </si>
  <si>
    <t xml:space="preserve">Ano de 2012</t>
  </si>
  <si>
    <t xml:space="preserve">21000.007746/1999-09</t>
  </si>
  <si>
    <t xml:space="preserve">Magnific</t>
  </si>
  <si>
    <t xml:space="preserve">21000.004665/2008-28</t>
  </si>
  <si>
    <t xml:space="preserve">Glifosato Atar</t>
  </si>
  <si>
    <t xml:space="preserve">Atar</t>
  </si>
  <si>
    <t xml:space="preserve">21000.000310/2009-41</t>
  </si>
  <si>
    <t xml:space="preserve">Imidacloprid Técnico Milenia</t>
  </si>
  <si>
    <t xml:space="preserve">21000.008310/2007-27</t>
  </si>
  <si>
    <t xml:space="preserve">Kelpak</t>
  </si>
  <si>
    <r>
      <rPr>
        <sz val="11"/>
        <color rgb="FF000066"/>
        <rFont val="Arial"/>
        <family val="2"/>
        <charset val="1"/>
      </rPr>
      <t xml:space="preserve">Extarto de</t>
    </r>
    <r>
      <rPr>
        <i val="true"/>
        <sz val="11"/>
        <color rgb="FF000066"/>
        <rFont val="Arial"/>
        <family val="2"/>
        <charset val="1"/>
      </rPr>
      <t xml:space="preserve"> Ecklonia maxima</t>
    </r>
  </si>
  <si>
    <t xml:space="preserve">Reccol</t>
  </si>
  <si>
    <t xml:space="preserve">21000.003956/2008-07</t>
  </si>
  <si>
    <t xml:space="preserve">Pilarich</t>
  </si>
  <si>
    <t xml:space="preserve">21000.002548/2009-19</t>
  </si>
  <si>
    <t xml:space="preserve">AclamadoBR</t>
  </si>
  <si>
    <t xml:space="preserve">21000.009479/2009-66</t>
  </si>
  <si>
    <t xml:space="preserve">BeloBR</t>
  </si>
  <si>
    <t xml:space="preserve">21000.008599/2008-65</t>
  </si>
  <si>
    <t xml:space="preserve">Sequence</t>
  </si>
  <si>
    <t xml:space="preserve">S-metolacloro; Glifosato</t>
  </si>
  <si>
    <t xml:space="preserve">21000.009439/2008-33</t>
  </si>
  <si>
    <t xml:space="preserve">Impressive 250 WP</t>
  </si>
  <si>
    <t xml:space="preserve">21000.003022/2009-48</t>
  </si>
  <si>
    <t xml:space="preserve">Fipronil Técnico Milenia</t>
  </si>
  <si>
    <t xml:space="preserve">21000.006507/2008-11</t>
  </si>
  <si>
    <t xml:space="preserve">Tebuconazole Técnico Oxon</t>
  </si>
  <si>
    <t xml:space="preserve">21000.007506/2010-08</t>
  </si>
  <si>
    <t xml:space="preserve">Tricovab </t>
  </si>
  <si>
    <t xml:space="preserve">Trichoderma stromaticum</t>
  </si>
  <si>
    <t xml:space="preserve">Ceplac</t>
  </si>
  <si>
    <t xml:space="preserve">21000.011417/2010-58</t>
  </si>
  <si>
    <t xml:space="preserve">Fipronil Técnico Mil</t>
  </si>
  <si>
    <t xml:space="preserve">21000.001366/2009-12</t>
  </si>
  <si>
    <t xml:space="preserve">CapatazBR</t>
  </si>
  <si>
    <t xml:space="preserve">21000.004034/2008-17</t>
  </si>
  <si>
    <t xml:space="preserve">Ichiban</t>
  </si>
  <si>
    <t xml:space="preserve">21000.000309/2009-16</t>
  </si>
  <si>
    <t xml:space="preserve">Epoxiconazol Técnico Milenia</t>
  </si>
  <si>
    <t xml:space="preserve">21000.011132/2007-11</t>
  </si>
  <si>
    <t xml:space="preserve">Glyweed</t>
  </si>
  <si>
    <t xml:space="preserve">21000.001359/2009-11</t>
  </si>
  <si>
    <t xml:space="preserve">Savana</t>
  </si>
  <si>
    <t xml:space="preserve">Clomazona; Carfentrazona-Etílica</t>
  </si>
  <si>
    <t xml:space="preserve">21000.009296/2008-60</t>
  </si>
  <si>
    <t xml:space="preserve">Glifosato Técnico Biesterfeld</t>
  </si>
  <si>
    <t xml:space="preserve">21000.009265/2009-90</t>
  </si>
  <si>
    <t xml:space="preserve">Atrazina Técnico Rainbow</t>
  </si>
  <si>
    <t xml:space="preserve">21000.013268/2011-42</t>
  </si>
  <si>
    <t xml:space="preserve">Cotésia Flavipes Bioeffect</t>
  </si>
  <si>
    <t xml:space="preserve">Bioeffect</t>
  </si>
  <si>
    <t xml:space="preserve">21000.009773/2005-44</t>
  </si>
  <si>
    <t xml:space="preserve">Centauro</t>
  </si>
  <si>
    <t xml:space="preserve">21000.011301/2008-02</t>
  </si>
  <si>
    <t xml:space="preserve">Lobster 50 EC</t>
  </si>
  <si>
    <t xml:space="preserve">21000.007948/2009-11</t>
  </si>
  <si>
    <t xml:space="preserve">Pampa</t>
  </si>
  <si>
    <t xml:space="preserve">Picloram; 2,4-D </t>
  </si>
  <si>
    <t xml:space="preserve">21000.008094/2009-81</t>
  </si>
  <si>
    <t xml:space="preserve">Facca</t>
  </si>
  <si>
    <t xml:space="preserve">21000.004302/2011-98</t>
  </si>
  <si>
    <t xml:space="preserve">Fipronil Técnico Alta</t>
  </si>
  <si>
    <t xml:space="preserve">21000.000254/2007-82</t>
  </si>
  <si>
    <t xml:space="preserve">Teor 800 WG</t>
  </si>
  <si>
    <t xml:space="preserve">21000.004014/2007-57</t>
  </si>
  <si>
    <t xml:space="preserve">Salasat 800</t>
  </si>
  <si>
    <t xml:space="preserve">21000.000253/2007-38</t>
  </si>
  <si>
    <t xml:space="preserve">Salasat </t>
  </si>
  <si>
    <t xml:space="preserve">21000.000255/2007-27</t>
  </si>
  <si>
    <t xml:space="preserve">Teor</t>
  </si>
  <si>
    <t xml:space="preserve">21000.009294/2008-71</t>
  </si>
  <si>
    <t xml:space="preserve">Stoy 40 SC</t>
  </si>
  <si>
    <t xml:space="preserve">21000.002020/2010-75</t>
  </si>
  <si>
    <t xml:space="preserve">Caparol</t>
  </si>
  <si>
    <t xml:space="preserve">Prometrina</t>
  </si>
  <si>
    <t xml:space="preserve">21000.002019/2010-41</t>
  </si>
  <si>
    <t xml:space="preserve">Arbaten</t>
  </si>
  <si>
    <t xml:space="preserve">21000.004015/2007-00</t>
  </si>
  <si>
    <t xml:space="preserve">Teor WG</t>
  </si>
  <si>
    <t xml:space="preserve">21000.005812/2009-68</t>
  </si>
  <si>
    <t xml:space="preserve">Glifosate ZLG Técnico</t>
  </si>
  <si>
    <t xml:space="preserve">21000.001818/2010-08</t>
  </si>
  <si>
    <t xml:space="preserve">Nicossulfuron Técnico R- BRA</t>
  </si>
  <si>
    <t xml:space="preserve">21000.007006/2010-68</t>
  </si>
  <si>
    <t xml:space="preserve">Grassato</t>
  </si>
  <si>
    <t xml:space="preserve">21000.000592/2010-10</t>
  </si>
  <si>
    <t xml:space="preserve">Azoxystrobin Técnico Helm</t>
  </si>
  <si>
    <t xml:space="preserve">21000.006578/2010-20</t>
  </si>
  <si>
    <t xml:space="preserve">Grassato SL</t>
  </si>
  <si>
    <t xml:space="preserve">21000.011735/2009-85</t>
  </si>
  <si>
    <t xml:space="preserve">Riper</t>
  </si>
  <si>
    <t xml:space="preserve">21000.004982/2010-69</t>
  </si>
  <si>
    <t xml:space="preserve">Metie</t>
  </si>
  <si>
    <t xml:space="preserve">21000.010736/2008-21</t>
  </si>
  <si>
    <t xml:space="preserve">Metribuzin Técnico Ouro Fino</t>
  </si>
  <si>
    <t xml:space="preserve">21000.007645/2007-28</t>
  </si>
  <si>
    <t xml:space="preserve">Thunder</t>
  </si>
  <si>
    <t xml:space="preserve">21000.006591/2009-45</t>
  </si>
  <si>
    <t xml:space="preserve">Metribuzin Técnico De Sangosse</t>
  </si>
  <si>
    <t xml:space="preserve">21000.005362/2009-11</t>
  </si>
  <si>
    <t xml:space="preserve">Metribuzin Técnico Agroimport</t>
  </si>
  <si>
    <t xml:space="preserve">21000.009957/2011-52</t>
  </si>
  <si>
    <t xml:space="preserve">Bioisca</t>
  </si>
  <si>
    <t xml:space="preserve">Flavonas saponínicas</t>
  </si>
  <si>
    <t xml:space="preserve">Cocapeer</t>
  </si>
  <si>
    <t xml:space="preserve">21000.001557/2008-01</t>
  </si>
  <si>
    <t xml:space="preserve">Apice</t>
  </si>
  <si>
    <t xml:space="preserve">Epoxiconazol; Tiofanato-Metílico</t>
  </si>
  <si>
    <t xml:space="preserve">21000.000613/2008-82</t>
  </si>
  <si>
    <t xml:space="preserve">Treasure</t>
  </si>
  <si>
    <t xml:space="preserve">21000.002378/2009-64</t>
  </si>
  <si>
    <t xml:space="preserve">Ametrina Técnico Ouro Fino</t>
  </si>
  <si>
    <t xml:space="preserve">Ametrina Tecnico Rainbow</t>
  </si>
  <si>
    <t xml:space="preserve">21000.001275/2009-87</t>
  </si>
  <si>
    <t xml:space="preserve">Diamantebr</t>
  </si>
  <si>
    <t xml:space="preserve">21000.000158/2009-04</t>
  </si>
  <si>
    <t xml:space="preserve">Apollo 500 SC</t>
  </si>
  <si>
    <t xml:space="preserve">21000.001931/2009-41</t>
  </si>
  <si>
    <t xml:space="preserve">Diuron Técnico Cropchem</t>
  </si>
  <si>
    <t xml:space="preserve">21000.002330/2009-56</t>
  </si>
  <si>
    <t xml:space="preserve">Diuron Técnico BRA</t>
  </si>
  <si>
    <t xml:space="preserve">21000.005528/2009-91</t>
  </si>
  <si>
    <t xml:space="preserve">Diuron Técnico Prentiss </t>
  </si>
  <si>
    <t xml:space="preserve">21000.001181/2010-41</t>
  </si>
  <si>
    <t xml:space="preserve">Glifosato Nortox 480 SL</t>
  </si>
  <si>
    <t xml:space="preserve">21000.003003/2009-11</t>
  </si>
  <si>
    <t xml:space="preserve">Fipronil Técnico YN</t>
  </si>
  <si>
    <t xml:space="preserve">21000.004223/2009-62</t>
  </si>
  <si>
    <t xml:space="preserve">Fipronil Técnico BB</t>
  </si>
  <si>
    <t xml:space="preserve">21000.004186/2009-92</t>
  </si>
  <si>
    <t xml:space="preserve">Fipronil Técnico ZJ</t>
  </si>
  <si>
    <t xml:space="preserve">21000.002509/2010-47</t>
  </si>
  <si>
    <t xml:space="preserve">Sucession</t>
  </si>
  <si>
    <t xml:space="preserve">Metolacloro; Glifosato</t>
  </si>
  <si>
    <t xml:space="preserve">21000.009504/2009-10</t>
  </si>
  <si>
    <t xml:space="preserve">Acetamiprido Tecnico Consagro</t>
  </si>
  <si>
    <t xml:space="preserve">21000.003265/2008-03</t>
  </si>
  <si>
    <t xml:space="preserve">Lancer 750 SP</t>
  </si>
  <si>
    <t xml:space="preserve">21000.004411/2009-91</t>
  </si>
  <si>
    <t xml:space="preserve">Grassato 480 SL</t>
  </si>
  <si>
    <t xml:space="preserve">21000.011716/2009-59</t>
  </si>
  <si>
    <t xml:space="preserve">Imidacloprid Tecnico Cheminova</t>
  </si>
  <si>
    <t xml:space="preserve">21000.010850/2009-32</t>
  </si>
  <si>
    <t xml:space="preserve">Atrazina Tecnico Alta</t>
  </si>
  <si>
    <t xml:space="preserve">21000.011776/2010-13</t>
  </si>
  <si>
    <t xml:space="preserve">Imidacloprid Técnico Cristal</t>
  </si>
  <si>
    <t xml:space="preserve">21000.001124/2012-24</t>
  </si>
  <si>
    <t xml:space="preserve">Tricho-Strip G</t>
  </si>
  <si>
    <t xml:space="preserve">Biothec</t>
  </si>
  <si>
    <t xml:space="preserve">21000.015711/2011-10</t>
  </si>
  <si>
    <t xml:space="preserve">SingularBr</t>
  </si>
  <si>
    <t xml:space="preserve">21000.002937/2009-36</t>
  </si>
  <si>
    <t xml:space="preserve">Domark XL</t>
  </si>
  <si>
    <t xml:space="preserve">21000.005512/2010-12</t>
  </si>
  <si>
    <t xml:space="preserve">Azoxistrobina Técnico Alta</t>
  </si>
  <si>
    <t xml:space="preserve">21000.013945/2011-22</t>
  </si>
  <si>
    <t xml:space="preserve">Cotesia Flavips MCP</t>
  </si>
  <si>
    <t xml:space="preserve">21000.002546/2011-36</t>
  </si>
  <si>
    <t xml:space="preserve">Ballvéria</t>
  </si>
  <si>
    <t xml:space="preserve">Beauvéria Bassiana</t>
  </si>
  <si>
    <t xml:space="preserve">21000.009563/2008-07</t>
  </si>
  <si>
    <t xml:space="preserve">Fluroxipir Meptílico Técnico Milenia</t>
  </si>
  <si>
    <t xml:space="preserve">Premier Técnico BCS</t>
  </si>
  <si>
    <t xml:space="preserve">21000.008956/2009-76</t>
  </si>
  <si>
    <t xml:space="preserve">Galgociper</t>
  </si>
  <si>
    <t xml:space="preserve">Chemotécnica</t>
  </si>
  <si>
    <t xml:space="preserve">21000.011963/2009-55</t>
  </si>
  <si>
    <t xml:space="preserve">Metribuzin Técnico DVA</t>
  </si>
  <si>
    <t xml:space="preserve">DVA Agro</t>
  </si>
  <si>
    <t xml:space="preserve">21000.010733/2008-98</t>
  </si>
  <si>
    <t xml:space="preserve">Agroben 500</t>
  </si>
  <si>
    <t xml:space="preserve">21000.010614/2007-54</t>
  </si>
  <si>
    <t xml:space="preserve">Lancer 970</t>
  </si>
  <si>
    <t xml:space="preserve">21000.008342/2008-11</t>
  </si>
  <si>
    <t xml:space="preserve">Planador</t>
  </si>
  <si>
    <t xml:space="preserve">Fluroxipir-Metílico; Picloram</t>
  </si>
  <si>
    <t xml:space="preserve">21000.006323/2010-67</t>
  </si>
  <si>
    <t xml:space="preserve">Horos</t>
  </si>
  <si>
    <t xml:space="preserve">21000.011925/2009-01</t>
  </si>
  <si>
    <t xml:space="preserve">Authority</t>
  </si>
  <si>
    <t xml:space="preserve">21000.006655/2007-46</t>
  </si>
  <si>
    <t xml:space="preserve">Flanker</t>
  </si>
  <si>
    <t xml:space="preserve">21000.006361/2008-03</t>
  </si>
  <si>
    <t xml:space="preserve">Flutriafol Técnico FMC</t>
  </si>
  <si>
    <t xml:space="preserve">21000.002140/2009-39</t>
  </si>
  <si>
    <t xml:space="preserve">Methomyl Técnico DVA</t>
  </si>
  <si>
    <t xml:space="preserve">21000.001977/2010-02</t>
  </si>
  <si>
    <t xml:space="preserve">2,4-D Técnico TW-BRA</t>
  </si>
  <si>
    <t xml:space="preserve">21000.002556/2010-91</t>
  </si>
  <si>
    <t xml:space="preserve">Cipermetrina Técnica DVA BR</t>
  </si>
  <si>
    <t xml:space="preserve">21000.000243/2009-65</t>
  </si>
  <si>
    <t xml:space="preserve">Cipermetrina Targos Técnico</t>
  </si>
  <si>
    <t xml:space="preserve">21000.008896/2010-25</t>
  </si>
  <si>
    <t xml:space="preserve">Crucial</t>
  </si>
  <si>
    <t xml:space="preserve">21000.005994/2008-96</t>
  </si>
  <si>
    <t xml:space="preserve">Galgoperme</t>
  </si>
  <si>
    <t xml:space="preserve">21000.007269/2008-52</t>
  </si>
  <si>
    <t xml:space="preserve">Galgoperme 1</t>
  </si>
  <si>
    <t xml:space="preserve">21000.004563/2009-93</t>
  </si>
  <si>
    <t xml:space="preserve">Fipronil 800 WG DVA</t>
  </si>
  <si>
    <t xml:space="preserve">21000.006988/2010-71</t>
  </si>
  <si>
    <t xml:space="preserve">Strada 50 WG</t>
  </si>
  <si>
    <t xml:space="preserve">Ortosulfamurom</t>
  </si>
  <si>
    <t xml:space="preserve">21000.002033/2009-19</t>
  </si>
  <si>
    <t xml:space="preserve">Tebuconazol 200 CCAB</t>
  </si>
  <si>
    <t xml:space="preserve">21000.003765/2009-18</t>
  </si>
  <si>
    <t xml:space="preserve">Metribuzim Técnico</t>
  </si>
  <si>
    <t xml:space="preserve">21000.010362/2009-25</t>
  </si>
  <si>
    <t xml:space="preserve">Metribuzim Técnico Consagro</t>
  </si>
  <si>
    <t xml:space="preserve">21000.005610/2010-50</t>
  </si>
  <si>
    <t xml:space="preserve">Primo</t>
  </si>
  <si>
    <t xml:space="preserve">21000.005951/2010-25</t>
  </si>
  <si>
    <t xml:space="preserve">Shar-Teb </t>
  </si>
  <si>
    <t xml:space="preserve">Shar-Conazol</t>
  </si>
  <si>
    <t xml:space="preserve">Galil SC</t>
  </si>
  <si>
    <t xml:space="preserve">21000.009293/2008-26</t>
  </si>
  <si>
    <t xml:space="preserve">Rometsol 600 WG</t>
  </si>
  <si>
    <t xml:space="preserve">21052.000333/2012-45</t>
  </si>
  <si>
    <t xml:space="preserve">Cotésia Cetma</t>
  </si>
  <si>
    <t xml:space="preserve">Cetma</t>
  </si>
  <si>
    <t xml:space="preserve">21000.003051/2006-67</t>
  </si>
  <si>
    <t xml:space="preserve">Glifosato 480 SL Sinon</t>
  </si>
  <si>
    <t xml:space="preserve">21000.005560/2011-91</t>
  </si>
  <si>
    <t xml:space="preserve">Fipronil Nortox 800 WG</t>
  </si>
  <si>
    <t xml:space="preserve">21000.001137/2011-12</t>
  </si>
  <si>
    <t xml:space="preserve">Navus</t>
  </si>
  <si>
    <t xml:space="preserve">21000.001283/2010-67</t>
  </si>
  <si>
    <t xml:space="preserve">Shar-Teb 200 EC</t>
  </si>
  <si>
    <t xml:space="preserve">21000.003978/2009-40</t>
  </si>
  <si>
    <t xml:space="preserve">Fipronil Técnico CCAB</t>
  </si>
  <si>
    <t xml:space="preserve">21000.003136/2010-21</t>
  </si>
  <si>
    <t xml:space="preserve">Acetamiprid CCAB 200 SP</t>
  </si>
  <si>
    <t xml:space="preserve">21000.002028/2011-12</t>
  </si>
  <si>
    <t xml:space="preserve">Glyphotal TR</t>
  </si>
  <si>
    <t xml:space="preserve">21000.011936/2009-82</t>
  </si>
  <si>
    <t xml:space="preserve">Imidacloprid Nortox</t>
  </si>
  <si>
    <t xml:space="preserve">21000.008479/2009-49</t>
  </si>
  <si>
    <t xml:space="preserve">Paraquate Técnico YN</t>
  </si>
  <si>
    <t xml:space="preserve">21000.008884/2007-67</t>
  </si>
  <si>
    <t xml:space="preserve">Paraquat Técnico China</t>
  </si>
  <si>
    <t xml:space="preserve">21000.009349/2011-48</t>
  </si>
  <si>
    <t xml:space="preserve">Paraquat Técnico CHN</t>
  </si>
  <si>
    <t xml:space="preserve">21000.004143/2007-45</t>
  </si>
  <si>
    <t xml:space="preserve">Orfeu</t>
  </si>
  <si>
    <t xml:space="preserve">21000.004144/2007-90</t>
  </si>
  <si>
    <t xml:space="preserve">Eject</t>
  </si>
  <si>
    <t xml:space="preserve">21000.010098/2009-20</t>
  </si>
  <si>
    <t xml:space="preserve">Hexin 500 SC</t>
  </si>
  <si>
    <t xml:space="preserve">21000.009637/2009-88</t>
  </si>
  <si>
    <t xml:space="preserve">Paraquate Técnico ZY</t>
  </si>
  <si>
    <t xml:space="preserve">21000.011965/2009-44</t>
  </si>
  <si>
    <t xml:space="preserve">Battus</t>
  </si>
  <si>
    <t xml:space="preserve">21000.006352/2008-12</t>
  </si>
  <si>
    <t xml:space="preserve">Progibb 400</t>
  </si>
  <si>
    <t xml:space="preserve">21000.005993/2008-41</t>
  </si>
  <si>
    <t xml:space="preserve">Galgoperme 2</t>
  </si>
  <si>
    <t xml:space="preserve">21000.005992/2008-05</t>
  </si>
  <si>
    <t xml:space="preserve">Galgoperme 3</t>
  </si>
  <si>
    <t xml:space="preserve">21000.013946/2011-77</t>
  </si>
  <si>
    <t xml:space="preserve">Cotesia Flavips Paraguaçu</t>
  </si>
  <si>
    <t xml:space="preserve">Laboratório de Entomologia Paraguaçu</t>
  </si>
  <si>
    <t xml:space="preserve">Feican</t>
  </si>
  <si>
    <t xml:space="preserve">Feican Criação de Animais</t>
  </si>
  <si>
    <t xml:space="preserve">21000.004764/2012-96</t>
  </si>
  <si>
    <t xml:space="preserve">Cotesia Flavips Bioresult</t>
  </si>
  <si>
    <t xml:space="preserve">Bioresult</t>
  </si>
  <si>
    <t xml:space="preserve">21000.001451/2009-81</t>
  </si>
  <si>
    <t xml:space="preserve">Lumica</t>
  </si>
  <si>
    <t xml:space="preserve">21000.010000/2010-78</t>
  </si>
  <si>
    <t xml:space="preserve">Nico </t>
  </si>
  <si>
    <t xml:space="preserve">21000.010237/2010-59</t>
  </si>
  <si>
    <t xml:space="preserve">Fason</t>
  </si>
  <si>
    <t xml:space="preserve">21000.000501/2008-21</t>
  </si>
  <si>
    <t xml:space="preserve">Inside FS</t>
  </si>
  <si>
    <t xml:space="preserve">21000.003500/2008-39</t>
  </si>
  <si>
    <t xml:space="preserve">Pocco 480 SL</t>
  </si>
  <si>
    <t xml:space="preserve">Meristo</t>
  </si>
  <si>
    <t xml:space="preserve">21000.009212/2011-93</t>
  </si>
  <si>
    <t xml:space="preserve">Eventra</t>
  </si>
  <si>
    <t xml:space="preserve">21000.002209/2012-20</t>
  </si>
  <si>
    <t xml:space="preserve">Spical</t>
  </si>
  <si>
    <t xml:space="preserve">21000.008309/2010-06</t>
  </si>
  <si>
    <t xml:space="preserve">Rotashock</t>
  </si>
  <si>
    <t xml:space="preserve">21000.016007/2011-84</t>
  </si>
  <si>
    <t xml:space="preserve">Neomip Max</t>
  </si>
  <si>
    <t xml:space="preserve">21000.012518/2011-27</t>
  </si>
  <si>
    <t xml:space="preserve">Albatross</t>
  </si>
  <si>
    <t xml:space="preserve">21000.004774/2010-60</t>
  </si>
  <si>
    <t xml:space="preserve">Azimut</t>
  </si>
  <si>
    <t xml:space="preserve">21000.011268/2008-11</t>
  </si>
  <si>
    <t xml:space="preserve">Tebuconazol Técnico Cropchem</t>
  </si>
  <si>
    <t xml:space="preserve">21000.005693/2009-43</t>
  </si>
  <si>
    <t xml:space="preserve">Thiodicarb Técnico DVA</t>
  </si>
  <si>
    <t xml:space="preserve">Tiobencarbe</t>
  </si>
  <si>
    <t xml:space="preserve">21000.012929/2011-12</t>
  </si>
  <si>
    <t xml:space="preserve">Cotésia TF</t>
  </si>
  <si>
    <t xml:space="preserve">E. Takashi Fudo</t>
  </si>
  <si>
    <t xml:space="preserve">21000.003919/2010-13</t>
  </si>
  <si>
    <t xml:space="preserve">2,4-D TC Técnico Prentiss</t>
  </si>
  <si>
    <t xml:space="preserve">21000.010721/2009-44</t>
  </si>
  <si>
    <t xml:space="preserve">Imazethapyr Técnico August</t>
  </si>
  <si>
    <t xml:space="preserve">21000.011072/2009-07</t>
  </si>
  <si>
    <t xml:space="preserve">Diuron Técnico August</t>
  </si>
  <si>
    <t xml:space="preserve">21000.011266/2008-13</t>
  </si>
  <si>
    <t xml:space="preserve">Tebuconazole Técnico BRA</t>
  </si>
  <si>
    <t xml:space="preserve">21000.010095/2008-13</t>
  </si>
  <si>
    <t xml:space="preserve">Saflunacil Técnico </t>
  </si>
  <si>
    <t xml:space="preserve">21000.003394/2009-74</t>
  </si>
  <si>
    <t xml:space="preserve">Tebuconazole Técnico Prentiss</t>
  </si>
  <si>
    <t xml:space="preserve">Nimox</t>
  </si>
  <si>
    <t xml:space="preserve">21000.004118/2009-23</t>
  </si>
  <si>
    <t xml:space="preserve">Chlorotalonil Técnico Helm</t>
  </si>
  <si>
    <t xml:space="preserve">21000.010236/2010-12</t>
  </si>
  <si>
    <t xml:space="preserve">Diuron Técnico Rainbow</t>
  </si>
  <si>
    <t xml:space="preserve">21000.009686/2009-11</t>
  </si>
  <si>
    <t xml:space="preserve">Zemaster Técnico</t>
  </si>
  <si>
    <t xml:space="preserve">21000.002041/2010-91</t>
  </si>
  <si>
    <t xml:space="preserve">Grifo</t>
  </si>
  <si>
    <t xml:space="preserve">21000.008581/2009-44</t>
  </si>
  <si>
    <t xml:space="preserve">Galileu XL</t>
  </si>
  <si>
    <t xml:space="preserve">Tetraconazole; Azoxistrobina</t>
  </si>
  <si>
    <t xml:space="preserve">21000.006768/2011-28</t>
  </si>
  <si>
    <t xml:space="preserve">2,4-D Técnico RB-BRA</t>
  </si>
  <si>
    <t xml:space="preserve">21000.006606/2010-17</t>
  </si>
  <si>
    <t xml:space="preserve">2,4-D Technical</t>
  </si>
  <si>
    <t xml:space="preserve">21000.010424/2010-32</t>
  </si>
  <si>
    <t xml:space="preserve">Flutriafol Técnico Alta</t>
  </si>
  <si>
    <t xml:space="preserve">21000.005510/2010-23</t>
  </si>
  <si>
    <t xml:space="preserve">2,4 - D Técnico Alta</t>
  </si>
  <si>
    <t xml:space="preserve">21000.005007/2010-78</t>
  </si>
  <si>
    <t xml:space="preserve">2,4-D Técnico Atanor II</t>
  </si>
  <si>
    <t xml:space="preserve">21000.002940/2011-74</t>
  </si>
  <si>
    <t xml:space="preserve">Imidacloprid Tradecorp Técnico</t>
  </si>
  <si>
    <t xml:space="preserve">21000.010694/2010-43</t>
  </si>
  <si>
    <t xml:space="preserve">Clorpirifós Tradecorp Técnico</t>
  </si>
  <si>
    <t xml:space="preserve">21000.008586/2009-77</t>
  </si>
  <si>
    <t xml:space="preserve">2,4-D Técnico Rainbow</t>
  </si>
  <si>
    <t xml:space="preserve">21000.010398/2010-42</t>
  </si>
  <si>
    <t xml:space="preserve">2,4-D Ácido Técnico Milenia</t>
  </si>
  <si>
    <t xml:space="preserve">21000.005029/2012-08</t>
  </si>
  <si>
    <t xml:space="preserve">Macromip Max</t>
  </si>
  <si>
    <t xml:space="preserve">21000.001107/2010-25</t>
  </si>
  <si>
    <t xml:space="preserve">Fipronil Técnico Helm</t>
  </si>
  <si>
    <t xml:space="preserve">21000.006038/2010-46</t>
  </si>
  <si>
    <t xml:space="preserve">2,4-D Técnico Alamos</t>
  </si>
  <si>
    <t xml:space="preserve">21000.002238/2009-96</t>
  </si>
  <si>
    <t xml:space="preserve">Oregon</t>
  </si>
  <si>
    <t xml:space="preserve">21000.003015/2009-46</t>
  </si>
  <si>
    <t xml:space="preserve">Glifosato Técnico Fersol 950</t>
  </si>
  <si>
    <t xml:space="preserve">21000.006265/2008-57</t>
  </si>
  <si>
    <t xml:space="preserve">Glifosato CCAB 480 SL</t>
  </si>
  <si>
    <t xml:space="preserve">21000.001145/2009-44</t>
  </si>
  <si>
    <t xml:space="preserve">Glifosato 480 BR</t>
  </si>
  <si>
    <t xml:space="preserve">21000.005836/2008-36</t>
  </si>
  <si>
    <t xml:space="preserve">Hero</t>
  </si>
  <si>
    <t xml:space="preserve">Zeta-Cipermetrina; Bifentrina</t>
  </si>
  <si>
    <t xml:space="preserve">21000.001620/2009-82</t>
  </si>
  <si>
    <t xml:space="preserve">Hexazinone Técnico II</t>
  </si>
  <si>
    <t xml:space="preserve">Ano de 2011</t>
  </si>
  <si>
    <t xml:space="preserve">21000.007830/2007-12</t>
  </si>
  <si>
    <t xml:space="preserve">Benforce</t>
  </si>
  <si>
    <t xml:space="preserve">21000.005791/2008-08</t>
  </si>
  <si>
    <t xml:space="preserve">Picloram Técnico DVA</t>
  </si>
  <si>
    <t xml:space="preserve">21000.006275/2008-92</t>
  </si>
  <si>
    <t xml:space="preserve">Propiconazole Técnico Base</t>
  </si>
  <si>
    <t xml:space="preserve">21000.000247/2009-42</t>
  </si>
  <si>
    <t xml:space="preserve">Clorimuron 250 BR</t>
  </si>
  <si>
    <t xml:space="preserve">21000.012001/2006-71</t>
  </si>
  <si>
    <t xml:space="preserve">Lantic</t>
  </si>
  <si>
    <t xml:space="preserve">21000.013892/2004-11</t>
  </si>
  <si>
    <t xml:space="preserve">Cuprodil WG</t>
  </si>
  <si>
    <t xml:space="preserve">Clorotalonil; Oxicloreto de cobre</t>
  </si>
  <si>
    <t xml:space="preserve">21000.009531/2005-51</t>
  </si>
  <si>
    <t xml:space="preserve">Zetaram WG</t>
  </si>
  <si>
    <t xml:space="preserve">21000.002875/2009-62</t>
  </si>
  <si>
    <t xml:space="preserve">Login</t>
  </si>
  <si>
    <t xml:space="preserve">21000.002549/2009-55</t>
  </si>
  <si>
    <t xml:space="preserve">Fortalezabr</t>
  </si>
  <si>
    <t xml:space="preserve">21000.005775/2009-98</t>
  </si>
  <si>
    <t xml:space="preserve">ImperadorBR</t>
  </si>
  <si>
    <t xml:space="preserve">21000.012887/2006-52</t>
  </si>
  <si>
    <t xml:space="preserve">Dursban Técnico II</t>
  </si>
  <si>
    <t xml:space="preserve">21000.006362/2008-40</t>
  </si>
  <si>
    <t xml:space="preserve">Novaluron Técnico FMC</t>
  </si>
  <si>
    <t xml:space="preserve">21000.000718/2008-31</t>
  </si>
  <si>
    <t xml:space="preserve">Clorimuron CCAB 250 WG</t>
  </si>
  <si>
    <t xml:space="preserve">21000.001153/2009-91</t>
  </si>
  <si>
    <t xml:space="preserve">Nicosulfuron Técnico Cropchem</t>
  </si>
  <si>
    <t xml:space="preserve">21000.003898/2008-11</t>
  </si>
  <si>
    <t xml:space="preserve">Pilarich Técnico</t>
  </si>
  <si>
    <t xml:space="preserve">21000.011244/2008-53</t>
  </si>
  <si>
    <t xml:space="preserve">Lufenuron Técnico DVA</t>
  </si>
  <si>
    <t xml:space="preserve">21000.001498/2008-63</t>
  </si>
  <si>
    <t xml:space="preserve">Formicida Cocapec</t>
  </si>
  <si>
    <t xml:space="preserve">Cocapec</t>
  </si>
  <si>
    <t xml:space="preserve">21000.007224/2009-69</t>
  </si>
  <si>
    <t xml:space="preserve">Lambda-Cialotrina 50 BC Genbra</t>
  </si>
  <si>
    <t xml:space="preserve">Gembra</t>
  </si>
  <si>
    <t xml:space="preserve">21000.011739/2005-30</t>
  </si>
  <si>
    <t xml:space="preserve">Evict</t>
  </si>
  <si>
    <t xml:space="preserve">21000.010800/2006-11</t>
  </si>
  <si>
    <t xml:space="preserve">Orthosulfomuron Técnico Isagro</t>
  </si>
  <si>
    <t xml:space="preserve">21000.001078/2006-15</t>
  </si>
  <si>
    <t xml:space="preserve">Abamectim 18 EC Sinon</t>
  </si>
  <si>
    <t xml:space="preserve">21000.007589/2008-11</t>
  </si>
  <si>
    <t xml:space="preserve">Acefato Técnico Consagro</t>
  </si>
  <si>
    <t xml:space="preserve">21000.010468/2008-48</t>
  </si>
  <si>
    <t xml:space="preserve">Virtuoso</t>
  </si>
  <si>
    <t xml:space="preserve">21000.011681/2006-13</t>
  </si>
  <si>
    <t xml:space="preserve">Kelion 50 Wg</t>
  </si>
  <si>
    <t xml:space="preserve">21000.004012/2009-20</t>
  </si>
  <si>
    <t xml:space="preserve">Picloram Técnico YN</t>
  </si>
  <si>
    <t xml:space="preserve">Allier Brasil</t>
  </si>
  <si>
    <t xml:space="preserve">21000.011304/2008-38</t>
  </si>
  <si>
    <t xml:space="preserve">Tebuzim 250 SC</t>
  </si>
  <si>
    <t xml:space="preserve">21000.002121/2008-21</t>
  </si>
  <si>
    <t xml:space="preserve">Flutriafol Nufarm 250 SC</t>
  </si>
  <si>
    <t xml:space="preserve">21000.010718/2004-16</t>
  </si>
  <si>
    <t xml:space="preserve">Orthene Técnico Hokko</t>
  </si>
  <si>
    <t xml:space="preserve">21000.008202/2008-35</t>
  </si>
  <si>
    <t xml:space="preserve">Carbendazim Técnico Agroimport</t>
  </si>
  <si>
    <t xml:space="preserve">21000.008686/2008-12</t>
  </si>
  <si>
    <t xml:space="preserve">Carbendazim Técnico de Sangosse</t>
  </si>
  <si>
    <t xml:space="preserve">21000.001504/2008-82</t>
  </si>
  <si>
    <t xml:space="preserve">Shadow Técnico Consagro</t>
  </si>
  <si>
    <t xml:space="preserve">21000.008137/2009-29</t>
  </si>
  <si>
    <t xml:space="preserve">Glifosato Técnico Chemtec</t>
  </si>
  <si>
    <t xml:space="preserve">21000.006487/2009-51</t>
  </si>
  <si>
    <t xml:space="preserve">Gliphosate Técnico DVA</t>
  </si>
  <si>
    <t xml:space="preserve">21000.002617/2009-86</t>
  </si>
  <si>
    <t xml:space="preserve">Hexazinon Técnico</t>
  </si>
  <si>
    <t xml:space="preserve">21000.001048/2009-51</t>
  </si>
  <si>
    <t xml:space="preserve">Thiodi Técnico</t>
  </si>
  <si>
    <t xml:space="preserve">21000.007566/2008-06</t>
  </si>
  <si>
    <t xml:space="preserve">Clorpirifós Técnico Ouro Fino</t>
  </si>
  <si>
    <t xml:space="preserve">21000.002871/2010-18</t>
  </si>
  <si>
    <t xml:space="preserve">Cetro</t>
  </si>
  <si>
    <t xml:space="preserve">Acetato de Dodecenila</t>
  </si>
  <si>
    <t xml:space="preserve">21000.002022/2008-40</t>
  </si>
  <si>
    <t xml:space="preserve">Serenade</t>
  </si>
  <si>
    <t xml:space="preserve">21000.009499/2009-37</t>
  </si>
  <si>
    <t xml:space="preserve">Afla-Guard</t>
  </si>
  <si>
    <t xml:space="preserve">Aspergilus flavus</t>
  </si>
  <si>
    <t xml:space="preserve">Biosphere</t>
  </si>
  <si>
    <t xml:space="preserve">21000.003680/2007-78</t>
  </si>
  <si>
    <t xml:space="preserve">Acronis</t>
  </si>
  <si>
    <t xml:space="preserve">Jackpot 50 EC</t>
  </si>
  <si>
    <t xml:space="preserve">21000.002719/2008-11</t>
  </si>
  <si>
    <t xml:space="preserve">Sonata</t>
  </si>
  <si>
    <t xml:space="preserve">Bacillus pumulis</t>
  </si>
  <si>
    <t xml:space="preserve">21000.006819/2009-05</t>
  </si>
  <si>
    <t xml:space="preserve">Labrador</t>
  </si>
  <si>
    <t xml:space="preserve">21000.005874/2005-46</t>
  </si>
  <si>
    <t xml:space="preserve">Alteza 30</t>
  </si>
  <si>
    <t xml:space="preserve">21000.001289/2010-34</t>
  </si>
  <si>
    <t xml:space="preserve">CDX154FP</t>
  </si>
  <si>
    <t xml:space="preserve">21000.011122/2009-48</t>
  </si>
  <si>
    <t xml:space="preserve">Inseto Estéril Moscamed</t>
  </si>
  <si>
    <r>
      <rPr>
        <i val="true"/>
        <sz val="10"/>
        <color rgb="FF000066"/>
        <rFont val="Arial"/>
        <family val="2"/>
        <charset val="1"/>
      </rPr>
      <t xml:space="preserve">Ceratitis capitata</t>
    </r>
    <r>
      <rPr>
        <sz val="10"/>
        <color rgb="FF000066"/>
        <rFont val="Arial"/>
        <family val="2"/>
        <charset val="1"/>
      </rPr>
      <t xml:space="preserve"> (Macho estéril)</t>
    </r>
  </si>
  <si>
    <t xml:space="preserve">Biofábrica</t>
  </si>
  <si>
    <t xml:space="preserve">21000.010604/2008-08</t>
  </si>
  <si>
    <t xml:space="preserve">Glifosato Técnico nortox BR</t>
  </si>
  <si>
    <t xml:space="preserve">21000.001850/2009-41</t>
  </si>
  <si>
    <t xml:space="preserve">Deoro</t>
  </si>
  <si>
    <t xml:space="preserve">21000.007451/2008-11</t>
  </si>
  <si>
    <t xml:space="preserve">Splat ME</t>
  </si>
  <si>
    <t xml:space="preserve">Metil eugenol</t>
  </si>
  <si>
    <t xml:space="preserve">Isca Tecnologia</t>
  </si>
  <si>
    <t xml:space="preserve">21000.002727/2009-48</t>
  </si>
  <si>
    <t xml:space="preserve">Carial Opti</t>
  </si>
  <si>
    <t xml:space="preserve">Mandipropamida</t>
  </si>
  <si>
    <t xml:space="preserve">21000.011705/2007-15</t>
  </si>
  <si>
    <t xml:space="preserve">Revus Opti</t>
  </si>
  <si>
    <t xml:space="preserve">21000.001132/2005-41</t>
  </si>
  <si>
    <t xml:space="preserve">Siber</t>
  </si>
  <si>
    <t xml:space="preserve">21000.009526/2001-14</t>
  </si>
  <si>
    <t xml:space="preserve">Dual Gold</t>
  </si>
  <si>
    <t xml:space="preserve">21000.010252/2008-82</t>
  </si>
  <si>
    <t xml:space="preserve">Glifosato Técnico JM</t>
  </si>
  <si>
    <t xml:space="preserve">21000.007454/2008-47</t>
  </si>
  <si>
    <t xml:space="preserve">Impessive Técnico Consagro</t>
  </si>
  <si>
    <t xml:space="preserve">21000.001515/2009-43</t>
  </si>
  <si>
    <t xml:space="preserve">Glifosato Técnico Nufarm FC</t>
  </si>
  <si>
    <t xml:space="preserve">21000.000021/2008-61</t>
  </si>
  <si>
    <t xml:space="preserve">Profenofós Técnico QGD</t>
  </si>
  <si>
    <t xml:space="preserve">21000.008854/2009-51</t>
  </si>
  <si>
    <t xml:space="preserve">Legacy</t>
  </si>
  <si>
    <t xml:space="preserve">21000.008852/2009-61</t>
  </si>
  <si>
    <t xml:space="preserve">Altima</t>
  </si>
  <si>
    <t xml:space="preserve">21000.008853/2009-14</t>
  </si>
  <si>
    <t xml:space="preserve">Ágata</t>
  </si>
  <si>
    <t xml:space="preserve">21000.001612/2009-36</t>
  </si>
  <si>
    <t xml:space="preserve">Adage 350 FS</t>
  </si>
  <si>
    <t xml:space="preserve">21000.000705/2010-87</t>
  </si>
  <si>
    <t xml:space="preserve">Bio Pseudoplusia</t>
  </si>
  <si>
    <t xml:space="preserve">(Z)-7-dodecenila</t>
  </si>
  <si>
    <t xml:space="preserve">21000.001716/2009-41</t>
  </si>
  <si>
    <t xml:space="preserve">Adage 700 WS</t>
  </si>
  <si>
    <t xml:space="preserve">21000.004299/2010-21</t>
  </si>
  <si>
    <t xml:space="preserve">Cyazofamid 400 SC</t>
  </si>
  <si>
    <t xml:space="preserve">21000.011609/2008-40</t>
  </si>
  <si>
    <t xml:space="preserve">Goal Técnico II</t>
  </si>
  <si>
    <t xml:space="preserve">21000.007886/2008-58</t>
  </si>
  <si>
    <t xml:space="preserve">Lucky Técnico Consagro</t>
  </si>
  <si>
    <t xml:space="preserve">Cresoxim-Metílico</t>
  </si>
  <si>
    <t xml:space="preserve">21000.010133/2008-20</t>
  </si>
  <si>
    <t xml:space="preserve">Imidacloprid Técnico SQ</t>
  </si>
  <si>
    <t xml:space="preserve">21000.004356/2008-58</t>
  </si>
  <si>
    <t xml:space="preserve">Sauvage</t>
  </si>
  <si>
    <t xml:space="preserve">21000.004357/2008-01</t>
  </si>
  <si>
    <t xml:space="preserve">Ferrax</t>
  </si>
  <si>
    <t xml:space="preserve">21000.005514/2010-10</t>
  </si>
  <si>
    <t xml:space="preserve">Flama</t>
  </si>
  <si>
    <t xml:space="preserve">21000.009567/2008-87</t>
  </si>
  <si>
    <t xml:space="preserve">Carbendazin Técnico Nortox BR</t>
  </si>
  <si>
    <t xml:space="preserve">21000.005564/2009-55</t>
  </si>
  <si>
    <t xml:space="preserve">Glifosato Técnico RB</t>
  </si>
  <si>
    <t xml:space="preserve">21000.002145/2011-86</t>
  </si>
  <si>
    <t xml:space="preserve">Glifosato Técnico Cheminova</t>
  </si>
  <si>
    <t xml:space="preserve">21000.003655/2009-56</t>
  </si>
  <si>
    <t xml:space="preserve">Fipronil Técnico DVA</t>
  </si>
  <si>
    <t xml:space="preserve">21000.004061/2011-87</t>
  </si>
  <si>
    <t xml:space="preserve">Glifosato Técnico SR</t>
  </si>
  <si>
    <t xml:space="preserve">21000.011631/2008-90</t>
  </si>
  <si>
    <t xml:space="preserve">Cymoxanil Técnico ZN</t>
  </si>
  <si>
    <t xml:space="preserve">21000.002616/2009-31</t>
  </si>
  <si>
    <t xml:space="preserve">Lufen Técnico</t>
  </si>
  <si>
    <t xml:space="preserve">21000.006046/2008-78</t>
  </si>
  <si>
    <t xml:space="preserve">Metsulfuron-Methyl-Tec Rotam</t>
  </si>
  <si>
    <t xml:space="preserve">21000.003651/2009-78</t>
  </si>
  <si>
    <t xml:space="preserve">Clorpirifós Técnico Helm</t>
  </si>
  <si>
    <t xml:space="preserve">21000.000788/2009-71</t>
  </si>
  <si>
    <t xml:space="preserve">Silverado</t>
  </si>
  <si>
    <t xml:space="preserve">21000.001707/2005-26</t>
  </si>
  <si>
    <t xml:space="preserve">Timon</t>
  </si>
  <si>
    <t xml:space="preserve">21000.010564/2007-13</t>
  </si>
  <si>
    <t xml:space="preserve">Acehero</t>
  </si>
  <si>
    <t xml:space="preserve">21000.001912/2009-15</t>
  </si>
  <si>
    <t xml:space="preserve">Atrazina Técnico Ouro Fino</t>
  </si>
  <si>
    <t xml:space="preserve">21000.008437/2007-46</t>
  </si>
  <si>
    <t xml:space="preserve">Royal</t>
  </si>
  <si>
    <t xml:space="preserve">Cresoxim-Metílico; Tebuconazol</t>
  </si>
  <si>
    <t xml:space="preserve">21000.011988/2009-59</t>
  </si>
  <si>
    <t xml:space="preserve">Quality</t>
  </si>
  <si>
    <t xml:space="preserve">21000.012910/2006-17</t>
  </si>
  <si>
    <t xml:space="preserve">Topsin 700</t>
  </si>
  <si>
    <t xml:space="preserve">21000.011615/2008-05</t>
  </si>
  <si>
    <t xml:space="preserve">Tino</t>
  </si>
  <si>
    <t xml:space="preserve">21000.000730/2009-27</t>
  </si>
  <si>
    <t xml:space="preserve">Glifosato Técnco Nufarm BR</t>
  </si>
  <si>
    <t xml:space="preserve">21000.011656/2009-74</t>
  </si>
  <si>
    <t xml:space="preserve">Jupi</t>
  </si>
  <si>
    <t xml:space="preserve">21000.003981/2008-82</t>
  </si>
  <si>
    <t xml:space="preserve">Maxim TB</t>
  </si>
  <si>
    <t xml:space="preserve">Metalaxil-M; Tiabendazol; Fludioxonil</t>
  </si>
  <si>
    <t xml:space="preserve">21000.008283/2011-79</t>
  </si>
  <si>
    <t xml:space="preserve">Biotésia</t>
  </si>
  <si>
    <t xml:space="preserve">Biotech</t>
  </si>
  <si>
    <t xml:space="preserve">21000.008851/2009-17</t>
  </si>
  <si>
    <t xml:space="preserve">Cignus</t>
  </si>
  <si>
    <t xml:space="preserve">21000.009622/2008-39</t>
  </si>
  <si>
    <t xml:space="preserve">Rocks</t>
  </si>
  <si>
    <t xml:space="preserve">21000.006047/2008-12</t>
  </si>
  <si>
    <t xml:space="preserve">Nicosulfuron Técnico Rotam</t>
  </si>
  <si>
    <t xml:space="preserve">21000.012054/2010-78</t>
  </si>
  <si>
    <t xml:space="preserve">Neomip</t>
  </si>
  <si>
    <t xml:space="preserve">Neoseiulus califonicus</t>
  </si>
  <si>
    <t xml:space="preserve">21000.007999/2008-53</t>
  </si>
  <si>
    <t xml:space="preserve">Unimark 700 WG</t>
  </si>
  <si>
    <t xml:space="preserve">21000.010863/2009-10</t>
  </si>
  <si>
    <t xml:space="preserve">Acetamiprid Técnico CCAB</t>
  </si>
  <si>
    <t xml:space="preserve">21000.011695/2008-91</t>
  </si>
  <si>
    <t xml:space="preserve">Trueno</t>
  </si>
  <si>
    <t xml:space="preserve">21000.002729/2009-37</t>
  </si>
  <si>
    <t xml:space="preserve">Lecar</t>
  </si>
  <si>
    <t xml:space="preserve">21000.010258/2008-50</t>
  </si>
  <si>
    <t xml:space="preserve">Fluazifop Técnico Sinon</t>
  </si>
  <si>
    <t xml:space="preserve">Fluazifop-P-Butílico</t>
  </si>
  <si>
    <t xml:space="preserve">21000.004564/2009-38</t>
  </si>
  <si>
    <t xml:space="preserve">Acetamiprid Técnico DVA</t>
  </si>
  <si>
    <t xml:space="preserve">21000.010957/2009-81</t>
  </si>
  <si>
    <t xml:space="preserve">Fipronil Técnico Agria</t>
  </si>
  <si>
    <t xml:space="preserve">21000.011050/2009-39</t>
  </si>
  <si>
    <t xml:space="preserve">Kleios</t>
  </si>
  <si>
    <t xml:space="preserve">Trifloxissulfurom-Sódico</t>
  </si>
  <si>
    <t xml:space="preserve">21000.008093/2009-37</t>
  </si>
  <si>
    <t xml:space="preserve">Camp-D</t>
  </si>
  <si>
    <t xml:space="preserve">21000.008587/2009-11</t>
  </si>
  <si>
    <t xml:space="preserve">Raio</t>
  </si>
  <si>
    <t xml:space="preserve">21000.006625/2010-35</t>
  </si>
  <si>
    <t xml:space="preserve">Methamax</t>
  </si>
  <si>
    <t xml:space="preserve">Turfal</t>
  </si>
  <si>
    <t xml:space="preserve">21000.005863/2010-23</t>
  </si>
  <si>
    <t xml:space="preserve">Clorpirifós Técnico Fersol</t>
  </si>
  <si>
    <t xml:space="preserve">21000.011049/2009-12</t>
  </si>
  <si>
    <t xml:space="preserve">Actend</t>
  </si>
  <si>
    <t xml:space="preserve">21000.002737/2009-83</t>
  </si>
  <si>
    <t xml:space="preserve">Mancozeb Técnico</t>
  </si>
  <si>
    <t xml:space="preserve">21000.004357/2009-83</t>
  </si>
  <si>
    <t xml:space="preserve">Fipronil Técnico Ouro Fino</t>
  </si>
  <si>
    <t xml:space="preserve">21000.004550/2010-58</t>
  </si>
  <si>
    <t xml:space="preserve">Glyphosate Technical</t>
  </si>
  <si>
    <t xml:space="preserve">21000.006037/2010-00</t>
  </si>
  <si>
    <t xml:space="preserve">Glifosato Técnico Alamos</t>
  </si>
  <si>
    <t xml:space="preserve">21000.008366/2009-43</t>
  </si>
  <si>
    <t xml:space="preserve">Glifosato Técnico Rainbow</t>
  </si>
  <si>
    <t xml:space="preserve">21000.005006/2010-23</t>
  </si>
  <si>
    <t xml:space="preserve">Glifosato Técnico Atanor III</t>
  </si>
  <si>
    <t xml:space="preserve">21000.011411/2008-66</t>
  </si>
  <si>
    <t xml:space="preserve">Urge 750 SP</t>
  </si>
  <si>
    <t xml:space="preserve">21000.014827/2006-74</t>
  </si>
  <si>
    <t xml:space="preserve">Grão Verde AG</t>
  </si>
  <si>
    <t xml:space="preserve">21000.010164/2009-61</t>
  </si>
  <si>
    <t xml:space="preserve">Carbendazim Nortox BR</t>
  </si>
  <si>
    <t xml:space="preserve">21000.006644/2010-61</t>
  </si>
  <si>
    <t xml:space="preserve">Altacor BR</t>
  </si>
  <si>
    <t xml:space="preserve">21000.007712/2009-76</t>
  </si>
  <si>
    <t xml:space="preserve">Azoxistrobin Técnico Cheminova</t>
  </si>
  <si>
    <t xml:space="preserve">21000.002774/2010-25</t>
  </si>
  <si>
    <t xml:space="preserve">Fipronil Técnico Nortox</t>
  </si>
  <si>
    <t xml:space="preserve">21000.014253/2006-34</t>
  </si>
  <si>
    <t xml:space="preserve">2,4-D Ácido Seco Técnico III</t>
  </si>
  <si>
    <t xml:space="preserve">21000.001034/2008-65</t>
  </si>
  <si>
    <t xml:space="preserve">Imidacloprid Técnico Nortox</t>
  </si>
  <si>
    <t xml:space="preserve">21000.011804/2009-51</t>
  </si>
  <si>
    <t xml:space="preserve">Regent Duo</t>
  </si>
  <si>
    <t xml:space="preserve">Fipronil; Alfacipermetrina</t>
  </si>
  <si>
    <t xml:space="preserve">21000.000834/2009-31</t>
  </si>
  <si>
    <t xml:space="preserve">Trichodermax EC</t>
  </si>
  <si>
    <t xml:space="preserve">21000.005442/2009-69</t>
  </si>
  <si>
    <t xml:space="preserve">Clomazone Técnico UPL</t>
  </si>
  <si>
    <t xml:space="preserve">21000.004391/2009-58</t>
  </si>
  <si>
    <t xml:space="preserve">Diurom Técnico SD</t>
  </si>
  <si>
    <t xml:space="preserve">21000.001049/2009-04</t>
  </si>
  <si>
    <t xml:space="preserve">Diurom Técnico Consagro</t>
  </si>
  <si>
    <t xml:space="preserve">21000.007685/2009-31</t>
  </si>
  <si>
    <t xml:space="preserve">Carbendazim Nortox</t>
  </si>
  <si>
    <t xml:space="preserve">21000.009480/2008-18</t>
  </si>
  <si>
    <t xml:space="preserve">Much 600 FS</t>
  </si>
  <si>
    <t xml:space="preserve">21000.010223/2008-31</t>
  </si>
  <si>
    <t xml:space="preserve">Imidacloprid Técnico Ouro Fino</t>
  </si>
  <si>
    <t xml:space="preserve">21000.000704/2009-07</t>
  </si>
  <si>
    <t xml:space="preserve">Bovemax EC</t>
  </si>
  <si>
    <t xml:space="preserve">21000.005452/2009-02</t>
  </si>
  <si>
    <t xml:space="preserve">Prospect</t>
  </si>
  <si>
    <t xml:space="preserve">21000.005454/2009-93</t>
  </si>
  <si>
    <t xml:space="preserve">Pladox</t>
  </si>
  <si>
    <t xml:space="preserve">21000.011613/2008-16</t>
  </si>
  <si>
    <t xml:space="preserve">Picloram 240 SL DVA</t>
  </si>
  <si>
    <t xml:space="preserve">21000.007877/2008-67</t>
  </si>
  <si>
    <t xml:space="preserve">Carbendazim Cropchem 500 SC</t>
  </si>
  <si>
    <t xml:space="preserve">21000.004196/2009-28</t>
  </si>
  <si>
    <t xml:space="preserve">Lambda-Cialotrina Nufarm 250 CS</t>
  </si>
  <si>
    <t xml:space="preserve">21000.011003/2011-18</t>
  </si>
  <si>
    <t xml:space="preserve">Cotesia Biocana</t>
  </si>
  <si>
    <t xml:space="preserve">Biocana</t>
  </si>
  <si>
    <t xml:space="preserve">21000.007704/2007-68</t>
  </si>
  <si>
    <t xml:space="preserve">Rivax</t>
  </si>
  <si>
    <t xml:space="preserve">21000.006982/2007-06</t>
  </si>
  <si>
    <t xml:space="preserve">Azoxistrobin Técnico Milenia</t>
  </si>
  <si>
    <t xml:space="preserve">21000.008340/2010-39</t>
  </si>
  <si>
    <t xml:space="preserve">Locker</t>
  </si>
  <si>
    <t xml:space="preserve">Carbendazim; Tebuconazol; Cresoxim-Metílico</t>
  </si>
  <si>
    <t xml:space="preserve">21000.002656/2009-83</t>
  </si>
  <si>
    <t xml:space="preserve">Fipronil Técnico Cheminova</t>
  </si>
  <si>
    <t xml:space="preserve">21000.008738/2011-56</t>
  </si>
  <si>
    <t xml:space="preserve">Cotesia Biocontrol</t>
  </si>
  <si>
    <t xml:space="preserve">21000.004722/2008-79</t>
  </si>
  <si>
    <t xml:space="preserve">Rimon Supra</t>
  </si>
  <si>
    <t xml:space="preserve">21000.006331/2009-70</t>
  </si>
  <si>
    <t xml:space="preserve">ProdutorBR</t>
  </si>
  <si>
    <t xml:space="preserve">21000.008256/2008-09</t>
  </si>
  <si>
    <t xml:space="preserve">Metsuram 600 WG</t>
  </si>
  <si>
    <t xml:space="preserve">21000.003501/2008-83</t>
  </si>
  <si>
    <t xml:space="preserve">Picloram Técnico Milenia </t>
  </si>
  <si>
    <t xml:space="preserve">Picloram </t>
  </si>
  <si>
    <t xml:space="preserve">Milenia </t>
  </si>
  <si>
    <t xml:space="preserve">Ano de 2010</t>
  </si>
  <si>
    <t xml:space="preserve">21000.011747/2007-48</t>
  </si>
  <si>
    <t xml:space="preserve">Metomil Técnico Rotam </t>
  </si>
  <si>
    <t xml:space="preserve">Metamil</t>
  </si>
  <si>
    <t xml:space="preserve">21000.006331/2008-99</t>
  </si>
  <si>
    <t xml:space="preserve">Fortuna 800 WP</t>
  </si>
  <si>
    <t xml:space="preserve">21000.013171/2004-29</t>
  </si>
  <si>
    <t xml:space="preserve">Pyraclostrobin Pré Mistura 40%</t>
  </si>
  <si>
    <t xml:space="preserve">21000.003533/2008-89</t>
  </si>
  <si>
    <t xml:space="preserve">Protectin </t>
  </si>
  <si>
    <t xml:space="preserve">21000.009234/2008-28</t>
  </si>
  <si>
    <t xml:space="preserve">Ampligo </t>
  </si>
  <si>
    <t xml:space="preserve">Lambda-Cialotrina; Clorantraniliprole</t>
  </si>
  <si>
    <t xml:space="preserve">21000.003156/1994-40</t>
  </si>
  <si>
    <t xml:space="preserve">Degesch-Magphos</t>
  </si>
  <si>
    <t xml:space="preserve">Fosfeto de Magnesio</t>
  </si>
  <si>
    <t xml:space="preserve">Degesch</t>
  </si>
  <si>
    <t xml:space="preserve">21000.005272/2006-70</t>
  </si>
  <si>
    <t xml:space="preserve">Derosal 500 BCS</t>
  </si>
  <si>
    <t xml:space="preserve">Carbendazim </t>
  </si>
  <si>
    <t xml:space="preserve">21000.009558/2007-13</t>
  </si>
  <si>
    <t xml:space="preserve">Flutriafol Técnico Nufarm</t>
  </si>
  <si>
    <t xml:space="preserve">21000.008578/2008-40</t>
  </si>
  <si>
    <t xml:space="preserve">Cimox WP Helm </t>
  </si>
  <si>
    <t xml:space="preserve">Cimoxanil; Mancozebe</t>
  </si>
  <si>
    <t xml:space="preserve">21000.013943/2006-76</t>
  </si>
  <si>
    <t xml:space="preserve">Starky</t>
  </si>
  <si>
    <t xml:space="preserve">Sulfato de Cobre</t>
  </si>
  <si>
    <t xml:space="preserve">Laboratotios Pfizer </t>
  </si>
  <si>
    <t xml:space="preserve">21000.000307/2007-65</t>
  </si>
  <si>
    <t xml:space="preserve">Mepiquat Técnico BCS</t>
  </si>
  <si>
    <t xml:space="preserve">21000.002954/1999-31</t>
  </si>
  <si>
    <t xml:space="preserve">Imazet 70 WG</t>
  </si>
  <si>
    <t xml:space="preserve">21000.005866/2006-81</t>
  </si>
  <si>
    <t xml:space="preserve">Emerald 230 ME</t>
  </si>
  <si>
    <t xml:space="preserve">21000.002791/2008-48</t>
  </si>
  <si>
    <t xml:space="preserve">Imidacloprid 700 WG helm </t>
  </si>
  <si>
    <t xml:space="preserve">21000.006584/2006-09</t>
  </si>
  <si>
    <t xml:space="preserve">Triller EC</t>
  </si>
  <si>
    <t xml:space="preserve">Bifentrina </t>
  </si>
  <si>
    <t xml:space="preserve">21000.011614/2008-52</t>
  </si>
  <si>
    <t xml:space="preserve">Tebuconazole 200 EC DVA</t>
  </si>
  <si>
    <t xml:space="preserve">Tebuconazole </t>
  </si>
  <si>
    <t xml:space="preserve">21000.003534/2008-23</t>
  </si>
  <si>
    <t xml:space="preserve">Galeão </t>
  </si>
  <si>
    <t xml:space="preserve">21000.005928/2008-16</t>
  </si>
  <si>
    <t xml:space="preserve">Tebuconazol Técnico Genbra </t>
  </si>
  <si>
    <t xml:space="preserve">21000.000899/2006-34</t>
  </si>
  <si>
    <t xml:space="preserve">Paraquat 200 SL </t>
  </si>
  <si>
    <t xml:space="preserve">21000.000531/2001-61</t>
  </si>
  <si>
    <t xml:space="preserve">MCPA Nufarm</t>
  </si>
  <si>
    <t xml:space="preserve">MCPA</t>
  </si>
  <si>
    <t xml:space="preserve">Nufarm </t>
  </si>
  <si>
    <t xml:space="preserve">21000.014932/2006-11</t>
  </si>
  <si>
    <t xml:space="preserve">Ellect</t>
  </si>
  <si>
    <t xml:space="preserve">Hidroxi de Cobre </t>
  </si>
  <si>
    <t xml:space="preserve">Oxiquimica</t>
  </si>
  <si>
    <t xml:space="preserve">21000.008607/2000-16</t>
  </si>
  <si>
    <t xml:space="preserve">Disparo</t>
  </si>
  <si>
    <t xml:space="preserve">21000.002862/2009-93</t>
  </si>
  <si>
    <t xml:space="preserve">Cotésia Bug </t>
  </si>
  <si>
    <t xml:space="preserve">Bug Agentes Biologicos </t>
  </si>
  <si>
    <t xml:space="preserve">21000.002014/2008-01</t>
  </si>
  <si>
    <t xml:space="preserve">Triflumuron Técnico Rotam </t>
  </si>
  <si>
    <t xml:space="preserve">Triflumurom</t>
  </si>
  <si>
    <t xml:space="preserve">21000.010261/2006-10</t>
  </si>
  <si>
    <t xml:space="preserve">Tema </t>
  </si>
  <si>
    <t xml:space="preserve">21000.000424/2007-29</t>
  </si>
  <si>
    <t xml:space="preserve">Cigaral </t>
  </si>
  <si>
    <t xml:space="preserve">21000.007943/2008-07</t>
  </si>
  <si>
    <t xml:space="preserve">Trichobug</t>
  </si>
  <si>
    <t xml:space="preserve">21000.006596/1999-44</t>
  </si>
  <si>
    <t xml:space="preserve">Centurion</t>
  </si>
  <si>
    <t xml:space="preserve">21000.000890/2008-95</t>
  </si>
  <si>
    <t xml:space="preserve">Bazuka 216 SL</t>
  </si>
  <si>
    <t xml:space="preserve">21000.006168/2008-64</t>
  </si>
  <si>
    <t xml:space="preserve">Midash Técnico </t>
  </si>
  <si>
    <t xml:space="preserve">Allier </t>
  </si>
  <si>
    <t xml:space="preserve">21000.008276/2007-91</t>
  </si>
  <si>
    <t xml:space="preserve">Glifosato Técnico Sabero </t>
  </si>
  <si>
    <t xml:space="preserve">Sabero </t>
  </si>
  <si>
    <t xml:space="preserve">21000.014731/2006-14</t>
  </si>
  <si>
    <t xml:space="preserve">Picus </t>
  </si>
  <si>
    <t xml:space="preserve">21000.001213/2009-75</t>
  </si>
  <si>
    <t xml:space="preserve">Diuron Técnico Ouro Fino </t>
  </si>
  <si>
    <t xml:space="preserve">21000.010552/2007-81</t>
  </si>
  <si>
    <t xml:space="preserve">Propiconazole Técnico DVA </t>
  </si>
  <si>
    <t xml:space="preserve">Propiconazole </t>
  </si>
  <si>
    <t xml:space="preserve">21000.010849/2009-16</t>
  </si>
  <si>
    <t xml:space="preserve">MagnusBR </t>
  </si>
  <si>
    <t xml:space="preserve">21000.001645/2008-03</t>
  </si>
  <si>
    <t xml:space="preserve">Flumetralin Técnico Luxenburg </t>
  </si>
  <si>
    <t xml:space="preserve">Flumetralim </t>
  </si>
  <si>
    <t xml:space="preserve">Luxembutg </t>
  </si>
  <si>
    <t xml:space="preserve">21000.009833/2007-91</t>
  </si>
  <si>
    <t xml:space="preserve">Loop </t>
  </si>
  <si>
    <t xml:space="preserve">Cheminova </t>
  </si>
  <si>
    <t xml:space="preserve">21000.011617/2008-96</t>
  </si>
  <si>
    <t xml:space="preserve">Tebuconazole Técnico Biorisk</t>
  </si>
  <si>
    <t xml:space="preserve">21000.011202/2004-99</t>
  </si>
  <si>
    <t xml:space="preserve">Acrinathrin Técnico BCS</t>
  </si>
  <si>
    <t xml:space="preserve">Acrinatrina</t>
  </si>
  <si>
    <t xml:space="preserve">21000.001542/2009-16</t>
  </si>
  <si>
    <t xml:space="preserve">Lambda Cyhalothrin 250 DVA</t>
  </si>
  <si>
    <t xml:space="preserve">21000.009091/2006-12</t>
  </si>
  <si>
    <t xml:space="preserve">Tacora 250 EW</t>
  </si>
  <si>
    <t xml:space="preserve">21000.011264/2008-24</t>
  </si>
  <si>
    <t xml:space="preserve">Carbendazim Técnico Nortox </t>
  </si>
  <si>
    <t xml:space="preserve">21000.001543/2009-61</t>
  </si>
  <si>
    <t xml:space="preserve">Lambda Cyhalothrin 5% EC </t>
  </si>
  <si>
    <t xml:space="preserve">21000.005947/2008-42</t>
  </si>
  <si>
    <t xml:space="preserve">Grassato Técnico</t>
  </si>
  <si>
    <t xml:space="preserve">21000.011687/2008-44</t>
  </si>
  <si>
    <t xml:space="preserve">Carbendazim Técnico Helm </t>
  </si>
  <si>
    <t xml:space="preserve">21000.006761/2008-19</t>
  </si>
  <si>
    <t xml:space="preserve">Lambda-Cialotrina Técnico Genbra</t>
  </si>
  <si>
    <t xml:space="preserve">21000.011076/2007-15</t>
  </si>
  <si>
    <t xml:space="preserve">Certeza </t>
  </si>
  <si>
    <t xml:space="preserve">Tiofanato-Metilico; Fluazinan </t>
  </si>
  <si>
    <t xml:space="preserve">21000.002710/1996-23</t>
  </si>
  <si>
    <t xml:space="preserve">Prevail </t>
  </si>
  <si>
    <t xml:space="preserve">Flumetsulam</t>
  </si>
  <si>
    <t xml:space="preserve">21000.012397/2006-56</t>
  </si>
  <si>
    <t xml:space="preserve">Curathane SC</t>
  </si>
  <si>
    <t xml:space="preserve">21000.014995/2006-60</t>
  </si>
  <si>
    <t xml:space="preserve">Platinum Neo </t>
  </si>
  <si>
    <t xml:space="preserve">Tiametoxam; Lambda-Cialotrina </t>
  </si>
  <si>
    <t xml:space="preserve">21000.012038/2006-07</t>
  </si>
  <si>
    <t xml:space="preserve">Eforia</t>
  </si>
  <si>
    <t xml:space="preserve">21000.007882/2006-16</t>
  </si>
  <si>
    <t xml:space="preserve">Mesosulfuron Methyl Técnico</t>
  </si>
  <si>
    <t xml:space="preserve">Metsulfurom-Metil</t>
  </si>
  <si>
    <t xml:space="preserve">21000.009619/2008-15</t>
  </si>
  <si>
    <t xml:space="preserve">Metomil Técnico Ouro Fino </t>
  </si>
  <si>
    <t xml:space="preserve">21000.006836/2007-72</t>
  </si>
  <si>
    <t xml:space="preserve">Chlorimuron Técnico Sinon </t>
  </si>
  <si>
    <t xml:space="preserve">Clorimurom-Metil</t>
  </si>
  <si>
    <t xml:space="preserve">21000.011131/2007-77</t>
  </si>
  <si>
    <t xml:space="preserve">Emthane 800 WP</t>
  </si>
  <si>
    <t xml:space="preserve">21000.012886/2006-16</t>
  </si>
  <si>
    <t xml:space="preserve">Entrust</t>
  </si>
  <si>
    <t xml:space="preserve">Espinosade </t>
  </si>
  <si>
    <t xml:space="preserve">21000.010222/2007-95</t>
  </si>
  <si>
    <t xml:space="preserve">Flexin </t>
  </si>
  <si>
    <t xml:space="preserve">21000.002272/2009-61</t>
  </si>
  <si>
    <t xml:space="preserve">Methomyl Técnico Helm </t>
  </si>
  <si>
    <t xml:space="preserve">21000.013963/2005-66</t>
  </si>
  <si>
    <t xml:space="preserve">Afalom 450 EC</t>
  </si>
  <si>
    <t xml:space="preserve">Linurom</t>
  </si>
  <si>
    <t xml:space="preserve">21000.010226/2008-54</t>
  </si>
  <si>
    <t xml:space="preserve">Rascal</t>
  </si>
  <si>
    <t xml:space="preserve">21000.000715/2008-06</t>
  </si>
  <si>
    <t xml:space="preserve">Status </t>
  </si>
  <si>
    <t xml:space="preserve">Oxicloreto de Cobre </t>
  </si>
  <si>
    <t xml:space="preserve">21000.000716/2008-42</t>
  </si>
  <si>
    <t xml:space="preserve">Copsuper </t>
  </si>
  <si>
    <t xml:space="preserve">21000.009489/2008-11</t>
  </si>
  <si>
    <t xml:space="preserve">Imidagold 700 WG</t>
  </si>
  <si>
    <t xml:space="preserve">United </t>
  </si>
  <si>
    <t xml:space="preserve">21000.000056/2008-08</t>
  </si>
  <si>
    <t xml:space="preserve">Liberty BCS</t>
  </si>
  <si>
    <t xml:space="preserve">Glufosinato - Sal de Amônio </t>
  </si>
  <si>
    <t xml:space="preserve">21000.004171/2006-81</t>
  </si>
  <si>
    <t xml:space="preserve">Lord </t>
  </si>
  <si>
    <t xml:space="preserve">Cletodin</t>
  </si>
  <si>
    <t xml:space="preserve">21000.011652/2007-24</t>
  </si>
  <si>
    <t xml:space="preserve">Cypress 400 EC</t>
  </si>
  <si>
    <t xml:space="preserve">Difenoconazol; Ciproconazol </t>
  </si>
  <si>
    <t xml:space="preserve">21000.000635/2008-42</t>
  </si>
  <si>
    <t xml:space="preserve">Biometha GR Plus</t>
  </si>
  <si>
    <t xml:space="preserve">21000.005719/2008-72</t>
  </si>
  <si>
    <t xml:space="preserve">Acefato Técnico ADB</t>
  </si>
  <si>
    <t xml:space="preserve">21000.011651/2008-61</t>
  </si>
  <si>
    <t xml:space="preserve">Eco Meta </t>
  </si>
  <si>
    <t xml:space="preserve">21000.008633/2001-25</t>
  </si>
  <si>
    <t xml:space="preserve">Serpent </t>
  </si>
  <si>
    <t xml:space="preserve">21000.001965/2009-36</t>
  </si>
  <si>
    <t xml:space="preserve">Nicosulfuron Técnico GAT</t>
  </si>
  <si>
    <t xml:space="preserve">Vitalis </t>
  </si>
  <si>
    <t xml:space="preserve">21000.001184/2008-61</t>
  </si>
  <si>
    <t xml:space="preserve">Acefato Técnico SB</t>
  </si>
  <si>
    <t xml:space="preserve">21000.004684/2008-54</t>
  </si>
  <si>
    <t xml:space="preserve">Imidacloprido Técnico Consagro </t>
  </si>
  <si>
    <t xml:space="preserve">Consagro </t>
  </si>
  <si>
    <t xml:space="preserve">21000.010737/2008-76</t>
  </si>
  <si>
    <t xml:space="preserve">Carbendazim Técnico Ouro Fino </t>
  </si>
  <si>
    <t xml:space="preserve">21000.008274/2007-00</t>
  </si>
  <si>
    <t xml:space="preserve">Acefato Técnico Sabero </t>
  </si>
  <si>
    <t xml:space="preserve">21000.000405/2009-64</t>
  </si>
  <si>
    <t xml:space="preserve">21000.002934/2008-11</t>
  </si>
  <si>
    <t xml:space="preserve">Mirza 480 SC</t>
  </si>
  <si>
    <t xml:space="preserve">21000.006045/2008-23</t>
  </si>
  <si>
    <t xml:space="preserve">Wasp 480 SC </t>
  </si>
  <si>
    <t xml:space="preserve">21000.007268/2008-16</t>
  </si>
  <si>
    <t xml:space="preserve">Lambda-Cialotrin Técnico Nufarm</t>
  </si>
  <si>
    <t xml:space="preserve">Lambda-Cialotrina </t>
  </si>
  <si>
    <t xml:space="preserve">21000.012362/2006-17</t>
  </si>
  <si>
    <t xml:space="preserve">Piroclodtrobon Técnico Cristalin </t>
  </si>
  <si>
    <t xml:space="preserve">21000.010504/2009-54</t>
  </si>
  <si>
    <t xml:space="preserve">DemolidorBR</t>
  </si>
  <si>
    <t xml:space="preserve">21000.009620/2008-40</t>
  </si>
  <si>
    <t xml:space="preserve">Tebuthiurom Técnico Ouro Fino </t>
  </si>
  <si>
    <t xml:space="preserve">Tebutiurom </t>
  </si>
  <si>
    <t xml:space="preserve">21000.000707/2009-32</t>
  </si>
  <si>
    <t xml:space="preserve">Glifoxin</t>
  </si>
  <si>
    <t xml:space="preserve">21000.007733/2009-91</t>
  </si>
  <si>
    <t xml:space="preserve">Poquer </t>
  </si>
  <si>
    <t xml:space="preserve">21000.009295/2008-15</t>
  </si>
  <si>
    <t xml:space="preserve">Lambda-Cyhalothrin Técnico Rotam </t>
  </si>
  <si>
    <t xml:space="preserve">21000.002624/2009-88</t>
  </si>
  <si>
    <t xml:space="preserve">Hexazinone Técnico Prentiss </t>
  </si>
  <si>
    <t xml:space="preserve">Prentiss </t>
  </si>
  <si>
    <t xml:space="preserve">21000.004871/1999-86</t>
  </si>
  <si>
    <t xml:space="preserve">Roundup Ready Milho</t>
  </si>
  <si>
    <t xml:space="preserve">21000.011587/2006-56</t>
  </si>
  <si>
    <t xml:space="preserve">Glifosato TK</t>
  </si>
  <si>
    <t xml:space="preserve">Atanor </t>
  </si>
  <si>
    <t xml:space="preserve">21000.009438/2008-99</t>
  </si>
  <si>
    <t xml:space="preserve">Legend 250 SL</t>
  </si>
  <si>
    <t xml:space="preserve">Cloreto de Mepiquat </t>
  </si>
  <si>
    <t xml:space="preserve">21000.000925/2009-77</t>
  </si>
  <si>
    <t xml:space="preserve">Diflubenzurom Técnico DVA </t>
  </si>
  <si>
    <t xml:space="preserve">Diflubenzurom </t>
  </si>
  <si>
    <t xml:space="preserve">21000.009767/2008-30</t>
  </si>
  <si>
    <t xml:space="preserve">Abacus HC</t>
  </si>
  <si>
    <t xml:space="preserve">Piraclostrobina; Epoxiconazole</t>
  </si>
  <si>
    <t xml:space="preserve">21000.005006/2008-17</t>
  </si>
  <si>
    <t xml:space="preserve">Caramba Plus</t>
  </si>
  <si>
    <t xml:space="preserve">Piraclostrobina; Metconazol</t>
  </si>
  <si>
    <t xml:space="preserve">21000.007394/2008-62</t>
  </si>
  <si>
    <t xml:space="preserve">Picloram Técnico BRA </t>
  </si>
  <si>
    <t xml:space="preserve">21000.007809/2008-06</t>
  </si>
  <si>
    <t xml:space="preserve">Picloram Técnico Prentiss </t>
  </si>
  <si>
    <t xml:space="preserve">21000.008681/2008-91</t>
  </si>
  <si>
    <t xml:space="preserve">Carbendazim Técnico Biesterfeld</t>
  </si>
  <si>
    <t xml:space="preserve">Biesterfeld </t>
  </si>
  <si>
    <t xml:space="preserve">21000.004801/2009-61</t>
  </si>
  <si>
    <t xml:space="preserve">Netuno 750 WG</t>
  </si>
  <si>
    <t xml:space="preserve">Hexazinone</t>
  </si>
  <si>
    <t xml:space="preserve">21000.005224/2009-24</t>
  </si>
  <si>
    <t xml:space="preserve">Rambo 750 WG</t>
  </si>
  <si>
    <t xml:space="preserve">21000.007701/2009-96</t>
  </si>
  <si>
    <t xml:space="preserve">SucessoBR</t>
  </si>
  <si>
    <t xml:space="preserve">21000.002548/2010-44</t>
  </si>
  <si>
    <t xml:space="preserve">BrilhanteBR</t>
  </si>
  <si>
    <t xml:space="preserve">21000.005342/2009-32</t>
  </si>
  <si>
    <t xml:space="preserve">Front</t>
  </si>
  <si>
    <t xml:space="preserve">21000.003321/2009-82</t>
  </si>
  <si>
    <t xml:space="preserve">Lambda-Cialotrina CCAB 50 EC</t>
  </si>
  <si>
    <t xml:space="preserve">21000.002831/2007-71</t>
  </si>
  <si>
    <t xml:space="preserve">Stilo</t>
  </si>
  <si>
    <t xml:space="preserve">21000.000406/2009-17</t>
  </si>
  <si>
    <t xml:space="preserve">Tebuconazole Técnico Ouro Fino</t>
  </si>
  <si>
    <t xml:space="preserve">21000.009022/2007-90</t>
  </si>
  <si>
    <t xml:space="preserve">Imazalil Técnico Defensive</t>
  </si>
  <si>
    <t xml:space="preserve">Imazalil </t>
  </si>
  <si>
    <t xml:space="preserve">Defensive </t>
  </si>
  <si>
    <t xml:space="preserve">Ano de 2009</t>
  </si>
  <si>
    <t xml:space="preserve">21000.003737/2006-58</t>
  </si>
  <si>
    <t xml:space="preserve">Carial </t>
  </si>
  <si>
    <t xml:space="preserve">21000.012452/2006-16</t>
  </si>
  <si>
    <t xml:space="preserve">Triclopyr 480 Volagro </t>
  </si>
  <si>
    <t xml:space="preserve">Volcano </t>
  </si>
  <si>
    <t xml:space="preserve">21000.012832/2006-42</t>
  </si>
  <si>
    <t xml:space="preserve">Consento </t>
  </si>
  <si>
    <t xml:space="preserve">Cloridrato de Propamocarbe; Fenamidona</t>
  </si>
  <si>
    <t xml:space="preserve">21000.010118/2006-10</t>
  </si>
  <si>
    <t xml:space="preserve">Tapak</t>
  </si>
  <si>
    <t xml:space="preserve">Óxido de Fenbutatina </t>
  </si>
  <si>
    <t xml:space="preserve">21000.005830/2007-88</t>
  </si>
  <si>
    <t xml:space="preserve">Tarkill SC</t>
  </si>
  <si>
    <t xml:space="preserve">Poland</t>
  </si>
  <si>
    <t xml:space="preserve">21000.004684/2007-73</t>
  </si>
  <si>
    <t xml:space="preserve">Gold's Técnico Consagro </t>
  </si>
  <si>
    <t xml:space="preserve">21000.001528/2006-70</t>
  </si>
  <si>
    <t xml:space="preserve">Acuthon</t>
  </si>
  <si>
    <t xml:space="preserve">21000.014001/2004-43</t>
  </si>
  <si>
    <t xml:space="preserve">Dagostar WG</t>
  </si>
  <si>
    <t xml:space="preserve">21000.006615/1998-14</t>
  </si>
  <si>
    <t xml:space="preserve">Steel BR</t>
  </si>
  <si>
    <t xml:space="preserve">Imazetapir; Imazaquim; Pendimetalina</t>
  </si>
  <si>
    <t xml:space="preserve">21000.000754/2008-03</t>
  </si>
  <si>
    <t xml:space="preserve">Reator 360 CS</t>
  </si>
  <si>
    <t xml:space="preserve">21000.014649/2006-81</t>
  </si>
  <si>
    <t xml:space="preserve">Standak</t>
  </si>
  <si>
    <t xml:space="preserve">Piraclostrobina; Tiofanato-Metílico; Fipronil </t>
  </si>
  <si>
    <t xml:space="preserve">21000.012271/2003-39</t>
  </si>
  <si>
    <t xml:space="preserve">Completto Técnico </t>
  </si>
  <si>
    <t xml:space="preserve">Bentiavalicarbe Isopropilico </t>
  </si>
  <si>
    <t xml:space="preserve">21000.003595/2008-91</t>
  </si>
  <si>
    <t xml:space="preserve">Hexazinona Nortox 250 SL </t>
  </si>
  <si>
    <t xml:space="preserve">21000.002560/2008-34</t>
  </si>
  <si>
    <t xml:space="preserve">Hexazinona Nortox </t>
  </si>
  <si>
    <t xml:space="preserve">21000.011785/2007-09</t>
  </si>
  <si>
    <t xml:space="preserve">Gold's 500 SC </t>
  </si>
  <si>
    <t xml:space="preserve">21000.012883/2003-21</t>
  </si>
  <si>
    <t xml:space="preserve">Completto</t>
  </si>
  <si>
    <t xml:space="preserve">21000.014718/2006-57</t>
  </si>
  <si>
    <t xml:space="preserve">Oxicloreto de Cobre Técnico Isagro </t>
  </si>
  <si>
    <t xml:space="preserve">Isagro </t>
  </si>
  <si>
    <t xml:space="preserve">21000.009532/2005-03</t>
  </si>
  <si>
    <t xml:space="preserve">Belt Técnico </t>
  </si>
  <si>
    <t xml:space="preserve">Flubendiamide</t>
  </si>
  <si>
    <t xml:space="preserve">21000.011776/2007-18</t>
  </si>
  <si>
    <t xml:space="preserve">Crescendo </t>
  </si>
  <si>
    <t xml:space="preserve">21000.002676/2008-73</t>
  </si>
  <si>
    <t xml:space="preserve">Dart</t>
  </si>
  <si>
    <t xml:space="preserve">21000.002677/2008-18</t>
  </si>
  <si>
    <t xml:space="preserve">Dart 150</t>
  </si>
  <si>
    <r>
      <rPr>
        <b val="true"/>
        <sz val="10"/>
        <color rgb="FF000066"/>
        <rFont val="Arial"/>
        <family val="2"/>
        <charset val="1"/>
      </rPr>
      <t xml:space="preserve">Bio </t>
    </r>
    <r>
      <rPr>
        <sz val="10"/>
        <color rgb="FF000066"/>
        <rFont val="Arial"/>
        <family val="2"/>
        <charset val="1"/>
      </rPr>
      <t xml:space="preserve">- Produto Formulado Biológico, Microbiológico, Bioquímico, Extrato Vegetal, Regulador de Crescimento ou Semioquímico, de Baixo Risco</t>
    </r>
  </si>
  <si>
    <t xml:space="preserve">21000.013910/2006-26</t>
  </si>
  <si>
    <t xml:space="preserve">Previcur BCS</t>
  </si>
  <si>
    <t xml:space="preserve">21000.000717/2008-97</t>
  </si>
  <si>
    <t xml:space="preserve">Carbendazin 500 SC</t>
  </si>
  <si>
    <t xml:space="preserve">21000.009944/2005-35</t>
  </si>
  <si>
    <t xml:space="preserve">Belt </t>
  </si>
  <si>
    <t xml:space="preserve">21000.001661/2008-98</t>
  </si>
  <si>
    <t xml:space="preserve">Imidacloprid 97 Técnico Helm </t>
  </si>
  <si>
    <t xml:space="preserve">21000.002351/2007-18</t>
  </si>
  <si>
    <t xml:space="preserve">Mepiquat Técnico Cheminova</t>
  </si>
  <si>
    <t xml:space="preserve">21000.001862/2006-23</t>
  </si>
  <si>
    <t xml:space="preserve">Diflubenzurom 250 WP Sinon </t>
  </si>
  <si>
    <t xml:space="preserve">21000.010544/2006-53</t>
  </si>
  <si>
    <t xml:space="preserve">Nuprid 700 WG</t>
  </si>
  <si>
    <t xml:space="preserve">21000.004971/2008-64</t>
  </si>
  <si>
    <t xml:space="preserve">2,4-D Nortox </t>
  </si>
  <si>
    <t xml:space="preserve">21000.012364/2006-14</t>
  </si>
  <si>
    <t xml:space="preserve">Envoy SE</t>
  </si>
  <si>
    <t xml:space="preserve">21000.006024/2007-27</t>
  </si>
  <si>
    <t xml:space="preserve">Thiodcarbe 350 SC</t>
  </si>
  <si>
    <t xml:space="preserve">21000.007219/2008-75</t>
  </si>
  <si>
    <t xml:space="preserve">2,4-D Nortox 806 SL</t>
  </si>
  <si>
    <t xml:space="preserve">21000.011784/2007-56</t>
  </si>
  <si>
    <t xml:space="preserve">Truppe 200 EC</t>
  </si>
  <si>
    <t xml:space="preserve">Tebuconazol </t>
  </si>
  <si>
    <t xml:space="preserve">21000.010618/2007-32</t>
  </si>
  <si>
    <t xml:space="preserve">Mepiquat Chloride Técnico Rotam </t>
  </si>
  <si>
    <t xml:space="preserve">21000.007544/2006-76</t>
  </si>
  <si>
    <t xml:space="preserve">Acefato Técnico Agripec</t>
  </si>
  <si>
    <t xml:space="preserve">21000.013491/2006-22</t>
  </si>
  <si>
    <t xml:space="preserve">Acefato Técnico UPL</t>
  </si>
  <si>
    <t xml:space="preserve">21000.001005/2007-12</t>
  </si>
  <si>
    <t xml:space="preserve">Amistar Top</t>
  </si>
  <si>
    <t xml:space="preserve">21000.008498/2003-80</t>
  </si>
  <si>
    <t xml:space="preserve">Herbitrin WG</t>
  </si>
  <si>
    <t xml:space="preserve">21000.014719/2006-00</t>
  </si>
  <si>
    <t xml:space="preserve">Hidróxido de Cobre Técnico Isagro </t>
  </si>
  <si>
    <t xml:space="preserve">Hidróxido de Cobre </t>
  </si>
  <si>
    <t xml:space="preserve">21000.011790/2007-11</t>
  </si>
  <si>
    <t xml:space="preserve">Oxicloreto de Cobre Técnico Oxiquímica </t>
  </si>
  <si>
    <t xml:space="preserve">21000.011791/2007-58</t>
  </si>
  <si>
    <t xml:space="preserve">Hidróxido de Cobre Técnico Oxiquímica </t>
  </si>
  <si>
    <t xml:space="preserve">21000.003252/2008-26</t>
  </si>
  <si>
    <t xml:space="preserve">Lambda-Cialotrine Técnico CCAB</t>
  </si>
  <si>
    <t xml:space="preserve">21000.014186/2006-58</t>
  </si>
  <si>
    <t xml:space="preserve">Saluzi 600 FS</t>
  </si>
  <si>
    <t xml:space="preserve">21000.014197/2006-38</t>
  </si>
  <si>
    <t xml:space="preserve">Imidacloprid 600 FS</t>
  </si>
  <si>
    <t xml:space="preserve">21000.001712/2007-09</t>
  </si>
  <si>
    <t xml:space="preserve">Extreme </t>
  </si>
  <si>
    <t xml:space="preserve">21000.001713/2007-45</t>
  </si>
  <si>
    <t xml:space="preserve">Majesty</t>
  </si>
  <si>
    <t xml:space="preserve">21000.002839/2007-37</t>
  </si>
  <si>
    <t xml:space="preserve">Sponsor </t>
  </si>
  <si>
    <t xml:space="preserve">21000.002640/2008-90</t>
  </si>
  <si>
    <t xml:space="preserve">Dez</t>
  </si>
  <si>
    <t xml:space="preserve">21000.011408/2007-61</t>
  </si>
  <si>
    <t xml:space="preserve">Tebuconazole Técnico DVA </t>
  </si>
  <si>
    <t xml:space="preserve">21000.008460/1999-70</t>
  </si>
  <si>
    <t xml:space="preserve">Bumper </t>
  </si>
  <si>
    <t xml:space="preserve">21000.006022/2007-38</t>
  </si>
  <si>
    <t xml:space="preserve">Saddler 350 SC</t>
  </si>
  <si>
    <t xml:space="preserve">21000.006310/1998-59</t>
  </si>
  <si>
    <t xml:space="preserve">Liberty</t>
  </si>
  <si>
    <t xml:space="preserve">21000.004707/2000-73</t>
  </si>
  <si>
    <t xml:space="preserve">Fuguron Azul</t>
  </si>
  <si>
    <t xml:space="preserve">Novaquim</t>
  </si>
  <si>
    <t xml:space="preserve">21000.011524/2007-81</t>
  </si>
  <si>
    <t xml:space="preserve">Limits 500 SC </t>
  </si>
  <si>
    <t xml:space="preserve">21000.007858/2007-50</t>
  </si>
  <si>
    <t xml:space="preserve">Metrubuzim Técnico UPL</t>
  </si>
  <si>
    <t xml:space="preserve">21000.012377/2006-85</t>
  </si>
  <si>
    <t xml:space="preserve">Rotaprid 350 SC</t>
  </si>
  <si>
    <t xml:space="preserve">21000.014774/2006-91</t>
  </si>
  <si>
    <t xml:space="preserve">Imidacloprid 700 WG</t>
  </si>
  <si>
    <t xml:space="preserve">21000.014772/2006-01</t>
  </si>
  <si>
    <t xml:space="preserve">Bamoko 700 WG</t>
  </si>
  <si>
    <t xml:space="preserve">21000.003128/2008-61</t>
  </si>
  <si>
    <t xml:space="preserve">Hexazinone Técnico Base </t>
  </si>
  <si>
    <t xml:space="preserve">21000.003202/2007-68</t>
  </si>
  <si>
    <t xml:space="preserve">Banole HV</t>
  </si>
  <si>
    <t xml:space="preserve">Óleo Mineral Parafínico </t>
  </si>
  <si>
    <t xml:space="preserve">Total Lubrificantes do Brasil </t>
  </si>
  <si>
    <t xml:space="preserve">21000.006376/2007-82</t>
  </si>
  <si>
    <t xml:space="preserve">Shar-Teb Técnico </t>
  </si>
  <si>
    <t xml:space="preserve">AlierBrasil</t>
  </si>
  <si>
    <t xml:space="preserve">21000.008570/2008-83</t>
  </si>
  <si>
    <t xml:space="preserve">Hexazinona Técnico Cropchem </t>
  </si>
  <si>
    <t xml:space="preserve">21000.008537/2008-53</t>
  </si>
  <si>
    <t xml:space="preserve">Hexazinona Técncio BRA</t>
  </si>
  <si>
    <t xml:space="preserve">21000.003253/2008-71</t>
  </si>
  <si>
    <t xml:space="preserve">Tebuconazol Técnico CCAB</t>
  </si>
  <si>
    <t xml:space="preserve">21000.004974/2007-17</t>
  </si>
  <si>
    <t xml:space="preserve">Pramilho</t>
  </si>
  <si>
    <t xml:space="preserve">21000.002816/2005-61</t>
  </si>
  <si>
    <t xml:space="preserve">Inceris</t>
  </si>
  <si>
    <t xml:space="preserve">21000.007129/2001-16</t>
  </si>
  <si>
    <t xml:space="preserve">Abamex BR</t>
  </si>
  <si>
    <t xml:space="preserve">21000.004465/2005-22</t>
  </si>
  <si>
    <t xml:space="preserve">Daconil WG</t>
  </si>
  <si>
    <t xml:space="preserve">21000.002813/2005-27</t>
  </si>
  <si>
    <t xml:space="preserve">Thorn</t>
  </si>
  <si>
    <t xml:space="preserve">21000.009672/2007-35</t>
  </si>
  <si>
    <t xml:space="preserve">Band</t>
  </si>
  <si>
    <t xml:space="preserve">21000.009410/2006-90</t>
  </si>
  <si>
    <t xml:space="preserve">Kentan 40 WG</t>
  </si>
  <si>
    <t xml:space="preserve">21000.009941/2007-63</t>
  </si>
  <si>
    <t xml:space="preserve">Buron</t>
  </si>
  <si>
    <t xml:space="preserve">21000.008216/2006-97</t>
  </si>
  <si>
    <t xml:space="preserve">Tacora Técnico </t>
  </si>
  <si>
    <t xml:space="preserve">CrossLinck</t>
  </si>
  <si>
    <t xml:space="preserve">21000.004543/2006-70</t>
  </si>
  <si>
    <t xml:space="preserve">Alterne </t>
  </si>
  <si>
    <t xml:space="preserve">21000.000240/2007-69</t>
  </si>
  <si>
    <t xml:space="preserve">Smartfersh Smarttabs</t>
  </si>
  <si>
    <t xml:space="preserve">21000.011298/2007-38</t>
  </si>
  <si>
    <t xml:space="preserve">Thiram Técnico Flexsys</t>
  </si>
  <si>
    <t xml:space="preserve">21000.008934/2007-44</t>
  </si>
  <si>
    <t xml:space="preserve">Unizeb 800 WP</t>
  </si>
  <si>
    <t xml:space="preserve">Mancozebe </t>
  </si>
  <si>
    <t xml:space="preserve">21000.010622/2007-09</t>
  </si>
  <si>
    <t xml:space="preserve">Hexazinona D Nortox </t>
  </si>
  <si>
    <t xml:space="preserve">21000.004525/2004-26</t>
  </si>
  <si>
    <t xml:space="preserve">Stron 600 SL</t>
  </si>
  <si>
    <t xml:space="preserve">Metamidofós </t>
  </si>
  <si>
    <t xml:space="preserve">21000.002138/2006-17</t>
  </si>
  <si>
    <t xml:space="preserve">Viviful Técnico </t>
  </si>
  <si>
    <t xml:space="preserve">21000.010738/2006-59</t>
  </si>
  <si>
    <t xml:space="preserve">Viviful</t>
  </si>
  <si>
    <t xml:space="preserve">21000.004215/2008-35</t>
  </si>
  <si>
    <t xml:space="preserve">Hexafort</t>
  </si>
  <si>
    <t xml:space="preserve">21000.008367/2007-26</t>
  </si>
  <si>
    <t xml:space="preserve">Guapo </t>
  </si>
  <si>
    <t xml:space="preserve">Cresoxim-Metilico; Epoxiconazol</t>
  </si>
  <si>
    <t xml:space="preserve">21000.011209/2007-53</t>
  </si>
  <si>
    <t xml:space="preserve">Rincoforol</t>
  </si>
  <si>
    <t xml:space="preserve">Interacta </t>
  </si>
  <si>
    <t xml:space="preserve">21000.014730/2006-61</t>
  </si>
  <si>
    <t xml:space="preserve">Warrant 700 WG</t>
  </si>
  <si>
    <t xml:space="preserve">21000.008107/2007-51</t>
  </si>
  <si>
    <t xml:space="preserve">Chlorantraniliprole Técnico </t>
  </si>
  <si>
    <t xml:space="preserve">Du Pont </t>
  </si>
  <si>
    <t xml:space="preserve">21000.008439/2007-35</t>
  </si>
  <si>
    <t xml:space="preserve">Altacor</t>
  </si>
  <si>
    <t xml:space="preserve">21000.014652/2006-03</t>
  </si>
  <si>
    <t xml:space="preserve">Brio </t>
  </si>
  <si>
    <t xml:space="preserve">21000.008483/2007-91</t>
  </si>
  <si>
    <t xml:space="preserve">Premio</t>
  </si>
  <si>
    <t xml:space="preserve">21000.014651/2006-51</t>
  </si>
  <si>
    <t xml:space="preserve">Juwel</t>
  </si>
  <si>
    <t xml:space="preserve">Epoxiconazole; Cresoxim-Metílico</t>
  </si>
  <si>
    <t xml:space="preserve">21000.014650/2006-14</t>
  </si>
  <si>
    <t xml:space="preserve">Juwel SC</t>
  </si>
  <si>
    <t xml:space="preserve">21000.009284/2008-35</t>
  </si>
  <si>
    <t xml:space="preserve">Abamectin DVA 18 EC </t>
  </si>
  <si>
    <t xml:space="preserve">21000.010616/2007-43</t>
  </si>
  <si>
    <t xml:space="preserve">Tebuzol 200 EC</t>
  </si>
  <si>
    <t xml:space="preserve">21000.009039/2005-85</t>
  </si>
  <si>
    <t xml:space="preserve">Actelliclambda</t>
  </si>
  <si>
    <t xml:space="preserve">21000.009017/2002-72</t>
  </si>
  <si>
    <t xml:space="preserve">Absoluto Técnico </t>
  </si>
  <si>
    <t xml:space="preserve">Ihara </t>
  </si>
  <si>
    <t xml:space="preserve">21000.004685/2008-07</t>
  </si>
  <si>
    <t xml:space="preserve">Dessicash Técnico </t>
  </si>
  <si>
    <t xml:space="preserve">Allier Brasil </t>
  </si>
  <si>
    <t xml:space="preserve">21000.010043/2007-58</t>
  </si>
  <si>
    <t xml:space="preserve">Hexanil 750 WG</t>
  </si>
  <si>
    <t xml:space="preserve">21000.011297/2007-93</t>
  </si>
  <si>
    <t xml:space="preserve">Druid 750 WG</t>
  </si>
  <si>
    <t xml:space="preserve">21000.003268/2008-39</t>
  </si>
  <si>
    <t xml:space="preserve">Cletodim Técnico Milenia </t>
  </si>
  <si>
    <t xml:space="preserve">21000.011296/2007-49</t>
  </si>
  <si>
    <t xml:space="preserve">Mepiquat 50 SL</t>
  </si>
  <si>
    <t xml:space="preserve">21000.010619/2007-87</t>
  </si>
  <si>
    <t xml:space="preserve">Applicato 50 SL</t>
  </si>
  <si>
    <t xml:space="preserve">21000.008899/2007-63</t>
  </si>
  <si>
    <t xml:space="preserve">Imidacloprido 350 SC</t>
  </si>
  <si>
    <t xml:space="preserve">21000.011811/2007-91</t>
  </si>
  <si>
    <t xml:space="preserve">Difere</t>
  </si>
  <si>
    <t xml:space="preserve">21000.009089/2007-24</t>
  </si>
  <si>
    <t xml:space="preserve">Nicosulfuron Técnico Cheminova</t>
  </si>
  <si>
    <t xml:space="preserve">21000.006185/2008-00</t>
  </si>
  <si>
    <t xml:space="preserve">Tebuconazole Terragro </t>
  </si>
  <si>
    <t xml:space="preserve">Terragro </t>
  </si>
  <si>
    <t xml:space="preserve">21000.009977/2008-28</t>
  </si>
  <si>
    <t xml:space="preserve">Hexazinona Técnico Ouro Fino </t>
  </si>
  <si>
    <t xml:space="preserve">21000.011517/2008-60</t>
  </si>
  <si>
    <t xml:space="preserve">Eleve </t>
  </si>
  <si>
    <t xml:space="preserve">21000.011782/2007-67</t>
  </si>
  <si>
    <t xml:space="preserve">Simbole 125 SC</t>
  </si>
  <si>
    <t xml:space="preserve">21000.010017/2007-20</t>
  </si>
  <si>
    <t xml:space="preserve">Mancozebe Técnico Sabero</t>
  </si>
  <si>
    <t xml:space="preserve">21000.013399/2006-62</t>
  </si>
  <si>
    <t xml:space="preserve">Abamit </t>
  </si>
  <si>
    <t xml:space="preserve">21000.003127/2008-16</t>
  </si>
  <si>
    <t xml:space="preserve">Lambda-Cyhalothtin Técnico Base </t>
  </si>
  <si>
    <t xml:space="preserve">21000.007649/2008-97</t>
  </si>
  <si>
    <t xml:space="preserve">Norton</t>
  </si>
  <si>
    <t xml:space="preserve">21000.008212/2008-71</t>
  </si>
  <si>
    <t xml:space="preserve">2,4-D + Picloram </t>
  </si>
  <si>
    <t xml:space="preserve">21000.011749/2007-37</t>
  </si>
  <si>
    <t xml:space="preserve">Solist 430 SC</t>
  </si>
  <si>
    <t xml:space="preserve">21000.002974/2008-91</t>
  </si>
  <si>
    <t xml:space="preserve">Hexazonona + Diuron WG Nortox </t>
  </si>
  <si>
    <t xml:space="preserve">21000.007606/2008-10</t>
  </si>
  <si>
    <t xml:space="preserve">Glifosato Cropchem 480 SL </t>
  </si>
  <si>
    <t xml:space="preserve">21000.007876/2008-12</t>
  </si>
  <si>
    <t xml:space="preserve">Glifosato Nutritop</t>
  </si>
  <si>
    <t xml:space="preserve">21000.004346/2008-12</t>
  </si>
  <si>
    <t xml:space="preserve">Hexazinone DVA 250 SL </t>
  </si>
  <si>
    <t xml:space="preserve">21000.003458/2007-75</t>
  </si>
  <si>
    <t xml:space="preserve">Thiophanate Methyl 500 SC Helm </t>
  </si>
  <si>
    <t xml:space="preserve">21000.005132/2008-63</t>
  </si>
  <si>
    <t xml:space="preserve">Cloreto de Mepiquat Técnico Consagro </t>
  </si>
  <si>
    <t xml:space="preserve">21000.012946/2006-92</t>
  </si>
  <si>
    <t xml:space="preserve">Appalus 200 SC</t>
  </si>
  <si>
    <t xml:space="preserve">21000.007243/2008-12</t>
  </si>
  <si>
    <t xml:space="preserve">Tebuconazole Técnico Base </t>
  </si>
  <si>
    <t xml:space="preserve">21000.009533/2005-40</t>
  </si>
  <si>
    <t xml:space="preserve">Duetto WG </t>
  </si>
  <si>
    <t xml:space="preserve">Sipcam </t>
  </si>
  <si>
    <t xml:space="preserve">21000.010965/2001-70</t>
  </si>
  <si>
    <t xml:space="preserve">Dithane WG NT</t>
  </si>
  <si>
    <t xml:space="preserve">21000.014506/2006-70</t>
  </si>
  <si>
    <t xml:space="preserve">Dithane NT WG</t>
  </si>
  <si>
    <t xml:space="preserve">21000.003297/2007-10</t>
  </si>
  <si>
    <t xml:space="preserve">Bio NEP </t>
  </si>
  <si>
    <t xml:space="preserve">Steinernema puertoricense </t>
  </si>
  <si>
    <t xml:space="preserve">Biocontrole </t>
  </si>
  <si>
    <t xml:space="preserve">21000.009232/2008-69</t>
  </si>
  <si>
    <t xml:space="preserve">Superus</t>
  </si>
  <si>
    <t xml:space="preserve">21000.004509/2008-67</t>
  </si>
  <si>
    <t xml:space="preserve">Nicosulfuron Técnico Prentiss</t>
  </si>
  <si>
    <t xml:space="preserve">21000.004852/2008-10</t>
  </si>
  <si>
    <t xml:space="preserve">Nicosulfuron Técnico DVA </t>
  </si>
  <si>
    <t xml:space="preserve">21000.010732/2008-43</t>
  </si>
  <si>
    <t xml:space="preserve">Nicosulfuron Técnico BRA</t>
  </si>
  <si>
    <t xml:space="preserve">21000.007061/2007-52</t>
  </si>
  <si>
    <t xml:space="preserve">Laredo</t>
  </si>
  <si>
    <t xml:space="preserve">21000.011717/2006-51</t>
  </si>
  <si>
    <t xml:space="preserve">Imidacloprid Nufarm</t>
  </si>
  <si>
    <t xml:space="preserve">21000.012861/2006-12</t>
  </si>
  <si>
    <t xml:space="preserve">Fox</t>
  </si>
  <si>
    <t xml:space="preserve">Trifloxistrobina; Protioconazol </t>
  </si>
  <si>
    <t xml:space="preserve">21000.006964/2006-35</t>
  </si>
  <si>
    <t xml:space="preserve">Atempla </t>
  </si>
  <si>
    <t xml:space="preserve">21000.005934/2006-10</t>
  </si>
  <si>
    <t xml:space="preserve">Seizer 100 EC</t>
  </si>
  <si>
    <t xml:space="preserve">21000.014595/2005-73</t>
  </si>
  <si>
    <t xml:space="preserve">Escudo 500 EC</t>
  </si>
  <si>
    <t xml:space="preserve">21000.012453/2006-52</t>
  </si>
  <si>
    <t xml:space="preserve">Dihex</t>
  </si>
  <si>
    <t xml:space="preserve">Ano de 2008</t>
  </si>
  <si>
    <t xml:space="preserve">21000.007671/2007-56</t>
  </si>
  <si>
    <t xml:space="preserve">Diuron 80 Voloagro</t>
  </si>
  <si>
    <t xml:space="preserve">21000.013462/2006-61</t>
  </si>
  <si>
    <t xml:space="preserve">Agris</t>
  </si>
  <si>
    <t xml:space="preserve">Óleo Mineral</t>
  </si>
  <si>
    <t xml:space="preserve">Union Agro</t>
  </si>
  <si>
    <t xml:space="preserve">21000.009251/2006-23</t>
  </si>
  <si>
    <t xml:space="preserve">Streak Técnico</t>
  </si>
  <si>
    <t xml:space="preserve">21000.014117/2004-82</t>
  </si>
  <si>
    <t xml:space="preserve">Amplo</t>
  </si>
  <si>
    <t xml:space="preserve">Bentazon; Imazamox</t>
  </si>
  <si>
    <t xml:space="preserve">21000.011235/2006-09</t>
  </si>
  <si>
    <t xml:space="preserve">Aval 100</t>
  </si>
  <si>
    <t xml:space="preserve">21000.013528/2005-31</t>
  </si>
  <si>
    <t xml:space="preserve">Lava 100</t>
  </si>
  <si>
    <t xml:space="preserve">21000.013090/2005-91</t>
  </si>
  <si>
    <t xml:space="preserve">Fênix Satr</t>
  </si>
  <si>
    <t xml:space="preserve">Carbosulfano </t>
  </si>
  <si>
    <t xml:space="preserve">21000.004392/2000-64</t>
  </si>
  <si>
    <t xml:space="preserve">Funguran Verde</t>
  </si>
  <si>
    <t xml:space="preserve">21000.012603/2006-28</t>
  </si>
  <si>
    <t xml:space="preserve">Violin TS</t>
  </si>
  <si>
    <t xml:space="preserve">21000.012602/2006-83</t>
  </si>
  <si>
    <t xml:space="preserve">Amulet</t>
  </si>
  <si>
    <t xml:space="preserve">21000.012601/2006-39</t>
  </si>
  <si>
    <t xml:space="preserve">Bellure</t>
  </si>
  <si>
    <t xml:space="preserve">21000.008246/2006-01</t>
  </si>
  <si>
    <t xml:space="preserve">Shadow Técnico</t>
  </si>
  <si>
    <t xml:space="preserve">21000.002737/2006-31</t>
  </si>
  <si>
    <t xml:space="preserve">Rotamik</t>
  </si>
  <si>
    <t xml:space="preserve">21000.007439/2006-37</t>
  </si>
  <si>
    <t xml:space="preserve">Óleo Vegetal Samaritá</t>
  </si>
  <si>
    <t xml:space="preserve">Óleo Vegetal</t>
  </si>
  <si>
    <t xml:space="preserve">Samaritá</t>
  </si>
  <si>
    <t xml:space="preserve">21000.014810/2005-36</t>
  </si>
  <si>
    <t xml:space="preserve">Diflubenzuron AGP 480 SC</t>
  </si>
  <si>
    <t xml:space="preserve">Agripec</t>
  </si>
  <si>
    <t xml:space="preserve">21000.006703/2006-15</t>
  </si>
  <si>
    <t xml:space="preserve">Tebuconazol Técnico Agrolíder</t>
  </si>
  <si>
    <t xml:space="preserve">21000.012450/2006-19</t>
  </si>
  <si>
    <t xml:space="preserve">2,4-D Ácido Técnico Volcano</t>
  </si>
  <si>
    <t xml:space="preserve">21000.005331/2001-03</t>
  </si>
  <si>
    <t xml:space="preserve">Keep 125 SC</t>
  </si>
  <si>
    <t xml:space="preserve">21000.001974/2006-84</t>
  </si>
  <si>
    <t xml:space="preserve">Toco</t>
  </si>
  <si>
    <t xml:space="preserve">21000.013814/2006-88</t>
  </si>
  <si>
    <t xml:space="preserve">Paraquat Técnico 500</t>
  </si>
  <si>
    <t xml:space="preserve">21000.000816/2007-98</t>
  </si>
  <si>
    <t xml:space="preserve">Fluazinam Técnico Cheminova</t>
  </si>
  <si>
    <t xml:space="preserve">21000.005035/2006-17</t>
  </si>
  <si>
    <t xml:space="preserve">Velpar Max</t>
  </si>
  <si>
    <t xml:space="preserve">21000.014925/2006-10</t>
  </si>
  <si>
    <t xml:space="preserve">Premier Plus</t>
  </si>
  <si>
    <t xml:space="preserve">Imidacloprido; Triadimenol</t>
  </si>
  <si>
    <t xml:space="preserve">21000.010996/2002-10</t>
  </si>
  <si>
    <t xml:space="preserve">Famoxadone Técnico</t>
  </si>
  <si>
    <t xml:space="preserve">Famoxadone</t>
  </si>
  <si>
    <t xml:space="preserve">21000.014812/2005-25</t>
  </si>
  <si>
    <t xml:space="preserve">Dragon</t>
  </si>
  <si>
    <t xml:space="preserve">21000.008433/2005-04</t>
  </si>
  <si>
    <t xml:space="preserve">Tropero</t>
  </si>
  <si>
    <t xml:space="preserve">21000.007275/2003-03</t>
  </si>
  <si>
    <t xml:space="preserve">Tutor</t>
  </si>
  <si>
    <t xml:space="preserve">21000.009728/2005-90</t>
  </si>
  <si>
    <t xml:space="preserve">Pendulum</t>
  </si>
  <si>
    <t xml:space="preserve">Pendimetalina </t>
  </si>
  <si>
    <t xml:space="preserve">21000.010265/2001-85</t>
  </si>
  <si>
    <t xml:space="preserve">Pymetrozine Técnico</t>
  </si>
  <si>
    <t xml:space="preserve">Pimetrozine</t>
  </si>
  <si>
    <t xml:space="preserve">21000.004853/2007-75</t>
  </si>
  <si>
    <t xml:space="preserve">2,4-D Técnico Nortox</t>
  </si>
  <si>
    <t xml:space="preserve">21000.010403/2001-26</t>
  </si>
  <si>
    <t xml:space="preserve">Chess 500 WG</t>
  </si>
  <si>
    <t xml:space="preserve">21000.012805/2006-70</t>
  </si>
  <si>
    <t xml:space="preserve">Posse 400 SC</t>
  </si>
  <si>
    <t xml:space="preserve">21000.008273/2003-23</t>
  </si>
  <si>
    <t xml:space="preserve">Tairel Plus</t>
  </si>
  <si>
    <t xml:space="preserve">Benalaxil; Clorotalonil</t>
  </si>
  <si>
    <t xml:space="preserve">21000.009277/2006-71</t>
  </si>
  <si>
    <t xml:space="preserve">SBF 006 Técnico Terragro</t>
  </si>
  <si>
    <t xml:space="preserve">Terragro</t>
  </si>
  <si>
    <t xml:space="preserve">21000.008796/2006-12</t>
  </si>
  <si>
    <t xml:space="preserve">Thiophanate-methyl 98 Técnico Helm</t>
  </si>
  <si>
    <t xml:space="preserve">Tiofanato-Metilico</t>
  </si>
  <si>
    <t xml:space="preserve">21000.001979/2007-98</t>
  </si>
  <si>
    <t xml:space="preserve">Paraquat Técnico Helm</t>
  </si>
  <si>
    <t xml:space="preserve">21000.014363/2006-04</t>
  </si>
  <si>
    <t xml:space="preserve">Glifosato Técnico Helm</t>
  </si>
  <si>
    <t xml:space="preserve">21000.014157/2004-24</t>
  </si>
  <si>
    <t xml:space="preserve">Staron</t>
  </si>
  <si>
    <t xml:space="preserve">Clorimurom-Etílico </t>
  </si>
  <si>
    <t xml:space="preserve">21000.007871/2007-17</t>
  </si>
  <si>
    <t xml:space="preserve">Imidacloprid Técnico UPL</t>
  </si>
  <si>
    <t xml:space="preserve">21000.013373/2005-33</t>
  </si>
  <si>
    <t xml:space="preserve">Chlorimuron Agripec 250 WG</t>
  </si>
  <si>
    <t xml:space="preserve">21000.012639/2006-10</t>
  </si>
  <si>
    <t xml:space="preserve">Concept Técnico</t>
  </si>
  <si>
    <t xml:space="preserve">21000.010514/2001-32</t>
  </si>
  <si>
    <t xml:space="preserve">Flamenco</t>
  </si>
  <si>
    <t xml:space="preserve">21000.008552/2001-25</t>
  </si>
  <si>
    <t xml:space="preserve">Alteza</t>
  </si>
  <si>
    <t xml:space="preserve">Imazetapir; Glifosato</t>
  </si>
  <si>
    <t xml:space="preserve">21000.007139/2005-77</t>
  </si>
  <si>
    <t xml:space="preserve">Escudo</t>
  </si>
  <si>
    <t xml:space="preserve">21000.002129/2005-45</t>
  </si>
  <si>
    <t xml:space="preserve">Tetraconazole Técnico</t>
  </si>
  <si>
    <t xml:space="preserve">Tetraconazole </t>
  </si>
  <si>
    <t xml:space="preserve">21000.005953/2007-19</t>
  </si>
  <si>
    <t xml:space="preserve">Picloram Técnico Nortox</t>
  </si>
  <si>
    <t xml:space="preserve">21000.003728/2007-48</t>
  </si>
  <si>
    <t xml:space="preserve">Flutriafol Sinon</t>
  </si>
  <si>
    <t xml:space="preserve">21000.012736/2005-13</t>
  </si>
  <si>
    <t xml:space="preserve">Soberan Técnico</t>
  </si>
  <si>
    <t xml:space="preserve">Tembotrione</t>
  </si>
  <si>
    <t xml:space="preserve">21000.013128/2005-26</t>
  </si>
  <si>
    <t xml:space="preserve">Soberan </t>
  </si>
  <si>
    <t xml:space="preserve">21000.002627/2004-15</t>
  </si>
  <si>
    <t xml:space="preserve">Talent</t>
  </si>
  <si>
    <t xml:space="preserve">Metsufuron-metilico </t>
  </si>
  <si>
    <t xml:space="preserve">21000.006731/2006-32</t>
  </si>
  <si>
    <t xml:space="preserve">Skip 125 SC</t>
  </si>
  <si>
    <t xml:space="preserve">21000.005228/2006-60</t>
  </si>
  <si>
    <t xml:space="preserve">Glifosato Técnico Dow Agrosciences II</t>
  </si>
  <si>
    <t xml:space="preserve">21000.013463/2006-13</t>
  </si>
  <si>
    <t xml:space="preserve">Soy-Gold</t>
  </si>
  <si>
    <t xml:space="preserve">Óleo vegetal</t>
  </si>
  <si>
    <t xml:space="preserve">21000.002703/2005-65</t>
  </si>
  <si>
    <t xml:space="preserve">Viper</t>
  </si>
  <si>
    <t xml:space="preserve">21000.012451/2006-63</t>
  </si>
  <si>
    <t xml:space="preserve">Picloram 240 Volcano</t>
  </si>
  <si>
    <t xml:space="preserve">21000.011532/2007-27</t>
  </si>
  <si>
    <t xml:space="preserve">21000.000471/2006-91</t>
  </si>
  <si>
    <t xml:space="preserve">Browser</t>
  </si>
  <si>
    <t xml:space="preserve">21000.011533/2007-71</t>
  </si>
  <si>
    <t xml:space="preserve">Navigator</t>
  </si>
  <si>
    <t xml:space="preserve">21000.014683/2006-56</t>
  </si>
  <si>
    <t xml:space="preserve">MSMA 720</t>
  </si>
  <si>
    <t xml:space="preserve">MSMA</t>
  </si>
  <si>
    <t xml:space="preserve">21000.001102/2001-10</t>
  </si>
  <si>
    <t xml:space="preserve">Magister</t>
  </si>
  <si>
    <t xml:space="preserve">21000.008280/2002-44</t>
  </si>
  <si>
    <t xml:space="preserve">Púgil WG</t>
  </si>
  <si>
    <t xml:space="preserve">21000.004737/2007-56</t>
  </si>
  <si>
    <t xml:space="preserve">Cention Técnico Lanxess</t>
  </si>
  <si>
    <t xml:space="preserve">Lanxess</t>
  </si>
  <si>
    <t xml:space="preserve">21000.006981/2006-72</t>
  </si>
  <si>
    <t xml:space="preserve">Trinity Técnico</t>
  </si>
  <si>
    <t xml:space="preserve">21000.004115/2007-28</t>
  </si>
  <si>
    <t xml:space="preserve">Adante</t>
  </si>
  <si>
    <t xml:space="preserve">Tiametoxam; Ciproconazol</t>
  </si>
  <si>
    <t xml:space="preserve">21000.008411/2006-17</t>
  </si>
  <si>
    <t xml:space="preserve">Array 200EC</t>
  </si>
  <si>
    <t xml:space="preserve">21000.009807/2006-81</t>
  </si>
  <si>
    <t xml:space="preserve">Triclopyr Ester Técnico Volcano</t>
  </si>
  <si>
    <t xml:space="preserve">21000.009312/2007-33</t>
  </si>
  <si>
    <t xml:space="preserve">Grall</t>
  </si>
  <si>
    <t xml:space="preserve">21000.001960/2001-56</t>
  </si>
  <si>
    <t xml:space="preserve">Rugby 200 CS</t>
  </si>
  <si>
    <t xml:space="preserve">Cadusafós</t>
  </si>
  <si>
    <t xml:space="preserve">21000.014160/2004-48</t>
  </si>
  <si>
    <t xml:space="preserve">Clorimuron Orentiss</t>
  </si>
  <si>
    <t xml:space="preserve">21000.003143/2005-66</t>
  </si>
  <si>
    <t xml:space="preserve">Dynasty</t>
  </si>
  <si>
    <t xml:space="preserve">Fludioxonil; Metalaxil-M; Azoxistrobina</t>
  </si>
  <si>
    <t xml:space="preserve">21000.014159/2004-13</t>
  </si>
  <si>
    <t xml:space="preserve">Imazetapir Prentiss</t>
  </si>
  <si>
    <t xml:space="preserve">21000.008157/2004-95</t>
  </si>
  <si>
    <t xml:space="preserve">Dicamba Técnico</t>
  </si>
  <si>
    <t xml:space="preserve">21000.011043/2007-75</t>
  </si>
  <si>
    <t xml:space="preserve">Grant</t>
  </si>
  <si>
    <t xml:space="preserve">21000.002891/2006-11</t>
  </si>
  <si>
    <t xml:space="preserve">Terbuthylazine Técnico</t>
  </si>
  <si>
    <t xml:space="preserve">21000.007761/2006-66</t>
  </si>
  <si>
    <t xml:space="preserve">Epoxiconazole Técnico Cheminova</t>
  </si>
  <si>
    <t xml:space="preserve">21000.005106/2007-54</t>
  </si>
  <si>
    <t xml:space="preserve">Fortuna Técnica</t>
  </si>
  <si>
    <t xml:space="preserve">21000.012034/2006-11</t>
  </si>
  <si>
    <t xml:space="preserve">Shadow 480 SL</t>
  </si>
  <si>
    <t xml:space="preserve">21000.012356/2005-89</t>
  </si>
  <si>
    <t xml:space="preserve">Gamit Star</t>
  </si>
  <si>
    <t xml:space="preserve">21000.007672/2007-09</t>
  </si>
  <si>
    <t xml:space="preserve">MSMA 720 Volagro</t>
  </si>
  <si>
    <t xml:space="preserve">21000.007462/2006-21</t>
  </si>
  <si>
    <t xml:space="preserve">Bio Cryptoblades</t>
  </si>
  <si>
    <t xml:space="preserve">(Z)-11-hexadecenal; (Z)-13-octadecenal</t>
  </si>
  <si>
    <t xml:space="preserve">21000.006433/2005-61</t>
  </si>
  <si>
    <t xml:space="preserve">Proline Técnico</t>
  </si>
  <si>
    <t xml:space="preserve">Proticonazol</t>
  </si>
  <si>
    <t xml:space="preserve">21000.008232/2005-07</t>
  </si>
  <si>
    <t xml:space="preserve">Folio Gold 440 SC</t>
  </si>
  <si>
    <t xml:space="preserve">Metalaxil-M; Cloratalonil</t>
  </si>
  <si>
    <t xml:space="preserve">21000.006233/2003-47</t>
  </si>
  <si>
    <t xml:space="preserve">Optix</t>
  </si>
  <si>
    <t xml:space="preserve">Beta-Cipermetrina</t>
  </si>
  <si>
    <t xml:space="preserve">21000.011578/2006-65</t>
  </si>
  <si>
    <t xml:space="preserve">Sphere Max</t>
  </si>
  <si>
    <t xml:space="preserve">21000.007270/2005-34</t>
  </si>
  <si>
    <t xml:space="preserve">Proline</t>
  </si>
  <si>
    <t xml:space="preserve">21000.009149/2005-47</t>
  </si>
  <si>
    <t xml:space="preserve">Jump</t>
  </si>
  <si>
    <t xml:space="preserve">21000.010160/2005-50</t>
  </si>
  <si>
    <t xml:space="preserve">Krismat WG</t>
  </si>
  <si>
    <t xml:space="preserve">Ametrina; Trifloxisulfurom-sodium</t>
  </si>
  <si>
    <t xml:space="preserve">21000.000958/2008-36</t>
  </si>
  <si>
    <t xml:space="preserve">Luretape BW-10</t>
  </si>
  <si>
    <t xml:space="preserve">21000.010705/2006-17</t>
  </si>
  <si>
    <t xml:space="preserve">Change</t>
  </si>
  <si>
    <t xml:space="preserve">21000.007881/2006-63</t>
  </si>
  <si>
    <t xml:space="preserve">Propomacarb Técnico BCS</t>
  </si>
  <si>
    <t xml:space="preserve">21000.005533/2005-71</t>
  </si>
  <si>
    <t xml:space="preserve">Fungicarb 500 SC</t>
  </si>
  <si>
    <t xml:space="preserve">21000.007686/2007-14</t>
  </si>
  <si>
    <t xml:space="preserve">Clomazone Técnico Cheminova</t>
  </si>
  <si>
    <t xml:space="preserve">21000.007513/2007-04</t>
  </si>
  <si>
    <t xml:space="preserve">Lambda Cyhalothrin 50 CS Helm</t>
  </si>
  <si>
    <t xml:space="preserve">21000.007178/1998-39</t>
  </si>
  <si>
    <t xml:space="preserve">Vezir 100</t>
  </si>
  <si>
    <t xml:space="preserve">21000.014805/2005-23</t>
  </si>
  <si>
    <t xml:space="preserve">Mandipropamid Técnico</t>
  </si>
  <si>
    <t xml:space="preserve">21000.005604/2005-35</t>
  </si>
  <si>
    <t xml:space="preserve">Flare</t>
  </si>
  <si>
    <t xml:space="preserve">21000.005533/2007-32</t>
  </si>
  <si>
    <t xml:space="preserve">Artoil</t>
  </si>
  <si>
    <t xml:space="preserve">21000.011731/2006-54</t>
  </si>
  <si>
    <t xml:space="preserve">Imidacloprid Técnico Rotam</t>
  </si>
  <si>
    <t xml:space="preserve">21000.006021/2007-93</t>
  </si>
  <si>
    <t xml:space="preserve">Thiodicarb Técnico Rotam</t>
  </si>
  <si>
    <t xml:space="preserve">21000.003357/2006-13</t>
  </si>
  <si>
    <t xml:space="preserve">Sonora</t>
  </si>
  <si>
    <t xml:space="preserve">21000.014855/2005-19</t>
  </si>
  <si>
    <t xml:space="preserve">Revus</t>
  </si>
  <si>
    <t xml:space="preserve">21000.012383/2005-51</t>
  </si>
  <si>
    <t xml:space="preserve">Tebuconazole Técnico UPL</t>
  </si>
  <si>
    <t xml:space="preserve">United</t>
  </si>
  <si>
    <t xml:space="preserve">21000.012391/2004-17</t>
  </si>
  <si>
    <t xml:space="preserve">Clomazone  500 EC FMC</t>
  </si>
  <si>
    <t xml:space="preserve">21000.012392/2004-61</t>
  </si>
  <si>
    <t xml:space="preserve">Clomanex  500 EC</t>
  </si>
  <si>
    <t xml:space="preserve">21000.005251/2001-40</t>
  </si>
  <si>
    <t xml:space="preserve">2,4-D Ácido Técnico Mil</t>
  </si>
  <si>
    <t xml:space="preserve">21000.001583/2007-41</t>
  </si>
  <si>
    <t xml:space="preserve">Broker 750 WG</t>
  </si>
  <si>
    <t xml:space="preserve">21000.014139/2006-12</t>
  </si>
  <si>
    <t xml:space="preserve">Gold’S Técnico</t>
  </si>
  <si>
    <t xml:space="preserve">Óxido de Fenbutatina</t>
  </si>
  <si>
    <t xml:space="preserve">21000.001240/2008-67</t>
  </si>
  <si>
    <t xml:space="preserve">Tebuco Nortox</t>
  </si>
  <si>
    <t xml:space="preserve">21000.000779/2008-07</t>
  </si>
  <si>
    <t xml:space="preserve">2,4-D Técnico DVA</t>
  </si>
  <si>
    <t xml:space="preserve">21000.006660/2007-59</t>
  </si>
  <si>
    <t xml:space="preserve">PMG Técnico NJ</t>
  </si>
  <si>
    <t xml:space="preserve">21000.000880/2007-79</t>
  </si>
  <si>
    <t xml:space="preserve">Tebuconazole 97 Técnico Helm</t>
  </si>
  <si>
    <t xml:space="preserve">21000.008257/2007-46</t>
  </si>
  <si>
    <t xml:space="preserve">Clorpirifos Técnico Sabero</t>
  </si>
  <si>
    <t xml:space="preserve">Clorpirifos</t>
  </si>
  <si>
    <t xml:space="preserve">21000.002794/2004-58</t>
  </si>
  <si>
    <t xml:space="preserve">Baculovirus AEE</t>
  </si>
  <si>
    <t xml:space="preserve">AEE</t>
  </si>
  <si>
    <t xml:space="preserve">21000.011703/2007-18</t>
  </si>
  <si>
    <t xml:space="preserve">Brion</t>
  </si>
  <si>
    <t xml:space="preserve">21000.014723/2005-89</t>
  </si>
  <si>
    <t xml:space="preserve">Marshal Star</t>
  </si>
  <si>
    <t xml:space="preserve">21000.012328/2005-61</t>
  </si>
  <si>
    <t xml:space="preserve">Lactofen DVA Agro</t>
  </si>
  <si>
    <t xml:space="preserve">21000.014933/2006-58</t>
  </si>
  <si>
    <t xml:space="preserve">Auge</t>
  </si>
  <si>
    <t xml:space="preserve">21000.008660/2004-41</t>
  </si>
  <si>
    <t xml:space="preserve">Veromite</t>
  </si>
  <si>
    <t xml:space="preserve">Propargite</t>
  </si>
  <si>
    <t xml:space="preserve">21000.008123/2006-62</t>
  </si>
  <si>
    <t xml:space="preserve">Vermite B</t>
  </si>
  <si>
    <t xml:space="preserve">21000.013527/2005-97</t>
  </si>
  <si>
    <t xml:space="preserve">Du Din</t>
  </si>
  <si>
    <t xml:space="preserve">21000.007547/2006-18</t>
  </si>
  <si>
    <t xml:space="preserve">Du Dim 80 WG</t>
  </si>
  <si>
    <t xml:space="preserve">21000.014450/2005-72</t>
  </si>
  <si>
    <t xml:space="preserve">Libre</t>
  </si>
  <si>
    <t xml:space="preserve">Anidrido Naftálico</t>
  </si>
  <si>
    <t xml:space="preserve">21000.001033/2006-41</t>
  </si>
  <si>
    <t xml:space="preserve">Minx 500 SC</t>
  </si>
  <si>
    <t xml:space="preserve">21000.014131/2004-86</t>
  </si>
  <si>
    <t xml:space="preserve">In-Tec</t>
  </si>
  <si>
    <t xml:space="preserve">Nonil fenol Etoxilado </t>
  </si>
  <si>
    <t xml:space="preserve">Inquima</t>
  </si>
  <si>
    <t xml:space="preserve">21000.009887/2006-75</t>
  </si>
  <si>
    <t xml:space="preserve">Appalus Técnico</t>
  </si>
  <si>
    <t xml:space="preserve">21000.009695/2001-54</t>
  </si>
  <si>
    <t xml:space="preserve">Zapp QI 620</t>
  </si>
  <si>
    <t xml:space="preserve">21000.007956/2004-44</t>
  </si>
  <si>
    <t xml:space="preserve">Safety Técnico</t>
  </si>
  <si>
    <t xml:space="preserve">21000.011778/2007-07</t>
  </si>
  <si>
    <t xml:space="preserve">Navigator-D</t>
  </si>
  <si>
    <t xml:space="preserve">21000.008483/2007-45</t>
  </si>
  <si>
    <t xml:space="preserve">Tocha</t>
  </si>
  <si>
    <t xml:space="preserve">21000.011777/2007-54</t>
  </si>
  <si>
    <t xml:space="preserve">Leopard-D</t>
  </si>
  <si>
    <t xml:space="preserve">21000.003628/2007-11</t>
  </si>
  <si>
    <t xml:space="preserve">Browser-D</t>
  </si>
  <si>
    <t xml:space="preserve">21000.000131/2006-61</t>
  </si>
  <si>
    <t xml:space="preserve">Glizmax</t>
  </si>
  <si>
    <t xml:space="preserve">21000.005029/2007-32</t>
  </si>
  <si>
    <t xml:space="preserve">PMG Técnico Syngenta</t>
  </si>
  <si>
    <t xml:space="preserve">21000.014529/2005-01</t>
  </si>
  <si>
    <t xml:space="preserve">Simtrac 500</t>
  </si>
  <si>
    <t xml:space="preserve">21000.004536/2007-59</t>
  </si>
  <si>
    <t xml:space="preserve">Picloram-D Volagro</t>
  </si>
  <si>
    <t xml:space="preserve">21000.003593/2004-78</t>
  </si>
  <si>
    <t xml:space="preserve">Zetacypermethrin Técnico FMC</t>
  </si>
  <si>
    <t xml:space="preserve">21000.005481/2006-13</t>
  </si>
  <si>
    <t xml:space="preserve">Carbendazim 500 DVA Agro</t>
  </si>
  <si>
    <t xml:space="preserve">21000.010478/2006-11</t>
  </si>
  <si>
    <t xml:space="preserve">Aval</t>
  </si>
  <si>
    <t xml:space="preserve">21000.012321/2005-40</t>
  </si>
  <si>
    <t xml:space="preserve">Lava</t>
  </si>
  <si>
    <t xml:space="preserve">21000.004922/2006-60</t>
  </si>
  <si>
    <t xml:space="preserve">Sumô</t>
  </si>
  <si>
    <t xml:space="preserve">21000.009789/2007-19</t>
  </si>
  <si>
    <t xml:space="preserve">Flutriafol Técnico Prentiss</t>
  </si>
  <si>
    <t xml:space="preserve">21000.009311/2007-99</t>
  </si>
  <si>
    <t xml:space="preserve">Flutriafol Técnico BRA</t>
  </si>
  <si>
    <t xml:space="preserve">21000.008315/2007-50</t>
  </si>
  <si>
    <t xml:space="preserve">Ardent Técnico Milenia</t>
  </si>
  <si>
    <t xml:space="preserve">21000.001209/2007-45</t>
  </si>
  <si>
    <t xml:space="preserve">Cresoxim metílico Técnico Cheminova</t>
  </si>
  <si>
    <t xml:space="preserve">21000.002360/2005-39</t>
  </si>
  <si>
    <t xml:space="preserve">Xavante Técnico</t>
  </si>
  <si>
    <t xml:space="preserve">21000.005713/2007-14</t>
  </si>
  <si>
    <t xml:space="preserve">Helmoxone</t>
  </si>
  <si>
    <t xml:space="preserve">21000.012611/2006-74</t>
  </si>
  <si>
    <t xml:space="preserve">Streak 500 SC</t>
  </si>
  <si>
    <t xml:space="preserve">21000.002229/2005-71</t>
  </si>
  <si>
    <t xml:space="preserve">Truly </t>
  </si>
  <si>
    <t xml:space="preserve">21000.008876/2007-59</t>
  </si>
  <si>
    <t xml:space="preserve">Hexazinone Técnico DVA </t>
  </si>
  <si>
    <t xml:space="preserve">21000.008877/2007-11</t>
  </si>
  <si>
    <t xml:space="preserve">Lambda Cyhalothrin Técnico DVA</t>
  </si>
  <si>
    <t xml:space="preserve">21000.014755/2005-84</t>
  </si>
  <si>
    <t xml:space="preserve">Attic </t>
  </si>
  <si>
    <t xml:space="preserve">Iprodione </t>
  </si>
  <si>
    <t xml:space="preserve">21000.010663/2006-14</t>
  </si>
  <si>
    <t xml:space="preserve">Trinity 250 SC </t>
  </si>
  <si>
    <t xml:space="preserve">21000.010725/2004-18</t>
  </si>
  <si>
    <t xml:space="preserve">Micene </t>
  </si>
  <si>
    <t xml:space="preserve">21000.013890/2004-21</t>
  </si>
  <si>
    <t xml:space="preserve">Zetamil WG</t>
  </si>
  <si>
    <t xml:space="preserve">21000.007386/2007-35</t>
  </si>
  <si>
    <t xml:space="preserve">Prend- D-806</t>
  </si>
  <si>
    <t xml:space="preserve">21000.012784/2006-92</t>
  </si>
  <si>
    <t xml:space="preserve">Biver </t>
  </si>
  <si>
    <t xml:space="preserve">21000.012783/2006-48</t>
  </si>
  <si>
    <t xml:space="preserve">Warrior </t>
  </si>
  <si>
    <t xml:space="preserve">21000.001208/2007-09</t>
  </si>
  <si>
    <t xml:space="preserve">Zignal </t>
  </si>
  <si>
    <t xml:space="preserve">21000.008542/2004-32</t>
  </si>
  <si>
    <t xml:space="preserve">Herbipak WG</t>
  </si>
  <si>
    <t xml:space="preserve">21000.008195/2004-48</t>
  </si>
  <si>
    <t xml:space="preserve">Ametrex WG</t>
  </si>
  <si>
    <t xml:space="preserve">21000.010752/2006-52</t>
  </si>
  <si>
    <t xml:space="preserve">Rbric</t>
  </si>
  <si>
    <t xml:space="preserve">21000.012860/2006-60</t>
  </si>
  <si>
    <t xml:space="preserve">Confidor Supra </t>
  </si>
  <si>
    <t xml:space="preserve">21000.005769/2005-15</t>
  </si>
  <si>
    <t xml:space="preserve">Xavante </t>
  </si>
  <si>
    <t xml:space="preserve">21000.005281/2001-56</t>
  </si>
  <si>
    <t xml:space="preserve">Pistol 106 SC </t>
  </si>
  <si>
    <t xml:space="preserve">21000.011796/2007-81</t>
  </si>
  <si>
    <t xml:space="preserve">Abamectim Técnico DVA </t>
  </si>
  <si>
    <t xml:space="preserve">21000.011063/2007-46</t>
  </si>
  <si>
    <t xml:space="preserve">2,4-D Ácido 97 Técnico Helm </t>
  </si>
  <si>
    <t xml:space="preserve">21000.009722/2006-01</t>
  </si>
  <si>
    <t xml:space="preserve">Envoy</t>
  </si>
  <si>
    <t xml:space="preserve">Piraclostrobina; Epoxiconazol </t>
  </si>
  <si>
    <t xml:space="preserve">21000.014738/2005-47</t>
  </si>
  <si>
    <t xml:space="preserve">Delsene WG</t>
  </si>
  <si>
    <t xml:space="preserve">21000.009830/2006-76</t>
  </si>
  <si>
    <t xml:space="preserve">Triclon </t>
  </si>
  <si>
    <t xml:space="preserve">21000.010041/2007-69</t>
  </si>
  <si>
    <t xml:space="preserve">Hezaxinone Técnico Rotam </t>
  </si>
  <si>
    <t xml:space="preserve">21000.010617/2007-98</t>
  </si>
  <si>
    <t xml:space="preserve">Odin 430 SC</t>
  </si>
  <si>
    <t xml:space="preserve">21000.010991/2006-11</t>
  </si>
  <si>
    <t xml:space="preserve">Adviter </t>
  </si>
  <si>
    <t xml:space="preserve">21000.010994/2006-46</t>
  </si>
  <si>
    <t xml:space="preserve">Avelex </t>
  </si>
  <si>
    <t xml:space="preserve">21000.010992/2006-57</t>
  </si>
  <si>
    <t xml:space="preserve">Soligard </t>
  </si>
  <si>
    <t xml:space="preserve">21000.012502/2006-57</t>
  </si>
  <si>
    <t xml:space="preserve">Grasp </t>
  </si>
  <si>
    <t xml:space="preserve">21000.000834/2008-51</t>
  </si>
  <si>
    <t xml:space="preserve">Tebuconazole Nortox 200EC</t>
  </si>
  <si>
    <t xml:space="preserve">21000.007137/2007-40</t>
  </si>
  <si>
    <t xml:space="preserve">Isca Formicida Macex</t>
  </si>
  <si>
    <t xml:space="preserve">Ác. Oléico; Ác. Palmitico; Ác. Linoléico; Ác. Esteárico; Cafeína </t>
  </si>
  <si>
    <t xml:space="preserve">Macex </t>
  </si>
  <si>
    <t xml:space="preserve">21000.010993/2006-00</t>
  </si>
  <si>
    <t xml:space="preserve">Xekil</t>
  </si>
  <si>
    <t xml:space="preserve">21000.008304/2006-99</t>
  </si>
  <si>
    <t xml:space="preserve">Profit</t>
  </si>
  <si>
    <t xml:space="preserve">Clomazona; Carfentrazona - Etílica</t>
  </si>
  <si>
    <t xml:space="preserve">21000.012895/2006-07</t>
  </si>
  <si>
    <t xml:space="preserve">Infinito </t>
  </si>
  <si>
    <t xml:space="preserve">Cloridrato de Propamocarbe; Fluopicolide </t>
  </si>
  <si>
    <t xml:space="preserve">21000.011223/2005-95</t>
  </si>
  <si>
    <t xml:space="preserve">Celest XC</t>
  </si>
  <si>
    <t xml:space="preserve">Difenoconazol; Fludioxonil </t>
  </si>
  <si>
    <t xml:space="preserve">21000.010735/2007-04</t>
  </si>
  <si>
    <t xml:space="preserve">Picloram 94 Técnico Helm </t>
  </si>
  <si>
    <t xml:space="preserve">21000.014321/2004-01</t>
  </si>
  <si>
    <t xml:space="preserve">Flupro </t>
  </si>
  <si>
    <t xml:space="preserve">21000.001655/2006-79</t>
  </si>
  <si>
    <t xml:space="preserve">Radiant 100 EC</t>
  </si>
  <si>
    <t xml:space="preserve">Flumicloraque-Pentílico</t>
  </si>
  <si>
    <t xml:space="preserve">21000.001692/2001-72</t>
  </si>
  <si>
    <t xml:space="preserve">Lactofen Técnico </t>
  </si>
  <si>
    <t xml:space="preserve">21000.004429/2005-69</t>
  </si>
  <si>
    <t xml:space="preserve">Artea 330 EC</t>
  </si>
  <si>
    <t xml:space="preserve">Propiconazol; Ciproconazol</t>
  </si>
  <si>
    <t xml:space="preserve">21000.008039/2001-34</t>
  </si>
  <si>
    <t xml:space="preserve">Stimo </t>
  </si>
  <si>
    <t xml:space="preserve">Mancozebe; Zoxamide </t>
  </si>
  <si>
    <t xml:space="preserve">21000.007872/2007-53</t>
  </si>
  <si>
    <t xml:space="preserve">Toreg 50 E C </t>
  </si>
  <si>
    <t xml:space="preserve">21000.011314/2007-92</t>
  </si>
  <si>
    <t xml:space="preserve">Clorpirifós Sabero 480EC</t>
  </si>
  <si>
    <t xml:space="preserve">21000.011683/2006-02</t>
  </si>
  <si>
    <t xml:space="preserve">Graster</t>
  </si>
  <si>
    <t xml:space="preserve">Oxazolidinadiona; Mancozebe</t>
  </si>
  <si>
    <t xml:space="preserve">21000.010283/2001-67</t>
  </si>
  <si>
    <t xml:space="preserve">Talento </t>
  </si>
  <si>
    <t xml:space="preserve">Ano de 2007</t>
  </si>
  <si>
    <t xml:space="preserve">21000.005251/2004-92</t>
  </si>
  <si>
    <t xml:space="preserve">Commanche Técnico</t>
  </si>
  <si>
    <t xml:space="preserve">21000.002124/2005-12</t>
  </si>
  <si>
    <t xml:space="preserve">Bulldock Técnico BCS</t>
  </si>
  <si>
    <t xml:space="preserve">Beta-ciflutrina</t>
  </si>
  <si>
    <t xml:space="preserve">21000.006004/2002-41</t>
  </si>
  <si>
    <t xml:space="preserve">Profoxydim Técnico</t>
  </si>
  <si>
    <t xml:space="preserve">Profoxidim</t>
  </si>
  <si>
    <t xml:space="preserve">21000.003496/2004-85</t>
  </si>
  <si>
    <t xml:space="preserve">Teflubenzuron Técnico </t>
  </si>
  <si>
    <t xml:space="preserve">Teflubenzurom </t>
  </si>
  <si>
    <t xml:space="preserve">21000.008570/2005-31</t>
  </si>
  <si>
    <t xml:space="preserve">Fomesafen Técnico Syngenta </t>
  </si>
  <si>
    <t xml:space="preserve">21000.003642/2001-20</t>
  </si>
  <si>
    <t xml:space="preserve">Fera Técnico FMC </t>
  </si>
  <si>
    <t xml:space="preserve">21000.004570/2004-81</t>
  </si>
  <si>
    <t xml:space="preserve">Dithianon Técnico Basf </t>
  </si>
  <si>
    <t xml:space="preserve">Ditianona</t>
  </si>
  <si>
    <t xml:space="preserve">21000.003643/2001-74</t>
  </si>
  <si>
    <t xml:space="preserve">Fera</t>
  </si>
  <si>
    <t xml:space="preserve">21000.004860/2001-81</t>
  </si>
  <si>
    <t xml:space="preserve">Affinity 400 EC</t>
  </si>
  <si>
    <t xml:space="preserve">21000.004781/2004-13</t>
  </si>
  <si>
    <t xml:space="preserve">Alfacipermetrina Técnico</t>
  </si>
  <si>
    <t xml:space="preserve">Alfa-cipermetrina </t>
  </si>
  <si>
    <t xml:space="preserve">21000.006780/2003-22</t>
  </si>
  <si>
    <t xml:space="preserve">Carbosulfan Técnico FMC </t>
  </si>
  <si>
    <t xml:space="preserve">21000.009527/2003-21</t>
  </si>
  <si>
    <t xml:space="preserve">Borneo Técnico</t>
  </si>
  <si>
    <t xml:space="preserve">Etoxazole </t>
  </si>
  <si>
    <t xml:space="preserve">21000.006999/2005-93</t>
  </si>
  <si>
    <t xml:space="preserve">Ciproconazol Técnico SYN</t>
  </si>
  <si>
    <t xml:space="preserve">21000.012359/2005-12</t>
  </si>
  <si>
    <t xml:space="preserve">Aureo </t>
  </si>
  <si>
    <t xml:space="preserve">Éster metílico de óleo de soja </t>
  </si>
  <si>
    <t xml:space="preserve">21000.006821/2005-42</t>
  </si>
  <si>
    <t xml:space="preserve">Cymoxanil Técnico Helm </t>
  </si>
  <si>
    <t xml:space="preserve">21000.010769/2005-29</t>
  </si>
  <si>
    <t xml:space="preserve">Picloram Técnico Agripec </t>
  </si>
  <si>
    <t xml:space="preserve">21000.011116/2005-67</t>
  </si>
  <si>
    <t xml:space="preserve">Bifentrina Técnico Milenia </t>
  </si>
  <si>
    <t xml:space="preserve">21000.002474/2004-06</t>
  </si>
  <si>
    <t xml:space="preserve">Clomazone Técnico FMC</t>
  </si>
  <si>
    <t xml:space="preserve">21000.011799/2005-52</t>
  </si>
  <si>
    <t xml:space="preserve">Trichodermil SC 1306</t>
  </si>
  <si>
    <t xml:space="preserve">Tricoderma harzianum</t>
  </si>
  <si>
    <t xml:space="preserve">Itaforte </t>
  </si>
  <si>
    <t xml:space="preserve">21000.005819/2004-75</t>
  </si>
  <si>
    <t xml:space="preserve">Borneo</t>
  </si>
  <si>
    <t xml:space="preserve">21000.012745/2003-42</t>
  </si>
  <si>
    <t xml:space="preserve">Propiconazole Técnico Nortox</t>
  </si>
  <si>
    <t xml:space="preserve">21000.012518/2003-17</t>
  </si>
  <si>
    <t xml:space="preserve">Zaphir </t>
  </si>
  <si>
    <t xml:space="preserve">21000.006798/2001-62</t>
  </si>
  <si>
    <t xml:space="preserve">Certus </t>
  </si>
  <si>
    <t xml:space="preserve">Pirimetanil; Iprodiona </t>
  </si>
  <si>
    <t xml:space="preserve">21000.004423/2006-72</t>
  </si>
  <si>
    <t xml:space="preserve">Icarus 250 EC </t>
  </si>
  <si>
    <t xml:space="preserve">21000.002712/2004-75</t>
  </si>
  <si>
    <t xml:space="preserve">Dimilin 80 WG</t>
  </si>
  <si>
    <t xml:space="preserve">21000.006488/2005-71</t>
  </si>
  <si>
    <t xml:space="preserve">Flutriafol Técnico Sinon </t>
  </si>
  <si>
    <t xml:space="preserve">21000.012979/2003-90</t>
  </si>
  <si>
    <t xml:space="preserve">Maxim XL Professional </t>
  </si>
  <si>
    <t xml:space="preserve">Fludioxonil; Metalaxyl-M</t>
  </si>
  <si>
    <t xml:space="preserve">21000.010998/2002-09</t>
  </si>
  <si>
    <t xml:space="preserve">Hexazinone Técnico BR </t>
  </si>
  <si>
    <t xml:space="preserve">21000.004818/2005-94</t>
  </si>
  <si>
    <t xml:space="preserve">Agril-320</t>
  </si>
  <si>
    <t xml:space="preserve">N-dodecilbenzeno sulfonato de sódio </t>
  </si>
  <si>
    <t xml:space="preserve">Herces</t>
  </si>
  <si>
    <t xml:space="preserve">21000.005575/2004-21</t>
  </si>
  <si>
    <t xml:space="preserve">Ferramol </t>
  </si>
  <si>
    <t xml:space="preserve">Fosfato Férrico </t>
  </si>
  <si>
    <t xml:space="preserve">21000.002475/2004-42</t>
  </si>
  <si>
    <t xml:space="preserve">Capture 120 FS</t>
  </si>
  <si>
    <t xml:space="preserve">21000.013844/2004-22</t>
  </si>
  <si>
    <t xml:space="preserve">Capture 400 EC </t>
  </si>
  <si>
    <t xml:space="preserve">21000.007296/2004-00</t>
  </si>
  <si>
    <t xml:space="preserve">Glifos Plus </t>
  </si>
  <si>
    <t xml:space="preserve">21000.004856/2005-47</t>
  </si>
  <si>
    <t xml:space="preserve">Diflubenzuron 96 Técnico Helm </t>
  </si>
  <si>
    <t xml:space="preserve">21000.001509/2006-43</t>
  </si>
  <si>
    <t xml:space="preserve">GLF001</t>
  </si>
  <si>
    <t xml:space="preserve">21000.001508/2006-07</t>
  </si>
  <si>
    <t xml:space="preserve">GLF002</t>
  </si>
  <si>
    <t xml:space="preserve">21000.004401/2006-11</t>
  </si>
  <si>
    <t xml:space="preserve">GLF003</t>
  </si>
  <si>
    <t xml:space="preserve">21000.014819/2005-47</t>
  </si>
  <si>
    <t xml:space="preserve">Difenohelm</t>
  </si>
  <si>
    <t xml:space="preserve">21000.012975/2003-10</t>
  </si>
  <si>
    <t xml:space="preserve">Apron RFC</t>
  </si>
  <si>
    <t xml:space="preserve">21000.008725/2005-39</t>
  </si>
  <si>
    <t xml:space="preserve">Diuron Técnico Volcano</t>
  </si>
  <si>
    <t xml:space="preserve">21000.004762/1997-89</t>
  </si>
  <si>
    <t xml:space="preserve">Detia Gas-Ex-B</t>
  </si>
  <si>
    <t xml:space="preserve">21000.004763/1997-41</t>
  </si>
  <si>
    <t xml:space="preserve">Detia Gas-Ex-T</t>
  </si>
  <si>
    <t xml:space="preserve">21000.005457/2005-01</t>
  </si>
  <si>
    <t xml:space="preserve">Clomazone Técnico Milenia </t>
  </si>
  <si>
    <t xml:space="preserve">21000.011399/2004-66</t>
  </si>
  <si>
    <t xml:space="preserve">Óleo Vegetal Fertimax </t>
  </si>
  <si>
    <t xml:space="preserve">IFP</t>
  </si>
  <si>
    <t xml:space="preserve">21000.012517/2003-72</t>
  </si>
  <si>
    <t xml:space="preserve">Tarzan</t>
  </si>
  <si>
    <t xml:space="preserve">21000.006417/2006-50</t>
  </si>
  <si>
    <t xml:space="preserve">Dipel WG</t>
  </si>
  <si>
    <r>
      <rPr>
        <sz val="11"/>
        <color rgb="FF000066"/>
        <rFont val="Arial"/>
        <family val="2"/>
        <charset val="1"/>
      </rPr>
      <t xml:space="preserve">Bacillus thuringiensis </t>
    </r>
    <r>
      <rPr>
        <i val="true"/>
        <sz val="10"/>
        <color rgb="FF000066"/>
        <rFont val="Arial"/>
        <family val="2"/>
        <charset val="1"/>
      </rPr>
      <t xml:space="preserve">var. kurstaki</t>
    </r>
  </si>
  <si>
    <t xml:space="preserve">21000.013062/2004-93</t>
  </si>
  <si>
    <t xml:space="preserve">Acefato Técnico Nortox</t>
  </si>
  <si>
    <t xml:space="preserve">21000.010712/2003-68</t>
  </si>
  <si>
    <t xml:space="preserve">Commence</t>
  </si>
  <si>
    <t xml:space="preserve">21000.009937/2004-52</t>
  </si>
  <si>
    <t xml:space="preserve">Drible</t>
  </si>
  <si>
    <t xml:space="preserve">21000.009919/2005-51</t>
  </si>
  <si>
    <t xml:space="preserve">Mancozebe Técnico Agripe </t>
  </si>
  <si>
    <t xml:space="preserve">21000.010738/2004-97</t>
  </si>
  <si>
    <t xml:space="preserve">Bifentrina 100 EC</t>
  </si>
  <si>
    <t xml:space="preserve">21000.000467/2006-23</t>
  </si>
  <si>
    <t xml:space="preserve">Picloram Técnico Volcano </t>
  </si>
  <si>
    <t xml:space="preserve">21000.012393/2004-14</t>
  </si>
  <si>
    <t xml:space="preserve">Explorer 500 SC</t>
  </si>
  <si>
    <t xml:space="preserve">21000.010737/2004-42</t>
  </si>
  <si>
    <t xml:space="preserve">Brigade 100 EC</t>
  </si>
  <si>
    <t xml:space="preserve">21000.014309/2004-99</t>
  </si>
  <si>
    <t xml:space="preserve">Diflubenzuron Técnico Sinon</t>
  </si>
  <si>
    <t xml:space="preserve">21000.008611/2005-99</t>
  </si>
  <si>
    <t xml:space="preserve">Radiant Técnico SCB</t>
  </si>
  <si>
    <t xml:space="preserve">21000.009622/2005-96</t>
  </si>
  <si>
    <t xml:space="preserve">Impact Plus </t>
  </si>
  <si>
    <t xml:space="preserve">21000.013328/2005-89</t>
  </si>
  <si>
    <t xml:space="preserve">Battle</t>
  </si>
  <si>
    <t xml:space="preserve">21000.003291/2003-19</t>
  </si>
  <si>
    <t xml:space="preserve">Togar TB</t>
  </si>
  <si>
    <t xml:space="preserve">Triclopir; Picloram</t>
  </si>
  <si>
    <t xml:space="preserve">21000.014153/2004-46</t>
  </si>
  <si>
    <t xml:space="preserve">Mustang 350 EC </t>
  </si>
  <si>
    <t xml:space="preserve">21000.013883/2004-20</t>
  </si>
  <si>
    <t xml:space="preserve">Malathion UL Cheminova </t>
  </si>
  <si>
    <t xml:space="preserve">21000.000862/2006-14</t>
  </si>
  <si>
    <t xml:space="preserve">Aston </t>
  </si>
  <si>
    <t xml:space="preserve">21000.008493/1999-10</t>
  </si>
  <si>
    <t xml:space="preserve">Caput </t>
  </si>
  <si>
    <t xml:space="preserve">21000.008492/1999-75</t>
  </si>
  <si>
    <t xml:space="preserve">Garbor</t>
  </si>
  <si>
    <t xml:space="preserve">21000.008600/2004-28</t>
  </si>
  <si>
    <t xml:space="preserve">Affinity 400 WP</t>
  </si>
  <si>
    <t xml:space="preserve">21000.001507/2006-54</t>
  </si>
  <si>
    <t xml:space="preserve">Glifosato Atar 48</t>
  </si>
  <si>
    <t xml:space="preserve">Atar </t>
  </si>
  <si>
    <t xml:space="preserve">21000.010728/2004-51</t>
  </si>
  <si>
    <t xml:space="preserve">Sprint </t>
  </si>
  <si>
    <t xml:space="preserve">21000.004738/2005-39</t>
  </si>
  <si>
    <t xml:space="preserve">Smartfressh Technology</t>
  </si>
  <si>
    <t xml:space="preserve">Rohm</t>
  </si>
  <si>
    <t xml:space="preserve">21000.010727/2004-15</t>
  </si>
  <si>
    <t xml:space="preserve">Bench</t>
  </si>
  <si>
    <t xml:space="preserve">21000.010360/2004-21</t>
  </si>
  <si>
    <t xml:space="preserve">Aura 200</t>
  </si>
  <si>
    <t xml:space="preserve">Profoxidim </t>
  </si>
  <si>
    <t xml:space="preserve">21000.007282/2001-35</t>
  </si>
  <si>
    <t xml:space="preserve">Wolf</t>
  </si>
  <si>
    <t xml:space="preserve">21000.009389/2003-80</t>
  </si>
  <si>
    <t xml:space="preserve">Diurex WG</t>
  </si>
  <si>
    <t xml:space="preserve">21000.014527/2005-12</t>
  </si>
  <si>
    <t xml:space="preserve">Simazina Técnico Atanor </t>
  </si>
  <si>
    <t xml:space="preserve">Simazina </t>
  </si>
  <si>
    <t xml:space="preserve">21000.003362/2005-45</t>
  </si>
  <si>
    <t xml:space="preserve">Dimax 480 SC</t>
  </si>
  <si>
    <t xml:space="preserve">21000.006200/2005-69</t>
  </si>
  <si>
    <t xml:space="preserve">2,4-D Técnico</t>
  </si>
  <si>
    <t xml:space="preserve">21000.012382/2005-15</t>
  </si>
  <si>
    <t xml:space="preserve">Mancozebe Técnico UPL </t>
  </si>
  <si>
    <t xml:space="preserve">21000.012385/2005-41</t>
  </si>
  <si>
    <t xml:space="preserve">Lambda-Cyhalothrin Técnico UPL </t>
  </si>
  <si>
    <t xml:space="preserve">21000.004675/2004-30</t>
  </si>
  <si>
    <t xml:space="preserve">Kifix</t>
  </si>
  <si>
    <t xml:space="preserve">Imazapir; Imazapique </t>
  </si>
  <si>
    <t xml:space="preserve">21000.013889/2004-05</t>
  </si>
  <si>
    <t xml:space="preserve">Brisa WG</t>
  </si>
  <si>
    <t xml:space="preserve">21000.002684/1995-34</t>
  </si>
  <si>
    <t xml:space="preserve">Merpan 800 WG</t>
  </si>
  <si>
    <t xml:space="preserve">Agricur</t>
  </si>
  <si>
    <t xml:space="preserve">21000.000846/2005-32</t>
  </si>
  <si>
    <t xml:space="preserve">Spring WG</t>
  </si>
  <si>
    <t xml:space="preserve">21000.002109/2002-21</t>
  </si>
  <si>
    <t xml:space="preserve">Wide </t>
  </si>
  <si>
    <t xml:space="preserve">21000.000350/2001-70</t>
  </si>
  <si>
    <t xml:space="preserve">Pivot DG</t>
  </si>
  <si>
    <t xml:space="preserve">21000.002108/2002-87</t>
  </si>
  <si>
    <t xml:space="preserve">Differ </t>
  </si>
  <si>
    <t xml:space="preserve">21000.009056/2005-12.</t>
  </si>
  <si>
    <t xml:space="preserve">Confidence </t>
  </si>
  <si>
    <t xml:space="preserve">21000.013784/2005-29</t>
  </si>
  <si>
    <t xml:space="preserve">Soldier </t>
  </si>
  <si>
    <t xml:space="preserve">21000.013782/2005-30</t>
  </si>
  <si>
    <t xml:space="preserve">Scopus </t>
  </si>
  <si>
    <t xml:space="preserve">21000.009506/2003-13</t>
  </si>
  <si>
    <t xml:space="preserve">Diuron Milenia WG</t>
  </si>
  <si>
    <t xml:space="preserve">21000.009507/2003-50</t>
  </si>
  <si>
    <t xml:space="preserve">Herburon WG</t>
  </si>
  <si>
    <t xml:space="preserve">21000.003359/2006-11</t>
  </si>
  <si>
    <t xml:space="preserve">Aproach Prima </t>
  </si>
  <si>
    <t xml:space="preserve">21000.007746/2003-75</t>
  </si>
  <si>
    <t xml:space="preserve">Atranex WG</t>
  </si>
  <si>
    <t xml:space="preserve">21000.011119/2004-10</t>
  </si>
  <si>
    <t xml:space="preserve">Brigada EC</t>
  </si>
  <si>
    <t xml:space="preserve">21000.011115/2004-31</t>
  </si>
  <si>
    <t xml:space="preserve">Alstar </t>
  </si>
  <si>
    <t xml:space="preserve">21000.008006/2002-75</t>
  </si>
  <si>
    <t xml:space="preserve">Polytrin </t>
  </si>
  <si>
    <t xml:space="preserve">Profenofos; Cipermetrina</t>
  </si>
  <si>
    <t xml:space="preserve">21000.005870/2003-04</t>
  </si>
  <si>
    <t xml:space="preserve">Atrasimex WG</t>
  </si>
  <si>
    <t xml:space="preserve">21000.009120/2000-51</t>
  </si>
  <si>
    <t xml:space="preserve">Crosser </t>
  </si>
  <si>
    <t xml:space="preserve">21000.009623/2005-31</t>
  </si>
  <si>
    <t xml:space="preserve">Capo WG</t>
  </si>
  <si>
    <t xml:space="preserve">21000.009624/2005-85</t>
  </si>
  <si>
    <t xml:space="preserve">Fiera WG</t>
  </si>
  <si>
    <t xml:space="preserve">21000.009535/2005-39</t>
  </si>
  <si>
    <t xml:space="preserve">Support WG</t>
  </si>
  <si>
    <t xml:space="preserve">21000.014655/2005-58</t>
  </si>
  <si>
    <t xml:space="preserve">Neemazal Técnico Agripec</t>
  </si>
  <si>
    <t xml:space="preserve">Azadirachtin A/B</t>
  </si>
  <si>
    <t xml:space="preserve">21000.011121/2004-99</t>
  </si>
  <si>
    <t xml:space="preserve">Insemat FS</t>
  </si>
  <si>
    <t xml:space="preserve">21000.008434/2005-41</t>
  </si>
  <si>
    <t xml:space="preserve">Siptroil </t>
  </si>
  <si>
    <t xml:space="preserve">21000.009412/2006-89</t>
  </si>
  <si>
    <t xml:space="preserve">Cup 001</t>
  </si>
  <si>
    <t xml:space="preserve">21000.008499/2003-24</t>
  </si>
  <si>
    <t xml:space="preserve">Coyote WG</t>
  </si>
  <si>
    <t xml:space="preserve">21000.006187/2003-86</t>
  </si>
  <si>
    <t xml:space="preserve">Herbimix WG</t>
  </si>
  <si>
    <t xml:space="preserve">21000.008514/2001-72</t>
  </si>
  <si>
    <t xml:space="preserve">Cymoxanil Técnico BR</t>
  </si>
  <si>
    <t xml:space="preserve">21000.005065/2005-34</t>
  </si>
  <si>
    <t xml:space="preserve">MSMA Técnico Volcano </t>
  </si>
  <si>
    <t xml:space="preserve">21000.014811/2005-81</t>
  </si>
  <si>
    <t xml:space="preserve">Lactofen AGP 240 EC</t>
  </si>
  <si>
    <t xml:space="preserve">21000.001525/1996-76</t>
  </si>
  <si>
    <t xml:space="preserve">Uradir 800</t>
  </si>
  <si>
    <t xml:space="preserve">Bromacila; Diurom </t>
  </si>
  <si>
    <t xml:space="preserve">21000.008035/2001-56</t>
  </si>
  <si>
    <t xml:space="preserve">Propaquizafop Agricur Técnico </t>
  </si>
  <si>
    <t xml:space="preserve">Propaquizafope</t>
  </si>
  <si>
    <t xml:space="preserve">21000.003354/1999-07</t>
  </si>
  <si>
    <t xml:space="preserve">Clorotalonil Técnico Nanchem </t>
  </si>
  <si>
    <t xml:space="preserve">Nanchem</t>
  </si>
  <si>
    <t xml:space="preserve">21000.007812/2001-45</t>
  </si>
  <si>
    <t xml:space="preserve">Glifosato Técnico Cropchem </t>
  </si>
  <si>
    <t xml:space="preserve">21000.007312/2003-75</t>
  </si>
  <si>
    <t xml:space="preserve">Derosal Técnico S </t>
  </si>
  <si>
    <t xml:space="preserve">21000.005286/2001-89</t>
  </si>
  <si>
    <t xml:space="preserve">Konazol 200 Ec </t>
  </si>
  <si>
    <t xml:space="preserve">21000.001281/2000-04</t>
  </si>
  <si>
    <t xml:space="preserve">Canastra </t>
  </si>
  <si>
    <t xml:space="preserve">Trifluralina </t>
  </si>
  <si>
    <t xml:space="preserve">21000.001282/2000-41</t>
  </si>
  <si>
    <t xml:space="preserve">Arrow</t>
  </si>
  <si>
    <t xml:space="preserve">21000.007745/1999-38</t>
  </si>
  <si>
    <t xml:space="preserve">TopStar </t>
  </si>
  <si>
    <t xml:space="preserve">21000.009534/2005-94</t>
  </si>
  <si>
    <t xml:space="preserve">Pronto WG</t>
  </si>
  <si>
    <t xml:space="preserve">21000.011807/2005-61</t>
  </si>
  <si>
    <t xml:space="preserve">Fana Vid Flowable </t>
  </si>
  <si>
    <t xml:space="preserve">Rizzi</t>
  </si>
  <si>
    <t xml:space="preserve">21000.009536/2005-83</t>
  </si>
  <si>
    <t xml:space="preserve">Vincitore WG</t>
  </si>
  <si>
    <t xml:space="preserve">21000.007059/2000-15</t>
  </si>
  <si>
    <t xml:space="preserve">Tradicional</t>
  </si>
  <si>
    <t xml:space="preserve">21000.003099/2001-61</t>
  </si>
  <si>
    <t xml:space="preserve">Winner 100 AL</t>
  </si>
  <si>
    <t xml:space="preserve">21000.002439/2006-41</t>
  </si>
  <si>
    <t xml:space="preserve">Echo</t>
  </si>
  <si>
    <t xml:space="preserve">21000.006004/2001-61</t>
  </si>
  <si>
    <t xml:space="preserve">Gaucho 600A</t>
  </si>
  <si>
    <t xml:space="preserve">21000.008707/2004-76</t>
  </si>
  <si>
    <t xml:space="preserve">Glifos Concept </t>
  </si>
  <si>
    <t xml:space="preserve">21000.010477/2006-77</t>
  </si>
  <si>
    <t xml:space="preserve">Aval 800</t>
  </si>
  <si>
    <t xml:space="preserve">21000.013529/2005-86</t>
  </si>
  <si>
    <t xml:space="preserve">Lava 800</t>
  </si>
  <si>
    <t xml:space="preserve">21000.012355/2005-34</t>
  </si>
  <si>
    <t xml:space="preserve">Emerald</t>
  </si>
  <si>
    <t xml:space="preserve">21000.011120/2004-44</t>
  </si>
  <si>
    <t xml:space="preserve">Xeriff 400 SC </t>
  </si>
  <si>
    <t xml:space="preserve">21000.011118/2004-75</t>
  </si>
  <si>
    <t xml:space="preserve">Eltra 400 SC </t>
  </si>
  <si>
    <t xml:space="preserve">21000.010736/2004-06</t>
  </si>
  <si>
    <t xml:space="preserve">Capture 100 EC </t>
  </si>
  <si>
    <t xml:space="preserve">21000.004715/2004-43</t>
  </si>
  <si>
    <t xml:space="preserve">Jaguar </t>
  </si>
  <si>
    <t xml:space="preserve">21000.012505/2003-48</t>
  </si>
  <si>
    <t xml:space="preserve">Systhane 400 WP</t>
  </si>
  <si>
    <t xml:space="preserve">21000.009973/2003-35</t>
  </si>
  <si>
    <t xml:space="preserve">Gli-Up 480 SL</t>
  </si>
  <si>
    <t xml:space="preserve">21000.008517/2006-11</t>
  </si>
  <si>
    <t xml:space="preserve">Splat Grafo </t>
  </si>
  <si>
    <t xml:space="preserve">(E)-8-dodecenila; (Z)-8-dodecenila; (Z)-8-dodecenol</t>
  </si>
  <si>
    <t xml:space="preserve">Isca </t>
  </si>
  <si>
    <t xml:space="preserve">21000.008518/2006-65</t>
  </si>
  <si>
    <t xml:space="preserve">Splat Grafo Bona </t>
  </si>
  <si>
    <t xml:space="preserve">21000.008129/2006-30</t>
  </si>
  <si>
    <t xml:space="preserve">Splat Cida Grafo Bona </t>
  </si>
  <si>
    <t xml:space="preserve">21000.009409/2006-65</t>
  </si>
  <si>
    <t xml:space="preserve">Neoram 37.5 WG</t>
  </si>
  <si>
    <t xml:space="preserve">21000.014158/2004-79</t>
  </si>
  <si>
    <t xml:space="preserve">Tupan</t>
  </si>
  <si>
    <t xml:space="preserve">21000.010790/2001-09</t>
  </si>
  <si>
    <t xml:space="preserve">Supremo WDG</t>
  </si>
  <si>
    <t xml:space="preserve">Clotianidina </t>
  </si>
  <si>
    <t xml:space="preserve">21000.008913/2005-67</t>
  </si>
  <si>
    <t xml:space="preserve">Turuna </t>
  </si>
  <si>
    <t xml:space="preserve">21000.006405/2004-63</t>
  </si>
  <si>
    <t xml:space="preserve">Malathion 440 EW </t>
  </si>
  <si>
    <t xml:space="preserve">21000.009407/2005-95</t>
  </si>
  <si>
    <t xml:space="preserve">Paraquat Técnico Syngenta </t>
  </si>
  <si>
    <t xml:space="preserve">21000.008154/2000-28</t>
  </si>
  <si>
    <t xml:space="preserve">Glifosato Ácido Agricur Técnico </t>
  </si>
  <si>
    <t xml:space="preserve">21000.008272/2003-89</t>
  </si>
  <si>
    <t xml:space="preserve">Benalaxyl Técnico Hokko </t>
  </si>
  <si>
    <t xml:space="preserve">Benalaxil </t>
  </si>
  <si>
    <t xml:space="preserve">Hokko </t>
  </si>
  <si>
    <t xml:space="preserve">21000.000791/2006-41</t>
  </si>
  <si>
    <t xml:space="preserve">Neemal 1.2 EC </t>
  </si>
  <si>
    <t xml:space="preserve">21000.008988/2005-48</t>
  </si>
  <si>
    <t xml:space="preserve">Zoom </t>
  </si>
  <si>
    <t xml:space="preserve">21000.004708/2000-18</t>
  </si>
  <si>
    <t xml:space="preserve">Funguran Técnico </t>
  </si>
  <si>
    <t xml:space="preserve">Novaquim </t>
  </si>
  <si>
    <t xml:space="preserve">21000.011088/2003-16</t>
  </si>
  <si>
    <t xml:space="preserve">Nufuron </t>
  </si>
  <si>
    <t xml:space="preserve">21000.007169/1998-48</t>
  </si>
  <si>
    <t xml:space="preserve">Oneshot</t>
  </si>
  <si>
    <t xml:space="preserve">Imazaquim; Glifosato </t>
  </si>
  <si>
    <t xml:space="preserve">21000.014638/2005-11</t>
  </si>
  <si>
    <t xml:space="preserve">Vincit 50 EC </t>
  </si>
  <si>
    <t xml:space="preserve">21000.012381/2005-62</t>
  </si>
  <si>
    <t xml:space="preserve">Smite </t>
  </si>
  <si>
    <t xml:space="preserve">21000.009758/2005-04</t>
  </si>
  <si>
    <t xml:space="preserve">Fanavid 85</t>
  </si>
  <si>
    <t xml:space="preserve">21000.002842/2004-16</t>
  </si>
  <si>
    <t xml:space="preserve">Decisor </t>
  </si>
  <si>
    <t xml:space="preserve">21000.002841/2004-16</t>
  </si>
  <si>
    <t xml:space="preserve">Tasker </t>
  </si>
  <si>
    <t xml:space="preserve">21000.006487/2006-16</t>
  </si>
  <si>
    <t xml:space="preserve">Lead</t>
  </si>
  <si>
    <t xml:space="preserve">21000.009727/2005-45</t>
  </si>
  <si>
    <t xml:space="preserve">Herbadox 400 EC </t>
  </si>
  <si>
    <t xml:space="preserve">21000.014637/2005-76</t>
  </si>
  <si>
    <t xml:space="preserve">Tebuconazole Técnico Milenia </t>
  </si>
  <si>
    <t xml:space="preserve">21000.007639/2005-17</t>
  </si>
  <si>
    <t xml:space="preserve">Difluchem 240 SC </t>
  </si>
  <si>
    <t xml:space="preserve">21000.008142/2005-16</t>
  </si>
  <si>
    <t xml:space="preserve">Diflubenzuron 240 EC Helm </t>
  </si>
  <si>
    <t xml:space="preserve">21000.002633/2005-45</t>
  </si>
  <si>
    <t xml:space="preserve">Acaramik </t>
  </si>
  <si>
    <t xml:space="preserve">21000.002331/2006-58</t>
  </si>
  <si>
    <t xml:space="preserve">Arena </t>
  </si>
  <si>
    <t xml:space="preserve">21000.014156/2004-80</t>
  </si>
  <si>
    <t xml:space="preserve">Prevent </t>
  </si>
  <si>
    <t xml:space="preserve">21000.009285/2005-37</t>
  </si>
  <si>
    <t xml:space="preserve">Campeon </t>
  </si>
  <si>
    <t xml:space="preserve">21000.005333/2007-80</t>
  </si>
  <si>
    <t xml:space="preserve">2,4-D Prentiss </t>
  </si>
  <si>
    <t xml:space="preserve">21000.005334/2007-24</t>
  </si>
  <si>
    <t xml:space="preserve">2,4-D Técnico BRA </t>
  </si>
  <si>
    <t xml:space="preserve">21000.013677/2004-10</t>
  </si>
  <si>
    <t xml:space="preserve">Acefato Nortox </t>
  </si>
  <si>
    <t xml:space="preserve">21000.006705/2006-12</t>
  </si>
  <si>
    <t xml:space="preserve">Flutriafol Técnico Agrolider </t>
  </si>
  <si>
    <t xml:space="preserve">Agrolider </t>
  </si>
  <si>
    <t xml:space="preserve">21000.001619/2004-43</t>
  </si>
  <si>
    <t xml:space="preserve">Metsulfuron-Methyl Técnico Cheminova </t>
  </si>
  <si>
    <t xml:space="preserve">21000.004368/2007-00</t>
  </si>
  <si>
    <t xml:space="preserve">Tersil Técnico</t>
  </si>
  <si>
    <t xml:space="preserve">Poland </t>
  </si>
  <si>
    <t xml:space="preserve">21000.011656/2006-21</t>
  </si>
  <si>
    <t xml:space="preserve">Broker Técnico</t>
  </si>
  <si>
    <t xml:space="preserve">21000.005548/2007-09</t>
  </si>
  <si>
    <t xml:space="preserve">Hexazinona Técnico Nortox</t>
  </si>
  <si>
    <t xml:space="preserve">21000.005324/2007-99</t>
  </si>
  <si>
    <t xml:space="preserve">Tebuconazole Técnico Nortox BR </t>
  </si>
  <si>
    <t xml:space="preserve">21000.010739/2004-31</t>
  </si>
  <si>
    <t xml:space="preserve">Fenix 400 SC </t>
  </si>
  <si>
    <t xml:space="preserve">21000.014076/2005-13</t>
  </si>
  <si>
    <t xml:space="preserve">Permit Star </t>
  </si>
  <si>
    <t xml:space="preserve">Dietolate </t>
  </si>
  <si>
    <t xml:space="preserve">21000.000751/2004-38</t>
  </si>
  <si>
    <t xml:space="preserve">Propiconazole Notox </t>
  </si>
  <si>
    <t xml:space="preserve">21000.003103/2004-33</t>
  </si>
  <si>
    <t xml:space="preserve">Pounge Técnico</t>
  </si>
  <si>
    <t xml:space="preserve">21000.001380/2003-21</t>
  </si>
  <si>
    <t xml:space="preserve">Triziman WG</t>
  </si>
  <si>
    <t xml:space="preserve">21000.003896/2005-71</t>
  </si>
  <si>
    <t xml:space="preserve">Talisman</t>
  </si>
  <si>
    <t xml:space="preserve">Bifentrina; Carbosulfan </t>
  </si>
  <si>
    <t xml:space="preserve">21000.001902/2003-94</t>
  </si>
  <si>
    <t xml:space="preserve">Penncozeb 800 WP</t>
  </si>
  <si>
    <t xml:space="preserve">21000.008795/2003-25</t>
  </si>
  <si>
    <t xml:space="preserve">Estrela 500 SC</t>
  </si>
  <si>
    <t xml:space="preserve">Microquímica</t>
  </si>
  <si>
    <t xml:space="preserve">21000.013220/2005-96</t>
  </si>
  <si>
    <t xml:space="preserve">Texas </t>
  </si>
  <si>
    <t xml:space="preserve">21000.014315/2005-27</t>
  </si>
  <si>
    <t xml:space="preserve">Pomme </t>
  </si>
  <si>
    <t xml:space="preserve">21000.014809/2005-10</t>
  </si>
  <si>
    <t xml:space="preserve">Pique 240 SL </t>
  </si>
  <si>
    <t xml:space="preserve">21000.013221/2005-31</t>
  </si>
  <si>
    <t xml:space="preserve">Trooper </t>
  </si>
  <si>
    <t xml:space="preserve">21000.001536/2006-16</t>
  </si>
  <si>
    <t xml:space="preserve">Blast </t>
  </si>
  <si>
    <t xml:space="preserve">21000.001535/2006-71</t>
  </si>
  <si>
    <t xml:space="preserve">Most </t>
  </si>
  <si>
    <t xml:space="preserve">21000.013530/2005-19</t>
  </si>
  <si>
    <t xml:space="preserve">Diuron 80 Volcano </t>
  </si>
  <si>
    <t xml:space="preserve">21000.004494/2005-94</t>
  </si>
  <si>
    <t xml:space="preserve">Óxido de Fenbutatina Técnico </t>
  </si>
  <si>
    <t xml:space="preserve">21000.013715/2005-15</t>
  </si>
  <si>
    <t xml:space="preserve">2,4-D Ácido Seco Técnico II</t>
  </si>
  <si>
    <t xml:space="preserve">21000.010716/2004-27</t>
  </si>
  <si>
    <t xml:space="preserve">Pivot 100 SL</t>
  </si>
  <si>
    <t xml:space="preserve">Afitrix</t>
  </si>
  <si>
    <t xml:space="preserve">21000.008265/2001-15</t>
  </si>
  <si>
    <t xml:space="preserve">Space </t>
  </si>
  <si>
    <t xml:space="preserve">Cimoxamil; Mancozebe </t>
  </si>
  <si>
    <t xml:space="preserve">21000.012395/2004-03</t>
  </si>
  <si>
    <t xml:space="preserve">Apache 100 GR</t>
  </si>
  <si>
    <t xml:space="preserve">21000.012322/2005-94</t>
  </si>
  <si>
    <t xml:space="preserve">Dizone</t>
  </si>
  <si>
    <t xml:space="preserve">21000.011090/2006-38</t>
  </si>
  <si>
    <t xml:space="preserve">Cigaral Técnico</t>
  </si>
  <si>
    <t xml:space="preserve">21000.013600/2005-21</t>
  </si>
  <si>
    <t xml:space="preserve">Agefix</t>
  </si>
  <si>
    <t xml:space="preserve">Agecom </t>
  </si>
  <si>
    <t xml:space="preserve">21000.002179/2006-11</t>
  </si>
  <si>
    <t xml:space="preserve">Tornado </t>
  </si>
  <si>
    <t xml:space="preserve">21000.000095/2006-35</t>
  </si>
  <si>
    <t xml:space="preserve">Avicta 500 FS</t>
  </si>
  <si>
    <t xml:space="preserve">21000.013906/2006-68</t>
  </si>
  <si>
    <t xml:space="preserve">Riza 200 EC</t>
  </si>
  <si>
    <t xml:space="preserve">21000.002176/2006-70</t>
  </si>
  <si>
    <t xml:space="preserve">Tatico</t>
  </si>
  <si>
    <t xml:space="preserve">21000.000626/2002-66</t>
  </si>
  <si>
    <t xml:space="preserve">Flumetralin Técnico Milenia</t>
  </si>
  <si>
    <t xml:space="preserve">Ano de 2006</t>
  </si>
  <si>
    <t xml:space="preserve">21000.000624/2002-77</t>
  </si>
  <si>
    <t xml:space="preserve">21000.014252/2004-28</t>
  </si>
  <si>
    <t xml:space="preserve">Carbendazim Técnico Rotam</t>
  </si>
  <si>
    <t xml:space="preserve">21000.008713/2003-42</t>
  </si>
  <si>
    <t xml:space="preserve">Discover 500 WP</t>
  </si>
  <si>
    <t xml:space="preserve">Clomazona; Hexazinona</t>
  </si>
  <si>
    <t xml:space="preserve">21000.005782/2001-32</t>
  </si>
  <si>
    <t xml:space="preserve">Gliato</t>
  </si>
  <si>
    <t xml:space="preserve">21000.005781/2001-98</t>
  </si>
  <si>
    <t xml:space="preserve">Abamectin Técnico Prentiss</t>
  </si>
  <si>
    <t xml:space="preserve">21000.008717/2003-21</t>
  </si>
  <si>
    <t xml:space="preserve">Ranger</t>
  </si>
  <si>
    <t xml:space="preserve">21000.003218/2003-47</t>
  </si>
  <si>
    <t xml:space="preserve">Abamectin Prentiss</t>
  </si>
  <si>
    <t xml:space="preserve">21000.008858/2000-09</t>
  </si>
  <si>
    <t xml:space="preserve">Bayfidam Técnico C</t>
  </si>
  <si>
    <t xml:space="preserve">Triadimenol</t>
  </si>
  <si>
    <t xml:space="preserve">21000.013060/2003-13</t>
  </si>
  <si>
    <t xml:space="preserve">Quinclorac Técnico Basf</t>
  </si>
  <si>
    <t xml:space="preserve">Quincloraque</t>
  </si>
  <si>
    <t xml:space="preserve">21000.006147/1995-27</t>
  </si>
  <si>
    <t xml:space="preserve">Diurex Agricur 800 SC</t>
  </si>
  <si>
    <t xml:space="preserve">21000.000408/1999-10</t>
  </si>
  <si>
    <t xml:space="preserve">Raptor 12 DF</t>
  </si>
  <si>
    <t xml:space="preserve">21000.002206/2003-03</t>
  </si>
  <si>
    <t xml:space="preserve">Oberon Técnico</t>
  </si>
  <si>
    <t xml:space="preserve">21000.002338/2004-16</t>
  </si>
  <si>
    <t xml:space="preserve">Clodinafop-Propargil Técnico</t>
  </si>
  <si>
    <t xml:space="preserve">21000.002541/2004-84</t>
  </si>
  <si>
    <t xml:space="preserve">Topik 240 EC</t>
  </si>
  <si>
    <t xml:space="preserve">21000.006415/1994-93</t>
  </si>
  <si>
    <t xml:space="preserve">Bimetron</t>
  </si>
  <si>
    <t xml:space="preserve">Ametrina; Diurom </t>
  </si>
  <si>
    <t xml:space="preserve">21000.005876/2003-73</t>
  </si>
  <si>
    <t xml:space="preserve">Oberon</t>
  </si>
  <si>
    <t xml:space="preserve">21000.007063/1998-17</t>
  </si>
  <si>
    <t xml:space="preserve">Genius WG</t>
  </si>
  <si>
    <t xml:space="preserve">21000.008218/2000-21</t>
  </si>
  <si>
    <t xml:space="preserve">Scuder </t>
  </si>
  <si>
    <t xml:space="preserve">21000.012000/2004-64</t>
  </si>
  <si>
    <t xml:space="preserve">Approach</t>
  </si>
  <si>
    <t xml:space="preserve">21000.004938/2002-49</t>
  </si>
  <si>
    <t xml:space="preserve">Lactofen Técnico Agripec</t>
  </si>
  <si>
    <t xml:space="preserve">21000.012744/2003-06</t>
  </si>
  <si>
    <t xml:space="preserve">Tebuconazole Técnico Nortox </t>
  </si>
  <si>
    <t xml:space="preserve">21000.010967/2004-10</t>
  </si>
  <si>
    <t xml:space="preserve">Carbendazim Técnico Chemoniva </t>
  </si>
  <si>
    <t xml:space="preserve">21000.010796/2001-78</t>
  </si>
  <si>
    <t xml:space="preserve">Matric Técnico </t>
  </si>
  <si>
    <t xml:space="preserve">Cromafenozida</t>
  </si>
  <si>
    <t xml:space="preserve">21000.001130/2005-82</t>
  </si>
  <si>
    <t xml:space="preserve">Cropstar</t>
  </si>
  <si>
    <t xml:space="preserve">21000.013385/2003-04</t>
  </si>
  <si>
    <t xml:space="preserve">Tebuconazole Nortox </t>
  </si>
  <si>
    <t xml:space="preserve">21000.005872/2001-23</t>
  </si>
  <si>
    <t xml:space="preserve">Pitcher 480 EC </t>
  </si>
  <si>
    <t xml:space="preserve">Clorpirifós </t>
  </si>
  <si>
    <t xml:space="preserve">21000.009048/2003-12</t>
  </si>
  <si>
    <t xml:space="preserve">Penoxsulam Pré-Mistura Dow Agrosciences </t>
  </si>
  <si>
    <t xml:space="preserve">Penoxsulam </t>
  </si>
  <si>
    <t xml:space="preserve">21000.010093/2002-21</t>
  </si>
  <si>
    <t xml:space="preserve">Terraclor Técnico Crompton </t>
  </si>
  <si>
    <t xml:space="preserve">Quintozeno</t>
  </si>
  <si>
    <t xml:space="preserve">Crompton</t>
  </si>
  <si>
    <t xml:space="preserve">21000.010528/2003-18</t>
  </si>
  <si>
    <t xml:space="preserve">Thiram Técnico Crompton </t>
  </si>
  <si>
    <t xml:space="preserve">Tiram </t>
  </si>
  <si>
    <t xml:space="preserve">21000.003071/2000-42</t>
  </si>
  <si>
    <t xml:space="preserve">Catcher 480 EC</t>
  </si>
  <si>
    <t xml:space="preserve">21000.002953/1999-78</t>
  </si>
  <si>
    <t xml:space="preserve">Glifos N</t>
  </si>
  <si>
    <t xml:space="preserve">21000.010802/2001-97</t>
  </si>
  <si>
    <t xml:space="preserve">Ciclone </t>
  </si>
  <si>
    <t xml:space="preserve">Cromafenozida </t>
  </si>
  <si>
    <t xml:space="preserve">21000.000489/2005-11</t>
  </si>
  <si>
    <t xml:space="preserve">Rodazim 500 SC</t>
  </si>
  <si>
    <t xml:space="preserve">21000.004646/2005-59</t>
  </si>
  <si>
    <t xml:space="preserve">Maxcel </t>
  </si>
  <si>
    <t xml:space="preserve">21000.002691/1995-08</t>
  </si>
  <si>
    <t xml:space="preserve">Merpan 500 WP </t>
  </si>
  <si>
    <t xml:space="preserve">21000.012774/2003-12</t>
  </si>
  <si>
    <t xml:space="preserve">Acefato Técnico Sinon </t>
  </si>
  <si>
    <t xml:space="preserve">21000.005780/2001-43</t>
  </si>
  <si>
    <t xml:space="preserve">Pren-D</t>
  </si>
  <si>
    <t xml:space="preserve">21000.005160/2005-38</t>
  </si>
  <si>
    <t xml:space="preserve">Biogenol</t>
  </si>
  <si>
    <t xml:space="preserve">Metil Eugenol </t>
  </si>
  <si>
    <t xml:space="preserve">21000.000085/2002-76</t>
  </si>
  <si>
    <t xml:space="preserve">Biflex Treebags </t>
  </si>
  <si>
    <t xml:space="preserve">21000.008005/2002-21</t>
  </si>
  <si>
    <t xml:space="preserve">Platinun</t>
  </si>
  <si>
    <t xml:space="preserve">Tiametoxam; Cipermetrina </t>
  </si>
  <si>
    <t xml:space="preserve">21000.011614/2004-29</t>
  </si>
  <si>
    <t xml:space="preserve">Tebuconazole 95 Técnico Helm </t>
  </si>
  <si>
    <t xml:space="preserve">21000.003105/2005-11</t>
  </si>
  <si>
    <t xml:space="preserve">Difenoconazole 94 Técnico Helm </t>
  </si>
  <si>
    <t xml:space="preserve">21000.006466/2001-88</t>
  </si>
  <si>
    <t xml:space="preserve">Taj</t>
  </si>
  <si>
    <t xml:space="preserve">21000.001614/2004-11</t>
  </si>
  <si>
    <t xml:space="preserve">Profenofós Técnico BR </t>
  </si>
  <si>
    <t xml:space="preserve">21000.008220/2001-41</t>
  </si>
  <si>
    <t xml:space="preserve">Metsulfuron Técnico Condax</t>
  </si>
  <si>
    <t xml:space="preserve">Metsufuron-Metílico </t>
  </si>
  <si>
    <t xml:space="preserve">Condax</t>
  </si>
  <si>
    <t xml:space="preserve">21000.010731/2001-23</t>
  </si>
  <si>
    <t xml:space="preserve">Metsulfuron Methyl Técnico </t>
  </si>
  <si>
    <t xml:space="preserve">Metsufuron-Metílico</t>
  </si>
  <si>
    <t xml:space="preserve">21000.010997/2002-56</t>
  </si>
  <si>
    <t xml:space="preserve">Sulfometuron Methyl Técnico</t>
  </si>
  <si>
    <t xml:space="preserve">21000.007378/2001-01</t>
  </si>
  <si>
    <t xml:space="preserve">Bio Plutella </t>
  </si>
  <si>
    <t xml:space="preserve">(Z)-11-Hexadecenal; (Z)-11Hexadedecenyl</t>
  </si>
  <si>
    <t xml:space="preserve">21000.004474/2004-32</t>
  </si>
  <si>
    <t xml:space="preserve">Paradox </t>
  </si>
  <si>
    <t xml:space="preserve">21000.000405/2005-31</t>
  </si>
  <si>
    <t xml:space="preserve">Tebuthiuron Técnico Volcano</t>
  </si>
  <si>
    <t xml:space="preserve">21000.000145/2005-01</t>
  </si>
  <si>
    <t xml:space="preserve">Tebuconazole Técnico Rotam</t>
  </si>
  <si>
    <t xml:space="preserve">21000.004868/2002-29</t>
  </si>
  <si>
    <t xml:space="preserve">Designer </t>
  </si>
  <si>
    <t xml:space="preserve">Látex sintético e fluido de organosilicone surfactante</t>
  </si>
  <si>
    <t xml:space="preserve">21000.004869/2002-73</t>
  </si>
  <si>
    <t xml:space="preserve">Sticman </t>
  </si>
  <si>
    <t xml:space="preserve">21000.004870/2002-06</t>
  </si>
  <si>
    <t xml:space="preserve">Arreglo</t>
  </si>
  <si>
    <t xml:space="preserve">21000.010719/2004-61</t>
  </si>
  <si>
    <t xml:space="preserve">Success 0,02 CB</t>
  </si>
  <si>
    <t xml:space="preserve">21000.007424/2002-45</t>
  </si>
  <si>
    <t xml:space="preserve">Metsulfuron Técnico Nufarm </t>
  </si>
  <si>
    <t xml:space="preserve">21000.000105/2004-71</t>
  </si>
  <si>
    <t xml:space="preserve">Accent</t>
  </si>
  <si>
    <t xml:space="preserve">21000.000104/2004-26</t>
  </si>
  <si>
    <t xml:space="preserve">Nicosulfuron Técnico</t>
  </si>
  <si>
    <t xml:space="preserve">21000.008541/2005-79</t>
  </si>
  <si>
    <t xml:space="preserve">Atento</t>
  </si>
  <si>
    <t xml:space="preserve">21000.001961/2004-43</t>
  </si>
  <si>
    <t xml:space="preserve">Rapel </t>
  </si>
  <si>
    <t xml:space="preserve">21000.008044/2001-47</t>
  </si>
  <si>
    <t xml:space="preserve">Clotimuron Técnico Condax</t>
  </si>
  <si>
    <t xml:space="preserve">21000.001631/1999-66</t>
  </si>
  <si>
    <t xml:space="preserve">Senior WG</t>
  </si>
  <si>
    <t xml:space="preserve">21000.011352/2005-83</t>
  </si>
  <si>
    <t xml:space="preserve">Bio Diabrotica </t>
  </si>
  <si>
    <t xml:space="preserve">1,4-Dimetoxibenzeno </t>
  </si>
  <si>
    <t xml:space="preserve">21000.002294/2004-16</t>
  </si>
  <si>
    <t xml:space="preserve">Zetanil</t>
  </si>
  <si>
    <t xml:space="preserve">21000.011182/2002-94</t>
  </si>
  <si>
    <t xml:space="preserve">Truper</t>
  </si>
  <si>
    <t xml:space="preserve">Fluroxipir-Meptílico; Triclopir-Butotílico</t>
  </si>
  <si>
    <t xml:space="preserve">21000.005159/2005-11</t>
  </si>
  <si>
    <t xml:space="preserve">Bio Mea </t>
  </si>
  <si>
    <t xml:space="preserve">E4,Z7-tridecadien-1-yl acetate; E4,Z7,Z10-tridecatrien-1-yl acetate</t>
  </si>
  <si>
    <t xml:space="preserve">21000.007178/2005-74</t>
  </si>
  <si>
    <t xml:space="preserve">Lambda-Cyhalotrin 97 Técnico Helm</t>
  </si>
  <si>
    <t xml:space="preserve">21000.004259/2004-31</t>
  </si>
  <si>
    <t xml:space="preserve">Aminopilalide Ácido Técnico </t>
  </si>
  <si>
    <t xml:space="preserve">21000.003805/2005-06</t>
  </si>
  <si>
    <t xml:space="preserve">Hexazinona Técnico Volcano </t>
  </si>
  <si>
    <t xml:space="preserve">21000.004868/2004-91</t>
  </si>
  <si>
    <t xml:space="preserve">Dominum </t>
  </si>
  <si>
    <t xml:space="preserve">Aminopiralide </t>
  </si>
  <si>
    <t xml:space="preserve">21000.013418/2004-99</t>
  </si>
  <si>
    <t xml:space="preserve">Tebuconazole 200 EC Helm </t>
  </si>
  <si>
    <t xml:space="preserve">21000.006667/2005-17</t>
  </si>
  <si>
    <t xml:space="preserve">TebuHelm</t>
  </si>
  <si>
    <t xml:space="preserve">21000.003594/2004-12</t>
  </si>
  <si>
    <t xml:space="preserve">Bifenthrin Técnico FMC</t>
  </si>
  <si>
    <t xml:space="preserve">21000.005793/2004-65</t>
  </si>
  <si>
    <t xml:space="preserve">Boral Técnico</t>
  </si>
  <si>
    <t xml:space="preserve">21000.004963/2002-22</t>
  </si>
  <si>
    <t xml:space="preserve">Spotlight</t>
  </si>
  <si>
    <t xml:space="preserve">21000.011116/2004-88</t>
  </si>
  <si>
    <t xml:space="preserve">Aim</t>
  </si>
  <si>
    <t xml:space="preserve">21000.011117/2004-21</t>
  </si>
  <si>
    <t xml:space="preserve">Rage </t>
  </si>
  <si>
    <t xml:space="preserve">21000.010795/2001-23</t>
  </si>
  <si>
    <t xml:space="preserve">Matric</t>
  </si>
  <si>
    <t xml:space="preserve">21000.010386/2001-27</t>
  </si>
  <si>
    <t xml:space="preserve">Sementiran 500 SC</t>
  </si>
  <si>
    <t xml:space="preserve">Enro</t>
  </si>
  <si>
    <t xml:space="preserve">21000.011281/2004-38</t>
  </si>
  <si>
    <t xml:space="preserve">Novazim </t>
  </si>
  <si>
    <t xml:space="preserve">21000.012177/2003-80</t>
  </si>
  <si>
    <t xml:space="preserve">Clorim </t>
  </si>
  <si>
    <t xml:space="preserve">21000.003952/2005-78</t>
  </si>
  <si>
    <t xml:space="preserve">Difenoconazole 250 EC Helm</t>
  </si>
  <si>
    <t xml:space="preserve">21000.014528/2005-59</t>
  </si>
  <si>
    <t xml:space="preserve">Glifosato Atanor 48</t>
  </si>
  <si>
    <t xml:space="preserve">21000.012897/2003-45</t>
  </si>
  <si>
    <t xml:space="preserve">Turf Óleo</t>
  </si>
  <si>
    <t xml:space="preserve">21000.010385/2001-82</t>
  </si>
  <si>
    <t xml:space="preserve">Mayran Técnico</t>
  </si>
  <si>
    <t xml:space="preserve">21000.007961/2004-57</t>
  </si>
  <si>
    <t xml:space="preserve">Imunit</t>
  </si>
  <si>
    <t xml:space="preserve">Alfa-cipermetrina; Teflubenzurom</t>
  </si>
  <si>
    <t xml:space="preserve">21000.013286/2003-14</t>
  </si>
  <si>
    <t xml:space="preserve">Flumetralin Técnico WT</t>
  </si>
  <si>
    <t xml:space="preserve">21000.007183/2004-04</t>
  </si>
  <si>
    <t xml:space="preserve">Fomesafen Técnico SYN</t>
  </si>
  <si>
    <t xml:space="preserve">21000.003847/2004-58</t>
  </si>
  <si>
    <t xml:space="preserve">Roundup Ultra</t>
  </si>
  <si>
    <t xml:space="preserve">21000.004941/2002-62</t>
  </si>
  <si>
    <t xml:space="preserve">Acetamiprid Técnico Agripec</t>
  </si>
  <si>
    <t xml:space="preserve">21000.004847/2004-75</t>
  </si>
  <si>
    <t xml:space="preserve">Roundup Transorb R</t>
  </si>
  <si>
    <t xml:space="preserve">21000.002889/2006-33</t>
  </si>
  <si>
    <t xml:space="preserve">Bio Bonagota</t>
  </si>
  <si>
    <t xml:space="preserve">(E,Z)-3,5-dodecadienila; (Z)-9-hexadecenila; (Z)-5-dodecenila</t>
  </si>
  <si>
    <t xml:space="preserve">21000.003458/2006-94</t>
  </si>
  <si>
    <t xml:space="preserve">Bio Carambolae</t>
  </si>
  <si>
    <t xml:space="preserve">21000.002890/2006-68</t>
  </si>
  <si>
    <t xml:space="preserve">Bio Broca</t>
  </si>
  <si>
    <t xml:space="preserve">Metanol; Etanol</t>
  </si>
  <si>
    <t xml:space="preserve">21000.006349/1999-75</t>
  </si>
  <si>
    <t xml:space="preserve">Trecatol</t>
  </si>
  <si>
    <t xml:space="preserve">Benalaxil; Mancozebe </t>
  </si>
  <si>
    <t xml:space="preserve">21000.011317/2004-83</t>
  </si>
  <si>
    <t xml:space="preserve">Cyhexatin Técnico Chemia</t>
  </si>
  <si>
    <t xml:space="preserve">Cihexatina </t>
  </si>
  <si>
    <t xml:space="preserve">Chemia </t>
  </si>
  <si>
    <t xml:space="preserve">21000.000369/2001-81</t>
  </si>
  <si>
    <t xml:space="preserve">Taspa</t>
  </si>
  <si>
    <t xml:space="preserve">Propiconazol; Difeconazol</t>
  </si>
  <si>
    <t xml:space="preserve">21000.013891/2004-76</t>
  </si>
  <si>
    <t xml:space="preserve">Echo WG</t>
  </si>
  <si>
    <t xml:space="preserve">21000.011460/2003-94</t>
  </si>
  <si>
    <t xml:space="preserve">Curbix Técnico</t>
  </si>
  <si>
    <t xml:space="preserve">21000.003889/2005-70</t>
  </si>
  <si>
    <t xml:space="preserve">Picloram Técnico</t>
  </si>
  <si>
    <t xml:space="preserve">21000.012394/2004-51</t>
  </si>
  <si>
    <t xml:space="preserve">Quicksilver 400 EC</t>
  </si>
  <si>
    <t xml:space="preserve">21000.012330/2003-79</t>
  </si>
  <si>
    <t xml:space="preserve">Glyphotal </t>
  </si>
  <si>
    <t xml:space="preserve">21000.008042/2001-58</t>
  </si>
  <si>
    <t xml:space="preserve">Imazetapyr Técnico Condax </t>
  </si>
  <si>
    <t xml:space="preserve">21000.008465/1999-01</t>
  </si>
  <si>
    <t xml:space="preserve">Czar</t>
  </si>
  <si>
    <t xml:space="preserve">21000.012396/2004-40</t>
  </si>
  <si>
    <t xml:space="preserve">Aurora </t>
  </si>
  <si>
    <t xml:space="preserve">21000.002714/2005-71</t>
  </si>
  <si>
    <t xml:space="preserve">Curbix 200 SC</t>
  </si>
  <si>
    <t xml:space="preserve">Etiprole </t>
  </si>
  <si>
    <t xml:space="preserve">21000.004965/2000-50</t>
  </si>
  <si>
    <t xml:space="preserve">Bavistin </t>
  </si>
  <si>
    <t xml:space="preserve">21000.006335/2001-09</t>
  </si>
  <si>
    <t xml:space="preserve">Samurai </t>
  </si>
  <si>
    <t xml:space="preserve">21000.008467/1999-91</t>
  </si>
  <si>
    <t xml:space="preserve">Tebutiuron Técnico Milenia </t>
  </si>
  <si>
    <t xml:space="preserve">Ano de 2005</t>
  </si>
  <si>
    <t xml:space="preserve">21000.006775/2004-09</t>
  </si>
  <si>
    <t xml:space="preserve">Nativo </t>
  </si>
  <si>
    <t xml:space="preserve">Trifloxistrobina; Tebuconazole</t>
  </si>
  <si>
    <t xml:space="preserve">21000.007445/2004-22</t>
  </si>
  <si>
    <t xml:space="preserve">Azoxistrobina Pré-Mistura </t>
  </si>
  <si>
    <t xml:space="preserve">21000.002772/2000-64</t>
  </si>
  <si>
    <t xml:space="preserve">Mentor</t>
  </si>
  <si>
    <t xml:space="preserve">21000.001496/2001-06</t>
  </si>
  <si>
    <t xml:space="preserve">Bellkute </t>
  </si>
  <si>
    <t xml:space="preserve">Iminoctadina</t>
  </si>
  <si>
    <t xml:space="preserve">21000.009756/2003-45</t>
  </si>
  <si>
    <t xml:space="preserve">Isca Tamanduá Bandeira - Sf</t>
  </si>
  <si>
    <t xml:space="preserve">Biosoja </t>
  </si>
  <si>
    <t xml:space="preserve">21000.004871/2002-42</t>
  </si>
  <si>
    <t xml:space="preserve">Bond A</t>
  </si>
  <si>
    <t xml:space="preserve">Álcool oxialquilado alifático primário </t>
  </si>
  <si>
    <t xml:space="preserve">21000.004873/2002-31</t>
  </si>
  <si>
    <t xml:space="preserve">Bond B</t>
  </si>
  <si>
    <t xml:space="preserve">21000.004872/2002-97</t>
  </si>
  <si>
    <t xml:space="preserve">Bond C</t>
  </si>
  <si>
    <t xml:space="preserve">21000.007067/2001-34</t>
  </si>
  <si>
    <t xml:space="preserve">Bio Heliothis</t>
  </si>
  <si>
    <t xml:space="preserve">(Z)-11-Hexadecenal; (Z)-9-Hexadecenal</t>
  </si>
  <si>
    <t xml:space="preserve">21000.007640/2002-91</t>
  </si>
  <si>
    <t xml:space="preserve">Derosal Técnico BCS</t>
  </si>
  <si>
    <t xml:space="preserve">21000.008361/2001-63</t>
  </si>
  <si>
    <t xml:space="preserve">Academic</t>
  </si>
  <si>
    <t xml:space="preserve">21000.008836/2003-83</t>
  </si>
  <si>
    <t xml:space="preserve">Amistar WG</t>
  </si>
  <si>
    <t xml:space="preserve">21000.009772/2003-38</t>
  </si>
  <si>
    <t xml:space="preserve">Ethrel F</t>
  </si>
  <si>
    <t xml:space="preserve">21000.009773/2003-82</t>
  </si>
  <si>
    <t xml:space="preserve">Ethrel PA</t>
  </si>
  <si>
    <t xml:space="preserve">21000.009774/2003-27</t>
  </si>
  <si>
    <t xml:space="preserve">Ethrel 25 PA</t>
  </si>
  <si>
    <t xml:space="preserve">21000.006484/1998-30</t>
  </si>
  <si>
    <t xml:space="preserve">Quasar</t>
  </si>
  <si>
    <t xml:space="preserve">Metamidofós</t>
  </si>
  <si>
    <t xml:space="preserve">21000.006485/1998-01</t>
  </si>
  <si>
    <t xml:space="preserve">Gladiador</t>
  </si>
  <si>
    <t xml:space="preserve">Impact 125 SC</t>
  </si>
  <si>
    <t xml:space="preserve">21000.002841/2004-63</t>
  </si>
  <si>
    <t xml:space="preserve">Potenzor</t>
  </si>
  <si>
    <t xml:space="preserve">21000.002843/2004-52</t>
  </si>
  <si>
    <t xml:space="preserve">Mercury</t>
  </si>
  <si>
    <t xml:space="preserve">21000.010569/2001-42</t>
  </si>
  <si>
    <t xml:space="preserve">Abamectin Técnico Sinon </t>
  </si>
  <si>
    <t xml:space="preserve">21000.006350/1999-54</t>
  </si>
  <si>
    <t xml:space="preserve">Tairel M</t>
  </si>
  <si>
    <t xml:space="preserve">Benalaxil; Mancozebe</t>
  </si>
  <si>
    <t xml:space="preserve">21000.010792/2001-90</t>
  </si>
  <si>
    <t xml:space="preserve">Focus WP</t>
  </si>
  <si>
    <t xml:space="preserve">21000.006819/1998-56</t>
  </si>
  <si>
    <t xml:space="preserve">Acrobat MZ</t>
  </si>
  <si>
    <t xml:space="preserve">Mancozebe; Dimetomorfe</t>
  </si>
  <si>
    <t xml:space="preserve">21000.001182/2003-67</t>
  </si>
  <si>
    <t xml:space="preserve">Ciromazin Técnico BR</t>
  </si>
  <si>
    <t xml:space="preserve">Ciromazina</t>
  </si>
  <si>
    <t xml:space="preserve">21000.004397/2003-30</t>
  </si>
  <si>
    <t xml:space="preserve">Ametrina Técnica AG</t>
  </si>
  <si>
    <t xml:space="preserve">21000.003924/2002-16</t>
  </si>
  <si>
    <t xml:space="preserve">Oxicloreto de Cobre Técnico Fenaproqui</t>
  </si>
  <si>
    <t xml:space="preserve">21000.000961/2003-45</t>
  </si>
  <si>
    <t xml:space="preserve">Cyazofamid Técnico</t>
  </si>
  <si>
    <t xml:space="preserve">Ishihara</t>
  </si>
  <si>
    <t xml:space="preserve">21000.010960/2002-28</t>
  </si>
  <si>
    <t xml:space="preserve">Cruser 350 FS</t>
  </si>
  <si>
    <t xml:space="preserve">21000.012970/2003-89</t>
  </si>
  <si>
    <t xml:space="preserve">Systhane 250 EC</t>
  </si>
  <si>
    <t xml:space="preserve">21000.000225/1994-35</t>
  </si>
  <si>
    <t xml:space="preserve">Captan Fersol 500 TS</t>
  </si>
  <si>
    <t xml:space="preserve">21000.009143/2001-46</t>
  </si>
  <si>
    <t xml:space="preserve">Iscalure Grafolita </t>
  </si>
  <si>
    <t xml:space="preserve">(Z)-8-Dodecenyl acetate; (E)-8-dodecenyl acetate; (Z)-8-dodecen-1-ol</t>
  </si>
  <si>
    <t xml:space="preserve">21000.007946/2002-47</t>
  </si>
  <si>
    <t xml:space="preserve">Thidiazuron Técnico BCS</t>
  </si>
  <si>
    <t xml:space="preserve">21000.003030/2002-18</t>
  </si>
  <si>
    <t xml:space="preserve">Photon SC </t>
  </si>
  <si>
    <t xml:space="preserve">21000.006166/2000-18</t>
  </si>
  <si>
    <t xml:space="preserve">Ancosar 720</t>
  </si>
  <si>
    <t xml:space="preserve">21000.002845/2003-61</t>
  </si>
  <si>
    <t xml:space="preserve">Prometrina Técnico AG</t>
  </si>
  <si>
    <t xml:space="preserve">21000.010895/2002-31</t>
  </si>
  <si>
    <t xml:space="preserve">Mesurol Técnico T</t>
  </si>
  <si>
    <t xml:space="preserve">Metiocarbe</t>
  </si>
  <si>
    <t xml:space="preserve">21000.003362/2003-83</t>
  </si>
  <si>
    <t xml:space="preserve">Imazaquim Técnico Basf </t>
  </si>
  <si>
    <t xml:space="preserve">Imazaquim</t>
  </si>
  <si>
    <t xml:space="preserve">21000.006356/2002-05</t>
  </si>
  <si>
    <t xml:space="preserve">Decis Técnico BCS</t>
  </si>
  <si>
    <t xml:space="preserve">21000.000691/2004-53</t>
  </si>
  <si>
    <t xml:space="preserve">Biolita</t>
  </si>
  <si>
    <t xml:space="preserve">21000.009133/2000-20</t>
  </si>
  <si>
    <t xml:space="preserve">Imazaquim Técnico</t>
  </si>
  <si>
    <t xml:space="preserve">21000.011202/2002-27</t>
  </si>
  <si>
    <t xml:space="preserve">Flonicamid Técnico FMC</t>
  </si>
  <si>
    <t xml:space="preserve">Flonicamide</t>
  </si>
  <si>
    <t xml:space="preserve">21000.011205/2002-61</t>
  </si>
  <si>
    <t xml:space="preserve">Flonicamid Técnico</t>
  </si>
  <si>
    <t xml:space="preserve">21000.005886/2004-90</t>
  </si>
  <si>
    <t xml:space="preserve">Argenfrut RV</t>
  </si>
  <si>
    <t xml:space="preserve">Agrovant</t>
  </si>
  <si>
    <t xml:space="preserve">21000.005771/2004-03</t>
  </si>
  <si>
    <t xml:space="preserve">Butiuron</t>
  </si>
  <si>
    <t xml:space="preserve">21000.009395/2003-37</t>
  </si>
  <si>
    <t xml:space="preserve">Carben 500 SC</t>
  </si>
  <si>
    <t xml:space="preserve">21000.014193/2004-98</t>
  </si>
  <si>
    <t xml:space="preserve">Celeiro </t>
  </si>
  <si>
    <t xml:space="preserve">Flutriafol; Tiofanato-Metílico</t>
  </si>
  <si>
    <t xml:space="preserve">21000.014203/2004-95</t>
  </si>
  <si>
    <t xml:space="preserve">Impact Duo</t>
  </si>
  <si>
    <t xml:space="preserve">21000.000962/2003-90</t>
  </si>
  <si>
    <t xml:space="preserve">Ranman</t>
  </si>
  <si>
    <t xml:space="preserve">21000.006216/2003-18</t>
  </si>
  <si>
    <t xml:space="preserve">Larvin WG</t>
  </si>
  <si>
    <t xml:space="preserve">21000.009149/2000-32</t>
  </si>
  <si>
    <t xml:space="preserve">Soyaquim 700 WG </t>
  </si>
  <si>
    <t xml:space="preserve">21000.008219/2001-16</t>
  </si>
  <si>
    <t xml:space="preserve">Glifisato Técnico Condax </t>
  </si>
  <si>
    <t xml:space="preserve">21000.000571/2003-75</t>
  </si>
  <si>
    <t xml:space="preserve">Metconazole Técnico Basf</t>
  </si>
  <si>
    <t xml:space="preserve">Metconazol</t>
  </si>
  <si>
    <t xml:space="preserve">21000.008116/2000-75</t>
  </si>
  <si>
    <t xml:space="preserve">Glifosato 480 Pikapau </t>
  </si>
  <si>
    <t xml:space="preserve">Produtos Químicos São Vicente </t>
  </si>
  <si>
    <t xml:space="preserve">21000.011206/2002-13</t>
  </si>
  <si>
    <t xml:space="preserve">Turbine 500 WG</t>
  </si>
  <si>
    <t xml:space="preserve">21000.011209/2002-49</t>
  </si>
  <si>
    <t xml:space="preserve">Flonicamid 500 WG</t>
  </si>
  <si>
    <t xml:space="preserve">21000.000818/2004-34</t>
  </si>
  <si>
    <t xml:space="preserve">Solara 500</t>
  </si>
  <si>
    <t xml:space="preserve">21000.008033/2001-67</t>
  </si>
  <si>
    <t xml:space="preserve">Declare</t>
  </si>
  <si>
    <t xml:space="preserve">Parationa-Metílica</t>
  </si>
  <si>
    <t xml:space="preserve">21000.012974/2003-67</t>
  </si>
  <si>
    <t xml:space="preserve">Engeo Pleno</t>
  </si>
  <si>
    <t xml:space="preserve">Tiametoxam; Lambda-cialotrina</t>
  </si>
  <si>
    <t xml:space="preserve">21000.004148/2003-44</t>
  </si>
  <si>
    <t xml:space="preserve">Glifosato Técnico Atanor II</t>
  </si>
  <si>
    <t xml:space="preserve">21000.011313/2003-14</t>
  </si>
  <si>
    <t xml:space="preserve">Arrivo Técnico </t>
  </si>
  <si>
    <t xml:space="preserve">21000.002385/2003-71</t>
  </si>
  <si>
    <t xml:space="preserve">Zellus SC</t>
  </si>
  <si>
    <t xml:space="preserve">21000.006025/2000-03</t>
  </si>
  <si>
    <t xml:space="preserve">Dimethenamis-P Técnico </t>
  </si>
  <si>
    <t xml:space="preserve">Dimetenamida</t>
  </si>
  <si>
    <t xml:space="preserve">21000.012462/2004-81</t>
  </si>
  <si>
    <t xml:space="preserve">Metarril WP E9</t>
  </si>
  <si>
    <t xml:space="preserve">21000.008449/2001-85</t>
  </si>
  <si>
    <t xml:space="preserve">Raxil FS</t>
  </si>
  <si>
    <t xml:space="preserve">21000.008785/2003-90</t>
  </si>
  <si>
    <t xml:space="preserve">Bio Tuta </t>
  </si>
  <si>
    <t xml:space="preserve">Acetatode Tetradecatrienila</t>
  </si>
  <si>
    <t xml:space="preserve">21000.002789/2004-45</t>
  </si>
  <si>
    <t xml:space="preserve">Agridex </t>
  </si>
  <si>
    <t xml:space="preserve">21000.002787/2004-56</t>
  </si>
  <si>
    <t xml:space="preserve">Unióleo</t>
  </si>
  <si>
    <t xml:space="preserve">21000.002788/2004-09</t>
  </si>
  <si>
    <t xml:space="preserve">MSO</t>
  </si>
  <si>
    <t xml:space="preserve">21000.006674/1995-22</t>
  </si>
  <si>
    <t xml:space="preserve">Glydur</t>
  </si>
  <si>
    <t xml:space="preserve">Glifosato; Diurom</t>
  </si>
  <si>
    <t xml:space="preserve">21000.008194/2000-70</t>
  </si>
  <si>
    <t xml:space="preserve">Glifosato Ácido Técnico LDA </t>
  </si>
  <si>
    <t xml:space="preserve">21000.007875/2001-00</t>
  </si>
  <si>
    <t xml:space="preserve">Gesagard 500 SC</t>
  </si>
  <si>
    <t xml:space="preserve">21000.012176/2003-35</t>
  </si>
  <si>
    <t xml:space="preserve">Portero</t>
  </si>
  <si>
    <t xml:space="preserve">21000.001523/1996-41</t>
  </si>
  <si>
    <t xml:space="preserve">Uragan 800 WP</t>
  </si>
  <si>
    <t xml:space="preserve">Bromacila</t>
  </si>
  <si>
    <t xml:space="preserve">21000.007264/2001-53</t>
  </si>
  <si>
    <t xml:space="preserve">Cyclanilide Técnico Bayer </t>
  </si>
  <si>
    <t xml:space="preserve">21000.000822/2004-01</t>
  </si>
  <si>
    <t xml:space="preserve">Paraquat Técnico Sinon </t>
  </si>
  <si>
    <t xml:space="preserve">21000.007444/2004-88</t>
  </si>
  <si>
    <t xml:space="preserve">Picoxistrobina Técnica</t>
  </si>
  <si>
    <t xml:space="preserve">21000.000327/2004-93</t>
  </si>
  <si>
    <t xml:space="preserve">Potenza</t>
  </si>
  <si>
    <t xml:space="preserve">21000.010699/2001-85</t>
  </si>
  <si>
    <t xml:space="preserve">IscalureTML Plug</t>
  </si>
  <si>
    <t xml:space="preserve">Trimedlure</t>
  </si>
  <si>
    <t xml:space="preserve">21000.003547/2003-98</t>
  </si>
  <si>
    <t xml:space="preserve">Ricer </t>
  </si>
  <si>
    <t xml:space="preserve">21000.003548/2003-32</t>
  </si>
  <si>
    <t xml:space="preserve">Penoxsulam Técnico Dow Agrosciences </t>
  </si>
  <si>
    <t xml:space="preserve">21000.007459/2000-12</t>
  </si>
  <si>
    <t xml:space="preserve">Alanto </t>
  </si>
  <si>
    <t xml:space="preserve">Tiacloprido </t>
  </si>
  <si>
    <t xml:space="preserve">21000.003269/2003-79</t>
  </si>
  <si>
    <t xml:space="preserve">Flumetralin Técnico Syngenta </t>
  </si>
  <si>
    <t xml:space="preserve">21000.008339/2004-66</t>
  </si>
  <si>
    <t xml:space="preserve">Fluquinconazole Técnico BCS</t>
  </si>
  <si>
    <t xml:space="preserve">21000.001504/2000-25</t>
  </si>
  <si>
    <t xml:space="preserve">Bio BM</t>
  </si>
  <si>
    <t xml:space="preserve">5,9-dimetilpentadecano</t>
  </si>
  <si>
    <t xml:space="preserve">21000.010708/2003-08</t>
  </si>
  <si>
    <t xml:space="preserve">Ethrel Técnico BCS</t>
  </si>
  <si>
    <t xml:space="preserve">21000.003650/2001-76</t>
  </si>
  <si>
    <t xml:space="preserve">Proplant</t>
  </si>
  <si>
    <t xml:space="preserve">21000.006003/2001-16</t>
  </si>
  <si>
    <t xml:space="preserve">Calypso 480 A</t>
  </si>
  <si>
    <t xml:space="preserve">21000.008912/2000-16</t>
  </si>
  <si>
    <t xml:space="preserve">Cleaness</t>
  </si>
  <si>
    <t xml:space="preserve">Carpropamid</t>
  </si>
  <si>
    <t xml:space="preserve">21000.009738/2003-63</t>
  </si>
  <si>
    <t xml:space="preserve">Glifosato Fersol 480</t>
  </si>
  <si>
    <t xml:space="preserve">21000.005329/2001-26</t>
  </si>
  <si>
    <t xml:space="preserve">Soprano Agricur Técnico</t>
  </si>
  <si>
    <t xml:space="preserve">21000.007096/2001-04</t>
  </si>
  <si>
    <t xml:space="preserve">Monceren 250 SC</t>
  </si>
  <si>
    <t xml:space="preserve">Penicurom</t>
  </si>
  <si>
    <t xml:space="preserve">21000.007358/2001-22</t>
  </si>
  <si>
    <t xml:space="preserve">Zoxium Técnico 950</t>
  </si>
  <si>
    <t xml:space="preserve">Zoxamida</t>
  </si>
  <si>
    <t xml:space="preserve">21000.010799/2001-10</t>
  </si>
  <si>
    <t xml:space="preserve">MilbekNock</t>
  </si>
  <si>
    <t xml:space="preserve">Milbectina</t>
  </si>
  <si>
    <t xml:space="preserve">21000.004852/2001-35</t>
  </si>
  <si>
    <t xml:space="preserve">Iscalure BW 10</t>
  </si>
  <si>
    <t xml:space="preserve">21000.009136/2000-63</t>
  </si>
  <si>
    <t xml:space="preserve">Imazetapir Técnico Agripec</t>
  </si>
  <si>
    <t xml:space="preserve">21000.000940/2002-49</t>
  </si>
  <si>
    <t xml:space="preserve">Thiovit Jet</t>
  </si>
  <si>
    <t xml:space="preserve">21000.004744/2002-43</t>
  </si>
  <si>
    <t xml:space="preserve">Callisto</t>
  </si>
  <si>
    <t xml:space="preserve">21000.004650/2002-74</t>
  </si>
  <si>
    <t xml:space="preserve">Mesotrione Técnico</t>
  </si>
  <si>
    <t xml:space="preserve">21000.005979/2000-91</t>
  </si>
  <si>
    <t xml:space="preserve">Loyalty Técnico</t>
  </si>
  <si>
    <t xml:space="preserve">Flufenpir-Etil</t>
  </si>
  <si>
    <t xml:space="preserve">21000.008232/2001-75</t>
  </si>
  <si>
    <t xml:space="preserve">Hussar</t>
  </si>
  <si>
    <t xml:space="preserve">Iodossulfurom-Metil</t>
  </si>
  <si>
    <t xml:space="preserve">21000.005330/2001-51</t>
  </si>
  <si>
    <t xml:space="preserve">Soprano 125 SC</t>
  </si>
  <si>
    <t xml:space="preserve">MIlênia</t>
  </si>
  <si>
    <t xml:space="preserve">21000.007415/2001-73</t>
  </si>
  <si>
    <t xml:space="preserve">Delsene SC</t>
  </si>
  <si>
    <t xml:space="preserve">21000.009125/2000-83</t>
  </si>
  <si>
    <t xml:space="preserve">Glifosato Agripec 720 WG</t>
  </si>
  <si>
    <t xml:space="preserve">21000.008387/2001-10</t>
  </si>
  <si>
    <t xml:space="preserve">Collis</t>
  </si>
  <si>
    <t xml:space="preserve">Boscalida; Cresoxim-Metílico</t>
  </si>
  <si>
    <t xml:space="preserve">21000.010756/2001-26</t>
  </si>
  <si>
    <t xml:space="preserve">ActaraPlus</t>
  </si>
  <si>
    <t xml:space="preserve">Tiametoxam; Cipermetrina</t>
  </si>
  <si>
    <t xml:space="preserve">21000.002270/2002-03</t>
  </si>
  <si>
    <t xml:space="preserve">Penncozeb WG</t>
  </si>
  <si>
    <t xml:space="preserve">21000.002273/2002-39</t>
  </si>
  <si>
    <t xml:space="preserve">Vondozeb 800 WP</t>
  </si>
  <si>
    <t xml:space="preserve">21000.005598/2000-10</t>
  </si>
  <si>
    <t xml:space="preserve">MCPA Ácido Técnico Nufarm</t>
  </si>
  <si>
    <t xml:space="preserve">21000.001520/1996-52</t>
  </si>
  <si>
    <t xml:space="preserve">Fertox</t>
  </si>
  <si>
    <t xml:space="preserve">21000.010970/2001-82</t>
  </si>
  <si>
    <t xml:space="preserve">Plenty</t>
  </si>
  <si>
    <t xml:space="preserve">21014.000101/1995-45</t>
  </si>
  <si>
    <t xml:space="preserve">Sulfluramida Técnica Dominus</t>
  </si>
  <si>
    <t xml:space="preserve">Sulfloramida</t>
  </si>
  <si>
    <t xml:space="preserve">21000.002664/2002-53</t>
  </si>
  <si>
    <t xml:space="preserve">Fordor 750 WG</t>
  </si>
  <si>
    <t xml:space="preserve">Isoxaflutole</t>
  </si>
  <si>
    <t xml:space="preserve">21000.001252/2001-15</t>
  </si>
  <si>
    <t xml:space="preserve">U 46 Prime</t>
  </si>
  <si>
    <t xml:space="preserve">21000.001524/1996-11</t>
  </si>
  <si>
    <t xml:space="preserve">Gillanex</t>
  </si>
  <si>
    <t xml:space="preserve">Atrazina; Glifosato</t>
  </si>
  <si>
    <t xml:space="preserve">21000.004940/2002-16</t>
  </si>
  <si>
    <t xml:space="preserve">Diflubenzuron Técnico Agripec</t>
  </si>
  <si>
    <t xml:space="preserve">21000.000947/2004-22</t>
  </si>
  <si>
    <t xml:space="preserve">Eminent 125 EW</t>
  </si>
  <si>
    <t xml:space="preserve">21000.008597/2000-19</t>
  </si>
  <si>
    <t xml:space="preserve">Ethephon Técnico BR Griffin</t>
  </si>
  <si>
    <t xml:space="preserve">Griffin Brasil</t>
  </si>
  <si>
    <t xml:space="preserve">21000.006174/2002-26</t>
  </si>
  <si>
    <t xml:space="preserve">Bellis</t>
  </si>
  <si>
    <t xml:space="preserve">21000.001784/2000-71</t>
  </si>
  <si>
    <t xml:space="preserve">Parathion Methyl Técnico Griffin</t>
  </si>
  <si>
    <t xml:space="preserve">21000.001766/2002-51</t>
  </si>
  <si>
    <t xml:space="preserve">Microthiol Disperss WG</t>
  </si>
  <si>
    <t xml:space="preserve">Arkema Química</t>
  </si>
  <si>
    <t xml:space="preserve">21000.002439/2002-17</t>
  </si>
  <si>
    <t xml:space="preserve">LI 700</t>
  </si>
  <si>
    <t xml:space="preserve">Lecitina; Ácido Pripiônico</t>
  </si>
  <si>
    <t xml:space="preserve">United Agri</t>
  </si>
  <si>
    <t xml:space="preserve">21000.008719/2003-10</t>
  </si>
  <si>
    <t xml:space="preserve">Spray Oil 15E</t>
  </si>
  <si>
    <t xml:space="preserve">Ipiranga</t>
  </si>
  <si>
    <t xml:space="preserve">21000.007130/2001-32</t>
  </si>
  <si>
    <t xml:space="preserve">Protreat</t>
  </si>
  <si>
    <t xml:space="preserve">Carbendazim; Tiram</t>
  </si>
  <si>
    <t xml:space="preserve">Merck</t>
  </si>
  <si>
    <t xml:space="preserve">21000.008115/2000-21</t>
  </si>
  <si>
    <t xml:space="preserve">Glifosato Técnico Pikapau</t>
  </si>
  <si>
    <t xml:space="preserve">Produtos Químicos São Vicente</t>
  </si>
  <si>
    <t xml:space="preserve">21000.000128/2000-51</t>
  </si>
  <si>
    <t xml:space="preserve">Pendimethalin Sanachem 500 EC</t>
  </si>
  <si>
    <t xml:space="preserve">21000.007105/2003-11</t>
  </si>
  <si>
    <t xml:space="preserve">Grap'Oil</t>
  </si>
  <si>
    <t xml:space="preserve">21000.001497/2001-42</t>
  </si>
  <si>
    <t xml:space="preserve">Bellkute Técnico</t>
  </si>
  <si>
    <t xml:space="preserve">Hokko do Brasil</t>
  </si>
  <si>
    <t xml:space="preserve">21000.004352/2000-12</t>
  </si>
  <si>
    <t xml:space="preserve">Pyroquilon Técnico</t>
  </si>
  <si>
    <t xml:space="preserve">Piroquilon</t>
  </si>
  <si>
    <t xml:space="preserve">21000.007800/1999-44</t>
  </si>
  <si>
    <t xml:space="preserve">Regio</t>
  </si>
  <si>
    <t xml:space="preserve">21000.007801/1999-15</t>
  </si>
  <si>
    <t xml:space="preserve">Praise</t>
  </si>
  <si>
    <t xml:space="preserve">21000.007177/1998-76</t>
  </si>
  <si>
    <t xml:space="preserve">Topgan 150</t>
  </si>
  <si>
    <t xml:space="preserve">21000.007473/2001-05</t>
  </si>
  <si>
    <t xml:space="preserve">Pectichem</t>
  </si>
  <si>
    <t xml:space="preserve">Gossiplure</t>
  </si>
  <si>
    <t xml:space="preserve">21000.009127/2000-72</t>
  </si>
  <si>
    <t xml:space="preserve">Zethapyr 106 SL</t>
  </si>
  <si>
    <t xml:space="preserve">21000.008832/2003-03</t>
  </si>
  <si>
    <t xml:space="preserve">Connect</t>
  </si>
  <si>
    <t xml:space="preserve">21000.003273/1999-07</t>
  </si>
  <si>
    <t xml:space="preserve">Tidy 700</t>
  </si>
  <si>
    <t xml:space="preserve">21000.006120/2001-80</t>
  </si>
  <si>
    <t xml:space="preserve">Gamma Cyhalothrin Técnico Cheminova</t>
  </si>
  <si>
    <t xml:space="preserve">Gama-Cialotrina</t>
  </si>
  <si>
    <t xml:space="preserve">21000.006410/2001-23</t>
  </si>
  <si>
    <t xml:space="preserve">Gamma Cyhalothrin Técnico</t>
  </si>
  <si>
    <t xml:space="preserve">21000.010973/2001-16</t>
  </si>
  <si>
    <t xml:space="preserve">CottonQuik</t>
  </si>
  <si>
    <t xml:space="preserve">21000.009008/2003-62</t>
  </si>
  <si>
    <t xml:space="preserve">Panzer 250 WDG</t>
  </si>
  <si>
    <t xml:space="preserve">21000.004258/2002-25</t>
  </si>
  <si>
    <t xml:space="preserve">Grazon BR</t>
  </si>
  <si>
    <t xml:space="preserve">21000.006119/2001-55</t>
  </si>
  <si>
    <t xml:space="preserve">Nexide</t>
  </si>
  <si>
    <t xml:space="preserve">21000.001183/2003-10</t>
  </si>
  <si>
    <t xml:space="preserve">Lufenuron Técnico BR</t>
  </si>
  <si>
    <t xml:space="preserve">21000.006116/2001-11</t>
  </si>
  <si>
    <t xml:space="preserve">Fentrol</t>
  </si>
  <si>
    <t xml:space="preserve">21000.008043/2001-01</t>
  </si>
  <si>
    <t xml:space="preserve">Carbendazin Técnico Condax</t>
  </si>
  <si>
    <t xml:space="preserve">21000.006411/2001-78</t>
  </si>
  <si>
    <t xml:space="preserve">Stallion 60 CS</t>
  </si>
  <si>
    <t xml:space="preserve">21000.006412/2001-12</t>
  </si>
  <si>
    <t xml:space="preserve">Stallion 150 CS</t>
  </si>
  <si>
    <t xml:space="preserve">21000.002698/2002-01</t>
  </si>
  <si>
    <t xml:space="preserve">Choice</t>
  </si>
  <si>
    <t xml:space="preserve">Mistura de sais polissacarídeos e outros</t>
  </si>
  <si>
    <t xml:space="preserve">21000.008705/2001-34</t>
  </si>
  <si>
    <t xml:space="preserve">Ferômonio Plato para Lagarta Militar do Algodoeiro</t>
  </si>
  <si>
    <t xml:space="preserve">(Z)-9-tetradecenila; (Z)-11-hexadecenal; (Z)-9-dodecenila</t>
  </si>
  <si>
    <t xml:space="preserve">Plato do Brasil</t>
  </si>
  <si>
    <t xml:space="preserve">21000.004335/2001-66</t>
  </si>
  <si>
    <t xml:space="preserve">Citroagrícola</t>
  </si>
  <si>
    <t xml:space="preserve">Citron</t>
  </si>
  <si>
    <t xml:space="preserve">21000.009746/2003-18</t>
  </si>
  <si>
    <t xml:space="preserve">Chopper Florestal</t>
  </si>
  <si>
    <t xml:space="preserve">21000.005681/2004-12</t>
  </si>
  <si>
    <t xml:space="preserve">Tuit Florestal</t>
  </si>
  <si>
    <t xml:space="preserve">21000.007810/2001-56</t>
  </si>
  <si>
    <t xml:space="preserve">Carbendazim Técnico Cropchem</t>
  </si>
  <si>
    <t xml:space="preserve">21000.009741/2003-87</t>
  </si>
  <si>
    <t xml:space="preserve">Scout</t>
  </si>
  <si>
    <t xml:space="preserve">21000.007724/1999-68</t>
  </si>
  <si>
    <t xml:space="preserve">Atramix 500 SC</t>
  </si>
  <si>
    <t xml:space="preserve">21000.006483/1998-77</t>
  </si>
  <si>
    <t xml:space="preserve">Rivat</t>
  </si>
  <si>
    <t xml:space="preserve">21000.008244/2000-19</t>
  </si>
  <si>
    <t xml:space="preserve">Giz Plus</t>
  </si>
  <si>
    <t xml:space="preserve">21000.010649/2003-60</t>
  </si>
  <si>
    <t xml:space="preserve">Flutriafol Técnico UK</t>
  </si>
  <si>
    <t xml:space="preserve">21000.004939/2002-93</t>
  </si>
  <si>
    <t xml:space="preserve">Imidacloprid Técnico Agripec</t>
  </si>
  <si>
    <t xml:space="preserve">21000.003754/2002-61</t>
  </si>
  <si>
    <t xml:space="preserve">Tepraloxydim Técnico</t>
  </si>
  <si>
    <t xml:space="preserve">Tepraloxidim</t>
  </si>
  <si>
    <t xml:space="preserve">21000.001872/2003-16</t>
  </si>
  <si>
    <t xml:space="preserve">21000.003753/2002-17</t>
  </si>
  <si>
    <t xml:space="preserve">Tepraloxydim Pré-Mistura 30%</t>
  </si>
  <si>
    <t xml:space="preserve">21000.003180/1998-39</t>
  </si>
  <si>
    <t xml:space="preserve">Roundup Ready</t>
  </si>
  <si>
    <t xml:space="preserve">21000.007827/2001-11</t>
  </si>
  <si>
    <t xml:space="preserve">Cymoxanil Técnico Oxon</t>
  </si>
  <si>
    <t xml:space="preserve">21000.009434/2001-34</t>
  </si>
  <si>
    <t xml:space="preserve">Kabuki Técnico</t>
  </si>
  <si>
    <t xml:space="preserve">Piraflufem-Etil</t>
  </si>
  <si>
    <t xml:space="preserve">21000.009749/2003-43</t>
  </si>
  <si>
    <t xml:space="preserve">Galigan 240 F</t>
  </si>
  <si>
    <t xml:space="preserve">21000.007330/2002-76</t>
  </si>
  <si>
    <t xml:space="preserve">Kabuki</t>
  </si>
  <si>
    <t xml:space="preserve">Hokko</t>
  </si>
  <si>
    <t xml:space="preserve">21000.005980/2000-15</t>
  </si>
  <si>
    <t xml:space="preserve">Loyalty</t>
  </si>
  <si>
    <t xml:space="preserve">Flufenpir-Etilico</t>
  </si>
  <si>
    <t xml:space="preserve">21000.010961/2002-72</t>
  </si>
  <si>
    <t xml:space="preserve">Polo 500 SC</t>
  </si>
  <si>
    <t xml:space="preserve">21000.000902/2003-77</t>
  </si>
  <si>
    <t xml:space="preserve">Premier Duo</t>
  </si>
  <si>
    <t xml:space="preserve">21000.010840/2003-10</t>
  </si>
  <si>
    <t xml:space="preserve">Systhane Técnico DAS</t>
  </si>
  <si>
    <t xml:space="preserve">21000.010811/2002-69</t>
  </si>
  <si>
    <t xml:space="preserve">Mesurol Isca</t>
  </si>
  <si>
    <t xml:space="preserve">21000.004859/2001-57</t>
  </si>
  <si>
    <t xml:space="preserve">Carfentrazone Ethyl Técnico FMC</t>
  </si>
  <si>
    <t xml:space="preserve">21000.010342/2001-05</t>
  </si>
  <si>
    <t xml:space="preserve">Glifosato 480 CS Sinon</t>
  </si>
  <si>
    <t xml:space="preserve">21000.008466/1999-47</t>
  </si>
  <si>
    <t xml:space="preserve">Acarit</t>
  </si>
  <si>
    <t xml:space="preserve">Propagito</t>
  </si>
  <si>
    <t xml:space="preserve">21000.006486/1995-12</t>
  </si>
  <si>
    <t xml:space="preserve">Tordon 24 K</t>
  </si>
  <si>
    <t xml:space="preserve">21000.003166/2001-47</t>
  </si>
  <si>
    <t xml:space="preserve">Acefato Técnico Cheminova</t>
  </si>
  <si>
    <t xml:space="preserve">21000.005884/2001-58</t>
  </si>
  <si>
    <t xml:space="preserve">Envidor Técnico</t>
  </si>
  <si>
    <t xml:space="preserve">21000.007315/2001-47</t>
  </si>
  <si>
    <t xml:space="preserve">Envidor</t>
  </si>
  <si>
    <t xml:space="preserve">21000.000783/2002-71</t>
  </si>
  <si>
    <t xml:space="preserve">HT-Silcon</t>
  </si>
  <si>
    <t xml:space="preserve">Tratamento Térmico</t>
  </si>
  <si>
    <t xml:space="preserve">Silcon Ambiental</t>
  </si>
  <si>
    <t xml:space="preserve">21000.007121/2000-61</t>
  </si>
  <si>
    <t xml:space="preserve">Harpon WG</t>
  </si>
  <si>
    <t xml:space="preserve">Zoxamida; Cimoxanil</t>
  </si>
  <si>
    <t xml:space="preserve">21000.007499/2002-26</t>
  </si>
  <si>
    <t xml:space="preserve">Rivolt 480</t>
  </si>
  <si>
    <t xml:space="preserve">21000.000532/2001-14</t>
  </si>
  <si>
    <t xml:space="preserve">Glifosato Nufarm</t>
  </si>
  <si>
    <t xml:space="preserve">21000.001889/1998-54</t>
  </si>
  <si>
    <t xml:space="preserve">Acarstin</t>
  </si>
  <si>
    <t xml:space="preserve">Ciexatina</t>
  </si>
  <si>
    <t xml:space="preserve">21000.009148/2000-98</t>
  </si>
  <si>
    <t xml:space="preserve">Cabrio Top</t>
  </si>
  <si>
    <t xml:space="preserve">21000.002971/2001-53</t>
  </si>
  <si>
    <t xml:space="preserve">Sulfentrazone 750 FMC Técnico</t>
  </si>
  <si>
    <t xml:space="preserve">21000.007443/1998-98</t>
  </si>
  <si>
    <t xml:space="preserve">Spada WG</t>
  </si>
  <si>
    <t xml:space="preserve">21000.002971/2000-72</t>
  </si>
  <si>
    <t xml:space="preserve">Polyram DF</t>
  </si>
  <si>
    <t xml:space="preserve">Metiram</t>
  </si>
  <si>
    <t xml:space="preserve">21000.006390/2001-91</t>
  </si>
  <si>
    <t xml:space="preserve">Akito</t>
  </si>
  <si>
    <t xml:space="preserve">Atofina</t>
  </si>
  <si>
    <t xml:space="preserve">21000.000530/2001-17</t>
  </si>
  <si>
    <t xml:space="preserve">2,4-D 806 Nufarm</t>
  </si>
  <si>
    <t xml:space="preserve">21000.000533/2001-51</t>
  </si>
  <si>
    <t xml:space="preserve">Navajo</t>
  </si>
  <si>
    <t xml:space="preserve">21000.007392/1998-41</t>
  </si>
  <si>
    <t xml:space="preserve">Furacarb 100 GR</t>
  </si>
  <si>
    <t xml:space="preserve">Carbofurano</t>
  </si>
  <si>
    <t xml:space="preserve">21000.002403/1999-77</t>
  </si>
  <si>
    <t xml:space="preserve">Garra 450 PM</t>
  </si>
  <si>
    <t xml:space="preserve">21000.002404/1999-30</t>
  </si>
  <si>
    <t xml:space="preserve">Supera</t>
  </si>
  <si>
    <t xml:space="preserve">21000.003554/2001-28</t>
  </si>
  <si>
    <t xml:space="preserve">Aquila</t>
  </si>
  <si>
    <t xml:space="preserve">Chemionova</t>
  </si>
  <si>
    <t xml:space="preserve">21000.003517/2001-10</t>
  </si>
  <si>
    <t xml:space="preserve">Bio Spodoptera</t>
  </si>
  <si>
    <t xml:space="preserve">(Z)-9-tetradecenila; Z)-11-hexadecenila; (Z)-7-dodecenila</t>
  </si>
  <si>
    <t xml:space="preserve">21000.009031/2000-12</t>
  </si>
  <si>
    <t xml:space="preserve">Nicosulfuron Técnico Nortox</t>
  </si>
  <si>
    <t xml:space="preserve">21000.008117/2000-10</t>
  </si>
  <si>
    <t xml:space="preserve">Malathion 20</t>
  </si>
  <si>
    <t xml:space="preserve">Indústria Química Cajazeira</t>
  </si>
  <si>
    <t xml:space="preserve">21000.008195/2000-14</t>
  </si>
  <si>
    <t xml:space="preserve">21000.006303/1998-93</t>
  </si>
  <si>
    <t xml:space="preserve">Metil Parathion Técnico Cheminova</t>
  </si>
  <si>
    <t xml:space="preserve">21000.008761/2000-98</t>
  </si>
  <si>
    <t xml:space="preserve">Nicosulfuron Nortox 40 SC</t>
  </si>
  <si>
    <t xml:space="preserve">21000.002960/2002-54</t>
  </si>
  <si>
    <t xml:space="preserve">SmartFresh</t>
  </si>
  <si>
    <t xml:space="preserve">Rohm and Haas</t>
  </si>
  <si>
    <t xml:space="preserve">21000.004760/2000-74</t>
  </si>
  <si>
    <t xml:space="preserve">Twister</t>
  </si>
  <si>
    <t xml:space="preserve">21000.007349/1998-20</t>
  </si>
  <si>
    <t xml:space="preserve">Graslan 100 Peletizado</t>
  </si>
  <si>
    <t xml:space="preserve">21000.007467/1994-22</t>
  </si>
  <si>
    <t xml:space="preserve">Folpet Fersol 500 PM</t>
  </si>
  <si>
    <t xml:space="preserve">21000.008857/2000-56</t>
  </si>
  <si>
    <t xml:space="preserve">Cleaness Técnico</t>
  </si>
  <si>
    <t xml:space="preserve">21000.006475/2001-79</t>
  </si>
  <si>
    <t xml:space="preserve">Feromônio Plato para Bicudo do Algodoeiro</t>
  </si>
  <si>
    <t xml:space="preserve">21000.002340/1999-40</t>
  </si>
  <si>
    <t xml:space="preserve">Glyphosate Técnico</t>
  </si>
  <si>
    <t xml:space="preserve">21000.009134/2000-74</t>
  </si>
  <si>
    <t xml:space="preserve">Glifosato Técnico Agripec 95% ID</t>
  </si>
  <si>
    <t xml:space="preserve">21000.009032/2000-59</t>
  </si>
  <si>
    <t xml:space="preserve">Endosulfan Técnico Nortox</t>
  </si>
  <si>
    <t xml:space="preserve">Endossulfam</t>
  </si>
  <si>
    <t xml:space="preserve">21000.003296/2001-80</t>
  </si>
  <si>
    <t xml:space="preserve">Abamex Técnico</t>
  </si>
  <si>
    <t xml:space="preserve">Bernardo Química</t>
  </si>
  <si>
    <t xml:space="preserve">21000.007848/2001-29</t>
  </si>
  <si>
    <t xml:space="preserve">Abamectin Técnico Cheminova</t>
  </si>
  <si>
    <t xml:space="preserve">21014.000100/1995-82</t>
  </si>
  <si>
    <t xml:space="preserve">Formicida Isca Agripec</t>
  </si>
  <si>
    <t xml:space="preserve">21000.003830/1993-78</t>
  </si>
  <si>
    <t xml:space="preserve">MCPA Técnico Agritec</t>
  </si>
  <si>
    <t xml:space="preserve">Agritec</t>
  </si>
  <si>
    <t xml:space="preserve">21000.009130/2000-96</t>
  </si>
  <si>
    <t xml:space="preserve">Nicosulfuron Técnico Agripec</t>
  </si>
  <si>
    <t xml:space="preserve">21000.008644/2001-13</t>
  </si>
  <si>
    <t xml:space="preserve">Feromônio Plato para Lagarta Rosada</t>
  </si>
  <si>
    <t xml:space="preserve">Gossyplure</t>
  </si>
  <si>
    <t xml:space="preserve">Plato do Brasail</t>
  </si>
  <si>
    <t xml:space="preserve">21000.003552/2001-39</t>
  </si>
  <si>
    <t xml:space="preserve">Rapsode</t>
  </si>
  <si>
    <t xml:space="preserve">Fenoxaprope-P-Etílico</t>
  </si>
  <si>
    <t xml:space="preserve">21000.009131/2000-31</t>
  </si>
  <si>
    <t xml:space="preserve">Tebuconazole Técnico Agripec</t>
  </si>
  <si>
    <t xml:space="preserve">21000.009135/2000-19</t>
  </si>
  <si>
    <t xml:space="preserve">Glifosato Técnico Agripec 95% GLI</t>
  </si>
  <si>
    <t xml:space="preserve">21000.009128/2000-17</t>
  </si>
  <si>
    <t xml:space="preserve">Nicosulfuron Agripec 40 SC</t>
  </si>
  <si>
    <t xml:space="preserve">21000.005534/2003-53</t>
  </si>
  <si>
    <t xml:space="preserve">Priori Xtra</t>
  </si>
  <si>
    <t xml:space="preserve">Azoxistrobina; Ciproconazole</t>
  </si>
  <si>
    <t xml:space="preserve">21000.007471/2002-99</t>
  </si>
  <si>
    <t xml:space="preserve">Verdadero 600 WG</t>
  </si>
  <si>
    <t xml:space="preserve">Tiametoxam; Ciproconazole</t>
  </si>
  <si>
    <t xml:space="preserve">21000.007813/2001-90</t>
  </si>
  <si>
    <t xml:space="preserve">Carbendazim Técnico Sinon</t>
  </si>
  <si>
    <t xml:space="preserve">21000.007229/2001-34</t>
  </si>
  <si>
    <t xml:space="preserve">Only</t>
  </si>
  <si>
    <t xml:space="preserve">Imazetapir; Imazapic</t>
  </si>
  <si>
    <t xml:space="preserve">21000.010571/2001-11</t>
  </si>
  <si>
    <t xml:space="preserve">Mandarim</t>
  </si>
  <si>
    <t xml:space="preserve">21000.010798/2001-67</t>
  </si>
  <si>
    <t xml:space="preserve">Milbeknock Técnico</t>
  </si>
  <si>
    <t xml:space="preserve">21000.008032/2001-12</t>
  </si>
  <si>
    <t xml:space="preserve">Grimectin</t>
  </si>
  <si>
    <t xml:space="preserve">Griffin</t>
  </si>
  <si>
    <t xml:space="preserve">21000.008762/2000-32</t>
  </si>
  <si>
    <t xml:space="preserve">Endosulfan Nortox 350 EC</t>
  </si>
  <si>
    <t xml:space="preserve">21000.007439/1998-11</t>
  </si>
  <si>
    <t xml:space="preserve">Pivot 30 DF</t>
  </si>
  <si>
    <t xml:space="preserve">21000.007773/2001-86</t>
  </si>
  <si>
    <t xml:space="preserve">Abamectin Técnico Griffin</t>
  </si>
  <si>
    <t xml:space="preserve">21000.005875/2003-29</t>
  </si>
  <si>
    <t xml:space="preserve">Sphere</t>
  </si>
  <si>
    <t xml:space="preserve">Trifloxistrobina; Ciproconazole</t>
  </si>
  <si>
    <t xml:space="preserve">21000.001617/2002-92</t>
  </si>
  <si>
    <t xml:space="preserve">Tatic</t>
  </si>
  <si>
    <t xml:space="preserve">Mistura de Polímeros e propilenoglicol</t>
  </si>
  <si>
    <t xml:space="preserve">21000.000462/2002-77</t>
  </si>
  <si>
    <t xml:space="preserve">Bond</t>
  </si>
  <si>
    <t xml:space="preserve">Látex sintético; Fluído de Organosilicone; Álccol oxialquilado</t>
  </si>
  <si>
    <t xml:space="preserve">21000.009126/2000-28</t>
  </si>
  <si>
    <t xml:space="preserve">Rival 200 EC</t>
  </si>
  <si>
    <t xml:space="preserve">21000.001265/2001-94</t>
  </si>
  <si>
    <t xml:space="preserve">Pilarsato Técnico</t>
  </si>
  <si>
    <t xml:space="preserve">21000.002690/1995-37</t>
  </si>
  <si>
    <t xml:space="preserve">Folpan Agricur 800 WDG</t>
  </si>
  <si>
    <t xml:space="preserve">21000.006165/2000-73</t>
  </si>
  <si>
    <t xml:space="preserve">Ancosar Técnico</t>
  </si>
  <si>
    <t xml:space="preserve">Ancon do Brasil</t>
  </si>
  <si>
    <t xml:space="preserve">21000.008450/2001-18</t>
  </si>
  <si>
    <t xml:space="preserve">Poncho Técnico</t>
  </si>
  <si>
    <t xml:space="preserve">21000.007811/2001-09</t>
  </si>
  <si>
    <t xml:space="preserve">Clorimuron Técnico Cropchem</t>
  </si>
  <si>
    <t xml:space="preserve">21000.008468/2001-10</t>
  </si>
  <si>
    <t xml:space="preserve">Focus Técnico</t>
  </si>
  <si>
    <t xml:space="preserve">21000.004966/2000-02</t>
  </si>
  <si>
    <t xml:space="preserve">Carbendazin Técnico Mil</t>
  </si>
  <si>
    <t xml:space="preserve">21000.005856/2002-11</t>
  </si>
  <si>
    <t xml:space="preserve">Poncho</t>
  </si>
  <si>
    <t xml:space="preserve">21000.001544/1999-63</t>
  </si>
  <si>
    <t xml:space="preserve">Ametrina Técnica Atanor</t>
  </si>
  <si>
    <t xml:space="preserve">21000.001857/1999-49</t>
  </si>
  <si>
    <t xml:space="preserve">Ametrina Atanor 50 SC</t>
  </si>
  <si>
    <t xml:space="preserve">21000.007416/2001-18</t>
  </si>
  <si>
    <t xml:space="preserve">Carbendazim Técnico</t>
  </si>
  <si>
    <t xml:space="preserve">21000.007109/2001-37</t>
  </si>
  <si>
    <t xml:space="preserve">Boscalid Técnico</t>
  </si>
  <si>
    <t xml:space="preserve">21000.008389/2001-09</t>
  </si>
  <si>
    <t xml:space="preserve">Cantus</t>
  </si>
  <si>
    <t xml:space="preserve">21000.004916/2002-89</t>
  </si>
  <si>
    <t xml:space="preserve">Cipermetrina Técnica Nortox Mol</t>
  </si>
  <si>
    <t xml:space="preserve">21000.007847/2001-84</t>
  </si>
  <si>
    <t xml:space="preserve">Kraft 36 EC</t>
  </si>
  <si>
    <t xml:space="preserve">21000.002770/2000-53</t>
  </si>
  <si>
    <t xml:space="preserve">Fenamidone Técnico Aventis</t>
  </si>
  <si>
    <t xml:space="preserve">Fenamidona</t>
  </si>
  <si>
    <t xml:space="preserve">Aventis</t>
  </si>
  <si>
    <t xml:space="preserve">21000.006613/2000-39</t>
  </si>
  <si>
    <t xml:space="preserve">Formicida Fumacê</t>
  </si>
  <si>
    <t xml:space="preserve">Ecco Control</t>
  </si>
  <si>
    <t xml:space="preserve">21000.007653/1999-11</t>
  </si>
  <si>
    <t xml:space="preserve">Stratego 250 EC</t>
  </si>
  <si>
    <t xml:space="preserve">Trifloxistrobina; Propiconazole</t>
  </si>
  <si>
    <t xml:space="preserve">21000.006178/2000-42</t>
  </si>
  <si>
    <t xml:space="preserve">Clincher</t>
  </si>
  <si>
    <t xml:space="preserve">Cialofope-Butilico</t>
  </si>
  <si>
    <t xml:space="preserve">21000.006177/2000-06</t>
  </si>
  <si>
    <t xml:space="preserve">Cyhalofop BE Técnico Dow Agrosciences</t>
  </si>
  <si>
    <t xml:space="preserve">21000.001542/1999-38</t>
  </si>
  <si>
    <t xml:space="preserve">Trac 50 SC</t>
  </si>
  <si>
    <t xml:space="preserve">21000.002775/2000-06</t>
  </si>
  <si>
    <t xml:space="preserve">Oxadiargyl Técncio</t>
  </si>
  <si>
    <t xml:space="preserve">Oxadiargil</t>
  </si>
  <si>
    <t xml:space="preserve">21000.003851/2000-92</t>
  </si>
  <si>
    <t xml:space="preserve">Foramsulfuron Técnico</t>
  </si>
  <si>
    <t xml:space="preserve">Foramsulfurom</t>
  </si>
  <si>
    <t xml:space="preserve">21000.004898/2000-73</t>
  </si>
  <si>
    <t xml:space="preserve">Clorimuron Master Nortox</t>
  </si>
  <si>
    <t xml:space="preserve">21000.004899/2000-18</t>
  </si>
  <si>
    <t xml:space="preserve">Imazetapir Plus Nortox</t>
  </si>
  <si>
    <t xml:space="preserve">21000.000670/2000-12</t>
  </si>
  <si>
    <t xml:space="preserve">Opus SC</t>
  </si>
  <si>
    <t xml:space="preserve">21000.004670/2000-83</t>
  </si>
  <si>
    <t xml:space="preserve">Bio Tribolium</t>
  </si>
  <si>
    <t xml:space="preserve">4,8-Dimetildecanal</t>
  </si>
  <si>
    <t xml:space="preserve">21000.005782/2000-51</t>
  </si>
  <si>
    <t xml:space="preserve">Bio Neo</t>
  </si>
  <si>
    <t xml:space="preserve">E-11-Hexadecenol; (Z,Z,Z)-3,6,9-tricosatrieno</t>
  </si>
  <si>
    <t xml:space="preserve">21000.006713/1999-14</t>
  </si>
  <si>
    <t xml:space="preserve">Sulfato de Cobre Microsal</t>
  </si>
  <si>
    <t xml:space="preserve">Microsal</t>
  </si>
  <si>
    <t xml:space="preserve">21000.007277/1998-11</t>
  </si>
  <si>
    <t xml:space="preserve">Glifosato Atanor</t>
  </si>
  <si>
    <t xml:space="preserve">21000.005719/2000-15</t>
  </si>
  <si>
    <t xml:space="preserve">Derosal Plus</t>
  </si>
  <si>
    <t xml:space="preserve">21014.000005/1994-71</t>
  </si>
  <si>
    <t xml:space="preserve">Oxicloreto de Cobre Técnico</t>
  </si>
  <si>
    <t xml:space="preserve">21000.006764/1998-66</t>
  </si>
  <si>
    <t xml:space="preserve">Promalin</t>
  </si>
  <si>
    <t xml:space="preserve">21000.006369/1999-82</t>
  </si>
  <si>
    <t xml:space="preserve">Curathane</t>
  </si>
  <si>
    <t xml:space="preserve">21000.006251/1998-91</t>
  </si>
  <si>
    <t xml:space="preserve">Phenothiol Técnico</t>
  </si>
  <si>
    <t xml:space="preserve">Phenothiol</t>
  </si>
  <si>
    <t xml:space="preserve">21000.008282/1999-98</t>
  </si>
  <si>
    <t xml:space="preserve">Select One Pack</t>
  </si>
  <si>
    <t xml:space="preserve">21000.007800/2000-30</t>
  </si>
  <si>
    <t xml:space="preserve">Censor</t>
  </si>
  <si>
    <t xml:space="preserve">21000.000440/1999-22</t>
  </si>
  <si>
    <t xml:space="preserve">Ácido 2,4-D Técnico Atanor</t>
  </si>
  <si>
    <t xml:space="preserve">21000.009183/2000-15</t>
  </si>
  <si>
    <t xml:space="preserve">Engeo</t>
  </si>
  <si>
    <t xml:space="preserve">21000.007098/2000-12</t>
  </si>
  <si>
    <t xml:space="preserve">Glifosato Nortox WG</t>
  </si>
  <si>
    <t xml:space="preserve">21052.000908/1991-16</t>
  </si>
  <si>
    <t xml:space="preserve">Rabcide 200</t>
  </si>
  <si>
    <t xml:space="preserve">Ftalida</t>
  </si>
  <si>
    <t xml:space="preserve">21000.008035/1999-81</t>
  </si>
  <si>
    <t xml:space="preserve">Bullet</t>
  </si>
  <si>
    <t xml:space="preserve">Iodossulfurom-Metílico-Sódico</t>
  </si>
  <si>
    <t xml:space="preserve">21000.009552/1990-47</t>
  </si>
  <si>
    <t xml:space="preserve">Royaltac CE BR</t>
  </si>
  <si>
    <t xml:space="preserve">N-Decanol</t>
  </si>
  <si>
    <t xml:space="preserve">Uniroyal</t>
  </si>
  <si>
    <t xml:space="preserve">21000.007967/1997-06</t>
  </si>
  <si>
    <t xml:space="preserve">Cicol</t>
  </si>
  <si>
    <t xml:space="preserve">Nonil fenol etoxilado</t>
  </si>
  <si>
    <t xml:space="preserve">21000.003513/1994-04</t>
  </si>
  <si>
    <t xml:space="preserve">Stopper 500 SC</t>
  </si>
  <si>
    <t xml:space="preserve">21000.004560/2000-11</t>
  </si>
  <si>
    <t xml:space="preserve">RMD-1</t>
  </si>
  <si>
    <t xml:space="preserve">21000.008489/1999-51</t>
  </si>
  <si>
    <t xml:space="preserve">Zaz</t>
  </si>
  <si>
    <t xml:space="preserve">21000.007046/1994-74</t>
  </si>
  <si>
    <t xml:space="preserve">Deferon Técnico</t>
  </si>
  <si>
    <t xml:space="preserve">21000.008598/2000-63</t>
  </si>
  <si>
    <t xml:space="preserve">Propanil Técnico GR</t>
  </si>
  <si>
    <t xml:space="preserve">21000.007438/1998-58</t>
  </si>
  <si>
    <t xml:space="preserve">Forum Plus</t>
  </si>
  <si>
    <t xml:space="preserve">Dimetomorfe; Clorotalonil</t>
  </si>
  <si>
    <t xml:space="preserve">21000.006004/1999-01</t>
  </si>
  <si>
    <t xml:space="preserve">Pilon WDG</t>
  </si>
  <si>
    <t xml:space="preserve">21000.002660/2000-11</t>
  </si>
  <si>
    <t xml:space="preserve">Glifosato Técnico Dow Agrosciences</t>
  </si>
  <si>
    <t xml:space="preserve">21000.004900/2000-12</t>
  </si>
  <si>
    <t xml:space="preserve">Imazaquim Ultra Nortox</t>
  </si>
  <si>
    <t xml:space="preserve">21000.000912/2001-41</t>
  </si>
  <si>
    <t xml:space="preserve">Retain</t>
  </si>
  <si>
    <t xml:space="preserve">Cloridrato de Aviglicina</t>
  </si>
  <si>
    <t xml:space="preserve">21000.009129/2000-61</t>
  </si>
  <si>
    <t xml:space="preserve">Carbendazin Técnico Agripec</t>
  </si>
  <si>
    <t xml:space="preserve">21000.005597/2000-67</t>
  </si>
  <si>
    <t xml:space="preserve">Glifosato Técnico Nufarm</t>
  </si>
  <si>
    <t xml:space="preserve">21000.000925/1994-57</t>
  </si>
  <si>
    <t xml:space="preserve">Diuron Técnico Agripec</t>
  </si>
  <si>
    <t xml:space="preserve">21000.000855/2001-08</t>
  </si>
  <si>
    <t xml:space="preserve">Glifosato Ácido Técnico Sinon</t>
  </si>
  <si>
    <t xml:space="preserve">21000.004753/1998-79</t>
  </si>
  <si>
    <t xml:space="preserve">Beta-Cipermetrina Técnica UPL</t>
  </si>
  <si>
    <t xml:space="preserve">Arkema</t>
  </si>
  <si>
    <t xml:space="preserve">21000.002303/2001-06</t>
  </si>
  <si>
    <t xml:space="preserve">Chlorimuron Técnico Cheminova</t>
  </si>
  <si>
    <t xml:space="preserve">21000.009132/2000-85</t>
  </si>
  <si>
    <t xml:space="preserve">Agripec 500 SC</t>
  </si>
  <si>
    <t xml:space="preserve">21000.008462/1999-69</t>
  </si>
  <si>
    <t xml:space="preserve">Propargite Técnico Milenia</t>
  </si>
  <si>
    <t xml:space="preserve">21000.002302/2001-81</t>
  </si>
  <si>
    <t xml:space="preserve">Fenoxaprop Técnico Cheminova</t>
  </si>
  <si>
    <t xml:space="preserve">21000.005364/2000-64</t>
  </si>
  <si>
    <t xml:space="preserve">Boveril WP PL63</t>
  </si>
  <si>
    <t xml:space="preserve">Itaforte</t>
  </si>
  <si>
    <t xml:space="preserve">21000.000441/1999-95</t>
  </si>
  <si>
    <t xml:space="preserve">2,4-D Amina 72</t>
  </si>
  <si>
    <t xml:space="preserve">21000.007727/2000-04</t>
  </si>
  <si>
    <t xml:space="preserve">Ethylbloc</t>
  </si>
  <si>
    <t xml:space="preserve">21000.005849/2002-10</t>
  </si>
  <si>
    <t xml:space="preserve">Hexaron WG</t>
  </si>
  <si>
    <t xml:space="preserve">Hexazinona; Diuron</t>
  </si>
  <si>
    <t xml:space="preserve">21000.008468/1999-58</t>
  </si>
  <si>
    <t xml:space="preserve">Hexazinone Técnico Milenia</t>
  </si>
  <si>
    <t xml:space="preserve">21000.000942/1998-08</t>
  </si>
  <si>
    <t xml:space="preserve">Gastoxin B57</t>
  </si>
  <si>
    <t xml:space="preserve">Casa Bernardo</t>
  </si>
  <si>
    <t xml:space="preserve">21000.005079/1998-86</t>
  </si>
  <si>
    <t xml:space="preserve">Cloreto de Benzalcônico Técnico</t>
  </si>
  <si>
    <t xml:space="preserve">Cloreto de Benzalcônio</t>
  </si>
  <si>
    <t xml:space="preserve">PRTrade</t>
  </si>
  <si>
    <t xml:space="preserve">21000.002715/1998-17</t>
  </si>
  <si>
    <t xml:space="preserve">Giberelina + Indol Butírico Técnico</t>
  </si>
  <si>
    <t xml:space="preserve">Ácido Giberélico; Ácido Indol butírico</t>
  </si>
  <si>
    <t xml:space="preserve">21000.004688/1999-90</t>
  </si>
  <si>
    <t xml:space="preserve">Iodosulfuron Técnico</t>
  </si>
  <si>
    <t xml:space="preserve">Iodossulfurom-Metílico</t>
  </si>
  <si>
    <t xml:space="preserve">21000.008393/1999-93</t>
  </si>
  <si>
    <t xml:space="preserve">Glifosate Potássico Técnico</t>
  </si>
  <si>
    <t xml:space="preserve">Zeneca</t>
  </si>
  <si>
    <t xml:space="preserve">21000.008091/1999-15</t>
  </si>
  <si>
    <t xml:space="preserve">Pulsor Técnico</t>
  </si>
  <si>
    <t xml:space="preserve">Tifluzamida</t>
  </si>
  <si>
    <t xml:space="preserve">21000.008461/1999-14</t>
  </si>
  <si>
    <t xml:space="preserve">Lactofen Técnico Milenia</t>
  </si>
  <si>
    <t xml:space="preserve">21000.007474/1999-01</t>
  </si>
  <si>
    <t xml:space="preserve">Permit</t>
  </si>
  <si>
    <t xml:space="preserve">Dietholate</t>
  </si>
  <si>
    <t xml:space="preserve">21000.006859/1997-90</t>
  </si>
  <si>
    <t xml:space="preserve">Antracol 700 PM</t>
  </si>
  <si>
    <t xml:space="preserve">Propinebe</t>
  </si>
  <si>
    <t xml:space="preserve">21000.005999/1999-85</t>
  </si>
  <si>
    <t xml:space="preserve">Abamectin Técnico Nortox</t>
  </si>
  <si>
    <t xml:space="preserve">21000.005180/1999-91</t>
  </si>
  <si>
    <t xml:space="preserve">Cipermetrina Técnica Nortox</t>
  </si>
  <si>
    <t xml:space="preserve">21000.005332/1999-37</t>
  </si>
  <si>
    <t xml:space="preserve">Piritilen</t>
  </si>
  <si>
    <t xml:space="preserve">21000.005795/1995-10</t>
  </si>
  <si>
    <t xml:space="preserve">Shavit Agricur Técnico</t>
  </si>
  <si>
    <t xml:space="preserve">21000.007051/1998-38</t>
  </si>
  <si>
    <t xml:space="preserve">Radar</t>
  </si>
  <si>
    <t xml:space="preserve">21000.006949/1998-61</t>
  </si>
  <si>
    <t xml:space="preserve">Novapir</t>
  </si>
  <si>
    <t xml:space="preserve">Beta-Ciflutrina</t>
  </si>
  <si>
    <t xml:space="preserve">21000.007170/1998-27</t>
  </si>
  <si>
    <t xml:space="preserve">Caramba 90</t>
  </si>
  <si>
    <t xml:space="preserve">21000.000993/1995-98</t>
  </si>
  <si>
    <t xml:space="preserve">Metolachlor Agricur Técnico</t>
  </si>
  <si>
    <t xml:space="preserve">Metolachlor</t>
  </si>
  <si>
    <t xml:space="preserve">21000.006741/1998-61</t>
  </si>
  <si>
    <t xml:space="preserve">Metconazole Técnico</t>
  </si>
  <si>
    <t xml:space="preserve">21000.000181/2000-52</t>
  </si>
  <si>
    <t xml:space="preserve">Naja</t>
  </si>
  <si>
    <t xml:space="preserve">21000.004194/1998-89</t>
  </si>
  <si>
    <t xml:space="preserve">Perflan</t>
  </si>
  <si>
    <t xml:space="preserve">21000.006574/1999-10</t>
  </si>
  <si>
    <t xml:space="preserve">Stage</t>
  </si>
  <si>
    <t xml:space="preserve">Cloreto de Mepiquat</t>
  </si>
  <si>
    <t xml:space="preserve">21000.008090/1999-71</t>
  </si>
  <si>
    <t xml:space="preserve">Pulsor 240 SC</t>
  </si>
  <si>
    <t xml:space="preserve">21000.007445/1998-13</t>
  </si>
  <si>
    <t xml:space="preserve">Gulliver</t>
  </si>
  <si>
    <t xml:space="preserve">Azimsulfurom</t>
  </si>
  <si>
    <t xml:space="preserve">21000.002241/1998-96</t>
  </si>
  <si>
    <t xml:space="preserve">Conquest</t>
  </si>
  <si>
    <t xml:space="preserve">21000.001805/1999-45</t>
  </si>
  <si>
    <t xml:space="preserve">Convence</t>
  </si>
  <si>
    <t xml:space="preserve">21000.006540/1995-69</t>
  </si>
  <si>
    <t xml:space="preserve">Sumibase 500 CE</t>
  </si>
  <si>
    <t xml:space="preserve">Fenitrotiona</t>
  </si>
  <si>
    <t xml:space="preserve">21000.001091/1996-78</t>
  </si>
  <si>
    <t xml:space="preserve">2,4-D Agritec</t>
  </si>
  <si>
    <t xml:space="preserve">21000.006777/1993-01</t>
  </si>
  <si>
    <t xml:space="preserve">Diuron 500 Agritec</t>
  </si>
  <si>
    <t xml:space="preserve">21000.004293/1996-07</t>
  </si>
  <si>
    <t xml:space="preserve">Fegatex</t>
  </si>
  <si>
    <t xml:space="preserve">21000.005179/1999-10</t>
  </si>
  <si>
    <t xml:space="preserve">Cipermetrina Nortox 250 EC</t>
  </si>
  <si>
    <t xml:space="preserve">21000.005689/1999-98</t>
  </si>
  <si>
    <t xml:space="preserve">Iscalure Tuta</t>
  </si>
  <si>
    <t xml:space="preserve">(E,Z)-3,8-Tetradecadienila</t>
  </si>
  <si>
    <t xml:space="preserve">21000.005688/1999-25</t>
  </si>
  <si>
    <t xml:space="preserve">Iscalure Bonagota</t>
  </si>
  <si>
    <t xml:space="preserve">(E,Z)-3,5-Dodecadienila</t>
  </si>
  <si>
    <t xml:space="preserve">21000.002037/1999-19</t>
  </si>
  <si>
    <t xml:space="preserve">Gachon</t>
  </si>
  <si>
    <t xml:space="preserve">(Z,E)-9,12-Tetradecadienila</t>
  </si>
  <si>
    <t xml:space="preserve">21000.002683/1995-71</t>
  </si>
  <si>
    <t xml:space="preserve">Metolachlor 960 CE</t>
  </si>
  <si>
    <t xml:space="preserve">21000.000453/1998-93</t>
  </si>
  <si>
    <t xml:space="preserve">Stimulate</t>
  </si>
  <si>
    <t xml:space="preserve">21000.003349/1995-35</t>
  </si>
  <si>
    <t xml:space="preserve">Mancozeb Técnico Elf Atochem</t>
  </si>
  <si>
    <t xml:space="preserve">Abamex</t>
  </si>
  <si>
    <t xml:space="preserve">21000.001476/1999-13</t>
  </si>
  <si>
    <t xml:space="preserve">Bio Trimedlure</t>
  </si>
  <si>
    <t xml:space="preserve">21000.006537/1995-51</t>
  </si>
  <si>
    <t xml:space="preserve">Sumiguard 500 PM</t>
  </si>
  <si>
    <t xml:space="preserve">21000.007320/1993-33</t>
  </si>
  <si>
    <t xml:space="preserve">Ametrina Técnica Sanachem</t>
  </si>
  <si>
    <t xml:space="preserve">21000.008394/1999-38</t>
  </si>
  <si>
    <t xml:space="preserve">Zapp QI</t>
  </si>
  <si>
    <t xml:space="preserve">Zêneca</t>
  </si>
  <si>
    <t xml:space="preserve">21000.001977/1996-58</t>
  </si>
  <si>
    <t xml:space="preserve">21000.002676/2000-16</t>
  </si>
  <si>
    <t xml:space="preserve">Goltix Técnico</t>
  </si>
  <si>
    <t xml:space="preserve">Metamitron</t>
  </si>
  <si>
    <t xml:space="preserve">21000.000465/2000-49</t>
  </si>
  <si>
    <t xml:space="preserve">Starion 2P</t>
  </si>
  <si>
    <t xml:space="preserve">21000.008025/1997-82</t>
  </si>
  <si>
    <t xml:space="preserve">Galben-M</t>
  </si>
  <si>
    <t xml:space="preserve">Benalaxil</t>
  </si>
  <si>
    <t xml:space="preserve">21000.005288/1999-47</t>
  </si>
  <si>
    <t xml:space="preserve">Garant BR</t>
  </si>
  <si>
    <t xml:space="preserve">21000.002533/1999-82</t>
  </si>
  <si>
    <t xml:space="preserve">Quimióleo</t>
  </si>
  <si>
    <t xml:space="preserve">Fenix Agro-Pecus</t>
  </si>
  <si>
    <t xml:space="preserve">21000.008032/1999-18</t>
  </si>
  <si>
    <t xml:space="preserve">2,4-D Ácido Técnico Nufarm</t>
  </si>
  <si>
    <t xml:space="preserve">21000.000289/1996-80 </t>
  </si>
  <si>
    <t xml:space="preserve">Pyretop Técnico</t>
  </si>
  <si>
    <t xml:space="preserve">Fenvalerato</t>
  </si>
  <si>
    <t xml:space="preserve">21000.007053/1998-63</t>
  </si>
  <si>
    <t xml:space="preserve">Stinger</t>
  </si>
  <si>
    <t xml:space="preserve">21000.007054/1998-26</t>
  </si>
  <si>
    <t xml:space="preserve">Rustler</t>
  </si>
  <si>
    <t xml:space="preserve">21000.007052/1998-09</t>
  </si>
  <si>
    <t xml:space="preserve">Polaris</t>
  </si>
  <si>
    <t xml:space="preserve">21000.006000/1999-42</t>
  </si>
  <si>
    <t xml:space="preserve">Abamectin Nortox</t>
  </si>
  <si>
    <t xml:space="preserve">21000.006910/1993-11</t>
  </si>
  <si>
    <t xml:space="preserve">Space</t>
  </si>
  <si>
    <t xml:space="preserve">21000.006690/1999-11</t>
  </si>
  <si>
    <t xml:space="preserve">Iprovalicarb Técnico</t>
  </si>
  <si>
    <t xml:space="preserve">Iprovalicarbe</t>
  </si>
  <si>
    <t xml:space="preserve">21000.008354/1999-96</t>
  </si>
  <si>
    <t xml:space="preserve">Bion 500 WG</t>
  </si>
  <si>
    <t xml:space="preserve">Acibenzolar-S-Metil</t>
  </si>
  <si>
    <t xml:space="preserve">Novartis</t>
  </si>
  <si>
    <t xml:space="preserve">21000.008355/1999-31</t>
  </si>
  <si>
    <t xml:space="preserve">Acibenzolar-S-Methyl Técnico</t>
  </si>
  <si>
    <t xml:space="preserve">21000.006852/2000-99</t>
  </si>
  <si>
    <t xml:space="preserve">Bio Bicudo</t>
  </si>
  <si>
    <t xml:space="preserve">21000.005754/1999-58</t>
  </si>
  <si>
    <t xml:space="preserve">Keshet Agricur Técnico</t>
  </si>
  <si>
    <t xml:space="preserve">21000.008196/2000-69</t>
  </si>
  <si>
    <t xml:space="preserve">2,4-D Ácido Técnico BR</t>
  </si>
  <si>
    <t xml:space="preserve">21000.002553/1999-90</t>
  </si>
  <si>
    <t xml:space="preserve">Provado 200 SC</t>
  </si>
  <si>
    <t xml:space="preserve">21000.005797/1995-37</t>
  </si>
  <si>
    <t xml:space="preserve">Shavit Agricur 250 CE</t>
  </si>
  <si>
    <t xml:space="preserve">21000.002689/1995-58</t>
  </si>
  <si>
    <t xml:space="preserve">Mirage 450 EC</t>
  </si>
  <si>
    <t xml:space="preserve">Procloraz</t>
  </si>
  <si>
    <t xml:space="preserve">21000.005760/1999-21</t>
  </si>
  <si>
    <t xml:space="preserve">Brigadier</t>
  </si>
  <si>
    <t xml:space="preserve">21000.000609/1993-86</t>
  </si>
  <si>
    <t xml:space="preserve">Alanex 480 CE</t>
  </si>
  <si>
    <t xml:space="preserve">Alacloro</t>
  </si>
  <si>
    <t xml:space="preserve">21000.007241/1998-73</t>
  </si>
  <si>
    <t xml:space="preserve">Cadusafos Técnico FMC</t>
  </si>
  <si>
    <t xml:space="preserve">21000.005407/2000-10</t>
  </si>
  <si>
    <t xml:space="preserve">Trifloxysulfuron Sodium Técnico</t>
  </si>
  <si>
    <t xml:space="preserve">Trifloxisulfurom-Sódico</t>
  </si>
  <si>
    <t xml:space="preserve">21000.006161/2000-95</t>
  </si>
  <si>
    <t xml:space="preserve">Enfield</t>
  </si>
  <si>
    <t xml:space="preserve">21000.005792/2000-97</t>
  </si>
  <si>
    <t xml:space="preserve">Krismat</t>
  </si>
  <si>
    <t xml:space="preserve">Ametrina; Trifloxisulfurom-Sódico</t>
  </si>
  <si>
    <t xml:space="preserve">21000.006282/2000-37</t>
  </si>
  <si>
    <t xml:space="preserve">Ferocitrus Furão</t>
  </si>
  <si>
    <t xml:space="preserve">Acetato de (E)-8-dodecenila; (E)-8-dodecenol</t>
  </si>
  <si>
    <t xml:space="preserve">Coopercitrus</t>
  </si>
  <si>
    <t xml:space="preserve">21000.008192/2000-81</t>
  </si>
  <si>
    <t xml:space="preserve">Glifosato Ácido Técnico Milenia</t>
  </si>
  <si>
    <t xml:space="preserve">21000.001451/1999-84</t>
  </si>
  <si>
    <t xml:space="preserve">Paracap 450 CS</t>
  </si>
  <si>
    <t xml:space="preserve">21000.001804/1999-82</t>
  </si>
  <si>
    <t xml:space="preserve">Folidol MCS</t>
  </si>
  <si>
    <t xml:space="preserve">21000.007529/1999-92</t>
  </si>
  <si>
    <t xml:space="preserve">Banavit</t>
  </si>
  <si>
    <t xml:space="preserve">Aldicarbe</t>
  </si>
  <si>
    <t xml:space="preserve">Rhône-Poulenc</t>
  </si>
  <si>
    <t xml:space="preserve">21000.008193/2000-25</t>
  </si>
  <si>
    <t xml:space="preserve">Glifosato Ácido Técnico BR</t>
  </si>
  <si>
    <t xml:space="preserve">21000.003980/1999-86</t>
  </si>
  <si>
    <t xml:space="preserve">Nemacur Técnico NBA</t>
  </si>
  <si>
    <t xml:space="preserve">Fenamifós</t>
  </si>
  <si>
    <t xml:space="preserve">21000.006289/1991-98</t>
  </si>
  <si>
    <t xml:space="preserve">Rabcide Técnico 970</t>
  </si>
  <si>
    <t xml:space="preserve">21000.001858/1999-10</t>
  </si>
  <si>
    <t xml:space="preserve">Biographolita</t>
  </si>
  <si>
    <t xml:space="preserve">Álcool Laurílico; Acetato de (Z)-8-dodecenila; Acetato de (E)-8-dodecenila; (Z)-8-dodecenol</t>
  </si>
  <si>
    <t xml:space="preserve">21000.005837/1998-01</t>
  </si>
  <si>
    <t xml:space="preserve">Horizon Duo</t>
  </si>
  <si>
    <t xml:space="preserve">Tebuconazol; Triadimenol</t>
  </si>
  <si>
    <t xml:space="preserve">21000.007219/1998-14</t>
  </si>
  <si>
    <t xml:space="preserve">Spraytex S</t>
  </si>
  <si>
    <t xml:space="preserve">Óleo mineral</t>
  </si>
  <si>
    <t xml:space="preserve">21000.000407/1999-57</t>
  </si>
  <si>
    <t xml:space="preserve">Sweeper 12 DF</t>
  </si>
  <si>
    <t xml:space="preserve">lmazamoxi</t>
  </si>
  <si>
    <t xml:space="preserve">21000.000129/2000-04</t>
  </si>
  <si>
    <t xml:space="preserve">Pendimethalin Técnico Sanachem</t>
  </si>
  <si>
    <t xml:space="preserve">21000.006967/2000-83</t>
  </si>
  <si>
    <t xml:space="preserve">Pyraclostrobin Técnico</t>
  </si>
  <si>
    <t xml:space="preserve">21000.006968/2000-28</t>
  </si>
  <si>
    <t xml:space="preserve">Opera</t>
  </si>
  <si>
    <t xml:space="preserve">21000.001543/1999-90</t>
  </si>
  <si>
    <t xml:space="preserve">Atrazina Técnica Atanor</t>
  </si>
  <si>
    <t xml:space="preserve">21000.006969/2000-79</t>
  </si>
  <si>
    <t xml:space="preserve">Comet</t>
  </si>
  <si>
    <t xml:space="preserve">21000.008093/1999-12</t>
  </si>
  <si>
    <t xml:space="preserve">Positron Duo</t>
  </si>
  <si>
    <t xml:space="preserve">Propinebe; Iprovalicarbe</t>
  </si>
  <si>
    <t xml:space="preserve">21000.003760/1999-80</t>
  </si>
  <si>
    <t xml:space="preserve">Thiabendazole Técnico</t>
  </si>
  <si>
    <t xml:space="preserve">21000.003079/1996-43</t>
  </si>
  <si>
    <t xml:space="preserve">Kaligreen</t>
  </si>
  <si>
    <t xml:space="preserve">Bicarbonato de potássio</t>
  </si>
  <si>
    <t xml:space="preserve">Toyo Denka</t>
  </si>
  <si>
    <t xml:space="preserve">21000.005759/1999-71</t>
  </si>
  <si>
    <t xml:space="preserve">Keshet 25 EC</t>
  </si>
  <si>
    <t xml:space="preserve">21000.001909/2001-44</t>
  </si>
  <si>
    <t xml:space="preserve">Pirâmide</t>
  </si>
  <si>
    <t xml:space="preserve">21000.008380/1999-14</t>
  </si>
  <si>
    <t xml:space="preserve">Bio Pectinophora</t>
  </si>
  <si>
    <t xml:space="preserve">21000.003006/1998-31</t>
  </si>
  <si>
    <t xml:space="preserve">Belcocel Técnico</t>
  </si>
  <si>
    <t xml:space="preserve">UCB</t>
  </si>
  <si>
    <t xml:space="preserve">21000.001625/2001-58</t>
  </si>
  <si>
    <t xml:space="preserve">Antecip</t>
  </si>
  <si>
    <t xml:space="preserve">Etefom; Glufosinato - Sal de Amônio</t>
  </si>
  <si>
    <t xml:space="preserve">21000.001357/2000-93</t>
  </si>
  <si>
    <t xml:space="preserve">21000.007639/1999-91</t>
  </si>
  <si>
    <t xml:space="preserve">Trifloxystrobin Técnico</t>
  </si>
  <si>
    <t xml:space="preserve">21000.007276/1998-58</t>
  </si>
  <si>
    <t xml:space="preserve">Glifosato Técnico Atanor</t>
  </si>
  <si>
    <t xml:space="preserve">21000.003103/2000-18</t>
  </si>
  <si>
    <t xml:space="preserve">Imazetapir Técnico Nortox</t>
  </si>
  <si>
    <t xml:space="preserve">21000.001734/1999-07</t>
  </si>
  <si>
    <t xml:space="preserve">Stroby</t>
  </si>
  <si>
    <t xml:space="preserve">21000.003102/2000-65</t>
  </si>
  <si>
    <t xml:space="preserve">Chlorimuron Etil Técnico Nortox</t>
  </si>
  <si>
    <t xml:space="preserve">21000.003104/2000-54</t>
  </si>
  <si>
    <t xml:space="preserve">Imazaquim Técnico Nortox</t>
  </si>
  <si>
    <t xml:space="preserve">21000.006635/1999-02</t>
  </si>
  <si>
    <t xml:space="preserve">Rugby 100 G</t>
  </si>
  <si>
    <t xml:space="preserve">21000.002315/2000-70</t>
  </si>
  <si>
    <t xml:space="preserve">Dinamic Técncio</t>
  </si>
  <si>
    <t xml:space="preserve">21000.004016/2000-70</t>
  </si>
  <si>
    <t xml:space="preserve">Dinamic</t>
  </si>
  <si>
    <t xml:space="preserve">Decis 25 UBV</t>
  </si>
  <si>
    <t xml:space="preserve">Hoechst Schering Agrevo</t>
  </si>
  <si>
    <t xml:space="preserve">21000.002205/2000-16</t>
  </si>
  <si>
    <t xml:space="preserve">Kadett</t>
  </si>
  <si>
    <t xml:space="preserve">21000.006581/1998-96</t>
  </si>
  <si>
    <t xml:space="preserve">Roundup Dry Técnico</t>
  </si>
  <si>
    <t xml:space="preserve">21000.009156/2000-34</t>
  </si>
  <si>
    <t xml:space="preserve">PMG Técnico</t>
  </si>
  <si>
    <t xml:space="preserve">Soccer 70 WG</t>
  </si>
  <si>
    <t xml:space="preserve">21000.006981/1999-55</t>
  </si>
  <si>
    <t xml:space="preserve">Lannate Express</t>
  </si>
  <si>
    <t xml:space="preserve">21000.007652/1999-59</t>
  </si>
  <si>
    <t xml:space="preserve">Flint 500 WG</t>
  </si>
  <si>
    <t xml:space="preserve">21000.007582/2000-33</t>
  </si>
  <si>
    <t xml:space="preserve">Equip Plus</t>
  </si>
  <si>
    <t xml:space="preserve">Foransulfurom; Iodosulfurom-Metílico-Sódico</t>
  </si>
  <si>
    <t xml:space="preserve">21000.004716/1999-23</t>
  </si>
  <si>
    <t xml:space="preserve">Zoxium 800 PM</t>
  </si>
  <si>
    <t xml:space="preserve">21000.000982/1998-14</t>
  </si>
  <si>
    <t xml:space="preserve">Alaclor + Atrazina SC Nortox</t>
  </si>
  <si>
    <t xml:space="preserve">Alacloro; Atrazina</t>
  </si>
  <si>
    <t xml:space="preserve">21000.005830/1995-19</t>
  </si>
  <si>
    <t xml:space="preserve">Carbendazin Técnico Milenia</t>
  </si>
  <si>
    <t xml:space="preserve">Nufos 480 CE</t>
  </si>
  <si>
    <t xml:space="preserve">21000.007322/1998-73</t>
  </si>
  <si>
    <t xml:space="preserve">Artea</t>
  </si>
  <si>
    <t xml:space="preserve">Ciproconazol; Propiconazol</t>
  </si>
  <si>
    <t xml:space="preserve">21000.008308/1997-05</t>
  </si>
  <si>
    <t xml:space="preserve">Azafenidin Técnico</t>
  </si>
  <si>
    <t xml:space="preserve">Azafenidina</t>
  </si>
  <si>
    <t xml:space="preserve">21000.005665/1998-45</t>
  </si>
  <si>
    <t xml:space="preserve">Dinamaz 70 WG</t>
  </si>
  <si>
    <t xml:space="preserve">21000.002296/1998-88</t>
  </si>
  <si>
    <t xml:space="preserve">Clorpirifós Técnico Cheminova</t>
  </si>
  <si>
    <t xml:space="preserve">21000.000532/1999-49</t>
  </si>
  <si>
    <t xml:space="preserve">Keepdry</t>
  </si>
  <si>
    <t xml:space="preserve">Irrigação Dias Cruz</t>
  </si>
  <si>
    <t xml:space="preserve">21000.001953/1999-32</t>
  </si>
  <si>
    <t xml:space="preserve">Primaiz Gold</t>
  </si>
  <si>
    <t xml:space="preserve">Atrazina; S-Metolacloro</t>
  </si>
  <si>
    <t xml:space="preserve">21000.007321/1998-19</t>
  </si>
  <si>
    <t xml:space="preserve">Primagram Gold</t>
  </si>
  <si>
    <t xml:space="preserve">21000.005393/1996-89</t>
  </si>
  <si>
    <t xml:space="preserve">Pilarsato Técnico 620</t>
  </si>
  <si>
    <t xml:space="preserve">21000.004930/1992-77</t>
  </si>
  <si>
    <t xml:space="preserve">Simazine Técnico</t>
  </si>
  <si>
    <t xml:space="preserve">21000.008304/1997-46</t>
  </si>
  <si>
    <t xml:space="preserve">Style</t>
  </si>
  <si>
    <t xml:space="preserve">21000.008609/1992-99</t>
  </si>
  <si>
    <t xml:space="preserve">Sulfato de Estreptomicina Técnico M</t>
  </si>
  <si>
    <t xml:space="preserve">Estreptomicina</t>
  </si>
  <si>
    <t xml:space="preserve">Pfizer</t>
  </si>
  <si>
    <t xml:space="preserve">21000.002020/1996-65</t>
  </si>
  <si>
    <t xml:space="preserve">Sulfato de Estreptomicina Técnico</t>
  </si>
  <si>
    <t xml:space="preserve">21000.005183/1998-06</t>
  </si>
  <si>
    <t xml:space="preserve">Thiophanate Methyl Técnico</t>
  </si>
  <si>
    <t xml:space="preserve">21000.005184/1998-61</t>
  </si>
  <si>
    <t xml:space="preserve">Acephate Técnico</t>
  </si>
  <si>
    <t xml:space="preserve">21000.007416/1998-15</t>
  </si>
  <si>
    <t xml:space="preserve">Calypso Técnico</t>
  </si>
  <si>
    <t xml:space="preserve">21000.006158/1998-96</t>
  </si>
  <si>
    <t xml:space="preserve">Karate Zeon 50 CS</t>
  </si>
  <si>
    <t xml:space="preserve">21000.001508/1999-08</t>
  </si>
  <si>
    <t xml:space="preserve">Calypso</t>
  </si>
  <si>
    <t xml:space="preserve">21000.006662/1995-43</t>
  </si>
  <si>
    <t xml:space="preserve">Tamar Técnico</t>
  </si>
  <si>
    <t xml:space="preserve">Fluazifop-P-Butil</t>
  </si>
  <si>
    <t xml:space="preserve">21000.008234/1997-62</t>
  </si>
  <si>
    <t xml:space="preserve">Onic Técnico</t>
  </si>
  <si>
    <t xml:space="preserve">Alanicarbe</t>
  </si>
  <si>
    <t xml:space="preserve">21000.005016/1998-66</t>
  </si>
  <si>
    <t xml:space="preserve">Indoxacarb Técnico</t>
  </si>
  <si>
    <t xml:space="preserve">21000.004874/1998-93</t>
  </si>
  <si>
    <t xml:space="preserve">Aramo 200</t>
  </si>
  <si>
    <t xml:space="preserve">21000.002711/1996-96</t>
  </si>
  <si>
    <t xml:space="preserve">Gallant R</t>
  </si>
  <si>
    <t xml:space="preserve">21000.006301/1998-68</t>
  </si>
  <si>
    <t xml:space="preserve">Kocide WDG</t>
  </si>
  <si>
    <t xml:space="preserve">21000.006447/1998-11</t>
  </si>
  <si>
    <t xml:space="preserve">Pilarsato</t>
  </si>
  <si>
    <t xml:space="preserve">21000.003463/1999-34</t>
  </si>
  <si>
    <t xml:space="preserve">Triade</t>
  </si>
  <si>
    <t xml:space="preserve">21000.004814/1999-42</t>
  </si>
  <si>
    <t xml:space="preserve">Premier</t>
  </si>
  <si>
    <t xml:space="preserve">21000.008307/1997-34</t>
  </si>
  <si>
    <t xml:space="preserve">Midas BR</t>
  </si>
  <si>
    <t xml:space="preserve">Famoxadona; Mancozebe</t>
  </si>
  <si>
    <t xml:space="preserve">21000.007444/1998-51</t>
  </si>
  <si>
    <t xml:space="preserve">Ranger BR</t>
  </si>
  <si>
    <t xml:space="preserve">21000.001036/1995-89</t>
  </si>
  <si>
    <t xml:space="preserve">Terraclor Técnico Uniroyal</t>
  </si>
  <si>
    <t xml:space="preserve">21000.007545/1999-49</t>
  </si>
  <si>
    <t xml:space="preserve">Actara 10 GR</t>
  </si>
  <si>
    <t xml:space="preserve">21000.007183/1999-50</t>
  </si>
  <si>
    <t xml:space="preserve">Verdadero 20 GR</t>
  </si>
  <si>
    <t xml:space="preserve">21000.008306/1997-71</t>
  </si>
  <si>
    <t xml:space="preserve">Avaunt 150</t>
  </si>
  <si>
    <t xml:space="preserve">21000.008305/1997-17</t>
  </si>
  <si>
    <t xml:space="preserve">Rumo GDA</t>
  </si>
  <si>
    <t xml:space="preserve">21000.006532/1995-38</t>
  </si>
  <si>
    <t xml:space="preserve">Sumyzin 500</t>
  </si>
  <si>
    <t xml:space="preserve">21000.006539/1995-87</t>
  </si>
  <si>
    <t xml:space="preserve">Sumirody 300</t>
  </si>
  <si>
    <t xml:space="preserve">Fenprpopatrina</t>
  </si>
  <si>
    <t xml:space="preserve">21000.006807/1999-58</t>
  </si>
  <si>
    <t xml:space="preserve">Rimon Agricur Técnico</t>
  </si>
  <si>
    <t xml:space="preserve">21000.006808/1999-11</t>
  </si>
  <si>
    <t xml:space="preserve">Rimon 100 EC</t>
  </si>
  <si>
    <t xml:space="preserve">21000.006809/1999-83</t>
  </si>
  <si>
    <t xml:space="preserve">Gallaxy 100 EC</t>
  </si>
  <si>
    <t xml:space="preserve">21000.007448/1998-10</t>
  </si>
  <si>
    <t xml:space="preserve">Azimsulfuron Técnico</t>
  </si>
  <si>
    <t xml:space="preserve">Azinsulfurom</t>
  </si>
  <si>
    <t xml:space="preserve">21000.003091/1999-91</t>
  </si>
  <si>
    <t xml:space="preserve">Zoxium Tecnico</t>
  </si>
  <si>
    <t xml:space="preserve">21000.006847/1998-91</t>
  </si>
  <si>
    <t xml:space="preserve">Carfentrazone Ethyl Técnico</t>
  </si>
  <si>
    <t xml:space="preserve">Carfentrazona-Etilica</t>
  </si>
  <si>
    <t xml:space="preserve">21000.000317/1999-66</t>
  </si>
  <si>
    <t xml:space="preserve">Starion</t>
  </si>
  <si>
    <t xml:space="preserve">21000.008265/1992-81</t>
  </si>
  <si>
    <t xml:space="preserve">Alanex Agricur Técnico</t>
  </si>
  <si>
    <t xml:space="preserve">21000.008024/1997-10</t>
  </si>
  <si>
    <t xml:space="preserve">Benalaxyl Técnico</t>
  </si>
  <si>
    <t xml:space="preserve">21000.007249/1998-85</t>
  </si>
  <si>
    <t xml:space="preserve">Cobox DF</t>
  </si>
  <si>
    <t xml:space="preserve">21000.008961/1992-42</t>
  </si>
  <si>
    <t xml:space="preserve">Falcon Técnico</t>
  </si>
  <si>
    <t xml:space="preserve">Butroxidim</t>
  </si>
  <si>
    <t xml:space="preserve">21000.006711/1999-81</t>
  </si>
  <si>
    <t xml:space="preserve">Aurora 400 EC</t>
  </si>
  <si>
    <t xml:space="preserve">21000.004974/1998-38</t>
  </si>
  <si>
    <t xml:space="preserve">Goltix</t>
  </si>
  <si>
    <t xml:space="preserve">21000.000494/1999-51</t>
  </si>
  <si>
    <t xml:space="preserve">Agro-Oil</t>
  </si>
  <si>
    <t xml:space="preserve">21000.006449/1999-21</t>
  </si>
  <si>
    <t xml:space="preserve">Guardsman</t>
  </si>
  <si>
    <t xml:space="preserve">Atrazina; Dimetenamida</t>
  </si>
  <si>
    <t xml:space="preserve">21000.003274/1999-61</t>
  </si>
  <si>
    <t xml:space="preserve">Topsin 500 TS</t>
  </si>
  <si>
    <t xml:space="preserve">21000.007565/1997-94</t>
  </si>
  <si>
    <t xml:space="preserve">Miner'Oil</t>
  </si>
  <si>
    <t xml:space="preserve">21000.002749/1999-10</t>
  </si>
  <si>
    <t xml:space="preserve">Finale Técnico AT</t>
  </si>
  <si>
    <t xml:space="preserve">21000.000288/1996-17</t>
  </si>
  <si>
    <t xml:space="preserve">Sumibase Técnico</t>
  </si>
  <si>
    <t xml:space="preserve">21000.008235/1997-25</t>
  </si>
  <si>
    <t xml:space="preserve">Onic 300</t>
  </si>
  <si>
    <t xml:space="preserve">21000.001106/1998-13</t>
  </si>
  <si>
    <t xml:space="preserve">Clorimuron-Etil Técnico LDA</t>
  </si>
  <si>
    <t xml:space="preserve">21000.002294/1999-33</t>
  </si>
  <si>
    <t xml:space="preserve">Prodígio Técnico</t>
  </si>
  <si>
    <t xml:space="preserve">Aclonifem</t>
  </si>
  <si>
    <t xml:space="preserve">Rhone-Poulenc</t>
  </si>
  <si>
    <t xml:space="preserve">21000.002716/1998-71</t>
  </si>
  <si>
    <t xml:space="preserve">Citocinina Técnica</t>
  </si>
  <si>
    <t xml:space="preserve">Citocinina</t>
  </si>
  <si>
    <t xml:space="preserve">21000.000157/1999-91</t>
  </si>
  <si>
    <t xml:space="preserve">Paclobutrazol Técnico</t>
  </si>
  <si>
    <t xml:space="preserve">21000.008424/1997-06</t>
  </si>
  <si>
    <t xml:space="preserve">Antracol Técnico</t>
  </si>
  <si>
    <t xml:space="preserve">21000.002597/1997-01</t>
  </si>
  <si>
    <t xml:space="preserve">Bravonil 720</t>
  </si>
  <si>
    <t xml:space="preserve">21000.006573/1999-49</t>
  </si>
  <si>
    <t xml:space="preserve">Pix HC</t>
  </si>
  <si>
    <t xml:space="preserve">21052.004224/1996-06</t>
  </si>
  <si>
    <t xml:space="preserve">Impact 1,5 G</t>
  </si>
  <si>
    <t xml:space="preserve">21000.004700/1999-93</t>
  </si>
  <si>
    <t xml:space="preserve">Iscalure Cydia</t>
  </si>
  <si>
    <t xml:space="preserve">Codlemonio</t>
  </si>
  <si>
    <t xml:space="preserve">Driver</t>
  </si>
  <si>
    <t xml:space="preserve">21000.006947/1994-11</t>
  </si>
  <si>
    <t xml:space="preserve">Expurgran</t>
  </si>
  <si>
    <t xml:space="preserve">Caporal</t>
  </si>
  <si>
    <t xml:space="preserve">21000.003253/1999-91</t>
  </si>
  <si>
    <t xml:space="preserve">Diflufenican</t>
  </si>
  <si>
    <t xml:space="preserve">21000.003657/1999-21</t>
  </si>
  <si>
    <t xml:space="preserve">Prostore 2 DP</t>
  </si>
  <si>
    <t xml:space="preserve">21000.004716/1990-95</t>
  </si>
  <si>
    <t xml:space="preserve">N-Decanol Técnico ALS</t>
  </si>
  <si>
    <t xml:space="preserve">21000.007255/1998-88</t>
  </si>
  <si>
    <t xml:space="preserve">Baron</t>
  </si>
  <si>
    <t xml:space="preserve">Dissulfotom; Triadimenol</t>
  </si>
  <si>
    <t xml:space="preserve">21000.005185/1999-12</t>
  </si>
  <si>
    <t xml:space="preserve">Soccer SC</t>
  </si>
  <si>
    <t xml:space="preserve">21000.006251/1999-72</t>
  </si>
  <si>
    <t xml:space="preserve">PB-Rope-L</t>
  </si>
  <si>
    <t xml:space="preserve">21000.006087/1993-35</t>
  </si>
  <si>
    <t xml:space="preserve">Alazine 500 SC</t>
  </si>
  <si>
    <t xml:space="preserve">Alliance SC</t>
  </si>
  <si>
    <t xml:space="preserve">21000.004717/1999-96</t>
  </si>
  <si>
    <t xml:space="preserve">Stimo PM</t>
  </si>
  <si>
    <t xml:space="preserve">Mancozebe; Zoxamida</t>
  </si>
  <si>
    <t xml:space="preserve">21000.000539/1999-98</t>
  </si>
  <si>
    <t xml:space="preserve">Cultar 250 SC</t>
  </si>
  <si>
    <t xml:space="preserve">21000.005559/1998-00</t>
  </si>
  <si>
    <t xml:space="preserve">Micromite 240 SC</t>
  </si>
  <si>
    <t xml:space="preserve">21000.008037/1999-70</t>
  </si>
  <si>
    <t xml:space="preserve">Curyom 550 EC</t>
  </si>
  <si>
    <t xml:space="preserve">21000.006948/1998-07</t>
  </si>
  <si>
    <t xml:space="preserve">Full</t>
  </si>
  <si>
    <t xml:space="preserve">Beta-Cliflutrina</t>
  </si>
</sst>
</file>

<file path=xl/styles.xml><?xml version="1.0" encoding="utf-8"?>
<styleSheet xmlns="http://schemas.openxmlformats.org/spreadsheetml/2006/main">
  <numFmts count="18">
    <numFmt numFmtId="164" formatCode="General"/>
    <numFmt numFmtId="165" formatCode="00000"/>
    <numFmt numFmtId="166" formatCode="0"/>
    <numFmt numFmtId="167" formatCode="0.0%"/>
    <numFmt numFmtId="168" formatCode="0%"/>
    <numFmt numFmtId="169" formatCode="0.0"/>
    <numFmt numFmtId="170" formatCode="dd\/mm\/yyyy"/>
    <numFmt numFmtId="171" formatCode="#,##0"/>
    <numFmt numFmtId="172" formatCode="0000"/>
    <numFmt numFmtId="173" formatCode="mm/dd/yyyy"/>
    <numFmt numFmtId="174" formatCode="0.00%"/>
    <numFmt numFmtId="175" formatCode="0.00"/>
    <numFmt numFmtId="176" formatCode="#,##0.0"/>
    <numFmt numFmtId="177" formatCode="d/m/yyyy"/>
    <numFmt numFmtId="178" formatCode="dd\/mm\/yyyy"/>
    <numFmt numFmtId="179" formatCode="m/d/yyyy"/>
    <numFmt numFmtId="180" formatCode="dd/mm/yy"/>
    <numFmt numFmtId="181" formatCode="@"/>
  </numFmts>
  <fonts count="74">
    <font>
      <sz val="10"/>
      <color rgb="FF000000"/>
      <name val="Calibri"/>
      <family val="0"/>
      <charset val="1"/>
    </font>
    <font>
      <sz val="10"/>
      <name val="Arial"/>
      <family val="0"/>
    </font>
    <font>
      <sz val="10"/>
      <name val="Arial"/>
      <family val="0"/>
    </font>
    <font>
      <sz val="10"/>
      <name val="Arial"/>
      <family val="0"/>
    </font>
    <font>
      <u val="single"/>
      <sz val="10"/>
      <color rgb="FF0000FF"/>
      <name val="Calibri"/>
      <family val="2"/>
      <charset val="1"/>
    </font>
    <font>
      <sz val="10"/>
      <color rgb="FF000000"/>
      <name val="Arial"/>
      <family val="2"/>
      <charset val="1"/>
    </font>
    <font>
      <b val="true"/>
      <sz val="18"/>
      <color rgb="FF274E13"/>
      <name val="Arial"/>
      <family val="2"/>
      <charset val="1"/>
    </font>
    <font>
      <b val="true"/>
      <sz val="12"/>
      <color rgb="FF003300"/>
      <name val="Arial"/>
      <family val="2"/>
      <charset val="1"/>
    </font>
    <font>
      <b val="true"/>
      <sz val="12"/>
      <color rgb="FF000000"/>
      <name val="Arial"/>
      <family val="2"/>
      <charset val="1"/>
    </font>
    <font>
      <sz val="11"/>
      <color rgb="FF000000"/>
      <name val="Arial"/>
      <family val="2"/>
      <charset val="1"/>
    </font>
    <font>
      <b val="true"/>
      <sz val="20"/>
      <color rgb="FFFFFFFF"/>
      <name val="Arial"/>
      <family val="2"/>
      <charset val="1"/>
    </font>
    <font>
      <b val="true"/>
      <sz val="13"/>
      <color rgb="FFFFFFFF"/>
      <name val="Arial"/>
      <family val="2"/>
      <charset val="1"/>
    </font>
    <font>
      <sz val="12"/>
      <color rgb="FFFFFFFF"/>
      <name val="Arial"/>
      <family val="2"/>
      <charset val="1"/>
    </font>
    <font>
      <sz val="12"/>
      <color rgb="FF274E13"/>
      <name val="Arial"/>
      <family val="2"/>
      <charset val="1"/>
    </font>
    <font>
      <b val="true"/>
      <sz val="12"/>
      <color rgb="FFFFFFFF"/>
      <name val="Arial"/>
      <family val="2"/>
      <charset val="1"/>
    </font>
    <font>
      <b val="true"/>
      <sz val="12"/>
      <color rgb="FF274E13"/>
      <name val="Arial"/>
      <family val="2"/>
      <charset val="1"/>
    </font>
    <font>
      <b val="true"/>
      <u val="single"/>
      <sz val="20"/>
      <color rgb="FF274E13"/>
      <name val="Arial"/>
      <family val="2"/>
      <charset val="1"/>
    </font>
    <font>
      <b val="true"/>
      <sz val="10"/>
      <color rgb="FF274E13"/>
      <name val="Arial"/>
      <family val="2"/>
      <charset val="1"/>
    </font>
    <font>
      <sz val="10"/>
      <color rgb="FF274E13"/>
      <name val="Arial"/>
      <family val="2"/>
      <charset val="1"/>
    </font>
    <font>
      <b val="true"/>
      <sz val="10"/>
      <color rgb="FF274E13"/>
      <name val="Arial"/>
      <family val="0"/>
      <charset val="1"/>
    </font>
    <font>
      <sz val="10"/>
      <color rgb="FF274E13"/>
      <name val="Arial"/>
      <family val="0"/>
      <charset val="1"/>
    </font>
    <font>
      <b val="true"/>
      <u val="single"/>
      <sz val="12"/>
      <color rgb="FF000066"/>
      <name val="Arial"/>
      <family val="2"/>
      <charset val="1"/>
    </font>
    <font>
      <sz val="12"/>
      <color rgb="FF000066"/>
      <name val="Arial"/>
      <family val="2"/>
      <charset val="1"/>
    </font>
    <font>
      <sz val="12"/>
      <color rgb="FF274E13"/>
      <name val="Calibri"/>
      <family val="2"/>
      <charset val="1"/>
    </font>
    <font>
      <b val="true"/>
      <sz val="18"/>
      <color rgb="FF274E13"/>
      <name val="Arial"/>
      <family val="2"/>
    </font>
    <font>
      <b val="true"/>
      <sz val="8"/>
      <color rgb="FF000000"/>
      <name val="Arial"/>
      <family val="2"/>
    </font>
    <font>
      <b val="true"/>
      <sz val="10"/>
      <color rgb="FF274E13"/>
      <name val="Arial"/>
      <family val="2"/>
    </font>
    <font>
      <b val="true"/>
      <sz val="8"/>
      <color rgb="FFFFFFFF"/>
      <name val="Arial"/>
      <family val="2"/>
    </font>
    <font>
      <b val="true"/>
      <sz val="10"/>
      <color rgb="FF000000"/>
      <name val="Arial"/>
      <family val="2"/>
    </font>
    <font>
      <b val="true"/>
      <sz val="10"/>
      <color rgb="FF000000"/>
      <name val="Calibri"/>
      <family val="2"/>
    </font>
    <font>
      <b val="true"/>
      <sz val="12"/>
      <color rgb="FF000000"/>
      <name val="Calibri"/>
      <family val="2"/>
    </font>
    <font>
      <b val="true"/>
      <sz val="10"/>
      <color rgb="FFFFFFFF"/>
      <name val="Arial"/>
      <family val="2"/>
    </font>
    <font>
      <b val="true"/>
      <sz val="10"/>
      <color rgb="FFFFFFFF"/>
      <name val="Calibri"/>
      <family val="2"/>
    </font>
    <font>
      <b val="true"/>
      <sz val="10"/>
      <color rgb="FF003300"/>
      <name val="Arial"/>
      <family val="2"/>
    </font>
    <font>
      <b val="true"/>
      <sz val="8"/>
      <color rgb="FF274E13"/>
      <name val="Arial"/>
      <family val="2"/>
    </font>
    <font>
      <sz val="10"/>
      <color rgb="FF000000"/>
      <name val="Calibri"/>
      <family val="2"/>
    </font>
    <font>
      <b val="true"/>
      <sz val="12"/>
      <color rgb="FFFFFFFF"/>
      <name val="Calibri"/>
      <family val="2"/>
    </font>
    <font>
      <b val="true"/>
      <sz val="14"/>
      <color rgb="FFFFFFFF"/>
      <name val="Arial"/>
      <family val="2"/>
      <charset val="1"/>
    </font>
    <font>
      <b val="true"/>
      <sz val="11"/>
      <color rgb="FFFFFFFF"/>
      <name val="Arial"/>
      <family val="2"/>
      <charset val="1"/>
    </font>
    <font>
      <sz val="11"/>
      <color rgb="FF274E13"/>
      <name val="Arial"/>
      <family val="2"/>
      <charset val="1"/>
    </font>
    <font>
      <b val="true"/>
      <sz val="11"/>
      <color rgb="FF274E13"/>
      <name val="Arial"/>
      <family val="2"/>
      <charset val="1"/>
    </font>
    <font>
      <sz val="11"/>
      <color rgb="FFFFFFFF"/>
      <name val="Arial"/>
      <family val="2"/>
      <charset val="1"/>
    </font>
    <font>
      <b val="true"/>
      <sz val="13"/>
      <color rgb="FF274E13"/>
      <name val="Calibri"/>
      <family val="2"/>
      <charset val="1"/>
    </font>
    <font>
      <sz val="11"/>
      <color rgb="FF366092"/>
      <name val="Arial"/>
      <family val="2"/>
      <charset val="1"/>
    </font>
    <font>
      <sz val="12"/>
      <color rgb="FF366092"/>
      <name val="Arial"/>
      <family val="2"/>
      <charset val="1"/>
    </font>
    <font>
      <sz val="10"/>
      <color rgb="FF366092"/>
      <name val="Arial"/>
      <family val="2"/>
      <charset val="1"/>
    </font>
    <font>
      <sz val="11"/>
      <color rgb="FF274E13"/>
      <name val="Arial"/>
      <family val="0"/>
      <charset val="1"/>
    </font>
    <font>
      <sz val="11"/>
      <color rgb="FF000000"/>
      <name val="Arial"/>
      <family val="0"/>
      <charset val="1"/>
    </font>
    <font>
      <b val="true"/>
      <sz val="16"/>
      <color rgb="FFFFFFFF"/>
      <name val="Arial"/>
      <family val="2"/>
      <charset val="1"/>
    </font>
    <font>
      <sz val="11"/>
      <color rgb="FF366092"/>
      <name val="Calibri"/>
      <family val="2"/>
      <charset val="1"/>
    </font>
    <font>
      <i val="true"/>
      <sz val="11"/>
      <color rgb="FF274E13"/>
      <name val="Arial"/>
      <family val="0"/>
      <charset val="1"/>
    </font>
    <font>
      <i val="true"/>
      <sz val="11"/>
      <color rgb="FF274E13"/>
      <name val="Arial"/>
      <family val="2"/>
      <charset val="1"/>
    </font>
    <font>
      <sz val="11"/>
      <color rgb="FF000066"/>
      <name val="Arial"/>
      <family val="2"/>
      <charset val="1"/>
    </font>
    <font>
      <sz val="11"/>
      <color theme="1" tint="0.0499"/>
      <name val="Arial"/>
      <family val="2"/>
      <charset val="1"/>
    </font>
    <font>
      <sz val="11"/>
      <color theme="1"/>
      <name val="Arial"/>
      <family val="2"/>
      <charset val="1"/>
    </font>
    <font>
      <sz val="10"/>
      <color rgb="FF92D050"/>
      <name val="Calibri"/>
      <family val="0"/>
      <charset val="1"/>
    </font>
    <font>
      <b val="true"/>
      <sz val="11"/>
      <color rgb="FF000066"/>
      <name val="Arial"/>
      <family val="2"/>
      <charset val="1"/>
    </font>
    <font>
      <b val="true"/>
      <sz val="10"/>
      <color rgb="FF366092"/>
      <name val="Arial"/>
      <family val="2"/>
      <charset val="1"/>
    </font>
    <font>
      <b val="true"/>
      <sz val="10"/>
      <color rgb="FF000066"/>
      <name val="Arial"/>
      <family val="2"/>
      <charset val="1"/>
    </font>
    <font>
      <sz val="10"/>
      <color rgb="FF000066"/>
      <name val="Arial"/>
      <family val="2"/>
      <charset val="1"/>
    </font>
    <font>
      <sz val="12"/>
      <color rgb="FF000000"/>
      <name val="Calibri"/>
      <family val="2"/>
      <charset val="1"/>
    </font>
    <font>
      <i val="true"/>
      <sz val="12"/>
      <color rgb="FF000000"/>
      <name val="Calibri"/>
      <family val="2"/>
      <charset val="1"/>
    </font>
    <font>
      <b val="true"/>
      <i val="true"/>
      <sz val="11"/>
      <color rgb="FF274E13"/>
      <name val="Arial"/>
      <family val="2"/>
      <charset val="1"/>
    </font>
    <font>
      <sz val="11"/>
      <color rgb="FFFF0000"/>
      <name val="Arial"/>
      <family val="2"/>
      <charset val="1"/>
    </font>
    <font>
      <b val="true"/>
      <sz val="11"/>
      <color rgb="FF000000"/>
      <name val="Arial"/>
      <family val="2"/>
      <charset val="1"/>
    </font>
    <font>
      <b val="true"/>
      <sz val="11"/>
      <color rgb="FF38761D"/>
      <name val="Arial"/>
      <family val="2"/>
      <charset val="1"/>
    </font>
    <font>
      <i val="true"/>
      <sz val="11"/>
      <color rgb="FF000066"/>
      <name val="Arial"/>
      <family val="2"/>
      <charset val="1"/>
    </font>
    <font>
      <b val="true"/>
      <sz val="11"/>
      <color rgb="FFFF0000"/>
      <name val="Arial"/>
      <family val="2"/>
      <charset val="1"/>
    </font>
    <font>
      <b val="true"/>
      <sz val="12"/>
      <color rgb="FF000000"/>
      <name val="Calibri"/>
      <family val="2"/>
      <charset val="1"/>
    </font>
    <font>
      <sz val="14"/>
      <color rgb="FF000000"/>
      <name val="Arial"/>
      <family val="2"/>
      <charset val="1"/>
    </font>
    <font>
      <i val="true"/>
      <sz val="10"/>
      <color rgb="FF000066"/>
      <name val="Arial"/>
      <family val="2"/>
      <charset val="1"/>
    </font>
    <font>
      <sz val="11"/>
      <color rgb="FF000000"/>
      <name val="Calibri"/>
      <family val="2"/>
      <charset val="1"/>
    </font>
    <font>
      <b val="true"/>
      <u val="single"/>
      <sz val="10"/>
      <color rgb="FF000000"/>
      <name val="Arial"/>
      <family val="2"/>
      <charset val="1"/>
    </font>
    <font>
      <sz val="11"/>
      <color rgb="FF000080"/>
      <name val="Arial"/>
      <family val="2"/>
      <charset val="1"/>
    </font>
  </fonts>
  <fills count="23">
    <fill>
      <patternFill patternType="none"/>
    </fill>
    <fill>
      <patternFill patternType="gray125"/>
    </fill>
    <fill>
      <patternFill patternType="solid">
        <fgColor rgb="FF274E13"/>
        <bgColor rgb="FF003300"/>
      </patternFill>
    </fill>
    <fill>
      <patternFill patternType="solid">
        <fgColor rgb="FFD9EAD3"/>
        <bgColor rgb="FFDCE6F1"/>
      </patternFill>
    </fill>
    <fill>
      <patternFill patternType="solid">
        <fgColor rgb="FFB6D7A8"/>
        <bgColor rgb="FFB7E1CD"/>
      </patternFill>
    </fill>
    <fill>
      <patternFill patternType="solid">
        <fgColor rgb="FFEC3D38"/>
        <bgColor rgb="FFE6352F"/>
      </patternFill>
    </fill>
    <fill>
      <patternFill patternType="solid">
        <fgColor rgb="FF93C47D"/>
        <bgColor rgb="FF9BBB59"/>
      </patternFill>
    </fill>
    <fill>
      <patternFill patternType="solid">
        <fgColor rgb="FFF0F01E"/>
        <bgColor rgb="FFEEEE42"/>
      </patternFill>
    </fill>
    <fill>
      <patternFill patternType="solid">
        <fgColor rgb="FF17A2D5"/>
        <bgColor rgb="FF00B0F0"/>
      </patternFill>
    </fill>
    <fill>
      <patternFill patternType="solid">
        <fgColor rgb="FF0FB85C"/>
        <bgColor rgb="FF01AE33"/>
      </patternFill>
    </fill>
    <fill>
      <patternFill patternType="solid">
        <fgColor rgb="FFFF0000"/>
        <bgColor rgb="FFE6352F"/>
      </patternFill>
    </fill>
    <fill>
      <patternFill patternType="solid">
        <fgColor rgb="FFFFFF00"/>
        <bgColor rgb="FFF0F01E"/>
      </patternFill>
    </fill>
    <fill>
      <patternFill patternType="solid">
        <fgColor rgb="FF00B0F0"/>
        <bgColor rgb="FF17A2D5"/>
      </patternFill>
    </fill>
    <fill>
      <patternFill patternType="solid">
        <fgColor theme="9"/>
        <bgColor rgb="FF9BBB59"/>
      </patternFill>
    </fill>
    <fill>
      <patternFill patternType="solid">
        <fgColor theme="0"/>
        <bgColor rgb="FFDCE6F1"/>
      </patternFill>
    </fill>
    <fill>
      <patternFill patternType="solid">
        <fgColor rgb="FF002060"/>
        <bgColor rgb="FF000066"/>
      </patternFill>
    </fill>
    <fill>
      <patternFill patternType="solid">
        <fgColor rgb="FF000066"/>
        <bgColor rgb="FF000080"/>
      </patternFill>
    </fill>
    <fill>
      <patternFill patternType="solid">
        <fgColor rgb="FFDBE5F1"/>
        <bgColor rgb="FFDCE6F1"/>
      </patternFill>
    </fill>
    <fill>
      <patternFill patternType="solid">
        <fgColor rgb="FFB8CCE4"/>
        <bgColor rgb="FFB7E1CD"/>
      </patternFill>
    </fill>
    <fill>
      <patternFill patternType="solid">
        <fgColor rgb="FF92D050"/>
        <bgColor rgb="FF9BBB59"/>
      </patternFill>
    </fill>
    <fill>
      <patternFill patternType="mediumGray">
        <fgColor rgb="FF01AE33"/>
        <bgColor rgb="FF0FB85C"/>
      </patternFill>
    </fill>
    <fill>
      <patternFill patternType="solid">
        <fgColor rgb="FFDCE6F1"/>
        <bgColor rgb="FFDBE5F1"/>
      </patternFill>
    </fill>
    <fill>
      <patternFill patternType="solid">
        <fgColor rgb="FF0072BE"/>
        <bgColor rgb="FF3078BC"/>
      </patternFill>
    </fill>
  </fills>
  <borders count="172">
    <border diagonalUp="false" diagonalDown="false">
      <left/>
      <right/>
      <top/>
      <bottom/>
      <diagonal/>
    </border>
    <border diagonalUp="false" diagonalDown="false">
      <left style="thin">
        <color rgb="FFFFFFFF"/>
      </left>
      <right style="medium">
        <color rgb="FFFFFFFF"/>
      </right>
      <top style="thin">
        <color rgb="FFFFFFFF"/>
      </top>
      <bottom style="thin">
        <color rgb="FFFFFFFF"/>
      </bottom>
      <diagonal/>
    </border>
    <border diagonalUp="false" diagonalDown="false">
      <left style="medium">
        <color rgb="FFFFFFFF"/>
      </left>
      <right/>
      <top/>
      <bottom style="medium">
        <color rgb="FFFFFFFF"/>
      </bottom>
      <diagonal/>
    </border>
    <border diagonalUp="false" diagonalDown="false">
      <left/>
      <right style="medium">
        <color rgb="FFFFFFFF"/>
      </right>
      <top style="medium">
        <color rgb="FFFFFFFF"/>
      </top>
      <bottom/>
      <diagonal/>
    </border>
    <border diagonalUp="false" diagonalDown="false">
      <left style="thin">
        <color rgb="FFFFFFFF"/>
      </left>
      <right style="medium">
        <color rgb="FFFFFFFF"/>
      </right>
      <top style="medium">
        <color rgb="FFFFFFFF"/>
      </top>
      <bottom/>
      <diagonal/>
    </border>
    <border diagonalUp="false" diagonalDown="false">
      <left style="medium">
        <color rgb="FFFFFFFF"/>
      </left>
      <right style="medium">
        <color rgb="FFFFFFFF"/>
      </right>
      <top style="medium">
        <color rgb="FFFFFFFF"/>
      </top>
      <bottom/>
      <diagonal/>
    </border>
    <border diagonalUp="false" diagonalDown="false">
      <left style="medium">
        <color rgb="FFFFFFFF"/>
      </left>
      <right/>
      <top style="medium">
        <color rgb="FFFFFFFF"/>
      </top>
      <bottom/>
      <diagonal/>
    </border>
    <border diagonalUp="false" diagonalDown="false">
      <left style="medium">
        <color rgb="FFFFFFFF"/>
      </left>
      <right style="thick">
        <color rgb="FFFFFFFF"/>
      </right>
      <top style="medium">
        <color rgb="FFFFFFFF"/>
      </top>
      <bottom/>
      <diagonal/>
    </border>
    <border diagonalUp="false" diagonalDown="false">
      <left style="medium">
        <color rgb="FFFFFFFF"/>
      </left>
      <right/>
      <top style="thin">
        <color rgb="FFFFFFFF"/>
      </top>
      <bottom style="thin">
        <color rgb="FFFFFFFF"/>
      </bottom>
      <diagonal/>
    </border>
    <border diagonalUp="false" diagonalDown="false">
      <left style="thick">
        <color rgb="FFFFFFFF"/>
      </left>
      <right style="thin">
        <color rgb="FFFFFFFF"/>
      </right>
      <top style="thick">
        <color rgb="FFFFFFFF"/>
      </top>
      <bottom style="thin">
        <color rgb="FFFFFFFF"/>
      </bottom>
      <diagonal/>
    </border>
    <border diagonalUp="false" diagonalDown="false">
      <left style="thin">
        <color rgb="FFFFFFFF"/>
      </left>
      <right style="thin">
        <color rgb="FFFFFFFF"/>
      </right>
      <top style="thick">
        <color rgb="FFFFFFFF"/>
      </top>
      <bottom style="thin">
        <color rgb="FFFFFFFF"/>
      </bottom>
      <diagonal/>
    </border>
    <border diagonalUp="false" diagonalDown="false">
      <left style="thick">
        <color rgb="FFFFFFFF"/>
      </left>
      <right style="thin">
        <color rgb="FFFFFFFF"/>
      </right>
      <top style="thin">
        <color rgb="FFFFFFFF"/>
      </top>
      <bottom style="thin">
        <color rgb="FFFFFFFF"/>
      </bottom>
      <diagonal/>
    </border>
    <border diagonalUp="false" diagonalDown="false">
      <left style="thin">
        <color rgb="FFFFFFFF"/>
      </left>
      <right style="thin">
        <color rgb="FFFFFFFF"/>
      </right>
      <top style="thin">
        <color rgb="FFFFFFFF"/>
      </top>
      <bottom style="thin">
        <color rgb="FFFFFFFF"/>
      </bottom>
      <diagonal/>
    </border>
    <border diagonalUp="false" diagonalDown="false">
      <left style="medium">
        <color rgb="FFFFFFFF"/>
      </left>
      <right/>
      <top style="thin">
        <color rgb="FFFFFFFF"/>
      </top>
      <bottom/>
      <diagonal/>
    </border>
    <border diagonalUp="false" diagonalDown="false">
      <left style="thick">
        <color rgb="FFFFFFFF"/>
      </left>
      <right style="thin">
        <color rgb="FFFFFFFF"/>
      </right>
      <top style="thin">
        <color rgb="FFFFFFFF"/>
      </top>
      <bottom/>
      <diagonal/>
    </border>
    <border diagonalUp="false" diagonalDown="false">
      <left style="thin">
        <color rgb="FFFFFFFF"/>
      </left>
      <right style="thin">
        <color rgb="FFFFFFFF"/>
      </right>
      <top style="thin">
        <color rgb="FFFFFFFF"/>
      </top>
      <bottom/>
      <diagonal/>
    </border>
    <border diagonalUp="false" diagonalDown="false">
      <left style="medium">
        <color rgb="FFFFFFFF"/>
      </left>
      <right/>
      <top style="thick">
        <color rgb="FFFFFFFF"/>
      </top>
      <bottom style="thick">
        <color rgb="FFFFFFFF"/>
      </bottom>
      <diagonal/>
    </border>
    <border diagonalUp="false" diagonalDown="false">
      <left style="thick">
        <color rgb="FFFFFFFF"/>
      </left>
      <right style="medium">
        <color rgb="FFFFFFFF"/>
      </right>
      <top style="thick">
        <color rgb="FFFFFFFF"/>
      </top>
      <bottom style="thick">
        <color rgb="FFFFFFFF"/>
      </bottom>
      <diagonal/>
    </border>
    <border diagonalUp="false" diagonalDown="false">
      <left style="medium">
        <color rgb="FFFFFFFF"/>
      </left>
      <right style="medium">
        <color rgb="FFFFFFFF"/>
      </right>
      <top style="thick">
        <color rgb="FFFFFFFF"/>
      </top>
      <bottom style="thick">
        <color rgb="FFFFFFFF"/>
      </bottom>
      <diagonal/>
    </border>
    <border diagonalUp="false" diagonalDown="false">
      <left style="medium">
        <color rgb="FFFFFFFF"/>
      </left>
      <right style="thick">
        <color rgb="FFFFFFFF"/>
      </right>
      <top style="thick">
        <color rgb="FFFFFFFF"/>
      </top>
      <bottom style="thick">
        <color rgb="FFFFFFFF"/>
      </bottom>
      <diagonal/>
    </border>
    <border diagonalUp="false" diagonalDown="false">
      <left style="medium">
        <color rgb="FFFFFFFF"/>
      </left>
      <right/>
      <top/>
      <bottom style="thin">
        <color rgb="FFFFFFFF"/>
      </bottom>
      <diagonal/>
    </border>
    <border diagonalUp="false" diagonalDown="false">
      <left style="thick">
        <color rgb="FFFFFFFF"/>
      </left>
      <right style="thin">
        <color rgb="FFFFFFFF"/>
      </right>
      <top/>
      <bottom style="thin">
        <color rgb="FFFFFFFF"/>
      </bottom>
      <diagonal/>
    </border>
    <border diagonalUp="false" diagonalDown="false">
      <left style="thin">
        <color rgb="FFFFFFFF"/>
      </left>
      <right style="thin">
        <color rgb="FFFFFFFF"/>
      </right>
      <top/>
      <bottom style="thin">
        <color rgb="FFFFFFFF"/>
      </bottom>
      <diagonal/>
    </border>
    <border diagonalUp="false" diagonalDown="false">
      <left style="thick">
        <color rgb="FFFFFFFF"/>
      </left>
      <right style="thin">
        <color rgb="FFFFFFFF"/>
      </right>
      <top style="thick">
        <color rgb="FFFFFFFF"/>
      </top>
      <bottom style="thick">
        <color rgb="FFFFFFFF"/>
      </bottom>
      <diagonal/>
    </border>
    <border diagonalUp="false" diagonalDown="false">
      <left style="thin">
        <color rgb="FFFFFFFF"/>
      </left>
      <right style="thin">
        <color rgb="FFFFFFFF"/>
      </right>
      <top style="thick">
        <color rgb="FFFFFFFF"/>
      </top>
      <bottom style="thick">
        <color rgb="FFFFFFFF"/>
      </bottom>
      <diagonal/>
    </border>
    <border diagonalUp="false" diagonalDown="false">
      <left style="thin">
        <color rgb="FFFFFFFF"/>
      </left>
      <right style="thick">
        <color rgb="FFFFFFFF"/>
      </right>
      <top style="thick">
        <color rgb="FFFFFFFF"/>
      </top>
      <bottom style="thin">
        <color rgb="FFFFFFFF"/>
      </bottom>
      <diagonal/>
    </border>
    <border diagonalUp="false" diagonalDown="false">
      <left style="medium">
        <color rgb="FFFFFFFF"/>
      </left>
      <right/>
      <top/>
      <bottom style="thick">
        <color rgb="FFFFFFFF"/>
      </bottom>
      <diagonal/>
    </border>
    <border diagonalUp="false" diagonalDown="false">
      <left style="thick">
        <color rgb="FFFFFFFF"/>
      </left>
      <right style="thin">
        <color rgb="FFFFFFFF"/>
      </right>
      <top/>
      <bottom style="thick">
        <color rgb="FFFFFFFF"/>
      </bottom>
      <diagonal/>
    </border>
    <border diagonalUp="false" diagonalDown="false">
      <left style="thin">
        <color rgb="FFFFFFFF"/>
      </left>
      <right style="thin">
        <color rgb="FFFFFFFF"/>
      </right>
      <top/>
      <bottom style="thick">
        <color rgb="FFFFFFFF"/>
      </bottom>
      <diagonal/>
    </border>
    <border diagonalUp="false" diagonalDown="false">
      <left style="thin">
        <color rgb="FFFFFFFF"/>
      </left>
      <right style="thick">
        <color rgb="FFFFFFFF"/>
      </right>
      <top/>
      <bottom style="thick">
        <color rgb="FFFFFFFF"/>
      </bottom>
      <diagonal/>
    </border>
    <border diagonalUp="false" diagonalDown="false">
      <left style="thick">
        <color rgb="FFFFFFFF"/>
      </left>
      <right style="thin">
        <color rgb="FFFFFFFF"/>
      </right>
      <top style="thick">
        <color rgb="FFFFFFFF"/>
      </top>
      <bottom/>
      <diagonal/>
    </border>
    <border diagonalUp="false" diagonalDown="false">
      <left style="thin">
        <color rgb="FFFFFFFF"/>
      </left>
      <right style="thin">
        <color rgb="FFFFFFFF"/>
      </right>
      <top style="thick">
        <color rgb="FFFFFFFF"/>
      </top>
      <bottom/>
      <diagonal/>
    </border>
    <border diagonalUp="false" diagonalDown="false">
      <left style="thin">
        <color rgb="FFFFFFFF"/>
      </left>
      <right style="thick">
        <color rgb="FFFFFFFF"/>
      </right>
      <top style="thick">
        <color rgb="FFFFFFFF"/>
      </top>
      <bottom/>
      <diagonal/>
    </border>
    <border diagonalUp="false" diagonalDown="false">
      <left style="thin">
        <color rgb="FFFFFFFF"/>
      </left>
      <right style="thick">
        <color rgb="FFFFFFFF"/>
      </right>
      <top style="thick">
        <color rgb="FFFFFFFF"/>
      </top>
      <bottom style="thick">
        <color rgb="FFFFFFFF"/>
      </bottom>
      <diagonal/>
    </border>
    <border diagonalUp="false" diagonalDown="false">
      <left style="thick">
        <color rgb="FFFFFFFF"/>
      </left>
      <right style="thick">
        <color rgb="FFFFFFFF"/>
      </right>
      <top style="thick">
        <color rgb="FFFFFFFF"/>
      </top>
      <bottom/>
      <diagonal/>
    </border>
    <border diagonalUp="false" diagonalDown="false">
      <left style="thin">
        <color rgb="FF274E13"/>
      </left>
      <right style="thin">
        <color rgb="FF274E13"/>
      </right>
      <top style="thin">
        <color rgb="FF274E13"/>
      </top>
      <bottom style="thin">
        <color rgb="FF274E13"/>
      </bottom>
      <diagonal/>
    </border>
    <border diagonalUp="false" diagonalDown="false">
      <left style="thin">
        <color rgb="FF274E13"/>
      </left>
      <right/>
      <top style="thin">
        <color rgb="FF274E13"/>
      </top>
      <bottom style="thin">
        <color rgb="FF274E13"/>
      </bottom>
      <diagonal/>
    </border>
    <border diagonalUp="false" diagonalDown="false">
      <left style="thin"/>
      <right style="thin"/>
      <top style="thin"/>
      <bottom style="thin"/>
      <diagonal/>
    </border>
    <border diagonalUp="false" diagonalDown="false">
      <left/>
      <right/>
      <top style="thin">
        <color rgb="FF000066"/>
      </top>
      <bottom style="thin">
        <color rgb="FF002060"/>
      </bottom>
      <diagonal/>
    </border>
    <border diagonalUp="false" diagonalDown="false">
      <left style="thin">
        <color rgb="FF000066"/>
      </left>
      <right/>
      <top style="thin">
        <color rgb="FF000066"/>
      </top>
      <bottom style="thin">
        <color rgb="FF000066"/>
      </bottom>
      <diagonal/>
    </border>
    <border diagonalUp="false" diagonalDown="false">
      <left style="thin">
        <color rgb="FF274E13"/>
      </left>
      <right/>
      <top/>
      <bottom style="thin">
        <color rgb="FF274E13"/>
      </bottom>
      <diagonal/>
    </border>
    <border diagonalUp="false" diagonalDown="false">
      <left style="thin">
        <color rgb="FF274E13"/>
      </left>
      <right/>
      <top/>
      <bottom/>
      <diagonal/>
    </border>
    <border diagonalUp="false" diagonalDown="false">
      <left style="thin">
        <color rgb="FF274E13"/>
      </left>
      <right style="thin">
        <color rgb="FF274E13"/>
      </right>
      <top style="thin">
        <color rgb="FF274E13"/>
      </top>
      <bottom/>
      <diagonal/>
    </border>
    <border diagonalUp="false" diagonalDown="false">
      <left style="thin">
        <color theme="9" tint="-0.25"/>
      </left>
      <right/>
      <top style="thin"/>
      <bottom style="thin">
        <color theme="9" tint="-0.25"/>
      </bottom>
      <diagonal/>
    </border>
    <border diagonalUp="false" diagonalDown="false">
      <left style="thin">
        <color theme="9" tint="-0.25"/>
      </left>
      <right/>
      <top/>
      <bottom/>
      <diagonal/>
    </border>
    <border diagonalUp="false" diagonalDown="false">
      <left style="thin">
        <color theme="9" tint="-0.25"/>
      </left>
      <right style="thin">
        <color theme="9" tint="-0.25"/>
      </right>
      <top style="thin">
        <color theme="9" tint="-0.25"/>
      </top>
      <bottom/>
      <diagonal/>
    </border>
    <border diagonalUp="false" diagonalDown="false">
      <left style="thin">
        <color theme="9" tint="-0.25"/>
      </left>
      <right style="thin">
        <color theme="9" tint="-0.25"/>
      </right>
      <top style="thin">
        <color theme="9" tint="-0.25"/>
      </top>
      <bottom style="thin">
        <color theme="9" tint="-0.25"/>
      </bottom>
      <diagonal/>
    </border>
    <border diagonalUp="false" diagonalDown="false">
      <left style="thin">
        <color rgb="FF274E13"/>
      </left>
      <right/>
      <top style="thin">
        <color rgb="FF274E13"/>
      </top>
      <bottom/>
      <diagonal/>
    </border>
    <border diagonalUp="false" diagonalDown="false">
      <left style="thin">
        <color theme="9" tint="-0.25"/>
      </left>
      <right style="thin">
        <color theme="9" tint="-0.25"/>
      </right>
      <top/>
      <bottom/>
      <diagonal/>
    </border>
    <border diagonalUp="false" diagonalDown="false">
      <left style="thin">
        <color theme="9" tint="-0.25"/>
      </left>
      <right/>
      <top style="thin">
        <color theme="9" tint="-0.25"/>
      </top>
      <bottom style="thin">
        <color theme="9" tint="-0.25"/>
      </bottom>
      <diagonal/>
    </border>
    <border diagonalUp="false" diagonalDown="false">
      <left style="thin">
        <color theme="9" tint="-0.25"/>
      </left>
      <right style="thin">
        <color theme="9" tint="-0.25"/>
      </right>
      <top style="thin">
        <color theme="9" tint="-0.25"/>
      </top>
      <bottom style="thin"/>
      <diagonal/>
    </border>
    <border diagonalUp="false" diagonalDown="false">
      <left style="thin">
        <color rgb="FF274E13"/>
      </left>
      <right style="thin">
        <color rgb="FF274E13"/>
      </right>
      <top/>
      <bottom style="thin">
        <color rgb="FF274E13"/>
      </bottom>
      <diagonal/>
    </border>
    <border diagonalUp="false" diagonalDown="false">
      <left style="thin">
        <color rgb="FF274E13"/>
      </left>
      <right style="thin">
        <color rgb="FF38751D"/>
      </right>
      <top/>
      <bottom/>
      <diagonal/>
    </border>
    <border diagonalUp="false" diagonalDown="false">
      <left/>
      <right style="thin">
        <color rgb="FF38751D"/>
      </right>
      <top/>
      <bottom/>
      <diagonal/>
    </border>
    <border diagonalUp="false" diagonalDown="false">
      <left style="thin">
        <color rgb="FF38751D"/>
      </left>
      <right style="thin">
        <color rgb="FF38751D"/>
      </right>
      <top style="thin">
        <color rgb="FF38751D"/>
      </top>
      <bottom style="thin">
        <color rgb="FF38751D"/>
      </bottom>
      <diagonal/>
    </border>
    <border diagonalUp="false" diagonalDown="false">
      <left/>
      <right/>
      <top style="thin">
        <color rgb="FF274E13"/>
      </top>
      <bottom/>
      <diagonal/>
    </border>
    <border diagonalUp="false" diagonalDown="false">
      <left/>
      <right style="thin">
        <color rgb="FF274E13"/>
      </right>
      <top style="thin">
        <color rgb="FF274E13"/>
      </top>
      <bottom/>
      <diagonal/>
    </border>
    <border diagonalUp="false" diagonalDown="false">
      <left style="thin">
        <color rgb="FF274E13"/>
      </left>
      <right style="thin">
        <color rgb="FF38751D"/>
      </right>
      <top/>
      <bottom style="thin">
        <color rgb="FF274E13"/>
      </bottom>
      <diagonal/>
    </border>
    <border diagonalUp="false" diagonalDown="false">
      <left/>
      <right style="thin">
        <color rgb="FF38751D"/>
      </right>
      <top style="thin">
        <color rgb="FF38751D"/>
      </top>
      <bottom style="thin">
        <color rgb="FF38751D"/>
      </bottom>
      <diagonal/>
    </border>
    <border diagonalUp="false" diagonalDown="false">
      <left style="medium">
        <color rgb="FF002060"/>
      </left>
      <right style="medium">
        <color rgb="FF002060"/>
      </right>
      <top style="medium">
        <color rgb="FF002060"/>
      </top>
      <bottom/>
      <diagonal/>
    </border>
    <border diagonalUp="false" diagonalDown="false">
      <left style="medium">
        <color rgb="FF002060"/>
      </left>
      <right/>
      <top style="medium">
        <color rgb="FF002060"/>
      </top>
      <bottom/>
      <diagonal/>
    </border>
    <border diagonalUp="false" diagonalDown="false">
      <left style="medium">
        <color rgb="FFFFFFFF"/>
      </left>
      <right style="medium">
        <color rgb="FFFFFFFF"/>
      </right>
      <top style="medium">
        <color rgb="FF002060"/>
      </top>
      <bottom/>
      <diagonal/>
    </border>
    <border diagonalUp="false" diagonalDown="false">
      <left/>
      <right/>
      <top style="medium">
        <color rgb="FF002060"/>
      </top>
      <bottom/>
      <diagonal/>
    </border>
    <border diagonalUp="false" diagonalDown="false">
      <left/>
      <right style="medium">
        <color rgb="FFFFFFFF"/>
      </right>
      <top style="medium">
        <color rgb="FF002060"/>
      </top>
      <bottom/>
      <diagonal/>
    </border>
    <border diagonalUp="false" diagonalDown="false">
      <left/>
      <right style="thin">
        <color rgb="FF274E13"/>
      </right>
      <top style="thin">
        <color rgb="FF274E13"/>
      </top>
      <bottom style="thin">
        <color rgb="FF274E13"/>
      </bottom>
      <diagonal/>
    </border>
    <border diagonalUp="false" diagonalDown="false">
      <left style="medium">
        <color rgb="FF002060"/>
      </left>
      <right style="medium">
        <color rgb="FF002060"/>
      </right>
      <top style="medium">
        <color rgb="FF002060"/>
      </top>
      <bottom style="thin">
        <color rgb="FFFFFFFF"/>
      </bottom>
      <diagonal/>
    </border>
    <border diagonalUp="false" diagonalDown="false">
      <left style="medium">
        <color rgb="FF002060"/>
      </left>
      <right style="medium">
        <color rgb="FFFFFFFF"/>
      </right>
      <top style="thin">
        <color rgb="FFFFFFFF"/>
      </top>
      <bottom style="thin">
        <color rgb="FF002060"/>
      </bottom>
      <diagonal/>
    </border>
    <border diagonalUp="false" diagonalDown="false">
      <left style="medium">
        <color rgb="FFFFFFFF"/>
      </left>
      <right style="medium">
        <color rgb="FF002060"/>
      </right>
      <top style="thin">
        <color rgb="FFFFFFFF"/>
      </top>
      <bottom style="thin">
        <color rgb="FF002060"/>
      </bottom>
      <diagonal/>
    </border>
    <border diagonalUp="false" diagonalDown="false">
      <left style="medium">
        <color rgb="FF002060"/>
      </left>
      <right style="medium">
        <color rgb="FF002060"/>
      </right>
      <top style="thin">
        <color rgb="FF002060"/>
      </top>
      <bottom style="thin">
        <color rgb="FF002060"/>
      </bottom>
      <diagonal/>
    </border>
    <border diagonalUp="false" diagonalDown="false">
      <left style="medium">
        <color rgb="FF002060"/>
      </left>
      <right style="medium">
        <color rgb="FFFFFFFF"/>
      </right>
      <top style="thin">
        <color rgb="FF002060"/>
      </top>
      <bottom style="medium">
        <color rgb="FF002060"/>
      </bottom>
      <diagonal/>
    </border>
    <border diagonalUp="false" diagonalDown="false">
      <left style="medium">
        <color rgb="FFFFFFFF"/>
      </left>
      <right style="medium">
        <color rgb="FF002060"/>
      </right>
      <top style="thin">
        <color rgb="FF002060"/>
      </top>
      <bottom style="medium">
        <color rgb="FF002060"/>
      </bottom>
      <diagonal/>
    </border>
    <border diagonalUp="false" diagonalDown="false">
      <left style="medium">
        <color rgb="FF002060"/>
      </left>
      <right style="medium">
        <color rgb="FF002060"/>
      </right>
      <top style="medium">
        <color rgb="FF002060"/>
      </top>
      <bottom style="thin">
        <color rgb="FF002060"/>
      </bottom>
      <diagonal/>
    </border>
    <border diagonalUp="false" diagonalDown="false">
      <left/>
      <right style="medium">
        <color rgb="FF002060"/>
      </right>
      <top style="medium">
        <color rgb="FF002060"/>
      </top>
      <bottom style="thin">
        <color rgb="FF002060"/>
      </bottom>
      <diagonal/>
    </border>
    <border diagonalUp="false" diagonalDown="false">
      <left style="medium">
        <color rgb="FF000066"/>
      </left>
      <right style="medium">
        <color rgb="FF000066"/>
      </right>
      <top style="thin">
        <color rgb="FF000066"/>
      </top>
      <bottom style="medium">
        <color rgb="FF000066"/>
      </bottom>
      <diagonal/>
    </border>
    <border diagonalUp="false" diagonalDown="false">
      <left style="medium">
        <color rgb="FF002060"/>
      </left>
      <right style="medium">
        <color rgb="FF002060"/>
      </right>
      <top style="medium">
        <color rgb="FF000066"/>
      </top>
      <bottom style="thin">
        <color rgb="FF002060"/>
      </bottom>
      <diagonal/>
    </border>
    <border diagonalUp="false" diagonalDown="false">
      <left style="medium">
        <color rgb="FF002060"/>
      </left>
      <right style="medium">
        <color rgb="FF002060"/>
      </right>
      <top style="thin">
        <color rgb="FF002060"/>
      </top>
      <bottom style="medium">
        <color rgb="FF002060"/>
      </bottom>
      <diagonal/>
    </border>
    <border diagonalUp="false" diagonalDown="false">
      <left style="medium">
        <color rgb="FF002060"/>
      </left>
      <right style="medium">
        <color rgb="FFFFFFFF"/>
      </right>
      <top style="medium">
        <color rgb="FF002060"/>
      </top>
      <bottom style="medium">
        <color rgb="FF002060"/>
      </bottom>
      <diagonal/>
    </border>
    <border diagonalUp="false" diagonalDown="false">
      <left style="medium">
        <color rgb="FFFFFFFF"/>
      </left>
      <right style="medium">
        <color rgb="FF002060"/>
      </right>
      <top style="medium">
        <color rgb="FF002060"/>
      </top>
      <bottom style="medium">
        <color rgb="FF002060"/>
      </bottom>
      <diagonal/>
    </border>
    <border diagonalUp="false" diagonalDown="false">
      <left/>
      <right style="medium">
        <color rgb="FF002060"/>
      </right>
      <top style="medium">
        <color rgb="FF002060"/>
      </top>
      <bottom/>
      <diagonal/>
    </border>
    <border diagonalUp="false" diagonalDown="false">
      <left style="medium">
        <color rgb="FF002060"/>
      </left>
      <right/>
      <top/>
      <bottom style="medium">
        <color rgb="FF002060"/>
      </bottom>
      <diagonal/>
    </border>
    <border diagonalUp="false" diagonalDown="false">
      <left/>
      <right/>
      <top/>
      <bottom style="medium">
        <color rgb="FF002060"/>
      </bottom>
      <diagonal/>
    </border>
    <border diagonalUp="false" diagonalDown="false">
      <left/>
      <right style="medium">
        <color rgb="FF002060"/>
      </right>
      <top/>
      <bottom style="medium">
        <color rgb="FF002060"/>
      </bottom>
      <diagonal/>
    </border>
    <border diagonalUp="false" diagonalDown="false">
      <left style="medium">
        <color rgb="FF002060"/>
      </left>
      <right/>
      <top style="medium">
        <color rgb="FF002060"/>
      </top>
      <bottom style="thin">
        <color rgb="FF002060"/>
      </bottom>
      <diagonal/>
    </border>
    <border diagonalUp="false" diagonalDown="false">
      <left/>
      <right/>
      <top style="medium">
        <color rgb="FF002060"/>
      </top>
      <bottom style="thin">
        <color rgb="FF002060"/>
      </bottom>
      <diagonal/>
    </border>
    <border diagonalUp="false" diagonalDown="false">
      <left style="medium">
        <color rgb="FF002060"/>
      </left>
      <right/>
      <top style="thin">
        <color rgb="FF002060"/>
      </top>
      <bottom style="thin">
        <color rgb="FF002060"/>
      </bottom>
      <diagonal/>
    </border>
    <border diagonalUp="false" diagonalDown="false">
      <left/>
      <right/>
      <top style="thin">
        <color rgb="FF002060"/>
      </top>
      <bottom style="thin">
        <color rgb="FF002060"/>
      </bottom>
      <diagonal/>
    </border>
    <border diagonalUp="false" diagonalDown="false">
      <left/>
      <right style="medium">
        <color rgb="FF002060"/>
      </right>
      <top style="thin">
        <color rgb="FF002060"/>
      </top>
      <bottom style="thin">
        <color rgb="FF002060"/>
      </bottom>
      <diagonal/>
    </border>
    <border diagonalUp="false" diagonalDown="false">
      <left style="medium">
        <color rgb="FF002060"/>
      </left>
      <right/>
      <top style="thin">
        <color rgb="FF002060"/>
      </top>
      <bottom style="medium">
        <color rgb="FF002060"/>
      </bottom>
      <diagonal/>
    </border>
    <border diagonalUp="false" diagonalDown="false">
      <left/>
      <right/>
      <top style="thin">
        <color rgb="FF002060"/>
      </top>
      <bottom style="medium">
        <color rgb="FF002060"/>
      </bottom>
      <diagonal/>
    </border>
    <border diagonalUp="false" diagonalDown="false">
      <left/>
      <right style="medium">
        <color rgb="FF002060"/>
      </right>
      <top style="thin">
        <color rgb="FF002060"/>
      </top>
      <bottom style="medium">
        <color rgb="FF002060"/>
      </bottom>
      <diagonal/>
    </border>
    <border diagonalUp="false" diagonalDown="false">
      <left style="medium">
        <color rgb="FF002060"/>
      </left>
      <right/>
      <top/>
      <bottom style="thin">
        <color rgb="FFFFFFFF"/>
      </bottom>
      <diagonal/>
    </border>
    <border diagonalUp="false" diagonalDown="false">
      <left/>
      <right/>
      <top/>
      <bottom style="thin">
        <color rgb="FFFFFFFF"/>
      </bottom>
      <diagonal/>
    </border>
    <border diagonalUp="false" diagonalDown="false">
      <left/>
      <right style="medium">
        <color rgb="FF002060"/>
      </right>
      <top/>
      <bottom style="thin">
        <color rgb="FFFFFFFF"/>
      </bottom>
      <diagonal/>
    </border>
    <border diagonalUp="false" diagonalDown="false">
      <left style="medium">
        <color rgb="FF002060"/>
      </left>
      <right style="medium">
        <color rgb="FFFFFFFF"/>
      </right>
      <top/>
      <bottom style="medium">
        <color rgb="FF002060"/>
      </bottom>
      <diagonal/>
    </border>
    <border diagonalUp="false" diagonalDown="false">
      <left style="medium">
        <color rgb="FFFFFFFF"/>
      </left>
      <right/>
      <top style="thin">
        <color rgb="FFFFFFFF"/>
      </top>
      <bottom style="medium">
        <color rgb="FF002060"/>
      </bottom>
      <diagonal/>
    </border>
    <border diagonalUp="false" diagonalDown="false">
      <left/>
      <right/>
      <top style="thin">
        <color rgb="FFFFFFFF"/>
      </top>
      <bottom style="medium">
        <color rgb="FF002060"/>
      </bottom>
      <diagonal/>
    </border>
    <border diagonalUp="false" diagonalDown="false">
      <left/>
      <right style="medium">
        <color rgb="FFFFFFFF"/>
      </right>
      <top style="thin">
        <color rgb="FFFFFFFF"/>
      </top>
      <bottom style="medium">
        <color rgb="FF002060"/>
      </bottom>
      <diagonal/>
    </border>
    <border diagonalUp="false" diagonalDown="false">
      <left style="medium">
        <color rgb="FFFFFFFF"/>
      </left>
      <right style="medium">
        <color rgb="FF002060"/>
      </right>
      <top/>
      <bottom style="medium">
        <color rgb="FF002060"/>
      </bottom>
      <diagonal/>
    </border>
    <border diagonalUp="false" diagonalDown="false">
      <left style="medium">
        <color rgb="FF002060"/>
      </left>
      <right style="medium">
        <color rgb="FF002060"/>
      </right>
      <top style="thin">
        <color rgb="FF002060"/>
      </top>
      <bottom/>
      <diagonal/>
    </border>
    <border diagonalUp="false" diagonalDown="false">
      <left style="thin"/>
      <right style="medium">
        <color rgb="FF002060"/>
      </right>
      <top style="thin"/>
      <bottom style="thin"/>
      <diagonal/>
    </border>
    <border diagonalUp="false" diagonalDown="false">
      <left style="medium">
        <color rgb="FF002060"/>
      </left>
      <right style="thin"/>
      <top style="thin"/>
      <bottom style="thin"/>
      <diagonal/>
    </border>
    <border diagonalUp="false" diagonalDown="false">
      <left style="medium"/>
      <right style="medium">
        <color rgb="FFFFFFFF"/>
      </right>
      <top/>
      <bottom style="medium"/>
      <diagonal/>
    </border>
    <border diagonalUp="false" diagonalDown="false">
      <left style="medium">
        <color rgb="FFFFFFFF"/>
      </left>
      <right style="medium">
        <color rgb="FFFFFFFF"/>
      </right>
      <top/>
      <bottom style="medium"/>
      <diagonal/>
    </border>
    <border diagonalUp="false" diagonalDown="false">
      <left style="medium">
        <color rgb="FFFFFFFF"/>
      </left>
      <right style="medium"/>
      <top/>
      <bottom style="medium"/>
      <diagonal/>
    </border>
    <border diagonalUp="false" diagonalDown="false">
      <left style="medium">
        <color rgb="FFFFFFFF"/>
      </left>
      <right style="medium">
        <color rgb="FFFFFFFF"/>
      </right>
      <top style="thin">
        <color rgb="FFFFFFFF"/>
      </top>
      <bottom style="medium">
        <color rgb="FF002060"/>
      </bottom>
      <diagonal/>
    </border>
    <border diagonalUp="false" diagonalDown="false">
      <left style="medium">
        <color rgb="FFFFFFFF"/>
      </left>
      <right style="medium">
        <color rgb="FFFFFFFF"/>
      </right>
      <top style="medium">
        <color rgb="FF002060"/>
      </top>
      <bottom style="medium"/>
      <diagonal/>
    </border>
    <border diagonalUp="false" diagonalDown="false">
      <left style="medium">
        <color rgb="FF002060"/>
      </left>
      <right style="medium">
        <color rgb="FFFFFFFF"/>
      </right>
      <top style="thin">
        <color rgb="FFFFFFFF"/>
      </top>
      <bottom/>
      <diagonal/>
    </border>
    <border diagonalUp="false" diagonalDown="false">
      <left style="medium">
        <color rgb="FFFFFFFF"/>
      </left>
      <right style="medium">
        <color rgb="FFFFFFFF"/>
      </right>
      <top/>
      <bottom/>
      <diagonal/>
    </border>
    <border diagonalUp="false" diagonalDown="false">
      <left style="medium">
        <color rgb="FFFFFFFF"/>
      </left>
      <right style="medium">
        <color rgb="FF002060"/>
      </right>
      <top/>
      <bottom/>
      <diagonal/>
    </border>
    <border diagonalUp="false" diagonalDown="false">
      <left style="medium">
        <color rgb="FF000066"/>
      </left>
      <right style="medium">
        <color rgb="FF000066"/>
      </right>
      <top/>
      <bottom style="thin">
        <color rgb="FF000066"/>
      </bottom>
      <diagonal/>
    </border>
    <border diagonalUp="false" diagonalDown="false">
      <left style="medium">
        <color rgb="FF000066"/>
      </left>
      <right style="medium">
        <color rgb="FF000066"/>
      </right>
      <top style="thin">
        <color rgb="FF000066"/>
      </top>
      <bottom style="thin">
        <color rgb="FF000066"/>
      </bottom>
      <diagonal/>
    </border>
    <border diagonalUp="false" diagonalDown="false">
      <left style="medium">
        <color rgb="FF000066"/>
      </left>
      <right/>
      <top style="thin">
        <color rgb="FF000066"/>
      </top>
      <bottom style="thin">
        <color rgb="FF000066"/>
      </bottom>
      <diagonal/>
    </border>
    <border diagonalUp="false" diagonalDown="false">
      <left style="medium">
        <color rgb="FF000066"/>
      </left>
      <right style="medium">
        <color rgb="FF000066"/>
      </right>
      <top style="thin">
        <color rgb="FF000066"/>
      </top>
      <bottom style="thin"/>
      <diagonal/>
    </border>
    <border diagonalUp="false" diagonalDown="false">
      <left style="medium">
        <color rgb="FF000066"/>
      </left>
      <right style="medium">
        <color rgb="FF000066"/>
      </right>
      <top style="thin">
        <color rgb="FF000066"/>
      </top>
      <bottom/>
      <diagonal/>
    </border>
    <border diagonalUp="false" diagonalDown="false">
      <left style="medium">
        <color rgb="FF000066"/>
      </left>
      <right style="medium">
        <color rgb="FF000066"/>
      </right>
      <top style="thin"/>
      <bottom style="medium">
        <color rgb="FF002060"/>
      </bottom>
      <diagonal/>
    </border>
    <border diagonalUp="false" diagonalDown="false">
      <left/>
      <right style="medium">
        <color rgb="FFFFFFFF"/>
      </right>
      <top style="medium">
        <color rgb="FF002060"/>
      </top>
      <bottom style="thin">
        <color rgb="FF002060"/>
      </bottom>
      <diagonal/>
    </border>
    <border diagonalUp="false" diagonalDown="false">
      <left style="medium">
        <color rgb="FFFFFFFF"/>
      </left>
      <right style="medium">
        <color rgb="FFFFFFFF"/>
      </right>
      <top style="medium">
        <color rgb="FF002060"/>
      </top>
      <bottom style="thin">
        <color rgb="FF002060"/>
      </bottom>
      <diagonal/>
    </border>
    <border diagonalUp="false" diagonalDown="false">
      <left style="medium">
        <color rgb="FFFFFFFF"/>
      </left>
      <right style="medium">
        <color rgb="FF002060"/>
      </right>
      <top style="medium">
        <color rgb="FF002060"/>
      </top>
      <bottom style="thin">
        <color rgb="FF002060"/>
      </bottom>
      <diagonal/>
    </border>
    <border diagonalUp="false" diagonalDown="false">
      <left style="medium">
        <color rgb="FF002060"/>
      </left>
      <right/>
      <top style="thin">
        <color rgb="FFFFFFFF"/>
      </top>
      <bottom/>
      <diagonal/>
    </border>
    <border diagonalUp="false" diagonalDown="false">
      <left/>
      <right/>
      <top style="thin">
        <color rgb="FFFFFFFF"/>
      </top>
      <bottom/>
      <diagonal/>
    </border>
    <border diagonalUp="false" diagonalDown="false">
      <left/>
      <right style="medium">
        <color rgb="FFFFFFFF"/>
      </right>
      <top style="thin">
        <color rgb="FFFFFFFF"/>
      </top>
      <bottom/>
      <diagonal/>
    </border>
    <border diagonalUp="false" diagonalDown="false">
      <left style="medium">
        <color rgb="FFFFFFFF"/>
      </left>
      <right style="medium">
        <color rgb="FFFFFFFF"/>
      </right>
      <top/>
      <bottom style="thin">
        <color rgb="FF002060"/>
      </bottom>
      <diagonal/>
    </border>
    <border diagonalUp="false" diagonalDown="false">
      <left style="medium">
        <color rgb="FFFFFFFF"/>
      </left>
      <right style="medium">
        <color rgb="FF002060"/>
      </right>
      <top/>
      <bottom style="thin">
        <color rgb="FF002060"/>
      </bottom>
      <diagonal/>
    </border>
    <border diagonalUp="false" diagonalDown="false">
      <left style="medium">
        <color rgb="FF002060"/>
      </left>
      <right style="medium">
        <color rgb="FF002060"/>
      </right>
      <top/>
      <bottom style="thin">
        <color rgb="FF002060"/>
      </bottom>
      <diagonal/>
    </border>
    <border diagonalUp="false" diagonalDown="false">
      <left style="medium">
        <color rgb="FF002060"/>
      </left>
      <right/>
      <top style="thin">
        <color rgb="FF002060"/>
      </top>
      <bottom/>
      <diagonal/>
    </border>
    <border diagonalUp="false" diagonalDown="false">
      <left/>
      <right/>
      <top style="thin">
        <color rgb="FF002060"/>
      </top>
      <bottom/>
      <diagonal/>
    </border>
    <border diagonalUp="false" diagonalDown="false">
      <left/>
      <right style="medium">
        <color rgb="FFFFFFFF"/>
      </right>
      <top style="thin">
        <color rgb="FF002060"/>
      </top>
      <bottom/>
      <diagonal/>
    </border>
    <border diagonalUp="false" diagonalDown="false">
      <left style="medium">
        <color rgb="FF000066"/>
      </left>
      <right/>
      <top style="medium">
        <color rgb="FF000066"/>
      </top>
      <bottom/>
      <diagonal/>
    </border>
    <border diagonalUp="false" diagonalDown="false">
      <left/>
      <right/>
      <top style="medium">
        <color rgb="FF000066"/>
      </top>
      <bottom/>
      <diagonal/>
    </border>
    <border diagonalUp="false" diagonalDown="false">
      <left/>
      <right style="medium">
        <color rgb="FF000066"/>
      </right>
      <top style="medium">
        <color rgb="FF000066"/>
      </top>
      <bottom/>
      <diagonal/>
    </border>
    <border diagonalUp="false" diagonalDown="false">
      <left style="medium">
        <color rgb="FF000066"/>
      </left>
      <right/>
      <top/>
      <bottom style="thin">
        <color rgb="FFFFFFFF"/>
      </bottom>
      <diagonal/>
    </border>
    <border diagonalUp="false" diagonalDown="false">
      <left/>
      <right style="medium">
        <color rgb="FF000066"/>
      </right>
      <top/>
      <bottom style="thin">
        <color rgb="FFFFFFFF"/>
      </bottom>
      <diagonal/>
    </border>
    <border diagonalUp="false" diagonalDown="false">
      <left style="medium">
        <color rgb="FF000066"/>
      </left>
      <right style="medium">
        <color rgb="FFFFFFFF"/>
      </right>
      <top style="thin">
        <color rgb="FFFFFFFF"/>
      </top>
      <bottom style="thin">
        <color rgb="FF000066"/>
      </bottom>
      <diagonal/>
    </border>
    <border diagonalUp="false" diagonalDown="false">
      <left style="medium">
        <color rgb="FFFFFFFF"/>
      </left>
      <right/>
      <top style="thin">
        <color rgb="FFFFFFFF"/>
      </top>
      <bottom style="thin">
        <color rgb="FF000066"/>
      </bottom>
      <diagonal/>
    </border>
    <border diagonalUp="false" diagonalDown="false">
      <left/>
      <right/>
      <top style="thin">
        <color rgb="FFFFFFFF"/>
      </top>
      <bottom style="thin">
        <color rgb="FF000066"/>
      </bottom>
      <diagonal/>
    </border>
    <border diagonalUp="false" diagonalDown="false">
      <left/>
      <right style="medium">
        <color rgb="FF000066"/>
      </right>
      <top style="thin">
        <color rgb="FFFFFFFF"/>
      </top>
      <bottom style="thin">
        <color rgb="FF000066"/>
      </bottom>
      <diagonal/>
    </border>
    <border diagonalUp="false" diagonalDown="false">
      <left style="medium">
        <color rgb="FF000066"/>
      </left>
      <right style="medium">
        <color rgb="FFFFFFFF"/>
      </right>
      <top style="thin">
        <color rgb="FF000066"/>
      </top>
      <bottom style="medium">
        <color rgb="FF000066"/>
      </bottom>
      <diagonal/>
    </border>
    <border diagonalUp="false" diagonalDown="false">
      <left style="medium">
        <color rgb="FFFFFFFF"/>
      </left>
      <right style="medium">
        <color rgb="FF000066"/>
      </right>
      <top style="thin">
        <color rgb="FF000066"/>
      </top>
      <bottom style="medium">
        <color rgb="FF000066"/>
      </bottom>
      <diagonal/>
    </border>
    <border diagonalUp="false" diagonalDown="false">
      <left style="thin">
        <color rgb="FF274E13"/>
      </left>
      <right style="thin">
        <color rgb="FF274E13"/>
      </right>
      <top/>
      <bottom/>
      <diagonal/>
    </border>
    <border diagonalUp="false" diagonalDown="false">
      <left style="medium">
        <color rgb="FF002060"/>
      </left>
      <right style="medium">
        <color rgb="FF002060"/>
      </right>
      <top style="medium">
        <color rgb="FF002060"/>
      </top>
      <bottom style="medium">
        <color rgb="FF002060"/>
      </bottom>
      <diagonal/>
    </border>
    <border diagonalUp="false" diagonalDown="false">
      <left style="medium">
        <color rgb="FFFFFFFF"/>
      </left>
      <right style="medium">
        <color rgb="FFFFFFFF"/>
      </right>
      <top/>
      <bottom style="medium">
        <color rgb="FF002060"/>
      </bottom>
      <diagonal/>
    </border>
    <border diagonalUp="false" diagonalDown="false">
      <left style="medium">
        <color rgb="FF002060"/>
      </left>
      <right style="medium">
        <color rgb="FF002060"/>
      </right>
      <top/>
      <bottom/>
      <diagonal/>
    </border>
    <border diagonalUp="false" diagonalDown="false">
      <left style="medium">
        <color rgb="FFFFFFFF"/>
      </left>
      <right style="medium">
        <color rgb="FFFFFFFF"/>
      </right>
      <top style="thin">
        <color rgb="FF002060"/>
      </top>
      <bottom style="medium"/>
      <diagonal/>
    </border>
    <border diagonalUp="false" diagonalDown="false">
      <left style="medium">
        <color rgb="FF002060"/>
      </left>
      <right style="medium">
        <color rgb="FFFFFFFF"/>
      </right>
      <top style="medium">
        <color rgb="FF002060"/>
      </top>
      <bottom style="thin">
        <color rgb="FF002060"/>
      </bottom>
      <diagonal/>
    </border>
    <border diagonalUp="false" diagonalDown="false">
      <left style="medium">
        <color rgb="FF002060"/>
      </left>
      <right style="medium">
        <color rgb="FFFFFFFF"/>
      </right>
      <top/>
      <bottom/>
      <diagonal/>
    </border>
    <border diagonalUp="false" diagonalDown="false">
      <left style="medium">
        <color rgb="FF000066"/>
      </left>
      <right style="medium">
        <color rgb="FF000066"/>
      </right>
      <top style="medium">
        <color rgb="FF000066"/>
      </top>
      <bottom style="thin">
        <color rgb="FFFFFFFF"/>
      </bottom>
      <diagonal/>
    </border>
    <border diagonalUp="false" diagonalDown="false">
      <left style="medium">
        <color rgb="FFFFFFFF"/>
      </left>
      <right style="medium">
        <color rgb="FF000066"/>
      </right>
      <top style="thin">
        <color rgb="FFFFFFFF"/>
      </top>
      <bottom style="thin">
        <color rgb="FF000066"/>
      </bottom>
      <diagonal/>
    </border>
    <border diagonalUp="false" diagonalDown="false">
      <left style="medium">
        <color rgb="FF002060"/>
      </left>
      <right style="medium">
        <color rgb="FFFFFFFF"/>
      </right>
      <top/>
      <bottom style="thin">
        <color rgb="FF002060"/>
      </bottom>
      <diagonal/>
    </border>
    <border diagonalUp="false" diagonalDown="false">
      <left style="medium">
        <color rgb="FF002060"/>
      </left>
      <right style="medium">
        <color rgb="FF002060"/>
      </right>
      <top style="thin">
        <color rgb="FF002060"/>
      </top>
      <bottom style="thin">
        <color rgb="FF000066"/>
      </bottom>
      <diagonal/>
    </border>
    <border diagonalUp="false" diagonalDown="false">
      <left style="medium">
        <color rgb="FF002060"/>
      </left>
      <right style="medium">
        <color rgb="FF002060"/>
      </right>
      <top style="thin">
        <color rgb="FF000066"/>
      </top>
      <bottom style="thin">
        <color rgb="FF000066"/>
      </bottom>
      <diagonal/>
    </border>
    <border diagonalUp="false" diagonalDown="false">
      <left style="medium">
        <color rgb="FF000066"/>
      </left>
      <right style="medium">
        <color rgb="FF000066"/>
      </right>
      <top style="medium">
        <color rgb="FF000066"/>
      </top>
      <bottom style="thin">
        <color rgb="FF000066"/>
      </bottom>
      <diagonal/>
    </border>
    <border diagonalUp="false" diagonalDown="false">
      <left style="medium">
        <color rgb="FF000066"/>
      </left>
      <right style="medium">
        <color rgb="FF000066"/>
      </right>
      <top style="thin">
        <color rgb="FF000066"/>
      </top>
      <bottom style="medium">
        <color rgb="FF002060"/>
      </bottom>
      <diagonal/>
    </border>
    <border diagonalUp="false" diagonalDown="false">
      <left style="medium">
        <color rgb="FF002060"/>
      </left>
      <right style="medium"/>
      <top style="thin">
        <color rgb="FF002060"/>
      </top>
      <bottom style="thin">
        <color rgb="FF002060"/>
      </bottom>
      <diagonal/>
    </border>
    <border diagonalUp="false" diagonalDown="false">
      <left style="medium">
        <color rgb="FF002060"/>
      </left>
      <right style="medium"/>
      <top style="thin">
        <color rgb="FF002060"/>
      </top>
      <bottom/>
      <diagonal/>
    </border>
    <border diagonalUp="false" diagonalDown="false">
      <left/>
      <right style="medium"/>
      <top style="thin">
        <color rgb="FF002060"/>
      </top>
      <bottom/>
      <diagonal/>
    </border>
    <border diagonalUp="false" diagonalDown="false">
      <left/>
      <right style="medium">
        <color rgb="FF002060"/>
      </right>
      <top style="thin">
        <color rgb="FF002060"/>
      </top>
      <bottom/>
      <diagonal/>
    </border>
    <border diagonalUp="false" diagonalDown="false">
      <left style="thin"/>
      <right style="medium"/>
      <top style="thin"/>
      <bottom style="thin"/>
      <diagonal/>
    </border>
    <border diagonalUp="false" diagonalDown="false">
      <left/>
      <right style="medium"/>
      <top style="thin"/>
      <bottom style="thin"/>
      <diagonal/>
    </border>
    <border diagonalUp="false" diagonalDown="false">
      <left style="medium">
        <color rgb="FF002060"/>
      </left>
      <right style="medium"/>
      <top/>
      <bottom style="thin">
        <color rgb="FF002060"/>
      </bottom>
      <diagonal/>
    </border>
    <border diagonalUp="false" diagonalDown="false">
      <left/>
      <right style="medium"/>
      <top/>
      <bottom style="thin">
        <color rgb="FF002060"/>
      </bottom>
      <diagonal/>
    </border>
    <border diagonalUp="false" diagonalDown="false">
      <left/>
      <right style="medium">
        <color rgb="FF002060"/>
      </right>
      <top/>
      <bottom style="thin">
        <color rgb="FF002060"/>
      </bottom>
      <diagonal/>
    </border>
    <border diagonalUp="false" diagonalDown="false">
      <left/>
      <right/>
      <top style="thin">
        <color rgb="FF000066"/>
      </top>
      <bottom style="thin">
        <color rgb="FF000066"/>
      </bottom>
      <diagonal/>
    </border>
    <border diagonalUp="false" diagonalDown="false">
      <left style="thin"/>
      <right style="thin"/>
      <top style="thin">
        <color rgb="FF000066"/>
      </top>
      <bottom style="thin">
        <color rgb="FF000066"/>
      </bottom>
      <diagonal/>
    </border>
    <border diagonalUp="false" diagonalDown="false">
      <left style="medium">
        <color rgb="FF002060"/>
      </left>
      <right style="medium">
        <color rgb="FF002060"/>
      </right>
      <top style="thin">
        <color rgb="FF000066"/>
      </top>
      <bottom style="thin"/>
      <diagonal/>
    </border>
    <border diagonalUp="false" diagonalDown="false">
      <left style="thin"/>
      <right style="thin"/>
      <top/>
      <bottom style="thin"/>
      <diagonal/>
    </border>
    <border diagonalUp="false" diagonalDown="false">
      <left style="medium">
        <color rgb="FF003300"/>
      </left>
      <right style="medium">
        <color rgb="FF003300"/>
      </right>
      <top/>
      <bottom style="thin">
        <color rgb="FF003300"/>
      </bottom>
      <diagonal/>
    </border>
    <border diagonalUp="false" diagonalDown="false">
      <left style="medium">
        <color rgb="FF003300"/>
      </left>
      <right style="medium">
        <color rgb="FF003300"/>
      </right>
      <top style="thin">
        <color rgb="FF003300"/>
      </top>
      <bottom style="medium">
        <color rgb="FF003300"/>
      </bottom>
      <diagonal/>
    </border>
    <border diagonalUp="false" diagonalDown="false">
      <left style="medium">
        <color rgb="FFFFFFFF"/>
      </left>
      <right style="medium">
        <color rgb="FFFFFFFF"/>
      </right>
      <top style="medium">
        <color rgb="FFFFFFFF"/>
      </top>
      <bottom style="medium">
        <color rgb="FFFFFFFF"/>
      </bottom>
      <diagonal/>
    </border>
    <border diagonalUp="false" diagonalDown="false">
      <left style="medium">
        <color rgb="FF003300"/>
      </left>
      <right/>
      <top/>
      <bottom/>
      <diagonal/>
    </border>
    <border diagonalUp="false" diagonalDown="false">
      <left style="medium">
        <color rgb="FF002060"/>
      </left>
      <right style="thin">
        <color rgb="FF002060"/>
      </right>
      <top style="thin">
        <color rgb="FF002060"/>
      </top>
      <bottom style="thin">
        <color rgb="FF002060"/>
      </bottom>
      <diagonal/>
    </border>
    <border diagonalUp="false" diagonalDown="false">
      <left style="medium">
        <color rgb="FF002060"/>
      </left>
      <right style="medium">
        <color rgb="FFFFFFFF"/>
      </right>
      <top style="thin">
        <color rgb="FFFFFFFF"/>
      </top>
      <bottom style="medium">
        <color rgb="FF000066"/>
      </bottom>
      <diagonal/>
    </border>
    <border diagonalUp="false" diagonalDown="false">
      <left style="medium">
        <color rgb="FF000066"/>
      </left>
      <right style="medium">
        <color rgb="FF000066"/>
      </right>
      <top style="medium">
        <color rgb="FF000066"/>
      </top>
      <bottom style="medium">
        <color rgb="FF000066"/>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8" fontId="0"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general" vertical="bottom" textRotation="0" wrapText="false" indent="0" shrinkToFit="false"/>
    </xf>
  </cellStyleXfs>
  <cellXfs count="656">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center" vertical="bottom" textRotation="0" wrapText="false" indent="0" shrinkToFit="false"/>
      <protection locked="true" hidden="false"/>
    </xf>
    <xf numFmtId="164" fontId="7"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8" fillId="0" borderId="0" xfId="0" applyFont="true" applyBorder="false" applyAlignment="true" applyProtection="false">
      <alignment horizontal="center" vertical="bottom" textRotation="0" wrapText="false" indent="0" shrinkToFit="false"/>
      <protection locked="true" hidden="false"/>
    </xf>
    <xf numFmtId="164" fontId="9" fillId="0" borderId="1" xfId="0" applyFont="true" applyBorder="true" applyAlignment="true" applyProtection="false">
      <alignment horizontal="general" vertical="center" textRotation="0" wrapText="false" indent="0" shrinkToFit="false"/>
      <protection locked="true" hidden="false"/>
    </xf>
    <xf numFmtId="164" fontId="10" fillId="2" borderId="2" xfId="0" applyFont="true" applyBorder="true" applyAlignment="true" applyProtection="false">
      <alignment horizontal="center" vertical="center" textRotation="0" wrapText="false" indent="0" shrinkToFit="false"/>
      <protection locked="true" hidden="false"/>
    </xf>
    <xf numFmtId="164" fontId="11" fillId="2" borderId="3" xfId="0" applyFont="true" applyBorder="true" applyAlignment="true" applyProtection="false">
      <alignment horizontal="center" vertical="center" textRotation="0" wrapText="false" indent="0" shrinkToFit="false"/>
      <protection locked="true" hidden="false"/>
    </xf>
    <xf numFmtId="164" fontId="11" fillId="2" borderId="4" xfId="0" applyFont="true" applyBorder="true" applyAlignment="true" applyProtection="false">
      <alignment horizontal="center" vertical="center" textRotation="0" wrapText="false" indent="0" shrinkToFit="false"/>
      <protection locked="true" hidden="false"/>
    </xf>
    <xf numFmtId="164" fontId="11" fillId="2" borderId="5" xfId="0" applyFont="true" applyBorder="true" applyAlignment="true" applyProtection="false">
      <alignment horizontal="center" vertical="center" textRotation="0" wrapText="false" indent="0" shrinkToFit="false"/>
      <protection locked="true" hidden="false"/>
    </xf>
    <xf numFmtId="164" fontId="11" fillId="2" borderId="6" xfId="0" applyFont="true" applyBorder="true" applyAlignment="true" applyProtection="false">
      <alignment horizontal="center" vertical="center" textRotation="0" wrapText="false" indent="0" shrinkToFit="false"/>
      <protection locked="true" hidden="false"/>
    </xf>
    <xf numFmtId="164" fontId="11" fillId="2" borderId="7" xfId="0" applyFont="true" applyBorder="true" applyAlignment="true" applyProtection="false">
      <alignment horizontal="center" vertical="center" textRotation="0" wrapText="false" indent="0" shrinkToFit="false"/>
      <protection locked="true" hidden="false"/>
    </xf>
    <xf numFmtId="164" fontId="12" fillId="2" borderId="8" xfId="0" applyFont="true" applyBorder="true" applyAlignment="true" applyProtection="false">
      <alignment horizontal="center" vertical="center" textRotation="0" wrapText="false" indent="0" shrinkToFit="false"/>
      <protection locked="true" hidden="false"/>
    </xf>
    <xf numFmtId="164" fontId="13" fillId="3" borderId="9" xfId="0" applyFont="true" applyBorder="true" applyAlignment="true" applyProtection="false">
      <alignment horizontal="center" vertical="center" textRotation="0" wrapText="false" indent="0" shrinkToFit="false"/>
      <protection locked="true" hidden="false"/>
    </xf>
    <xf numFmtId="164" fontId="13" fillId="3" borderId="10" xfId="0" applyFont="true" applyBorder="true" applyAlignment="true" applyProtection="false">
      <alignment horizontal="center" vertical="center" textRotation="0" wrapText="false" indent="0" shrinkToFit="false"/>
      <protection locked="true" hidden="false"/>
    </xf>
    <xf numFmtId="164" fontId="13" fillId="4" borderId="11" xfId="0" applyFont="true" applyBorder="true" applyAlignment="true" applyProtection="false">
      <alignment horizontal="center" vertical="center" textRotation="0" wrapText="false" indent="0" shrinkToFit="false"/>
      <protection locked="true" hidden="false"/>
    </xf>
    <xf numFmtId="164" fontId="13" fillId="4" borderId="12" xfId="0" applyFont="true" applyBorder="true" applyAlignment="true" applyProtection="false">
      <alignment horizontal="center" vertical="center" textRotation="0" wrapText="false" indent="0" shrinkToFit="false"/>
      <protection locked="true" hidden="false"/>
    </xf>
    <xf numFmtId="164" fontId="13" fillId="3" borderId="11" xfId="0" applyFont="true" applyBorder="true" applyAlignment="true" applyProtection="false">
      <alignment horizontal="center" vertical="center" textRotation="0" wrapText="false" indent="0" shrinkToFit="false"/>
      <protection locked="true" hidden="false"/>
    </xf>
    <xf numFmtId="164" fontId="13" fillId="3" borderId="12" xfId="0" applyFont="true" applyBorder="true" applyAlignment="true" applyProtection="false">
      <alignment horizontal="center" vertical="center" textRotation="0" wrapText="false" indent="0" shrinkToFit="false"/>
      <protection locked="true" hidden="false"/>
    </xf>
    <xf numFmtId="164" fontId="12" fillId="2" borderId="13" xfId="0" applyFont="true" applyBorder="true" applyAlignment="true" applyProtection="false">
      <alignment horizontal="center" vertical="center" textRotation="0" wrapText="false" indent="0" shrinkToFit="false"/>
      <protection locked="true" hidden="false"/>
    </xf>
    <xf numFmtId="164" fontId="13" fillId="4" borderId="14" xfId="0" applyFont="true" applyBorder="true" applyAlignment="true" applyProtection="false">
      <alignment horizontal="center" vertical="center" textRotation="0" wrapText="false" indent="0" shrinkToFit="false"/>
      <protection locked="true" hidden="false"/>
    </xf>
    <xf numFmtId="164" fontId="13" fillId="4" borderId="15" xfId="0" applyFont="true" applyBorder="true" applyAlignment="true" applyProtection="false">
      <alignment horizontal="center" vertical="center" textRotation="0" wrapText="false" indent="0" shrinkToFit="false"/>
      <protection locked="true" hidden="false"/>
    </xf>
    <xf numFmtId="164" fontId="14" fillId="2" borderId="16" xfId="0" applyFont="true" applyBorder="true" applyAlignment="true" applyProtection="false">
      <alignment horizontal="center" vertical="center" textRotation="0" wrapText="false" indent="0" shrinkToFit="false"/>
      <protection locked="true" hidden="false"/>
    </xf>
    <xf numFmtId="164" fontId="15" fillId="3" borderId="17" xfId="0" applyFont="true" applyBorder="true" applyAlignment="true" applyProtection="false">
      <alignment horizontal="center" vertical="center" textRotation="0" wrapText="false" indent="0" shrinkToFit="false"/>
      <protection locked="true" hidden="false"/>
    </xf>
    <xf numFmtId="164" fontId="15" fillId="3" borderId="18" xfId="0" applyFont="true" applyBorder="true" applyAlignment="true" applyProtection="false">
      <alignment horizontal="center" vertical="center" textRotation="0" wrapText="false" indent="0" shrinkToFit="false"/>
      <protection locked="true" hidden="false"/>
    </xf>
    <xf numFmtId="164" fontId="15" fillId="3" borderId="16" xfId="0" applyFont="true" applyBorder="true" applyAlignment="true" applyProtection="false">
      <alignment horizontal="center" vertical="center" textRotation="0" wrapText="false" indent="0" shrinkToFit="false"/>
      <protection locked="true" hidden="false"/>
    </xf>
    <xf numFmtId="164" fontId="15" fillId="3" borderId="19" xfId="0" applyFont="true" applyBorder="true" applyAlignment="true" applyProtection="false">
      <alignment horizontal="center" vertical="center" textRotation="0" wrapText="false" indent="0" shrinkToFit="false"/>
      <protection locked="true" hidden="false"/>
    </xf>
    <xf numFmtId="164" fontId="12" fillId="2" borderId="20" xfId="0" applyFont="true" applyBorder="true" applyAlignment="true" applyProtection="false">
      <alignment horizontal="center" vertical="center" textRotation="0" wrapText="false" indent="0" shrinkToFit="false"/>
      <protection locked="true" hidden="false"/>
    </xf>
    <xf numFmtId="164" fontId="13" fillId="4" borderId="21" xfId="0" applyFont="true" applyBorder="true" applyAlignment="true" applyProtection="false">
      <alignment horizontal="center" vertical="center" textRotation="0" wrapText="false" indent="0" shrinkToFit="false"/>
      <protection locked="true" hidden="false"/>
    </xf>
    <xf numFmtId="164" fontId="13" fillId="4" borderId="22" xfId="0" applyFont="true" applyBorder="true" applyAlignment="true" applyProtection="false">
      <alignment horizontal="center" vertical="center" textRotation="0" wrapText="false" indent="0" shrinkToFit="false"/>
      <protection locked="true" hidden="false"/>
    </xf>
    <xf numFmtId="164" fontId="15" fillId="3" borderId="23" xfId="0" applyFont="true" applyBorder="true" applyAlignment="true" applyProtection="false">
      <alignment horizontal="center" vertical="center" textRotation="0" wrapText="false" indent="0" shrinkToFit="false"/>
      <protection locked="true" hidden="false"/>
    </xf>
    <xf numFmtId="164" fontId="15" fillId="3" borderId="24" xfId="0" applyFont="true" applyBorder="true" applyAlignment="true" applyProtection="false">
      <alignment horizontal="center" vertical="center" textRotation="0" wrapText="false" indent="0" shrinkToFit="false"/>
      <protection locked="true" hidden="false"/>
    </xf>
    <xf numFmtId="164" fontId="15" fillId="3" borderId="25" xfId="0" applyFont="true" applyBorder="true" applyAlignment="true" applyProtection="false">
      <alignment horizontal="center" vertical="center" textRotation="0" wrapText="false" indent="0" shrinkToFit="false"/>
      <protection locked="true" hidden="false"/>
    </xf>
    <xf numFmtId="164" fontId="14" fillId="2" borderId="26" xfId="0" applyFont="true" applyBorder="true" applyAlignment="true" applyProtection="false">
      <alignment horizontal="center" vertical="center" textRotation="0" wrapText="false" indent="0" shrinkToFit="false"/>
      <protection locked="true" hidden="false"/>
    </xf>
    <xf numFmtId="164" fontId="15" fillId="4" borderId="27" xfId="0" applyFont="true" applyBorder="true" applyAlignment="true" applyProtection="false">
      <alignment horizontal="center" vertical="center" textRotation="0" wrapText="false" indent="0" shrinkToFit="false"/>
      <protection locked="true" hidden="false"/>
    </xf>
    <xf numFmtId="164" fontId="15" fillId="4" borderId="28" xfId="0" applyFont="true" applyBorder="true" applyAlignment="true" applyProtection="false">
      <alignment horizontal="center" vertical="center" textRotation="0" wrapText="false" indent="0" shrinkToFit="false"/>
      <protection locked="true" hidden="false"/>
    </xf>
    <xf numFmtId="164" fontId="15" fillId="4" borderId="29" xfId="0" applyFont="true" applyBorder="true" applyAlignment="true" applyProtection="false">
      <alignment horizontal="center" vertical="center" textRotation="0" wrapText="false" indent="0" shrinkToFit="false"/>
      <protection locked="true" hidden="false"/>
    </xf>
    <xf numFmtId="164" fontId="15" fillId="3" borderId="30" xfId="0" applyFont="true" applyBorder="true" applyAlignment="true" applyProtection="false">
      <alignment horizontal="center" vertical="center" textRotation="0" wrapText="false" indent="0" shrinkToFit="false"/>
      <protection locked="true" hidden="false"/>
    </xf>
    <xf numFmtId="164" fontId="15" fillId="3" borderId="31" xfId="0" applyFont="true" applyBorder="true" applyAlignment="true" applyProtection="false">
      <alignment horizontal="center" vertical="center" textRotation="0" wrapText="false" indent="0" shrinkToFit="false"/>
      <protection locked="true" hidden="false"/>
    </xf>
    <xf numFmtId="164" fontId="15" fillId="3" borderId="32" xfId="0" applyFont="true" applyBorder="true" applyAlignment="true" applyProtection="false">
      <alignment horizontal="center" vertical="center" textRotation="0" wrapText="false" indent="0" shrinkToFit="false"/>
      <protection locked="true" hidden="false"/>
    </xf>
    <xf numFmtId="164" fontId="15" fillId="4" borderId="23" xfId="0" applyFont="true" applyBorder="true" applyAlignment="true" applyProtection="false">
      <alignment horizontal="center" vertical="center" textRotation="0" wrapText="false" indent="0" shrinkToFit="false"/>
      <protection locked="true" hidden="false"/>
    </xf>
    <xf numFmtId="164" fontId="15" fillId="4" borderId="24" xfId="0" applyFont="true" applyBorder="true" applyAlignment="true" applyProtection="false">
      <alignment horizontal="center" vertical="center" textRotation="0" wrapText="false" indent="0" shrinkToFit="false"/>
      <protection locked="true" hidden="false"/>
    </xf>
    <xf numFmtId="164" fontId="15" fillId="4" borderId="33" xfId="0" applyFont="true" applyBorder="true" applyAlignment="true" applyProtection="false">
      <alignment horizontal="center" vertical="center" textRotation="0" wrapText="false" indent="0" shrinkToFit="false"/>
      <protection locked="true" hidden="false"/>
    </xf>
    <xf numFmtId="164" fontId="5" fillId="0" borderId="34"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center" vertical="center" textRotation="0" wrapText="false" indent="0" shrinkToFit="false"/>
      <protection locked="true" hidden="false"/>
    </xf>
    <xf numFmtId="165" fontId="16" fillId="3" borderId="35" xfId="0" applyFont="true" applyBorder="true" applyAlignment="true" applyProtection="false">
      <alignment horizontal="center" vertical="center" textRotation="0" wrapText="false" indent="0" shrinkToFit="false"/>
      <protection locked="true" hidden="false"/>
    </xf>
    <xf numFmtId="165" fontId="17" fillId="3" borderId="35" xfId="0" applyFont="true" applyBorder="true" applyAlignment="true" applyProtection="false">
      <alignment horizontal="center" vertical="center" textRotation="0" wrapText="false" indent="0" shrinkToFit="false"/>
      <protection locked="true" hidden="false"/>
    </xf>
    <xf numFmtId="164" fontId="17" fillId="3" borderId="36" xfId="0" applyFont="true" applyBorder="true" applyAlignment="true" applyProtection="false">
      <alignment horizontal="center" vertical="center" textRotation="0" wrapText="false" indent="0" shrinkToFit="false"/>
      <protection locked="true" hidden="false"/>
    </xf>
    <xf numFmtId="164" fontId="17" fillId="3" borderId="37" xfId="0" applyFont="true" applyBorder="true" applyAlignment="true" applyProtection="false">
      <alignment horizontal="center" vertical="center" textRotation="0" wrapText="false" indent="0" shrinkToFit="false"/>
      <protection locked="true" hidden="false"/>
    </xf>
    <xf numFmtId="164" fontId="19" fillId="3" borderId="37" xfId="0" applyFont="true" applyBorder="true" applyAlignment="true" applyProtection="false">
      <alignment horizontal="center" vertical="center" textRotation="0" wrapText="false" indent="0" shrinkToFit="false"/>
      <protection locked="true" hidden="false"/>
    </xf>
    <xf numFmtId="164" fontId="17" fillId="3" borderId="35"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general" vertical="center" textRotation="0" wrapText="false" indent="0" shrinkToFit="false"/>
      <protection locked="true" hidden="false"/>
    </xf>
    <xf numFmtId="164" fontId="16" fillId="3" borderId="38" xfId="0" applyFont="true" applyBorder="true" applyAlignment="true" applyProtection="false">
      <alignment horizontal="center" vertical="center" textRotation="0" wrapText="false" indent="0" shrinkToFit="false"/>
      <protection locked="true" hidden="false"/>
    </xf>
    <xf numFmtId="164" fontId="15" fillId="3" borderId="37" xfId="0" applyFont="true" applyBorder="true" applyAlignment="true" applyProtection="false">
      <alignment horizontal="center" vertical="bottom" textRotation="0" wrapText="true" indent="0" shrinkToFit="false"/>
      <protection locked="true" hidden="false"/>
    </xf>
    <xf numFmtId="164" fontId="21" fillId="0" borderId="0" xfId="0" applyFont="true" applyBorder="false" applyAlignment="true" applyProtection="false">
      <alignment horizontal="right" vertical="center" textRotation="0" wrapText="false" indent="0" shrinkToFit="false"/>
      <protection locked="true" hidden="false"/>
    </xf>
    <xf numFmtId="164" fontId="22" fillId="0" borderId="0" xfId="0" applyFont="true" applyBorder="false" applyAlignment="true" applyProtection="false">
      <alignment horizontal="justify" vertical="bottom" textRotation="0" wrapText="true" indent="0" shrinkToFit="false"/>
      <protection locked="true" hidden="false"/>
    </xf>
    <xf numFmtId="164" fontId="5" fillId="0" borderId="0" xfId="0" applyFont="true" applyBorder="false" applyAlignment="true" applyProtection="false">
      <alignment horizontal="justify" vertical="bottom" textRotation="0" wrapText="true" indent="0" shrinkToFit="false"/>
      <protection locked="true" hidden="false"/>
    </xf>
    <xf numFmtId="164" fontId="0" fillId="0" borderId="0" xfId="0" applyFont="false" applyBorder="false" applyAlignment="true" applyProtection="false">
      <alignment horizontal="justify" vertical="bottom" textRotation="0" wrapText="true" indent="0" shrinkToFit="false"/>
      <protection locked="true" hidden="false"/>
    </xf>
    <xf numFmtId="164" fontId="16" fillId="3" borderId="39" xfId="0" applyFont="true" applyBorder="true" applyAlignment="true" applyProtection="false">
      <alignment horizontal="center" vertical="center" textRotation="0" wrapText="false" indent="0" shrinkToFit="false"/>
      <protection locked="true" hidden="false"/>
    </xf>
    <xf numFmtId="164" fontId="37" fillId="2" borderId="40" xfId="0" applyFont="true" applyBorder="true" applyAlignment="true" applyProtection="false">
      <alignment horizontal="center" vertical="center" textRotation="0" wrapText="false" indent="0" shrinkToFit="false"/>
      <protection locked="true" hidden="false"/>
    </xf>
    <xf numFmtId="164" fontId="37" fillId="2" borderId="35" xfId="0" applyFont="true" applyBorder="true" applyAlignment="true" applyProtection="false">
      <alignment horizontal="center" vertical="center" textRotation="0" wrapText="true" indent="0" shrinkToFit="false"/>
      <protection locked="true" hidden="false"/>
    </xf>
    <xf numFmtId="164" fontId="38" fillId="2" borderId="35" xfId="0" applyFont="true" applyBorder="true" applyAlignment="true" applyProtection="false">
      <alignment horizontal="center" vertical="center" textRotation="0" wrapText="false" indent="0" shrinkToFit="false"/>
      <protection locked="true" hidden="false"/>
    </xf>
    <xf numFmtId="164" fontId="38" fillId="2" borderId="35" xfId="0" applyFont="true" applyBorder="true" applyAlignment="true" applyProtection="false">
      <alignment horizontal="center" vertical="center" textRotation="0" wrapText="true" indent="0" shrinkToFit="false"/>
      <protection locked="true" hidden="false"/>
    </xf>
    <xf numFmtId="164" fontId="39" fillId="5" borderId="35" xfId="0" applyFont="true" applyBorder="true" applyAlignment="true" applyProtection="false">
      <alignment horizontal="center" vertical="center" textRotation="0" wrapText="false" indent="0" shrinkToFit="false"/>
      <protection locked="true" hidden="false"/>
    </xf>
    <xf numFmtId="166" fontId="39" fillId="5" borderId="35" xfId="0" applyFont="true" applyBorder="true" applyAlignment="true" applyProtection="false">
      <alignment horizontal="center" vertical="center" textRotation="0" wrapText="false" indent="0" shrinkToFit="false"/>
      <protection locked="true" hidden="false"/>
    </xf>
    <xf numFmtId="164" fontId="39" fillId="4" borderId="35" xfId="0" applyFont="true" applyBorder="true" applyAlignment="true" applyProtection="false">
      <alignment horizontal="center" vertical="center" textRotation="0" wrapText="false" indent="0" shrinkToFit="false"/>
      <protection locked="true" hidden="false"/>
    </xf>
    <xf numFmtId="167" fontId="39" fillId="4" borderId="35" xfId="0" applyFont="true" applyBorder="true" applyAlignment="true" applyProtection="false">
      <alignment horizontal="center" vertical="center" textRotation="0" wrapText="false" indent="0" shrinkToFit="false"/>
      <protection locked="true" hidden="false"/>
    </xf>
    <xf numFmtId="164" fontId="39" fillId="6" borderId="35" xfId="0" applyFont="true" applyBorder="true" applyAlignment="true" applyProtection="false">
      <alignment horizontal="center" vertical="center" textRotation="0" wrapText="false" indent="0" shrinkToFit="false"/>
      <protection locked="true" hidden="false"/>
    </xf>
    <xf numFmtId="164" fontId="39" fillId="7" borderId="35" xfId="0" applyFont="true" applyBorder="true" applyAlignment="true" applyProtection="false">
      <alignment horizontal="center" vertical="center" textRotation="0" wrapText="false" indent="0" shrinkToFit="false"/>
      <protection locked="true" hidden="false"/>
    </xf>
    <xf numFmtId="166" fontId="39" fillId="7" borderId="35" xfId="0" applyFont="true" applyBorder="true" applyAlignment="true" applyProtection="false">
      <alignment horizontal="center" vertical="center" textRotation="0" wrapText="false" indent="0" shrinkToFit="false"/>
      <protection locked="true" hidden="false"/>
    </xf>
    <xf numFmtId="164" fontId="39" fillId="8" borderId="35" xfId="0" applyFont="true" applyBorder="true" applyAlignment="true" applyProtection="false">
      <alignment horizontal="center" vertical="center" textRotation="0" wrapText="false" indent="0" shrinkToFit="false"/>
      <protection locked="true" hidden="false"/>
    </xf>
    <xf numFmtId="166" fontId="39" fillId="8" borderId="35" xfId="0" applyFont="true" applyBorder="true" applyAlignment="true" applyProtection="false">
      <alignment horizontal="center" vertical="center" textRotation="0" wrapText="false" indent="0" shrinkToFit="false"/>
      <protection locked="true" hidden="false"/>
    </xf>
    <xf numFmtId="164" fontId="39" fillId="9" borderId="35" xfId="0" applyFont="true" applyBorder="true" applyAlignment="true" applyProtection="false">
      <alignment horizontal="center" vertical="center" textRotation="0" wrapText="false" indent="0" shrinkToFit="false"/>
      <protection locked="true" hidden="false"/>
    </xf>
    <xf numFmtId="166" fontId="39" fillId="9" borderId="35" xfId="0" applyFont="true" applyBorder="true" applyAlignment="true" applyProtection="false">
      <alignment horizontal="center" vertical="center" textRotation="0" wrapText="false" indent="0" shrinkToFit="false"/>
      <protection locked="true" hidden="false"/>
    </xf>
    <xf numFmtId="166" fontId="38" fillId="2" borderId="35" xfId="0" applyFont="true" applyBorder="true" applyAlignment="true" applyProtection="false">
      <alignment horizontal="center" vertical="center" textRotation="0" wrapText="false" indent="0" shrinkToFit="false"/>
      <protection locked="true" hidden="false"/>
    </xf>
    <xf numFmtId="164" fontId="37" fillId="2" borderId="41" xfId="0" applyFont="true" applyBorder="true" applyAlignment="true" applyProtection="false">
      <alignment horizontal="center" vertical="center" textRotation="0" wrapText="false" indent="0" shrinkToFit="false"/>
      <protection locked="true" hidden="false"/>
    </xf>
    <xf numFmtId="168" fontId="38" fillId="2" borderId="35" xfId="19" applyFont="true" applyBorder="true" applyAlignment="true" applyProtection="true">
      <alignment horizontal="center" vertical="center" textRotation="0" wrapText="false" indent="0" shrinkToFit="false"/>
      <protection locked="true" hidden="false"/>
    </xf>
    <xf numFmtId="164" fontId="38" fillId="2" borderId="0" xfId="0" applyFont="true" applyBorder="false" applyAlignment="true" applyProtection="false">
      <alignment horizontal="center" vertical="center" textRotation="0" wrapText="false" indent="0" shrinkToFit="false"/>
      <protection locked="true" hidden="false"/>
    </xf>
    <xf numFmtId="164" fontId="37" fillId="2" borderId="35" xfId="0" applyFont="true" applyBorder="true" applyAlignment="true" applyProtection="false">
      <alignment horizontal="center" vertical="center" textRotation="0" wrapText="false" indent="0" shrinkToFit="false"/>
      <protection locked="true" hidden="false"/>
    </xf>
    <xf numFmtId="167" fontId="39" fillId="6" borderId="35" xfId="0" applyFont="true" applyBorder="true" applyAlignment="true" applyProtection="false">
      <alignment horizontal="center" vertical="center" textRotation="0" wrapText="false" indent="0" shrinkToFit="false"/>
      <protection locked="true" hidden="false"/>
    </xf>
    <xf numFmtId="164" fontId="11" fillId="2" borderId="40" xfId="0" applyFont="true" applyBorder="true" applyAlignment="true" applyProtection="false">
      <alignment horizontal="center" vertical="center" textRotation="0" wrapText="false" indent="0" shrinkToFit="false"/>
      <protection locked="true" hidden="false"/>
    </xf>
    <xf numFmtId="164" fontId="11" fillId="2" borderId="0" xfId="0" applyFont="true" applyBorder="false" applyAlignment="true" applyProtection="false">
      <alignment horizontal="center" vertical="center" textRotation="0" wrapText="false" indent="0" shrinkToFit="false"/>
      <protection locked="true" hidden="false"/>
    </xf>
    <xf numFmtId="164" fontId="38" fillId="2" borderId="42" xfId="0" applyFont="true" applyBorder="true" applyAlignment="true" applyProtection="false">
      <alignment horizontal="center" vertical="center" textRotation="0" wrapText="false" indent="0" shrinkToFit="false"/>
      <protection locked="true" hidden="false"/>
    </xf>
    <xf numFmtId="164" fontId="40" fillId="4" borderId="35" xfId="0" applyFont="true" applyBorder="true" applyAlignment="true" applyProtection="false">
      <alignment horizontal="center" vertical="center" textRotation="0" wrapText="true" indent="0" shrinkToFit="false"/>
      <protection locked="true" hidden="false"/>
    </xf>
    <xf numFmtId="169" fontId="39" fillId="4" borderId="35" xfId="0" applyFont="true" applyBorder="true" applyAlignment="true" applyProtection="false">
      <alignment horizontal="center" vertical="center" textRotation="0" wrapText="false" indent="0" shrinkToFit="false"/>
      <protection locked="true" hidden="false"/>
    </xf>
    <xf numFmtId="169" fontId="39" fillId="4" borderId="36" xfId="0" applyFont="true" applyBorder="true" applyAlignment="true" applyProtection="false">
      <alignment horizontal="center" vertical="center" textRotation="0" wrapText="false" indent="0" shrinkToFit="false"/>
      <protection locked="true" hidden="false"/>
    </xf>
    <xf numFmtId="169" fontId="39" fillId="4" borderId="43" xfId="0" applyFont="true" applyBorder="true" applyAlignment="true" applyProtection="false">
      <alignment horizontal="center" vertical="center" textRotation="0" wrapText="false" indent="0" shrinkToFit="false"/>
      <protection locked="true" hidden="false"/>
    </xf>
    <xf numFmtId="164" fontId="0" fillId="0" borderId="44" xfId="0" applyFont="false" applyBorder="true" applyAlignment="false" applyProtection="false">
      <alignment horizontal="general" vertical="bottom" textRotation="0" wrapText="false" indent="0" shrinkToFit="false"/>
      <protection locked="true" hidden="false"/>
    </xf>
    <xf numFmtId="164" fontId="40" fillId="6" borderId="35" xfId="0" applyFont="true" applyBorder="true" applyAlignment="true" applyProtection="false">
      <alignment horizontal="center" vertical="center" textRotation="0" wrapText="true" indent="0" shrinkToFit="false"/>
      <protection locked="true" hidden="false"/>
    </xf>
    <xf numFmtId="169" fontId="39" fillId="6" borderId="35" xfId="0" applyFont="true" applyBorder="true" applyAlignment="true" applyProtection="false">
      <alignment horizontal="center" vertical="center" textRotation="0" wrapText="false" indent="0" shrinkToFit="false"/>
      <protection locked="true" hidden="false"/>
    </xf>
    <xf numFmtId="169" fontId="39" fillId="6" borderId="36" xfId="0" applyFont="true" applyBorder="true" applyAlignment="true" applyProtection="false">
      <alignment horizontal="center" vertical="center" textRotation="0" wrapText="false" indent="0" shrinkToFit="false"/>
      <protection locked="true" hidden="false"/>
    </xf>
    <xf numFmtId="169" fontId="39" fillId="6" borderId="45" xfId="0" applyFont="true" applyBorder="true" applyAlignment="true" applyProtection="false">
      <alignment horizontal="center" vertical="center" textRotation="0" wrapText="false" indent="0" shrinkToFit="false"/>
      <protection locked="true" hidden="false"/>
    </xf>
    <xf numFmtId="169" fontId="39" fillId="4" borderId="45" xfId="0" applyFont="true" applyBorder="true" applyAlignment="true" applyProtection="false">
      <alignment horizontal="center" vertical="center" textRotation="0" wrapText="false" indent="0" shrinkToFit="false"/>
      <protection locked="true" hidden="false"/>
    </xf>
    <xf numFmtId="169" fontId="39" fillId="4" borderId="46" xfId="0" applyFont="true" applyBorder="true" applyAlignment="true" applyProtection="false">
      <alignment horizontal="center" vertical="center" textRotation="0" wrapText="false" indent="0" shrinkToFit="false"/>
      <protection locked="true" hidden="false"/>
    </xf>
    <xf numFmtId="169" fontId="39" fillId="6" borderId="46" xfId="0" applyFont="true" applyBorder="true" applyAlignment="true" applyProtection="false">
      <alignment horizontal="center" vertical="center" textRotation="0" wrapText="false" indent="0" shrinkToFit="false"/>
      <protection locked="true" hidden="false"/>
    </xf>
    <xf numFmtId="169" fontId="39" fillId="4" borderId="47" xfId="0" applyFont="true" applyBorder="true" applyAlignment="true" applyProtection="false">
      <alignment horizontal="center" vertical="center" textRotation="0" wrapText="false" indent="0" shrinkToFit="false"/>
      <protection locked="true" hidden="false"/>
    </xf>
    <xf numFmtId="169" fontId="39" fillId="4" borderId="48" xfId="0" applyFont="true" applyBorder="true" applyAlignment="true" applyProtection="false">
      <alignment horizontal="center" vertical="center" textRotation="0" wrapText="false" indent="0" shrinkToFit="false"/>
      <protection locked="true" hidden="false"/>
    </xf>
    <xf numFmtId="167" fontId="38" fillId="2" borderId="35" xfId="0" applyFont="true" applyBorder="true" applyAlignment="true" applyProtection="false">
      <alignment horizontal="center" vertical="center" textRotation="0" wrapText="false" indent="0" shrinkToFit="false"/>
      <protection locked="true" hidden="false"/>
    </xf>
    <xf numFmtId="169" fontId="39" fillId="6" borderId="49" xfId="0" applyFont="true" applyBorder="true" applyAlignment="true" applyProtection="false">
      <alignment horizontal="center" vertical="center" textRotation="0" wrapText="false" indent="0" shrinkToFit="false"/>
      <protection locked="true" hidden="false"/>
    </xf>
    <xf numFmtId="169" fontId="39" fillId="4" borderId="40" xfId="0" applyFont="true" applyBorder="true" applyAlignment="true" applyProtection="false">
      <alignment horizontal="center" vertical="center" textRotation="0" wrapText="false" indent="0" shrinkToFit="false"/>
      <protection locked="true" hidden="false"/>
    </xf>
    <xf numFmtId="169" fontId="39" fillId="4" borderId="50" xfId="0" applyFont="true" applyBorder="true" applyAlignment="true" applyProtection="false">
      <alignment horizontal="center" vertical="center" textRotation="0" wrapText="false" indent="0" shrinkToFit="false"/>
      <protection locked="true" hidden="false"/>
    </xf>
    <xf numFmtId="169" fontId="38" fillId="2" borderId="35" xfId="0" applyFont="true" applyBorder="true" applyAlignment="true" applyProtection="false">
      <alignment horizontal="center" vertical="center" textRotation="0" wrapText="false" indent="0" shrinkToFit="false"/>
      <protection locked="true" hidden="false"/>
    </xf>
    <xf numFmtId="169" fontId="38" fillId="2" borderId="51" xfId="0" applyFont="true" applyBorder="true" applyAlignment="true" applyProtection="false">
      <alignment horizontal="center" vertical="center" textRotation="0" wrapText="false" indent="0" shrinkToFit="false"/>
      <protection locked="true" hidden="false"/>
    </xf>
    <xf numFmtId="164" fontId="37" fillId="2" borderId="52" xfId="0" applyFont="true" applyBorder="true" applyAlignment="true" applyProtection="false">
      <alignment horizontal="center" vertical="center" textRotation="0" wrapText="false" indent="0" shrinkToFit="false"/>
      <protection locked="true" hidden="false"/>
    </xf>
    <xf numFmtId="164" fontId="37" fillId="2" borderId="53" xfId="0" applyFont="true" applyBorder="true" applyAlignment="true" applyProtection="false">
      <alignment horizontal="center" vertical="center" textRotation="0" wrapText="false" indent="0" shrinkToFit="false"/>
      <protection locked="true" hidden="false"/>
    </xf>
    <xf numFmtId="164" fontId="38" fillId="2" borderId="54" xfId="0" applyFont="true" applyBorder="true" applyAlignment="true" applyProtection="false">
      <alignment horizontal="center" vertical="center" textRotation="0" wrapText="true" indent="0" shrinkToFit="false"/>
      <protection locked="true" hidden="false"/>
    </xf>
    <xf numFmtId="164" fontId="37" fillId="2" borderId="47" xfId="0" applyFont="true" applyBorder="true" applyAlignment="true" applyProtection="false">
      <alignment horizontal="center" vertical="center" textRotation="0" wrapText="false" indent="0" shrinkToFit="false"/>
      <protection locked="true" hidden="false"/>
    </xf>
    <xf numFmtId="164" fontId="37" fillId="2" borderId="55" xfId="0" applyFont="true" applyBorder="true" applyAlignment="true" applyProtection="false">
      <alignment horizontal="center" vertical="center" textRotation="0" wrapText="false" indent="0" shrinkToFit="false"/>
      <protection locked="true" hidden="false"/>
    </xf>
    <xf numFmtId="164" fontId="37" fillId="2" borderId="56" xfId="0" applyFont="true" applyBorder="true" applyAlignment="true" applyProtection="false">
      <alignment horizontal="center" vertical="center" textRotation="0" wrapText="false" indent="0" shrinkToFit="false"/>
      <protection locked="true" hidden="false"/>
    </xf>
    <xf numFmtId="164" fontId="41" fillId="2" borderId="57" xfId="0" applyFont="true" applyBorder="true" applyAlignment="true" applyProtection="false">
      <alignment horizontal="center" vertical="center" textRotation="0" wrapText="false" indent="0" shrinkToFit="false"/>
      <protection locked="true" hidden="false"/>
    </xf>
    <xf numFmtId="164" fontId="41" fillId="2" borderId="53" xfId="0" applyFont="true" applyBorder="true" applyAlignment="true" applyProtection="false">
      <alignment horizontal="center" vertical="center" textRotation="0" wrapText="false" indent="0" shrinkToFit="false"/>
      <protection locked="true" hidden="false"/>
    </xf>
    <xf numFmtId="164" fontId="14" fillId="2" borderId="35" xfId="0" applyFont="true" applyBorder="true" applyAlignment="true" applyProtection="false">
      <alignment horizontal="center" vertical="center" textRotation="0" wrapText="false" indent="0" shrinkToFit="false"/>
      <protection locked="true" hidden="false"/>
    </xf>
    <xf numFmtId="164" fontId="38" fillId="2" borderId="36" xfId="0" applyFont="true" applyBorder="true" applyAlignment="true" applyProtection="false">
      <alignment horizontal="center" vertical="center" textRotation="0" wrapText="false" indent="0" shrinkToFit="false"/>
      <protection locked="true" hidden="false"/>
    </xf>
    <xf numFmtId="164" fontId="17" fillId="4" borderId="35" xfId="0" applyFont="true" applyBorder="true" applyAlignment="true" applyProtection="false">
      <alignment horizontal="center" vertical="center" textRotation="0" wrapText="false" indent="0" shrinkToFit="false"/>
      <protection locked="true" hidden="false"/>
    </xf>
    <xf numFmtId="166" fontId="39" fillId="4" borderId="35" xfId="0" applyFont="true" applyBorder="true" applyAlignment="true" applyProtection="false">
      <alignment horizontal="center" vertical="center" textRotation="0" wrapText="false" indent="0" shrinkToFit="false"/>
      <protection locked="true" hidden="false"/>
    </xf>
    <xf numFmtId="166" fontId="39" fillId="4" borderId="36" xfId="0" applyFont="true" applyBorder="true" applyAlignment="true" applyProtection="false">
      <alignment horizontal="center" vertical="center" textRotation="0" wrapText="false" indent="0" shrinkToFit="false"/>
      <protection locked="true" hidden="false"/>
    </xf>
    <xf numFmtId="166" fontId="38" fillId="2" borderId="54" xfId="0" applyFont="true" applyBorder="true" applyAlignment="true" applyProtection="false">
      <alignment horizontal="center" vertical="center" textRotation="0" wrapText="true" indent="0" shrinkToFit="false"/>
      <protection locked="true" hidden="false"/>
    </xf>
    <xf numFmtId="164" fontId="17" fillId="6" borderId="35" xfId="0" applyFont="true" applyBorder="true" applyAlignment="true" applyProtection="false">
      <alignment horizontal="center" vertical="center" textRotation="0" wrapText="false" indent="0" shrinkToFit="false"/>
      <protection locked="true" hidden="false"/>
    </xf>
    <xf numFmtId="166" fontId="39" fillId="6" borderId="35" xfId="0" applyFont="true" applyBorder="true" applyAlignment="true" applyProtection="false">
      <alignment horizontal="center" vertical="center" textRotation="0" wrapText="false" indent="0" shrinkToFit="false"/>
      <protection locked="true" hidden="false"/>
    </xf>
    <xf numFmtId="166" fontId="39" fillId="6" borderId="36" xfId="0" applyFont="true" applyBorder="true" applyAlignment="true" applyProtection="false">
      <alignment horizontal="center" vertical="center" textRotation="0" wrapText="false" indent="0" shrinkToFit="false"/>
      <protection locked="true" hidden="false"/>
    </xf>
    <xf numFmtId="164" fontId="39" fillId="4" borderId="37" xfId="0" applyFont="true" applyBorder="true" applyAlignment="true" applyProtection="false">
      <alignment horizontal="center" vertical="center" textRotation="0" wrapText="false" indent="0" shrinkToFit="false"/>
      <protection locked="true" hidden="false"/>
    </xf>
    <xf numFmtId="166" fontId="39" fillId="6" borderId="42" xfId="0" applyFont="true" applyBorder="true" applyAlignment="true" applyProtection="false">
      <alignment horizontal="center" vertical="center" textRotation="0" wrapText="false" indent="0" shrinkToFit="false"/>
      <protection locked="true" hidden="false"/>
    </xf>
    <xf numFmtId="166" fontId="38" fillId="2" borderId="58" xfId="0" applyFont="true" applyBorder="true" applyAlignment="true" applyProtection="false">
      <alignment horizontal="center" vertical="center" textRotation="0" wrapText="true" indent="0" shrinkToFit="false"/>
      <protection locked="true" hidden="false"/>
    </xf>
    <xf numFmtId="164" fontId="42"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5" fontId="38" fillId="2" borderId="59" xfId="0" applyFont="true" applyBorder="true" applyAlignment="true" applyProtection="false">
      <alignment horizontal="center" vertical="center" textRotation="0" wrapText="false" indent="0" shrinkToFit="false"/>
      <protection locked="true" hidden="false"/>
    </xf>
    <xf numFmtId="166" fontId="38" fillId="2" borderId="60" xfId="0" applyFont="true" applyBorder="true" applyAlignment="true" applyProtection="false">
      <alignment horizontal="center" vertical="center" textRotation="0" wrapText="false" indent="0" shrinkToFit="false"/>
      <protection locked="true" hidden="false"/>
    </xf>
    <xf numFmtId="166" fontId="38" fillId="2" borderId="61" xfId="0" applyFont="true" applyBorder="true" applyAlignment="true" applyProtection="false">
      <alignment horizontal="center" vertical="center" textRotation="0" wrapText="false" indent="0" shrinkToFit="false"/>
      <protection locked="true" hidden="false"/>
    </xf>
    <xf numFmtId="164" fontId="38" fillId="2" borderId="62" xfId="0" applyFont="true" applyBorder="true" applyAlignment="true" applyProtection="false">
      <alignment horizontal="center" vertical="center" textRotation="0" wrapText="false" indent="0" shrinkToFit="false"/>
      <protection locked="true" hidden="false"/>
    </xf>
    <xf numFmtId="164" fontId="38" fillId="2" borderId="61" xfId="0" applyFont="true" applyBorder="true" applyAlignment="true" applyProtection="false">
      <alignment horizontal="center" vertical="center" textRotation="0" wrapText="true" indent="0" shrinkToFit="false"/>
      <protection locked="true" hidden="false"/>
    </xf>
    <xf numFmtId="164" fontId="38" fillId="2" borderId="62" xfId="0" applyFont="true" applyBorder="true" applyAlignment="true" applyProtection="false">
      <alignment horizontal="center" vertical="center" textRotation="0" wrapText="true" indent="0" shrinkToFit="false"/>
      <protection locked="true" hidden="false"/>
    </xf>
    <xf numFmtId="164" fontId="38" fillId="2" borderId="61" xfId="0" applyFont="true" applyBorder="true" applyAlignment="true" applyProtection="false">
      <alignment horizontal="center" vertical="center" textRotation="0" wrapText="false" indent="0" shrinkToFit="false"/>
      <protection locked="true" hidden="false"/>
    </xf>
    <xf numFmtId="170" fontId="38" fillId="2" borderId="61" xfId="0" applyFont="true" applyBorder="true" applyAlignment="true" applyProtection="false">
      <alignment horizontal="center" vertical="center" textRotation="0" wrapText="false" indent="0" shrinkToFit="false"/>
      <protection locked="true" hidden="false"/>
    </xf>
    <xf numFmtId="164" fontId="38" fillId="2" borderId="63" xfId="0" applyFont="true" applyBorder="true" applyAlignment="true" applyProtection="false">
      <alignment horizontal="center" vertical="center" textRotation="0" wrapText="false" indent="0" shrinkToFit="false"/>
      <protection locked="true" hidden="false"/>
    </xf>
    <xf numFmtId="171" fontId="38" fillId="2" borderId="0" xfId="0" applyFont="true" applyBorder="false" applyAlignment="true" applyProtection="false">
      <alignment horizontal="center" vertical="center" textRotation="0" wrapText="false" indent="0" shrinkToFit="false"/>
      <protection locked="true" hidden="false"/>
    </xf>
    <xf numFmtId="164" fontId="43" fillId="0" borderId="0" xfId="0" applyFont="true" applyBorder="false" applyAlignment="true" applyProtection="false">
      <alignment horizontal="center" vertical="center" textRotation="0" wrapText="false" indent="0" shrinkToFit="false"/>
      <protection locked="true" hidden="false"/>
    </xf>
    <xf numFmtId="164" fontId="14" fillId="2" borderId="36" xfId="0" applyFont="true" applyBorder="true" applyAlignment="true" applyProtection="false">
      <alignment horizontal="center" vertical="center" textRotation="0" wrapText="false" indent="0" shrinkToFit="false"/>
      <protection locked="true" hidden="false"/>
    </xf>
    <xf numFmtId="164" fontId="14" fillId="2" borderId="64" xfId="0" applyFont="true" applyBorder="true" applyAlignment="true" applyProtection="false">
      <alignment horizontal="center" vertical="center" textRotation="0" wrapText="false" indent="0" shrinkToFit="false"/>
      <protection locked="true" hidden="false"/>
    </xf>
    <xf numFmtId="165" fontId="40" fillId="4" borderId="35" xfId="0" applyFont="true" applyBorder="true" applyAlignment="true" applyProtection="false">
      <alignment horizontal="center" vertical="center" textRotation="0" wrapText="false" indent="0" shrinkToFit="false"/>
      <protection locked="true" hidden="false"/>
    </xf>
    <xf numFmtId="172" fontId="39" fillId="4" borderId="35" xfId="0" applyFont="true" applyBorder="true" applyAlignment="true" applyProtection="false">
      <alignment horizontal="center" vertical="center" textRotation="0" wrapText="false" indent="0" shrinkToFit="false"/>
      <protection locked="true" hidden="false"/>
    </xf>
    <xf numFmtId="170" fontId="39" fillId="4" borderId="35" xfId="0" applyFont="true" applyBorder="true" applyAlignment="true" applyProtection="false">
      <alignment horizontal="center" vertical="center" textRotation="0" wrapText="false" indent="0" shrinkToFit="false"/>
      <protection locked="true" hidden="false"/>
    </xf>
    <xf numFmtId="164" fontId="39" fillId="4" borderId="35" xfId="0" applyFont="true" applyBorder="true" applyAlignment="true" applyProtection="false">
      <alignment horizontal="center" vertical="center" textRotation="0" wrapText="true" indent="0" shrinkToFit="false"/>
      <protection locked="true" hidden="false"/>
    </xf>
    <xf numFmtId="164" fontId="39" fillId="8" borderId="35" xfId="0" applyFont="true" applyBorder="true" applyAlignment="true" applyProtection="false">
      <alignment horizontal="center" vertical="center" textRotation="0" wrapText="true" indent="0" shrinkToFit="false"/>
      <protection locked="true" hidden="false"/>
    </xf>
    <xf numFmtId="165" fontId="39" fillId="4" borderId="35" xfId="0" applyFont="true" applyBorder="true" applyAlignment="true" applyProtection="false">
      <alignment horizontal="center" vertical="center" textRotation="0" wrapText="false" indent="0" shrinkToFit="false"/>
      <protection locked="true" hidden="false"/>
    </xf>
    <xf numFmtId="166" fontId="39" fillId="4" borderId="35" xfId="0" applyFont="true" applyBorder="true" applyAlignment="true" applyProtection="false">
      <alignment horizontal="center" vertical="center" textRotation="0" wrapText="true" indent="0" shrinkToFit="false"/>
      <protection locked="true" hidden="false"/>
    </xf>
    <xf numFmtId="164" fontId="44" fillId="0" borderId="0" xfId="0" applyFont="true" applyBorder="false" applyAlignment="true" applyProtection="false">
      <alignment horizontal="center" vertical="center" textRotation="0" wrapText="false" indent="0" shrinkToFit="false"/>
      <protection locked="true" hidden="false"/>
    </xf>
    <xf numFmtId="164" fontId="40" fillId="6" borderId="35" xfId="0" applyFont="true" applyBorder="true" applyAlignment="true" applyProtection="false">
      <alignment horizontal="center" vertical="center" textRotation="0" wrapText="false" indent="0" shrinkToFit="false"/>
      <protection locked="true" hidden="false"/>
    </xf>
    <xf numFmtId="165" fontId="40" fillId="6" borderId="35" xfId="0" applyFont="true" applyBorder="true" applyAlignment="true" applyProtection="false">
      <alignment horizontal="center" vertical="center" textRotation="0" wrapText="false" indent="0" shrinkToFit="false"/>
      <protection locked="true" hidden="false"/>
    </xf>
    <xf numFmtId="172" fontId="39" fillId="6" borderId="35" xfId="0" applyFont="true" applyBorder="true" applyAlignment="true" applyProtection="false">
      <alignment horizontal="center" vertical="center" textRotation="0" wrapText="false" indent="0" shrinkToFit="false"/>
      <protection locked="true" hidden="false"/>
    </xf>
    <xf numFmtId="170" fontId="39" fillId="6" borderId="35" xfId="0" applyFont="true" applyBorder="true" applyAlignment="true" applyProtection="false">
      <alignment horizontal="center" vertical="center" textRotation="0" wrapText="false" indent="0" shrinkToFit="false"/>
      <protection locked="true" hidden="false"/>
    </xf>
    <xf numFmtId="164" fontId="39" fillId="6" borderId="35" xfId="0" applyFont="true" applyBorder="true" applyAlignment="true" applyProtection="false">
      <alignment horizontal="center" vertical="center" textRotation="0" wrapText="true" indent="0" shrinkToFit="false"/>
      <protection locked="true" hidden="false"/>
    </xf>
    <xf numFmtId="166" fontId="39" fillId="6" borderId="35" xfId="0" applyFont="true" applyBorder="true" applyAlignment="true" applyProtection="false">
      <alignment horizontal="center" vertical="center" textRotation="0" wrapText="true" indent="0" shrinkToFit="false"/>
      <protection locked="true" hidden="false"/>
    </xf>
    <xf numFmtId="164" fontId="45" fillId="0" borderId="0" xfId="0" applyFont="true" applyBorder="false" applyAlignment="true" applyProtection="false">
      <alignment horizontal="center" vertical="center" textRotation="0" wrapText="false" indent="0" shrinkToFit="false"/>
      <protection locked="true" hidden="false"/>
    </xf>
    <xf numFmtId="164" fontId="40" fillId="4" borderId="35" xfId="0" applyFont="true" applyBorder="true" applyAlignment="true" applyProtection="false">
      <alignment horizontal="center" vertical="center" textRotation="0" wrapText="false" indent="0" shrinkToFit="false"/>
      <protection locked="true" hidden="false"/>
    </xf>
    <xf numFmtId="164" fontId="46" fillId="4" borderId="35" xfId="0" applyFont="true" applyBorder="true" applyAlignment="true" applyProtection="false">
      <alignment horizontal="center" vertical="center" textRotation="0" wrapText="true" indent="0" shrinkToFit="false"/>
      <protection locked="true" hidden="false"/>
    </xf>
    <xf numFmtId="164" fontId="46" fillId="10" borderId="0" xfId="0" applyFont="true" applyBorder="false" applyAlignment="true" applyProtection="false">
      <alignment horizontal="center" vertical="bottom" textRotation="0" wrapText="false" indent="0" shrinkToFit="false"/>
      <protection locked="true" hidden="false"/>
    </xf>
    <xf numFmtId="173" fontId="39" fillId="6" borderId="35" xfId="0" applyFont="true" applyBorder="true" applyAlignment="true" applyProtection="false">
      <alignment horizontal="center" vertical="center" textRotation="0" wrapText="false" indent="0" shrinkToFit="false"/>
      <protection locked="true" hidden="false"/>
    </xf>
    <xf numFmtId="164" fontId="39" fillId="6" borderId="36" xfId="0" applyFont="true" applyBorder="true" applyAlignment="true" applyProtection="false">
      <alignment horizontal="center" vertical="center" textRotation="0" wrapText="false" indent="0" shrinkToFit="false"/>
      <protection locked="true" hidden="false"/>
    </xf>
    <xf numFmtId="164" fontId="48" fillId="2" borderId="35" xfId="0" applyFont="true" applyBorder="true" applyAlignment="true" applyProtection="false">
      <alignment horizontal="center" vertical="center" textRotation="0" wrapText="false" indent="0" shrinkToFit="false"/>
      <protection locked="true" hidden="false"/>
    </xf>
    <xf numFmtId="164" fontId="49" fillId="0" borderId="0" xfId="0" applyFont="true" applyBorder="false" applyAlignment="true" applyProtection="false">
      <alignment horizontal="center" vertical="center" textRotation="0" wrapText="false" indent="0" shrinkToFit="false"/>
      <protection locked="true" hidden="false"/>
    </xf>
    <xf numFmtId="164" fontId="19" fillId="6" borderId="35" xfId="0" applyFont="true" applyBorder="true" applyAlignment="true" applyProtection="false">
      <alignment horizontal="center" vertical="center" textRotation="0" wrapText="false" indent="0" shrinkToFit="false"/>
      <protection locked="true" hidden="false"/>
    </xf>
    <xf numFmtId="164" fontId="19" fillId="4" borderId="35" xfId="0" applyFont="true" applyBorder="true" applyAlignment="true" applyProtection="false">
      <alignment horizontal="center" vertical="center" textRotation="0" wrapText="false" indent="0" shrinkToFit="false"/>
      <protection locked="true" hidden="false"/>
    </xf>
    <xf numFmtId="165" fontId="39" fillId="11" borderId="35" xfId="0" applyFont="true" applyBorder="true" applyAlignment="true" applyProtection="false">
      <alignment horizontal="center" vertical="center" textRotation="0" wrapText="false" indent="0" shrinkToFit="false"/>
      <protection locked="true" hidden="false"/>
    </xf>
    <xf numFmtId="167" fontId="40" fillId="4" borderId="35" xfId="0" applyFont="true" applyBorder="true" applyAlignment="true" applyProtection="false">
      <alignment horizontal="center" vertical="center" textRotation="0" wrapText="false" indent="0" shrinkToFit="false"/>
      <protection locked="true" hidden="false"/>
    </xf>
    <xf numFmtId="167" fontId="40" fillId="6" borderId="35" xfId="0" applyFont="true" applyBorder="true" applyAlignment="true" applyProtection="false">
      <alignment horizontal="center" vertical="center" textRotation="0" wrapText="false" indent="0" shrinkToFit="false"/>
      <protection locked="true" hidden="false"/>
    </xf>
    <xf numFmtId="167" fontId="14" fillId="2" borderId="35" xfId="0" applyFont="true" applyBorder="true" applyAlignment="true" applyProtection="false">
      <alignment horizontal="center" vertical="center" textRotation="0" wrapText="false" indent="0" shrinkToFit="false"/>
      <protection locked="true" hidden="false"/>
    </xf>
    <xf numFmtId="164" fontId="50" fillId="4" borderId="35" xfId="0" applyFont="true" applyBorder="true" applyAlignment="true" applyProtection="false">
      <alignment horizontal="center" vertical="center" textRotation="0" wrapText="true" indent="0" shrinkToFit="false"/>
      <protection locked="true" hidden="false"/>
    </xf>
    <xf numFmtId="164" fontId="51" fillId="4" borderId="35" xfId="0" applyFont="true" applyBorder="true" applyAlignment="true" applyProtection="false">
      <alignment horizontal="center" vertical="center" textRotation="0" wrapText="true" indent="0" shrinkToFit="false"/>
      <protection locked="true" hidden="false"/>
    </xf>
    <xf numFmtId="164" fontId="39" fillId="9" borderId="37" xfId="0" applyFont="true" applyBorder="true" applyAlignment="true" applyProtection="false">
      <alignment horizontal="center" vertical="bottom" textRotation="0" wrapText="false" indent="0" shrinkToFit="false"/>
      <protection locked="true" hidden="false"/>
    </xf>
    <xf numFmtId="164" fontId="50" fillId="6" borderId="35" xfId="0" applyFont="true" applyBorder="true" applyAlignment="true" applyProtection="false">
      <alignment horizontal="center" vertical="center" textRotation="0" wrapText="true" indent="0" shrinkToFit="false"/>
      <protection locked="true" hidden="false"/>
    </xf>
    <xf numFmtId="174" fontId="39" fillId="5" borderId="35" xfId="0" applyFont="true" applyBorder="true" applyAlignment="true" applyProtection="false">
      <alignment horizontal="center" vertical="center" textRotation="0" wrapText="false" indent="0" shrinkToFit="false"/>
      <protection locked="true" hidden="false"/>
    </xf>
    <xf numFmtId="174" fontId="39" fillId="7" borderId="35" xfId="0" applyFont="true" applyBorder="true" applyAlignment="true" applyProtection="false">
      <alignment horizontal="center" vertical="center" textRotation="0" wrapText="false" indent="0" shrinkToFit="false"/>
      <protection locked="true" hidden="false"/>
    </xf>
    <xf numFmtId="174" fontId="39" fillId="8" borderId="35" xfId="0" applyFont="true" applyBorder="true" applyAlignment="true" applyProtection="false">
      <alignment horizontal="center" vertical="center" textRotation="0" wrapText="false" indent="0" shrinkToFit="false"/>
      <protection locked="true" hidden="false"/>
    </xf>
    <xf numFmtId="174" fontId="39" fillId="9" borderId="35" xfId="0" applyFont="true" applyBorder="true" applyAlignment="true" applyProtection="false">
      <alignment horizontal="center" vertical="center" textRotation="0" wrapText="false" indent="0" shrinkToFit="false"/>
      <protection locked="true" hidden="false"/>
    </xf>
    <xf numFmtId="174" fontId="14" fillId="2" borderId="35" xfId="0" applyFont="true" applyBorder="true" applyAlignment="true" applyProtection="false">
      <alignment horizontal="center" vertical="center" textRotation="0" wrapText="false" indent="0" shrinkToFit="false"/>
      <protection locked="true" hidden="false"/>
    </xf>
    <xf numFmtId="164" fontId="39" fillId="5" borderId="35" xfId="0" applyFont="true" applyBorder="true" applyAlignment="true" applyProtection="false">
      <alignment horizontal="center" vertical="center" textRotation="0" wrapText="true" indent="0" shrinkToFit="false"/>
      <protection locked="true" hidden="false"/>
    </xf>
    <xf numFmtId="174" fontId="39" fillId="5" borderId="35" xfId="0" applyFont="true" applyBorder="true" applyAlignment="true" applyProtection="false">
      <alignment horizontal="center" vertical="center" textRotation="0" wrapText="true" indent="0" shrinkToFit="false"/>
      <protection locked="true" hidden="false"/>
    </xf>
    <xf numFmtId="164" fontId="39" fillId="7" borderId="35" xfId="0" applyFont="true" applyBorder="true" applyAlignment="true" applyProtection="false">
      <alignment horizontal="center" vertical="center" textRotation="0" wrapText="true" indent="0" shrinkToFit="false"/>
      <protection locked="true" hidden="false"/>
    </xf>
    <xf numFmtId="174" fontId="39" fillId="7" borderId="35" xfId="0" applyFont="true" applyBorder="true" applyAlignment="true" applyProtection="false">
      <alignment horizontal="center" vertical="center" textRotation="0" wrapText="true" indent="0" shrinkToFit="false"/>
      <protection locked="true" hidden="false"/>
    </xf>
    <xf numFmtId="174" fontId="39" fillId="8" borderId="35" xfId="0" applyFont="true" applyBorder="true" applyAlignment="true" applyProtection="false">
      <alignment horizontal="center" vertical="center" textRotation="0" wrapText="true" indent="0" shrinkToFit="false"/>
      <protection locked="true" hidden="false"/>
    </xf>
    <xf numFmtId="164" fontId="39" fillId="9" borderId="35" xfId="0" applyFont="true" applyBorder="true" applyAlignment="true" applyProtection="false">
      <alignment horizontal="center" vertical="center" textRotation="0" wrapText="true" indent="0" shrinkToFit="false"/>
      <protection locked="true" hidden="false"/>
    </xf>
    <xf numFmtId="174" fontId="39" fillId="9" borderId="35" xfId="0" applyFont="true" applyBorder="true" applyAlignment="true" applyProtection="false">
      <alignment horizontal="center" vertical="center" textRotation="0" wrapText="true" indent="0" shrinkToFit="false"/>
      <protection locked="true" hidden="false"/>
    </xf>
    <xf numFmtId="175" fontId="39" fillId="4" borderId="35" xfId="0" applyFont="true" applyBorder="true" applyAlignment="true" applyProtection="false">
      <alignment horizontal="center" vertical="center" textRotation="0" wrapText="true" indent="0" shrinkToFit="false"/>
      <protection locked="true" hidden="false"/>
    </xf>
    <xf numFmtId="175" fontId="39" fillId="6" borderId="35" xfId="0" applyFont="true" applyBorder="true" applyAlignment="true" applyProtection="false">
      <alignment horizontal="center" vertical="center" textRotation="0" wrapText="true" indent="0" shrinkToFit="false"/>
      <protection locked="true" hidden="false"/>
    </xf>
    <xf numFmtId="176" fontId="14" fillId="2" borderId="35" xfId="0" applyFont="true" applyBorder="true" applyAlignment="true" applyProtection="false">
      <alignment horizontal="center" vertical="center" textRotation="0" wrapText="false" indent="0" shrinkToFit="false"/>
      <protection locked="true" hidden="false"/>
    </xf>
    <xf numFmtId="164" fontId="39" fillId="4" borderId="36" xfId="0" applyFont="true" applyBorder="true" applyAlignment="true" applyProtection="false">
      <alignment horizontal="center" vertical="center" textRotation="0" wrapText="false" indent="0" shrinkToFit="false"/>
      <protection locked="true" hidden="false"/>
    </xf>
    <xf numFmtId="166" fontId="9" fillId="6" borderId="35" xfId="0" applyFont="true" applyBorder="true" applyAlignment="true" applyProtection="false">
      <alignment horizontal="center" vertical="center" textRotation="0" wrapText="true" indent="0" shrinkToFit="false"/>
      <protection locked="true" hidden="false"/>
    </xf>
    <xf numFmtId="164" fontId="39" fillId="8" borderId="42" xfId="0" applyFont="true" applyBorder="true" applyAlignment="true" applyProtection="false">
      <alignment horizontal="center" vertical="center" textRotation="0" wrapText="true" indent="0" shrinkToFit="false"/>
      <protection locked="true" hidden="false"/>
    </xf>
    <xf numFmtId="164" fontId="39" fillId="6" borderId="64" xfId="0" applyFont="true" applyBorder="true" applyAlignment="true" applyProtection="false">
      <alignment horizontal="center" vertical="center" textRotation="0" wrapText="true" indent="0" shrinkToFit="false"/>
      <protection locked="true" hidden="false"/>
    </xf>
    <xf numFmtId="164" fontId="46" fillId="10" borderId="37" xfId="0" applyFont="true" applyBorder="true" applyAlignment="true" applyProtection="false">
      <alignment horizontal="center" vertical="bottom" textRotation="0" wrapText="false" indent="0" shrinkToFit="false"/>
      <protection locked="true" hidden="false"/>
    </xf>
    <xf numFmtId="164" fontId="39" fillId="4" borderId="64" xfId="0" applyFont="true" applyBorder="true" applyAlignment="true" applyProtection="false">
      <alignment horizontal="center" vertical="center" textRotation="0" wrapText="true" indent="0" shrinkToFit="false"/>
      <protection locked="true" hidden="false"/>
    </xf>
    <xf numFmtId="164" fontId="39" fillId="10" borderId="42" xfId="0" applyFont="true" applyBorder="true" applyAlignment="true" applyProtection="false">
      <alignment horizontal="center" vertical="center" textRotation="0" wrapText="true" indent="0" shrinkToFit="false"/>
      <protection locked="true" hidden="false"/>
    </xf>
    <xf numFmtId="172" fontId="9" fillId="4" borderId="35" xfId="0" applyFont="true" applyBorder="true" applyAlignment="true" applyProtection="false">
      <alignment horizontal="center" vertical="center" textRotation="0" wrapText="false" indent="0" shrinkToFit="false"/>
      <protection locked="true" hidden="false"/>
    </xf>
    <xf numFmtId="172" fontId="39" fillId="6" borderId="64" xfId="0" applyFont="true" applyBorder="true" applyAlignment="true" applyProtection="false">
      <alignment horizontal="center" vertical="center" textRotation="0" wrapText="false" indent="0" shrinkToFit="false"/>
      <protection locked="true" hidden="false"/>
    </xf>
    <xf numFmtId="164" fontId="39" fillId="11" borderId="35" xfId="0" applyFont="true" applyBorder="true" applyAlignment="true" applyProtection="false">
      <alignment horizontal="center" vertical="center" textRotation="0" wrapText="true" indent="0" shrinkToFit="false"/>
      <protection locked="true" hidden="false"/>
    </xf>
    <xf numFmtId="165" fontId="39" fillId="10" borderId="35" xfId="0" applyFont="true" applyBorder="true" applyAlignment="true" applyProtection="false">
      <alignment horizontal="center" vertical="center" textRotation="0" wrapText="false" indent="0" shrinkToFit="false"/>
      <protection locked="true" hidden="false"/>
    </xf>
    <xf numFmtId="164" fontId="39" fillId="10" borderId="35" xfId="0" applyFont="true" applyBorder="true" applyAlignment="true" applyProtection="false">
      <alignment horizontal="center" vertical="center" textRotation="0" wrapText="true" indent="0" shrinkToFit="false"/>
      <protection locked="true" hidden="false"/>
    </xf>
    <xf numFmtId="172" fontId="39" fillId="11" borderId="35" xfId="0" applyFont="true" applyBorder="true" applyAlignment="true" applyProtection="false">
      <alignment horizontal="center" vertical="center" textRotation="0" wrapText="false" indent="0" shrinkToFit="false"/>
      <protection locked="true" hidden="false"/>
    </xf>
    <xf numFmtId="170" fontId="39" fillId="11" borderId="35" xfId="0" applyFont="true" applyBorder="true" applyAlignment="true" applyProtection="false">
      <alignment horizontal="center" vertical="center" textRotation="0" wrapText="false" indent="0" shrinkToFit="false"/>
      <protection locked="true" hidden="false"/>
    </xf>
    <xf numFmtId="165" fontId="38" fillId="2" borderId="35" xfId="0" applyFont="true" applyBorder="true" applyAlignment="true" applyProtection="false">
      <alignment horizontal="center" vertical="center" textRotation="0" wrapText="false" indent="0" shrinkToFit="false"/>
      <protection locked="true" hidden="false"/>
    </xf>
    <xf numFmtId="177" fontId="38" fillId="2" borderId="35" xfId="0" applyFont="true" applyBorder="true" applyAlignment="true" applyProtection="false">
      <alignment horizontal="center" vertical="center" textRotation="0" wrapText="false" indent="0" shrinkToFit="false"/>
      <protection locked="true" hidden="false"/>
    </xf>
    <xf numFmtId="171" fontId="38" fillId="2" borderId="35" xfId="0" applyFont="true" applyBorder="true" applyAlignment="true" applyProtection="false">
      <alignment horizontal="center" vertical="center" textRotation="0" wrapText="false" indent="0" shrinkToFit="false"/>
      <protection locked="true" hidden="false"/>
    </xf>
    <xf numFmtId="164" fontId="40" fillId="4" borderId="35" xfId="0" applyFont="true" applyBorder="true" applyAlignment="true" applyProtection="false">
      <alignment horizontal="center" vertical="bottom" textRotation="0" wrapText="false" indent="0" shrinkToFit="false"/>
      <protection locked="true" hidden="false"/>
    </xf>
    <xf numFmtId="178" fontId="9" fillId="4" borderId="35" xfId="0" applyFont="true" applyBorder="true" applyAlignment="true" applyProtection="false">
      <alignment horizontal="center" vertical="center" textRotation="0" wrapText="false" indent="0" shrinkToFit="false"/>
      <protection locked="true" hidden="false"/>
    </xf>
    <xf numFmtId="164" fontId="9" fillId="4" borderId="35" xfId="0" applyFont="true" applyBorder="true" applyAlignment="true" applyProtection="false">
      <alignment horizontal="center" vertical="center" textRotation="0" wrapText="true" indent="0" shrinkToFit="false"/>
      <protection locked="true" hidden="false"/>
    </xf>
    <xf numFmtId="164" fontId="9" fillId="4" borderId="35" xfId="0" applyFont="true" applyBorder="true" applyAlignment="true" applyProtection="false">
      <alignment horizontal="center" vertical="center" textRotation="0" wrapText="false" indent="0" shrinkToFit="false"/>
      <protection locked="true" hidden="false"/>
    </xf>
    <xf numFmtId="177" fontId="9" fillId="4" borderId="35" xfId="0" applyFont="true" applyBorder="true" applyAlignment="true" applyProtection="false">
      <alignment horizontal="center" vertical="center" textRotation="0" wrapText="false" indent="0" shrinkToFit="false"/>
      <protection locked="true" hidden="false"/>
    </xf>
    <xf numFmtId="171" fontId="52" fillId="4" borderId="35" xfId="0" applyFont="true" applyBorder="true" applyAlignment="true" applyProtection="false">
      <alignment horizontal="center" vertical="center" textRotation="0" wrapText="false" indent="0" shrinkToFit="false"/>
      <protection locked="true" hidden="false"/>
    </xf>
    <xf numFmtId="171" fontId="14" fillId="2" borderId="12" xfId="0" applyFont="true" applyBorder="true" applyAlignment="true" applyProtection="false">
      <alignment horizontal="center" vertical="center" textRotation="0" wrapText="false" indent="0" shrinkToFit="false"/>
      <protection locked="true" hidden="false"/>
    </xf>
    <xf numFmtId="164" fontId="40" fillId="6" borderId="35" xfId="0" applyFont="true" applyBorder="true" applyAlignment="true" applyProtection="false">
      <alignment horizontal="center" vertical="bottom" textRotation="0" wrapText="false" indent="0" shrinkToFit="false"/>
      <protection locked="true" hidden="false"/>
    </xf>
    <xf numFmtId="172" fontId="9" fillId="6" borderId="35" xfId="0" applyFont="true" applyBorder="true" applyAlignment="true" applyProtection="false">
      <alignment horizontal="center" vertical="center" textRotation="0" wrapText="false" indent="0" shrinkToFit="false"/>
      <protection locked="true" hidden="false"/>
    </xf>
    <xf numFmtId="178" fontId="9" fillId="6" borderId="35" xfId="0" applyFont="true" applyBorder="true" applyAlignment="true" applyProtection="false">
      <alignment horizontal="center" vertical="center" textRotation="0" wrapText="false" indent="0" shrinkToFit="false"/>
      <protection locked="true" hidden="false"/>
    </xf>
    <xf numFmtId="164" fontId="9" fillId="6" borderId="35" xfId="0" applyFont="true" applyBorder="true" applyAlignment="true" applyProtection="false">
      <alignment horizontal="center" vertical="center" textRotation="0" wrapText="false" indent="0" shrinkToFit="false"/>
      <protection locked="true" hidden="false"/>
    </xf>
    <xf numFmtId="164" fontId="9" fillId="6" borderId="35" xfId="0" applyFont="true" applyBorder="true" applyAlignment="true" applyProtection="false">
      <alignment horizontal="center" vertical="center" textRotation="0" wrapText="true" indent="0" shrinkToFit="false"/>
      <protection locked="true" hidden="false"/>
    </xf>
    <xf numFmtId="173" fontId="9" fillId="6" borderId="35" xfId="0" applyFont="true" applyBorder="true" applyAlignment="true" applyProtection="false">
      <alignment horizontal="center" vertical="center" textRotation="0" wrapText="false" indent="0" shrinkToFit="false"/>
      <protection locked="true" hidden="false"/>
    </xf>
    <xf numFmtId="164" fontId="40" fillId="6" borderId="12" xfId="0" applyFont="true" applyBorder="true" applyAlignment="true" applyProtection="false">
      <alignment horizontal="center" vertical="center" textRotation="0" wrapText="false" indent="0" shrinkToFit="false"/>
      <protection locked="true" hidden="false"/>
    </xf>
    <xf numFmtId="164" fontId="39" fillId="6" borderId="12" xfId="0" applyFont="true" applyBorder="true" applyAlignment="true" applyProtection="false">
      <alignment horizontal="center" vertical="center" textRotation="0" wrapText="false" indent="0" shrinkToFit="false"/>
      <protection locked="true" hidden="false"/>
    </xf>
    <xf numFmtId="173" fontId="9" fillId="4" borderId="35" xfId="0" applyFont="true" applyBorder="true" applyAlignment="true" applyProtection="false">
      <alignment horizontal="center" vertical="center" textRotation="0" wrapText="false" indent="0" shrinkToFit="false"/>
      <protection locked="true" hidden="false"/>
    </xf>
    <xf numFmtId="164" fontId="40" fillId="4" borderId="12" xfId="0" applyFont="true" applyBorder="true" applyAlignment="true" applyProtection="false">
      <alignment horizontal="center" vertical="center" textRotation="0" wrapText="false" indent="0" shrinkToFit="false"/>
      <protection locked="true" hidden="false"/>
    </xf>
    <xf numFmtId="164" fontId="39" fillId="4" borderId="12" xfId="0" applyFont="true" applyBorder="true" applyAlignment="true" applyProtection="false">
      <alignment horizontal="center" vertical="center" textRotation="0" wrapText="false" indent="0" shrinkToFit="false"/>
      <protection locked="true" hidden="false"/>
    </xf>
    <xf numFmtId="173" fontId="9" fillId="6" borderId="35" xfId="0" applyFont="true" applyBorder="true" applyAlignment="true" applyProtection="false">
      <alignment horizontal="center" vertical="center" textRotation="0" wrapText="true" indent="0" shrinkToFit="false"/>
      <protection locked="true" hidden="false"/>
    </xf>
    <xf numFmtId="179" fontId="9" fillId="4" borderId="35" xfId="0" applyFont="true" applyBorder="true" applyAlignment="true" applyProtection="false">
      <alignment horizontal="center" vertical="center" textRotation="0" wrapText="false" indent="0" shrinkToFit="false"/>
      <protection locked="true" hidden="false"/>
    </xf>
    <xf numFmtId="164" fontId="40" fillId="6" borderId="64" xfId="0" applyFont="true" applyBorder="true" applyAlignment="true" applyProtection="false">
      <alignment horizontal="center" vertical="bottom" textRotation="0" wrapText="false" indent="0" shrinkToFit="false"/>
      <protection locked="true" hidden="false"/>
    </xf>
    <xf numFmtId="167" fontId="40" fillId="6" borderId="64" xfId="0" applyFont="true" applyBorder="true" applyAlignment="true" applyProtection="false">
      <alignment horizontal="center" vertical="bottom" textRotation="0" wrapText="false" indent="0" shrinkToFit="false"/>
      <protection locked="true" hidden="false"/>
    </xf>
    <xf numFmtId="177" fontId="9" fillId="6" borderId="35" xfId="0" applyFont="true" applyBorder="true" applyAlignment="true" applyProtection="false">
      <alignment horizontal="center" vertical="center" textRotation="0" wrapText="false" indent="0" shrinkToFit="false"/>
      <protection locked="true" hidden="false"/>
    </xf>
    <xf numFmtId="172" fontId="9" fillId="4" borderId="42" xfId="0" applyFont="true" applyBorder="true" applyAlignment="true" applyProtection="false">
      <alignment horizontal="center" vertical="center" textRotation="0" wrapText="false" indent="0" shrinkToFit="false"/>
      <protection locked="true" hidden="false"/>
    </xf>
    <xf numFmtId="172" fontId="9" fillId="6" borderId="37" xfId="0" applyFont="true" applyBorder="true" applyAlignment="true" applyProtection="false">
      <alignment horizontal="center" vertical="center" textRotation="0" wrapText="false" indent="0" shrinkToFit="false"/>
      <protection locked="true" hidden="false"/>
    </xf>
    <xf numFmtId="178" fontId="9" fillId="6" borderId="64" xfId="0" applyFont="true" applyBorder="true" applyAlignment="true" applyProtection="false">
      <alignment horizontal="center" vertical="center" textRotation="0" wrapText="false" indent="0" shrinkToFit="false"/>
      <protection locked="true" hidden="false"/>
    </xf>
    <xf numFmtId="172" fontId="9" fillId="4" borderId="37" xfId="0" applyFont="true" applyBorder="true" applyAlignment="true" applyProtection="false">
      <alignment horizontal="center" vertical="center" textRotation="0" wrapText="false" indent="0" shrinkToFit="false"/>
      <protection locked="true" hidden="false"/>
    </xf>
    <xf numFmtId="177" fontId="9" fillId="4" borderId="64" xfId="0" applyFont="true" applyBorder="true" applyAlignment="true" applyProtection="false">
      <alignment horizontal="center" vertical="center" textRotation="0" wrapText="false" indent="0" shrinkToFit="false"/>
      <protection locked="true" hidden="false"/>
    </xf>
    <xf numFmtId="164" fontId="39" fillId="10" borderId="35" xfId="0" applyFont="true" applyBorder="true" applyAlignment="true" applyProtection="false">
      <alignment horizontal="center" vertical="center" textRotation="0" wrapText="false" indent="0" shrinkToFit="false"/>
      <protection locked="true" hidden="false"/>
    </xf>
    <xf numFmtId="174" fontId="39" fillId="10" borderId="35" xfId="0" applyFont="true" applyBorder="true" applyAlignment="true" applyProtection="false">
      <alignment horizontal="center" vertical="center" textRotation="0" wrapText="false" indent="0" shrinkToFit="false"/>
      <protection locked="true" hidden="false"/>
    </xf>
    <xf numFmtId="172" fontId="9" fillId="4" borderId="51" xfId="0" applyFont="true" applyBorder="true" applyAlignment="true" applyProtection="false">
      <alignment horizontal="center" vertical="center" textRotation="0" wrapText="false" indent="0" shrinkToFit="false"/>
      <protection locked="true" hidden="false"/>
    </xf>
    <xf numFmtId="164" fontId="18" fillId="10" borderId="35" xfId="0" applyFont="true" applyBorder="true" applyAlignment="true" applyProtection="false">
      <alignment horizontal="center" vertical="center" textRotation="0" wrapText="false" indent="0" shrinkToFit="false"/>
      <protection locked="true" hidden="false"/>
    </xf>
    <xf numFmtId="174" fontId="18" fillId="10" borderId="35" xfId="0" applyFont="true" applyBorder="true" applyAlignment="true" applyProtection="false">
      <alignment horizontal="center" vertical="center" textRotation="0" wrapText="false" indent="0" shrinkToFit="false"/>
      <protection locked="true" hidden="false"/>
    </xf>
    <xf numFmtId="164" fontId="39" fillId="11" borderId="35" xfId="0" applyFont="true" applyBorder="true" applyAlignment="true" applyProtection="false">
      <alignment horizontal="center" vertical="center" textRotation="0" wrapText="false" indent="0" shrinkToFit="false"/>
      <protection locked="true" hidden="false"/>
    </xf>
    <xf numFmtId="174" fontId="39" fillId="11" borderId="35" xfId="0" applyFont="true" applyBorder="true" applyAlignment="true" applyProtection="false">
      <alignment horizontal="center" vertical="center" textRotation="0" wrapText="false" indent="0" shrinkToFit="false"/>
      <protection locked="true" hidden="false"/>
    </xf>
    <xf numFmtId="164" fontId="18" fillId="11" borderId="35" xfId="0" applyFont="true" applyBorder="true" applyAlignment="true" applyProtection="false">
      <alignment horizontal="center" vertical="center" textRotation="0" wrapText="false" indent="0" shrinkToFit="false"/>
      <protection locked="true" hidden="false"/>
    </xf>
    <xf numFmtId="164" fontId="39" fillId="12" borderId="35" xfId="0" applyFont="true" applyBorder="true" applyAlignment="true" applyProtection="false">
      <alignment horizontal="center" vertical="center" textRotation="0" wrapText="false" indent="0" shrinkToFit="false"/>
      <protection locked="true" hidden="false"/>
    </xf>
    <xf numFmtId="174" fontId="39" fillId="12" borderId="35" xfId="0" applyFont="true" applyBorder="true" applyAlignment="true" applyProtection="false">
      <alignment horizontal="center" vertical="center" textRotation="0" wrapText="false" indent="0" shrinkToFit="false"/>
      <protection locked="true" hidden="false"/>
    </xf>
    <xf numFmtId="164" fontId="9" fillId="6" borderId="0" xfId="0" applyFont="true" applyBorder="false" applyAlignment="true" applyProtection="false">
      <alignment horizontal="center" vertical="bottom" textRotation="0" wrapText="false" indent="0" shrinkToFit="false"/>
      <protection locked="true" hidden="false"/>
    </xf>
    <xf numFmtId="164" fontId="39" fillId="13" borderId="35" xfId="0" applyFont="true" applyBorder="true" applyAlignment="true" applyProtection="false">
      <alignment horizontal="center" vertical="center" textRotation="0" wrapText="false" indent="0" shrinkToFit="false"/>
      <protection locked="true" hidden="false"/>
    </xf>
    <xf numFmtId="174" fontId="39" fillId="13" borderId="35" xfId="0" applyFont="true" applyBorder="true" applyAlignment="true" applyProtection="false">
      <alignment horizontal="center" vertical="center" textRotation="0" wrapText="false" indent="0" shrinkToFit="false"/>
      <protection locked="true" hidden="false"/>
    </xf>
    <xf numFmtId="164" fontId="39" fillId="0" borderId="35" xfId="0" applyFont="true" applyBorder="true" applyAlignment="true" applyProtection="false">
      <alignment horizontal="center" vertical="center" textRotation="0" wrapText="false" indent="0" shrinkToFit="false"/>
      <protection locked="true" hidden="false"/>
    </xf>
    <xf numFmtId="174" fontId="39" fillId="14" borderId="35" xfId="0" applyFont="true" applyBorder="true" applyAlignment="true" applyProtection="false">
      <alignment horizontal="center" vertical="center" textRotation="0" wrapText="false" indent="0" shrinkToFit="false"/>
      <protection locked="true" hidden="false"/>
    </xf>
    <xf numFmtId="164" fontId="37" fillId="2" borderId="65" xfId="0" applyFont="true" applyBorder="true" applyAlignment="true" applyProtection="false">
      <alignment horizontal="center" vertical="center" textRotation="0" wrapText="false" indent="0" shrinkToFit="false"/>
      <protection locked="true" hidden="false"/>
    </xf>
    <xf numFmtId="164" fontId="14" fillId="2" borderId="66" xfId="0" applyFont="true" applyBorder="true" applyAlignment="true" applyProtection="false">
      <alignment horizontal="center" vertical="center" textRotation="0" wrapText="false" indent="0" shrinkToFit="false"/>
      <protection locked="true" hidden="false"/>
    </xf>
    <xf numFmtId="164" fontId="14" fillId="2" borderId="67" xfId="0" applyFont="true" applyBorder="true" applyAlignment="true" applyProtection="false">
      <alignment horizontal="center" vertical="center" textRotation="0" wrapText="false" indent="0" shrinkToFit="false"/>
      <protection locked="true" hidden="false"/>
    </xf>
    <xf numFmtId="164" fontId="39" fillId="4" borderId="68" xfId="0" applyFont="true" applyBorder="true" applyAlignment="true" applyProtection="false">
      <alignment horizontal="center" vertical="center" textRotation="0" wrapText="true" indent="0" shrinkToFit="false"/>
      <protection locked="true" hidden="false"/>
    </xf>
    <xf numFmtId="176" fontId="39" fillId="4" borderId="68" xfId="0" applyFont="true" applyBorder="true" applyAlignment="true" applyProtection="false">
      <alignment horizontal="center" vertical="center" textRotation="0" wrapText="true" indent="0" shrinkToFit="false"/>
      <protection locked="true" hidden="false"/>
    </xf>
    <xf numFmtId="164" fontId="39" fillId="6" borderId="68" xfId="0" applyFont="true" applyBorder="true" applyAlignment="true" applyProtection="false">
      <alignment horizontal="center" vertical="center" textRotation="0" wrapText="true" indent="0" shrinkToFit="false"/>
      <protection locked="true" hidden="false"/>
    </xf>
    <xf numFmtId="164" fontId="14" fillId="2" borderId="69" xfId="0" applyFont="true" applyBorder="true" applyAlignment="true" applyProtection="false">
      <alignment horizontal="center" vertical="center" textRotation="0" wrapText="false" indent="0" shrinkToFit="false"/>
      <protection locked="true" hidden="false"/>
    </xf>
    <xf numFmtId="176" fontId="14" fillId="2" borderId="70" xfId="0" applyFont="true" applyBorder="true" applyAlignment="true" applyProtection="false">
      <alignment horizontal="center" vertical="center" textRotation="0" wrapText="false" indent="0" shrinkToFit="false"/>
      <protection locked="true" hidden="false"/>
    </xf>
    <xf numFmtId="164" fontId="9" fillId="6" borderId="36" xfId="0" applyFont="true" applyBorder="true" applyAlignment="true" applyProtection="false">
      <alignment horizontal="center" vertical="center" textRotation="0" wrapText="true" indent="0" shrinkToFit="false"/>
      <protection locked="true" hidden="false"/>
    </xf>
    <xf numFmtId="164" fontId="9" fillId="4" borderId="36" xfId="0" applyFont="true" applyBorder="true" applyAlignment="true" applyProtection="false">
      <alignment horizontal="center" vertical="center" textRotation="0" wrapText="true" indent="0" shrinkToFit="false"/>
      <protection locked="true" hidden="false"/>
    </xf>
    <xf numFmtId="173" fontId="9" fillId="4" borderId="42" xfId="0" applyFont="true" applyBorder="true" applyAlignment="true" applyProtection="false">
      <alignment horizontal="center" vertical="center" textRotation="0" wrapText="false" indent="0" shrinkToFit="false"/>
      <protection locked="true" hidden="false"/>
    </xf>
    <xf numFmtId="177" fontId="9" fillId="6" borderId="37" xfId="0" applyFont="true" applyBorder="true" applyAlignment="true" applyProtection="false">
      <alignment horizontal="center" vertical="center" textRotation="0" wrapText="false" indent="0" shrinkToFit="false"/>
      <protection locked="true" hidden="false"/>
    </xf>
    <xf numFmtId="164" fontId="9" fillId="6" borderId="64" xfId="0" applyFont="true" applyBorder="true" applyAlignment="true" applyProtection="false">
      <alignment horizontal="center" vertical="center" textRotation="0" wrapText="false" indent="0" shrinkToFit="false"/>
      <protection locked="true" hidden="false"/>
    </xf>
    <xf numFmtId="170" fontId="9" fillId="4" borderId="35" xfId="0" applyFont="true" applyBorder="true" applyAlignment="true" applyProtection="false">
      <alignment horizontal="center" vertical="center" textRotation="0" wrapText="false" indent="0" shrinkToFit="false"/>
      <protection locked="true" hidden="false"/>
    </xf>
    <xf numFmtId="170" fontId="9" fillId="6" borderId="35" xfId="0" applyFont="true" applyBorder="true" applyAlignment="true" applyProtection="false">
      <alignment horizontal="center" vertical="center" textRotation="0" wrapText="false" indent="0" shrinkToFit="false"/>
      <protection locked="true" hidden="false"/>
    </xf>
    <xf numFmtId="164" fontId="9" fillId="4" borderId="36" xfId="0" applyFont="true" applyBorder="true" applyAlignment="true" applyProtection="false">
      <alignment horizontal="center" vertical="center" textRotation="0" wrapText="false" indent="0" shrinkToFit="false"/>
      <protection locked="true" hidden="false"/>
    </xf>
    <xf numFmtId="164" fontId="9" fillId="4" borderId="64" xfId="0" applyFont="true" applyBorder="true" applyAlignment="true" applyProtection="false">
      <alignment horizontal="center" vertical="center" textRotation="0" wrapText="true" indent="0" shrinkToFit="false"/>
      <protection locked="true" hidden="false"/>
    </xf>
    <xf numFmtId="164" fontId="9" fillId="6" borderId="42" xfId="0" applyFont="true" applyBorder="true" applyAlignment="true" applyProtection="false">
      <alignment horizontal="center" vertical="center" textRotation="0" wrapText="true" indent="0" shrinkToFit="false"/>
      <protection locked="true" hidden="false"/>
    </xf>
    <xf numFmtId="177" fontId="39" fillId="4" borderId="35" xfId="0" applyFont="true" applyBorder="true" applyAlignment="true" applyProtection="false">
      <alignment horizontal="center" vertical="center" textRotation="0" wrapText="false" indent="0" shrinkToFit="false"/>
      <protection locked="true" hidden="false"/>
    </xf>
    <xf numFmtId="164" fontId="53" fillId="4" borderId="35" xfId="0" applyFont="true" applyBorder="true" applyAlignment="true" applyProtection="false">
      <alignment horizontal="center" vertical="center" textRotation="0" wrapText="true" indent="0" shrinkToFit="false"/>
      <protection locked="true" hidden="false"/>
    </xf>
    <xf numFmtId="164" fontId="54" fillId="4" borderId="35" xfId="0" applyFont="true" applyBorder="true" applyAlignment="true" applyProtection="false">
      <alignment horizontal="center" vertical="center" textRotation="0" wrapText="false" indent="0" shrinkToFit="false"/>
      <protection locked="true" hidden="false"/>
    </xf>
    <xf numFmtId="164" fontId="55" fillId="0" borderId="0" xfId="0" applyFont="true" applyBorder="false" applyAlignment="false" applyProtection="false">
      <alignment horizontal="general" vertical="bottom" textRotation="0" wrapText="false" indent="0" shrinkToFit="false"/>
      <protection locked="true" hidden="false"/>
    </xf>
    <xf numFmtId="172" fontId="54" fillId="4" borderId="35" xfId="0" applyFont="true" applyBorder="true" applyAlignment="true" applyProtection="false">
      <alignment horizontal="center" vertical="center" textRotation="0" wrapText="false" indent="0" shrinkToFit="false"/>
      <protection locked="true" hidden="false"/>
    </xf>
    <xf numFmtId="170" fontId="54" fillId="4" borderId="35" xfId="0" applyFont="true" applyBorder="true" applyAlignment="true" applyProtection="false">
      <alignment horizontal="center" vertical="center" textRotation="0" wrapText="false" indent="0" shrinkToFit="false"/>
      <protection locked="true" hidden="false"/>
    </xf>
    <xf numFmtId="164" fontId="54" fillId="4" borderId="35" xfId="0" applyFont="true" applyBorder="true" applyAlignment="true" applyProtection="false">
      <alignment horizontal="center" vertical="center" textRotation="0" wrapText="true" indent="0" shrinkToFit="false"/>
      <protection locked="true" hidden="false"/>
    </xf>
    <xf numFmtId="172" fontId="54" fillId="6" borderId="35" xfId="0" applyFont="true" applyBorder="true" applyAlignment="true" applyProtection="false">
      <alignment horizontal="center" vertical="center" textRotation="0" wrapText="false" indent="0" shrinkToFit="false"/>
      <protection locked="true" hidden="false"/>
    </xf>
    <xf numFmtId="170" fontId="54" fillId="6" borderId="35" xfId="0" applyFont="true" applyBorder="true" applyAlignment="true" applyProtection="false">
      <alignment horizontal="center" vertical="center" textRotation="0" wrapText="false" indent="0" shrinkToFit="false"/>
      <protection locked="true" hidden="false"/>
    </xf>
    <xf numFmtId="164" fontId="54" fillId="6" borderId="35" xfId="0" applyFont="true" applyBorder="true" applyAlignment="true" applyProtection="false">
      <alignment horizontal="center" vertical="center" textRotation="0" wrapText="false" indent="0" shrinkToFit="false"/>
      <protection locked="true" hidden="false"/>
    </xf>
    <xf numFmtId="164" fontId="54" fillId="6" borderId="35" xfId="0" applyFont="true" applyBorder="true" applyAlignment="true" applyProtection="false">
      <alignment horizontal="center" vertical="center" textRotation="0" wrapText="true" indent="0" shrinkToFit="false"/>
      <protection locked="true" hidden="false"/>
    </xf>
    <xf numFmtId="177" fontId="54" fillId="4" borderId="35" xfId="0" applyFont="true" applyBorder="true" applyAlignment="true" applyProtection="false">
      <alignment horizontal="center" vertical="center" textRotation="0" wrapText="false" indent="0" shrinkToFit="false"/>
      <protection locked="true" hidden="false"/>
    </xf>
    <xf numFmtId="164" fontId="14" fillId="15" borderId="71" xfId="0" applyFont="true" applyBorder="true" applyAlignment="true" applyProtection="false">
      <alignment horizontal="center" vertical="center" textRotation="0" wrapText="true" indent="0" shrinkToFit="false"/>
      <protection locked="true" hidden="false"/>
    </xf>
    <xf numFmtId="164" fontId="14" fillId="15" borderId="72" xfId="0" applyFont="true" applyBorder="true" applyAlignment="true" applyProtection="false">
      <alignment horizontal="center" vertical="center" textRotation="0" wrapText="true" indent="0" shrinkToFit="false"/>
      <protection locked="true" hidden="false"/>
    </xf>
    <xf numFmtId="170" fontId="14" fillId="15" borderId="72" xfId="0" applyFont="true" applyBorder="true" applyAlignment="true" applyProtection="false">
      <alignment horizontal="center" vertical="center" textRotation="0" wrapText="true" indent="0" shrinkToFit="false"/>
      <protection locked="true" hidden="false"/>
    </xf>
    <xf numFmtId="171" fontId="14" fillId="15" borderId="71" xfId="0" applyFont="true" applyBorder="true" applyAlignment="true" applyProtection="false">
      <alignment horizontal="center" vertical="center" textRotation="0" wrapText="false" indent="0" shrinkToFit="false"/>
      <protection locked="true" hidden="false"/>
    </xf>
    <xf numFmtId="164" fontId="14" fillId="16" borderId="73" xfId="0" applyFont="true" applyBorder="true" applyAlignment="true" applyProtection="false">
      <alignment horizontal="center" vertical="center" textRotation="0" wrapText="false" indent="0" shrinkToFit="false"/>
      <protection locked="true" hidden="false"/>
    </xf>
    <xf numFmtId="164" fontId="56" fillId="17" borderId="74" xfId="0" applyFont="true" applyBorder="true" applyAlignment="true" applyProtection="false">
      <alignment horizontal="center" vertical="center" textRotation="0" wrapText="false" indent="0" shrinkToFit="false"/>
      <protection locked="true" hidden="false"/>
    </xf>
    <xf numFmtId="164" fontId="56" fillId="18" borderId="68" xfId="0" applyFont="true" applyBorder="true" applyAlignment="true" applyProtection="false">
      <alignment horizontal="center" vertical="center" textRotation="0" wrapText="false" indent="0" shrinkToFit="false"/>
      <protection locked="true" hidden="false"/>
    </xf>
    <xf numFmtId="164" fontId="56" fillId="17" borderId="68" xfId="0" applyFont="true" applyBorder="true" applyAlignment="true" applyProtection="false">
      <alignment horizontal="center" vertical="center" textRotation="0" wrapText="false" indent="0" shrinkToFit="false"/>
      <protection locked="true" hidden="false"/>
    </xf>
    <xf numFmtId="164" fontId="56" fillId="17" borderId="75" xfId="0" applyFont="true" applyBorder="true" applyAlignment="true" applyProtection="false">
      <alignment horizontal="center" vertical="center" textRotation="0" wrapText="false" indent="0" shrinkToFit="false"/>
      <protection locked="true" hidden="false"/>
    </xf>
    <xf numFmtId="164" fontId="14" fillId="16" borderId="76" xfId="0" applyFont="true" applyBorder="true" applyAlignment="true" applyProtection="false">
      <alignment horizontal="center" vertical="center" textRotation="0" wrapText="false" indent="0" shrinkToFit="false"/>
      <protection locked="true" hidden="false"/>
    </xf>
    <xf numFmtId="164" fontId="14" fillId="16" borderId="77" xfId="0" applyFont="true" applyBorder="true" applyAlignment="true" applyProtection="false">
      <alignment horizontal="center" vertical="center" textRotation="0" wrapText="false" indent="0" shrinkToFit="false"/>
      <protection locked="true" hidden="false"/>
    </xf>
    <xf numFmtId="164" fontId="57" fillId="0" borderId="0" xfId="0" applyFont="true" applyBorder="false" applyAlignment="true" applyProtection="false">
      <alignment horizontal="center" vertical="center" textRotation="0" wrapText="false" indent="0" shrinkToFit="false"/>
      <protection locked="true" hidden="false"/>
    </xf>
    <xf numFmtId="164" fontId="37" fillId="16" borderId="60" xfId="0" applyFont="true" applyBorder="true" applyAlignment="true" applyProtection="false">
      <alignment horizontal="general" vertical="center" textRotation="0" wrapText="false" indent="0" shrinkToFit="false"/>
      <protection locked="true" hidden="false"/>
    </xf>
    <xf numFmtId="164" fontId="37" fillId="16" borderId="62" xfId="0" applyFont="true" applyBorder="true" applyAlignment="true" applyProtection="false">
      <alignment horizontal="general" vertical="center" textRotation="0" wrapText="false" indent="0" shrinkToFit="false"/>
      <protection locked="true" hidden="false"/>
    </xf>
    <xf numFmtId="164" fontId="37" fillId="16" borderId="78" xfId="0" applyFont="true" applyBorder="true" applyAlignment="true" applyProtection="false">
      <alignment horizontal="general" vertical="center" textRotation="0" wrapText="false" indent="0" shrinkToFit="false"/>
      <protection locked="true" hidden="false"/>
    </xf>
    <xf numFmtId="164" fontId="37" fillId="16" borderId="79" xfId="0" applyFont="true" applyBorder="true" applyAlignment="true" applyProtection="false">
      <alignment horizontal="general" vertical="center" textRotation="0" wrapText="false" indent="0" shrinkToFit="false"/>
      <protection locked="true" hidden="false"/>
    </xf>
    <xf numFmtId="164" fontId="37" fillId="16" borderId="80" xfId="0" applyFont="true" applyBorder="true" applyAlignment="true" applyProtection="false">
      <alignment horizontal="general" vertical="center" textRotation="0" wrapText="false" indent="0" shrinkToFit="false"/>
      <protection locked="true" hidden="false"/>
    </xf>
    <xf numFmtId="164" fontId="37" fillId="16" borderId="81" xfId="0" applyFont="true" applyBorder="true" applyAlignment="true" applyProtection="false">
      <alignment horizontal="general" vertical="center" textRotation="0" wrapText="false" indent="0" shrinkToFit="false"/>
      <protection locked="true" hidden="false"/>
    </xf>
    <xf numFmtId="164" fontId="58" fillId="18" borderId="82" xfId="0" applyFont="true" applyBorder="true" applyAlignment="true" applyProtection="false">
      <alignment horizontal="general" vertical="center" textRotation="0" wrapText="false" indent="0" shrinkToFit="false"/>
      <protection locked="true" hidden="false"/>
    </xf>
    <xf numFmtId="164" fontId="58" fillId="18" borderId="83" xfId="0" applyFont="true" applyBorder="true" applyAlignment="true" applyProtection="false">
      <alignment horizontal="general" vertical="center" textRotation="0" wrapText="false" indent="0" shrinkToFit="false"/>
      <protection locked="true" hidden="false"/>
    </xf>
    <xf numFmtId="164" fontId="58" fillId="18" borderId="72" xfId="0" applyFont="true" applyBorder="true" applyAlignment="true" applyProtection="false">
      <alignment horizontal="general" vertical="center" textRotation="0" wrapText="false" indent="0" shrinkToFit="false"/>
      <protection locked="true" hidden="false"/>
    </xf>
    <xf numFmtId="164" fontId="58" fillId="17" borderId="84" xfId="0" applyFont="true" applyBorder="true" applyAlignment="true" applyProtection="false">
      <alignment horizontal="general" vertical="center" textRotation="0" wrapText="false" indent="0" shrinkToFit="false"/>
      <protection locked="true" hidden="false"/>
    </xf>
    <xf numFmtId="164" fontId="58" fillId="17" borderId="85" xfId="0" applyFont="true" applyBorder="true" applyAlignment="true" applyProtection="false">
      <alignment horizontal="general" vertical="center" textRotation="0" wrapText="false" indent="0" shrinkToFit="false"/>
      <protection locked="true" hidden="false"/>
    </xf>
    <xf numFmtId="164" fontId="58" fillId="17" borderId="86" xfId="0" applyFont="true" applyBorder="true" applyAlignment="true" applyProtection="false">
      <alignment horizontal="general" vertical="center" textRotation="0" wrapText="false" indent="0" shrinkToFit="false"/>
      <protection locked="true" hidden="false"/>
    </xf>
    <xf numFmtId="164" fontId="58" fillId="18" borderId="84" xfId="0" applyFont="true" applyBorder="true" applyAlignment="true" applyProtection="false">
      <alignment horizontal="general" vertical="center" textRotation="0" wrapText="false" indent="0" shrinkToFit="false"/>
      <protection locked="true" hidden="false"/>
    </xf>
    <xf numFmtId="164" fontId="58" fillId="18" borderId="85" xfId="0" applyFont="true" applyBorder="true" applyAlignment="true" applyProtection="false">
      <alignment horizontal="general" vertical="center" textRotation="0" wrapText="false" indent="0" shrinkToFit="false"/>
      <protection locked="true" hidden="false"/>
    </xf>
    <xf numFmtId="164" fontId="58" fillId="18" borderId="86" xfId="0" applyFont="true" applyBorder="true" applyAlignment="true" applyProtection="false">
      <alignment horizontal="general" vertical="center" textRotation="0" wrapText="false" indent="0" shrinkToFit="false"/>
      <protection locked="true" hidden="false"/>
    </xf>
    <xf numFmtId="164" fontId="58" fillId="18" borderId="87" xfId="0" applyFont="true" applyBorder="true" applyAlignment="true" applyProtection="false">
      <alignment horizontal="general" vertical="center" textRotation="0" wrapText="false" indent="0" shrinkToFit="false"/>
      <protection locked="true" hidden="false"/>
    </xf>
    <xf numFmtId="164" fontId="58" fillId="18" borderId="88" xfId="0" applyFont="true" applyBorder="true" applyAlignment="true" applyProtection="false">
      <alignment horizontal="general" vertical="center" textRotation="0" wrapText="false" indent="0" shrinkToFit="false"/>
      <protection locked="true" hidden="false"/>
    </xf>
    <xf numFmtId="164" fontId="58" fillId="18" borderId="89" xfId="0" applyFont="true" applyBorder="true" applyAlignment="true" applyProtection="false">
      <alignment horizontal="general" vertical="center" textRotation="0" wrapText="false" indent="0" shrinkToFit="false"/>
      <protection locked="true" hidden="false"/>
    </xf>
    <xf numFmtId="164" fontId="37" fillId="16" borderId="90" xfId="0" applyFont="true" applyBorder="true" applyAlignment="true" applyProtection="false">
      <alignment horizontal="general" vertical="center" textRotation="0" wrapText="false" indent="0" shrinkToFit="false"/>
      <protection locked="true" hidden="false"/>
    </xf>
    <xf numFmtId="164" fontId="37" fillId="16" borderId="91" xfId="0" applyFont="true" applyBorder="true" applyAlignment="true" applyProtection="false">
      <alignment horizontal="general" vertical="center" textRotation="0" wrapText="false" indent="0" shrinkToFit="false"/>
      <protection locked="true" hidden="false"/>
    </xf>
    <xf numFmtId="164" fontId="37" fillId="16" borderId="92" xfId="0" applyFont="true" applyBorder="true" applyAlignment="true" applyProtection="false">
      <alignment horizontal="general" vertical="center" textRotation="0" wrapText="false" indent="0" shrinkToFit="false"/>
      <protection locked="true" hidden="false"/>
    </xf>
    <xf numFmtId="164" fontId="14" fillId="16" borderId="93" xfId="0" applyFont="true" applyBorder="true" applyAlignment="true" applyProtection="false">
      <alignment horizontal="center" vertical="center" textRotation="0" wrapText="false" indent="0" shrinkToFit="false"/>
      <protection locked="true" hidden="false"/>
    </xf>
    <xf numFmtId="164" fontId="14" fillId="16" borderId="94" xfId="0" applyFont="true" applyBorder="true" applyAlignment="true" applyProtection="false">
      <alignment horizontal="center" vertical="center" textRotation="0" wrapText="false" indent="0" shrinkToFit="false"/>
      <protection locked="true" hidden="false"/>
    </xf>
    <xf numFmtId="164" fontId="14" fillId="16" borderId="95" xfId="0" applyFont="true" applyBorder="true" applyAlignment="true" applyProtection="false">
      <alignment horizontal="center" vertical="center" textRotation="0" wrapText="false" indent="0" shrinkToFit="false"/>
      <protection locked="true" hidden="false"/>
    </xf>
    <xf numFmtId="164" fontId="14" fillId="16" borderId="96" xfId="0" applyFont="true" applyBorder="true" applyAlignment="true" applyProtection="false">
      <alignment horizontal="center" vertical="center" textRotation="0" wrapText="false" indent="0" shrinkToFit="false"/>
      <protection locked="true" hidden="false"/>
    </xf>
    <xf numFmtId="164" fontId="14" fillId="16" borderId="97" xfId="0" applyFont="true" applyBorder="true" applyAlignment="true" applyProtection="false">
      <alignment horizontal="center" vertical="center" textRotation="0" wrapText="false" indent="0" shrinkToFit="false"/>
      <protection locked="true" hidden="false"/>
    </xf>
    <xf numFmtId="164" fontId="56" fillId="17" borderId="71" xfId="0" applyFont="true" applyBorder="true" applyAlignment="true" applyProtection="false">
      <alignment horizontal="center" vertical="center" textRotation="0" wrapText="false" indent="0" shrinkToFit="false"/>
      <protection locked="true" hidden="false"/>
    </xf>
    <xf numFmtId="167" fontId="56" fillId="17" borderId="68" xfId="0" applyFont="true" applyBorder="true" applyAlignment="true" applyProtection="false">
      <alignment horizontal="center" vertical="center" textRotation="0" wrapText="false" indent="0" shrinkToFit="false"/>
      <protection locked="true" hidden="false"/>
    </xf>
    <xf numFmtId="167" fontId="56" fillId="18" borderId="68" xfId="0" applyFont="true" applyBorder="true" applyAlignment="true" applyProtection="false">
      <alignment horizontal="center" vertical="center" textRotation="0" wrapText="false" indent="0" shrinkToFit="false"/>
      <protection locked="true" hidden="false"/>
    </xf>
    <xf numFmtId="164" fontId="56" fillId="18" borderId="98" xfId="0" applyFont="true" applyBorder="true" applyAlignment="true" applyProtection="false">
      <alignment horizontal="center" vertical="center" textRotation="0" wrapText="false" indent="0" shrinkToFit="false"/>
      <protection locked="true" hidden="false"/>
    </xf>
    <xf numFmtId="164" fontId="56" fillId="17" borderId="99" xfId="0" applyFont="true" applyBorder="true" applyAlignment="true" applyProtection="false">
      <alignment horizontal="center" vertical="center" textRotation="0" wrapText="false" indent="0" shrinkToFit="false"/>
      <protection locked="true" hidden="false"/>
    </xf>
    <xf numFmtId="164" fontId="56" fillId="17" borderId="100" xfId="0" applyFont="true" applyBorder="true" applyAlignment="true" applyProtection="false">
      <alignment horizontal="center" vertical="center" textRotation="0" wrapText="false" indent="0" shrinkToFit="false"/>
      <protection locked="true" hidden="false"/>
    </xf>
    <xf numFmtId="167" fontId="56" fillId="18" borderId="86" xfId="0" applyFont="true" applyBorder="true" applyAlignment="true" applyProtection="false">
      <alignment horizontal="center" vertical="center" textRotation="0" wrapText="false" indent="0" shrinkToFit="false"/>
      <protection locked="true" hidden="false"/>
    </xf>
    <xf numFmtId="164" fontId="56" fillId="18" borderId="99" xfId="0" applyFont="true" applyBorder="true" applyAlignment="true" applyProtection="false">
      <alignment horizontal="center" vertical="center" textRotation="0" wrapText="false" indent="0" shrinkToFit="false"/>
      <protection locked="true" hidden="false"/>
    </xf>
    <xf numFmtId="164" fontId="56" fillId="18" borderId="100" xfId="0" applyFont="true" applyBorder="true" applyAlignment="true" applyProtection="false">
      <alignment horizontal="center" vertical="center" textRotation="0" wrapText="false" indent="0" shrinkToFit="false"/>
      <protection locked="true" hidden="false"/>
    </xf>
    <xf numFmtId="164" fontId="38" fillId="16" borderId="101" xfId="0" applyFont="true" applyBorder="true" applyAlignment="true" applyProtection="false">
      <alignment horizontal="center" vertical="center" textRotation="0" wrapText="false" indent="0" shrinkToFit="false"/>
      <protection locked="true" hidden="false"/>
    </xf>
    <xf numFmtId="164" fontId="38" fillId="16" borderId="102" xfId="0" applyFont="true" applyBorder="true" applyAlignment="true" applyProtection="false">
      <alignment horizontal="center" vertical="center" textRotation="0" wrapText="false" indent="0" shrinkToFit="false"/>
      <protection locked="true" hidden="false"/>
    </xf>
    <xf numFmtId="167" fontId="38" fillId="16" borderId="103" xfId="0" applyFont="true" applyBorder="true" applyAlignment="true" applyProtection="false">
      <alignment horizontal="center" vertical="center" textRotation="0" wrapText="false" indent="0" shrinkToFit="false"/>
      <protection locked="true" hidden="false"/>
    </xf>
    <xf numFmtId="164" fontId="37" fillId="16" borderId="65" xfId="0" applyFont="true" applyBorder="true" applyAlignment="true" applyProtection="false">
      <alignment horizontal="center" vertical="center" textRotation="0" wrapText="false" indent="0" shrinkToFit="false"/>
      <protection locked="true" hidden="false"/>
    </xf>
    <xf numFmtId="164" fontId="14" fillId="16" borderId="104" xfId="0" applyFont="true" applyBorder="true" applyAlignment="true" applyProtection="false">
      <alignment horizontal="center" vertical="center" textRotation="0" wrapText="false" indent="0" shrinkToFit="false"/>
      <protection locked="true" hidden="false"/>
    </xf>
    <xf numFmtId="174" fontId="56" fillId="17" borderId="71" xfId="19" applyFont="true" applyBorder="true" applyAlignment="true" applyProtection="true">
      <alignment horizontal="center" vertical="center" textRotation="0" wrapText="false" indent="0" shrinkToFit="false"/>
      <protection locked="true" hidden="false"/>
    </xf>
    <xf numFmtId="174" fontId="56" fillId="18" borderId="68" xfId="19" applyFont="true" applyBorder="true" applyAlignment="true" applyProtection="true">
      <alignment horizontal="center" vertical="center" textRotation="0" wrapText="false" indent="0" shrinkToFit="false"/>
      <protection locked="true" hidden="false"/>
    </xf>
    <xf numFmtId="174" fontId="56" fillId="17" borderId="68" xfId="19" applyFont="true" applyBorder="true" applyAlignment="true" applyProtection="true">
      <alignment horizontal="center" vertical="center" textRotation="0" wrapText="false" indent="0" shrinkToFit="false"/>
      <protection locked="true" hidden="false"/>
    </xf>
    <xf numFmtId="164" fontId="40" fillId="4" borderId="42" xfId="0" applyFont="true" applyBorder="true" applyAlignment="true" applyProtection="false">
      <alignment horizontal="center" vertical="bottom" textRotation="0" wrapText="false" indent="0" shrinkToFit="false"/>
      <protection locked="true" hidden="false"/>
    </xf>
    <xf numFmtId="164" fontId="40" fillId="6" borderId="37" xfId="0" applyFont="true" applyBorder="true" applyAlignment="true" applyProtection="false">
      <alignment horizontal="center" vertical="bottom" textRotation="0" wrapText="false" indent="0" shrinkToFit="false"/>
      <protection locked="true" hidden="false"/>
    </xf>
    <xf numFmtId="164" fontId="40" fillId="4" borderId="37" xfId="0" applyFont="true" applyBorder="true" applyAlignment="true" applyProtection="false">
      <alignment horizontal="center" vertical="bottom" textRotation="0" wrapText="false" indent="0" shrinkToFit="false"/>
      <protection locked="true" hidden="false"/>
    </xf>
    <xf numFmtId="177" fontId="9" fillId="6" borderId="64" xfId="0" applyFont="true" applyBorder="true" applyAlignment="true" applyProtection="false">
      <alignment horizontal="center" vertical="center" textRotation="0" wrapText="false" indent="0" shrinkToFit="false"/>
      <protection locked="true" hidden="false"/>
    </xf>
    <xf numFmtId="164" fontId="40" fillId="4" borderId="51" xfId="0" applyFont="true" applyBorder="true" applyAlignment="true" applyProtection="false">
      <alignment horizontal="center" vertical="bottom" textRotation="0" wrapText="false" indent="0" shrinkToFit="false"/>
      <protection locked="true" hidden="false"/>
    </xf>
    <xf numFmtId="164" fontId="56" fillId="18" borderId="75" xfId="0" applyFont="true" applyBorder="true" applyAlignment="true" applyProtection="false">
      <alignment horizontal="center" vertical="center" textRotation="0" wrapText="false" indent="0" shrinkToFit="false"/>
      <protection locked="true" hidden="false"/>
    </xf>
    <xf numFmtId="174" fontId="56" fillId="18" borderId="75" xfId="19" applyFont="true" applyBorder="true" applyAlignment="true" applyProtection="true">
      <alignment horizontal="center" vertical="center" textRotation="0" wrapText="false" indent="0" shrinkToFit="false"/>
      <protection locked="true" hidden="false"/>
    </xf>
    <xf numFmtId="164" fontId="38" fillId="16" borderId="105" xfId="0" applyFont="true" applyBorder="true" applyAlignment="true" applyProtection="false">
      <alignment horizontal="center" vertical="center" textRotation="0" wrapText="false" indent="0" shrinkToFit="false"/>
      <protection locked="true" hidden="false"/>
    </xf>
    <xf numFmtId="164" fontId="48" fillId="16" borderId="65" xfId="0" applyFont="true" applyBorder="true" applyAlignment="true" applyProtection="false">
      <alignment horizontal="center" vertical="center" textRotation="0" wrapText="false" indent="0" shrinkToFit="false"/>
      <protection locked="true" hidden="false"/>
    </xf>
    <xf numFmtId="164" fontId="14" fillId="16" borderId="106" xfId="0" applyFont="true" applyBorder="true" applyAlignment="true" applyProtection="false">
      <alignment horizontal="center" vertical="center" textRotation="0" wrapText="false" indent="0" shrinkToFit="false"/>
      <protection locked="true" hidden="false"/>
    </xf>
    <xf numFmtId="164" fontId="14" fillId="16" borderId="107" xfId="0" applyFont="true" applyBorder="true" applyAlignment="true" applyProtection="false">
      <alignment horizontal="center" vertical="center" textRotation="0" wrapText="false" indent="0" shrinkToFit="false"/>
      <protection locked="true" hidden="false"/>
    </xf>
    <xf numFmtId="164" fontId="14" fillId="16" borderId="108" xfId="0" applyFont="true" applyBorder="true" applyAlignment="true" applyProtection="false">
      <alignment horizontal="center" vertical="center" textRotation="0" wrapText="false" indent="0" shrinkToFit="false"/>
      <protection locked="true" hidden="false"/>
    </xf>
    <xf numFmtId="164" fontId="52" fillId="10" borderId="109" xfId="0" applyFont="true" applyBorder="true" applyAlignment="true" applyProtection="false">
      <alignment horizontal="center" vertical="center" textRotation="0" wrapText="false" indent="0" shrinkToFit="false"/>
      <protection locked="true" hidden="false"/>
    </xf>
    <xf numFmtId="174" fontId="52" fillId="10" borderId="109" xfId="19" applyFont="true" applyBorder="true" applyAlignment="true" applyProtection="true">
      <alignment horizontal="center" vertical="center" textRotation="0" wrapText="false" indent="0" shrinkToFit="false"/>
      <protection locked="true" hidden="false"/>
    </xf>
    <xf numFmtId="164" fontId="52" fillId="10" borderId="110" xfId="0" applyFont="true" applyBorder="true" applyAlignment="true" applyProtection="false">
      <alignment horizontal="center" vertical="center" textRotation="0" wrapText="false" indent="0" shrinkToFit="false"/>
      <protection locked="true" hidden="false"/>
    </xf>
    <xf numFmtId="164" fontId="52" fillId="10" borderId="111" xfId="0" applyFont="true" applyBorder="true" applyAlignment="true" applyProtection="false">
      <alignment horizontal="center" vertical="center" textRotation="0" wrapText="false" indent="0" shrinkToFit="false"/>
      <protection locked="true" hidden="false"/>
    </xf>
    <xf numFmtId="174" fontId="52" fillId="10" borderId="111" xfId="19" applyFont="true" applyBorder="true" applyAlignment="true" applyProtection="true">
      <alignment horizontal="center" vertical="center" textRotation="0" wrapText="false" indent="0" shrinkToFit="false"/>
      <protection locked="true" hidden="false"/>
    </xf>
    <xf numFmtId="174" fontId="52" fillId="10" borderId="110" xfId="19" applyFont="true" applyBorder="true" applyAlignment="true" applyProtection="true">
      <alignment horizontal="center" vertical="center" textRotation="0" wrapText="false" indent="0" shrinkToFit="false"/>
      <protection locked="true" hidden="false"/>
    </xf>
    <xf numFmtId="164" fontId="52" fillId="11" borderId="110" xfId="0" applyFont="true" applyBorder="true" applyAlignment="true" applyProtection="false">
      <alignment horizontal="center" vertical="center" textRotation="0" wrapText="false" indent="0" shrinkToFit="false"/>
      <protection locked="true" hidden="false"/>
    </xf>
    <xf numFmtId="174" fontId="52" fillId="11" borderId="110" xfId="19" applyFont="true" applyBorder="true" applyAlignment="true" applyProtection="true">
      <alignment horizontal="center" vertical="center" textRotation="0" wrapText="false" indent="0" shrinkToFit="false"/>
      <protection locked="true" hidden="false"/>
    </xf>
    <xf numFmtId="164" fontId="52" fillId="12" borderId="110" xfId="0" applyFont="true" applyBorder="true" applyAlignment="true" applyProtection="false">
      <alignment horizontal="center" vertical="center" textRotation="0" wrapText="false" indent="0" shrinkToFit="false"/>
      <protection locked="true" hidden="false"/>
    </xf>
    <xf numFmtId="174" fontId="52" fillId="12" borderId="110" xfId="19" applyFont="true" applyBorder="true" applyAlignment="true" applyProtection="true">
      <alignment horizontal="center" vertical="center" textRotation="0" wrapText="false" indent="0" shrinkToFit="false"/>
      <protection locked="true" hidden="false"/>
    </xf>
    <xf numFmtId="164" fontId="52" fillId="19" borderId="110" xfId="0" applyFont="true" applyBorder="true" applyAlignment="true" applyProtection="false">
      <alignment horizontal="center" vertical="center" textRotation="0" wrapText="false" indent="0" shrinkToFit="false"/>
      <protection locked="true" hidden="false"/>
    </xf>
    <xf numFmtId="174" fontId="52" fillId="19" borderId="110" xfId="19" applyFont="true" applyBorder="true" applyAlignment="true" applyProtection="true">
      <alignment horizontal="center" vertical="center" textRotation="0" wrapText="false" indent="0" shrinkToFit="false"/>
      <protection locked="true" hidden="false"/>
    </xf>
    <xf numFmtId="164" fontId="52" fillId="0" borderId="112" xfId="0" applyFont="true" applyBorder="true" applyAlignment="true" applyProtection="false">
      <alignment horizontal="center" vertical="center" textRotation="0" wrapText="false" indent="0" shrinkToFit="false"/>
      <protection locked="true" hidden="false"/>
    </xf>
    <xf numFmtId="164" fontId="52" fillId="0" borderId="113" xfId="0" applyFont="true" applyBorder="true" applyAlignment="true" applyProtection="false">
      <alignment horizontal="center" vertical="center" textRotation="0" wrapText="false" indent="0" shrinkToFit="false"/>
      <protection locked="true" hidden="false"/>
    </xf>
    <xf numFmtId="174" fontId="52" fillId="0" borderId="113" xfId="19" applyFont="true" applyBorder="true" applyAlignment="true" applyProtection="true">
      <alignment horizontal="center" vertical="center" textRotation="0" wrapText="false" indent="0" shrinkToFit="false"/>
      <protection locked="true" hidden="false"/>
    </xf>
    <xf numFmtId="164" fontId="52" fillId="0" borderId="114" xfId="0" applyFont="true" applyBorder="true" applyAlignment="true" applyProtection="false">
      <alignment horizontal="center" vertical="center" textRotation="0" wrapText="false" indent="0" shrinkToFit="false"/>
      <protection locked="true" hidden="false"/>
    </xf>
    <xf numFmtId="174" fontId="52" fillId="0" borderId="114" xfId="19" applyFont="true" applyBorder="true" applyAlignment="true" applyProtection="true">
      <alignment horizontal="center" vertical="center" textRotation="0" wrapText="false" indent="0" shrinkToFit="false"/>
      <protection locked="true" hidden="false"/>
    </xf>
    <xf numFmtId="164" fontId="14" fillId="16" borderId="82" xfId="0" applyFont="true" applyBorder="true" applyAlignment="true" applyProtection="false">
      <alignment horizontal="center" vertical="center" textRotation="0" wrapText="false" indent="0" shrinkToFit="false"/>
      <protection locked="true" hidden="false"/>
    </xf>
    <xf numFmtId="164" fontId="14" fillId="16" borderId="83" xfId="0" applyFont="true" applyBorder="true" applyAlignment="true" applyProtection="false">
      <alignment horizontal="center" vertical="center" textRotation="0" wrapText="false" indent="0" shrinkToFit="false"/>
      <protection locked="true" hidden="false"/>
    </xf>
    <xf numFmtId="164" fontId="14" fillId="16" borderId="115" xfId="0" applyFont="true" applyBorder="true" applyAlignment="true" applyProtection="false">
      <alignment horizontal="center" vertical="center" textRotation="0" wrapText="false" indent="0" shrinkToFit="false"/>
      <protection locked="true" hidden="false"/>
    </xf>
    <xf numFmtId="164" fontId="14" fillId="16" borderId="116" xfId="0" applyFont="true" applyBorder="true" applyAlignment="true" applyProtection="false">
      <alignment horizontal="center" vertical="center" textRotation="0" wrapText="false" indent="0" shrinkToFit="false"/>
      <protection locked="true" hidden="false"/>
    </xf>
    <xf numFmtId="174" fontId="14" fillId="16" borderId="117" xfId="0" applyFont="true" applyBorder="true" applyAlignment="true" applyProtection="false">
      <alignment horizontal="center" vertical="center" textRotation="0" wrapText="false" indent="0" shrinkToFit="false"/>
      <protection locked="true" hidden="false"/>
    </xf>
    <xf numFmtId="164" fontId="48" fillId="16" borderId="60" xfId="0" applyFont="true" applyBorder="true" applyAlignment="true" applyProtection="false">
      <alignment horizontal="general" vertical="center" textRotation="0" wrapText="false" indent="0" shrinkToFit="false"/>
      <protection locked="true" hidden="false"/>
    </xf>
    <xf numFmtId="164" fontId="48" fillId="16" borderId="62" xfId="0" applyFont="true" applyBorder="true" applyAlignment="true" applyProtection="false">
      <alignment horizontal="general" vertical="center" textRotation="0" wrapText="false" indent="0" shrinkToFit="false"/>
      <protection locked="true" hidden="false"/>
    </xf>
    <xf numFmtId="164" fontId="48" fillId="16" borderId="78" xfId="0" applyFont="true" applyBorder="true" applyAlignment="true" applyProtection="false">
      <alignment horizontal="general" vertical="center" textRotation="0" wrapText="false" indent="0" shrinkToFit="false"/>
      <protection locked="true" hidden="false"/>
    </xf>
    <xf numFmtId="164" fontId="48" fillId="16" borderId="90" xfId="0" applyFont="true" applyBorder="true" applyAlignment="true" applyProtection="false">
      <alignment horizontal="general" vertical="center" textRotation="0" wrapText="false" indent="0" shrinkToFit="false"/>
      <protection locked="true" hidden="false"/>
    </xf>
    <xf numFmtId="164" fontId="48" fillId="16" borderId="91" xfId="0" applyFont="true" applyBorder="true" applyAlignment="true" applyProtection="false">
      <alignment horizontal="general" vertical="center" textRotation="0" wrapText="false" indent="0" shrinkToFit="false"/>
      <protection locked="true" hidden="false"/>
    </xf>
    <xf numFmtId="164" fontId="48" fillId="16" borderId="92" xfId="0" applyFont="true" applyBorder="true" applyAlignment="true" applyProtection="false">
      <alignment horizontal="general" vertical="center" textRotation="0" wrapText="false" indent="0" shrinkToFit="false"/>
      <protection locked="true" hidden="false"/>
    </xf>
    <xf numFmtId="164" fontId="14" fillId="16" borderId="118" xfId="0" applyFont="true" applyBorder="true" applyAlignment="true" applyProtection="false">
      <alignment horizontal="center" vertical="center" textRotation="0" wrapText="false" indent="0" shrinkToFit="false"/>
      <protection locked="true" hidden="false"/>
    </xf>
    <xf numFmtId="164" fontId="14" fillId="16" borderId="119" xfId="0" applyFont="true" applyBorder="true" applyAlignment="true" applyProtection="false">
      <alignment horizontal="center" vertical="center" textRotation="0" wrapText="false" indent="0" shrinkToFit="false"/>
      <protection locked="true" hidden="false"/>
    </xf>
    <xf numFmtId="164" fontId="14" fillId="16" borderId="120" xfId="0" applyFont="true" applyBorder="true" applyAlignment="true" applyProtection="false">
      <alignment horizontal="center" vertical="center" textRotation="0" wrapText="false" indent="0" shrinkToFit="false"/>
      <protection locked="true" hidden="false"/>
    </xf>
    <xf numFmtId="164" fontId="14" fillId="16" borderId="121" xfId="0" applyFont="true" applyBorder="true" applyAlignment="true" applyProtection="false">
      <alignment horizontal="center" vertical="center" textRotation="0" wrapText="false" indent="0" shrinkToFit="false"/>
      <protection locked="true" hidden="false"/>
    </xf>
    <xf numFmtId="164" fontId="14" fillId="16" borderId="122" xfId="0" applyFont="true" applyBorder="true" applyAlignment="true" applyProtection="false">
      <alignment horizontal="center" vertical="center" textRotation="0" wrapText="false" indent="0" shrinkToFit="false"/>
      <protection locked="true" hidden="false"/>
    </xf>
    <xf numFmtId="164" fontId="52" fillId="17" borderId="123" xfId="0" applyFont="true" applyBorder="true" applyAlignment="true" applyProtection="false">
      <alignment horizontal="center" vertical="center" textRotation="0" wrapText="true" indent="0" shrinkToFit="false"/>
      <protection locked="true" hidden="false"/>
    </xf>
    <xf numFmtId="174" fontId="52" fillId="17" borderId="68" xfId="0" applyFont="true" applyBorder="true" applyAlignment="true" applyProtection="false">
      <alignment horizontal="center" vertical="center" textRotation="0" wrapText="true" indent="0" shrinkToFit="false"/>
      <protection locked="true" hidden="false"/>
    </xf>
    <xf numFmtId="164" fontId="52" fillId="18" borderId="68" xfId="0" applyFont="true" applyBorder="true" applyAlignment="true" applyProtection="false">
      <alignment horizontal="center" vertical="center" textRotation="0" wrapText="true" indent="0" shrinkToFit="false"/>
      <protection locked="true" hidden="false"/>
    </xf>
    <xf numFmtId="174" fontId="52" fillId="18" borderId="68" xfId="0" applyFont="true" applyBorder="true" applyAlignment="true" applyProtection="false">
      <alignment horizontal="center" vertical="center" textRotation="0" wrapText="true" indent="0" shrinkToFit="false"/>
      <protection locked="true" hidden="false"/>
    </xf>
    <xf numFmtId="164" fontId="52" fillId="17" borderId="68" xfId="0" applyFont="true" applyBorder="true" applyAlignment="true" applyProtection="false">
      <alignment horizontal="center" vertical="center" textRotation="0" wrapText="true" indent="0" shrinkToFit="false"/>
      <protection locked="true" hidden="false"/>
    </xf>
    <xf numFmtId="164" fontId="52" fillId="18" borderId="84" xfId="0" applyFont="true" applyBorder="true" applyAlignment="true" applyProtection="false">
      <alignment horizontal="center" vertical="center" textRotation="0" wrapText="true" indent="0" shrinkToFit="false"/>
      <protection locked="true" hidden="false"/>
    </xf>
    <xf numFmtId="164" fontId="14" fillId="16" borderId="124" xfId="0" applyFont="true" applyBorder="true" applyAlignment="true" applyProtection="false">
      <alignment horizontal="center" vertical="center" textRotation="0" wrapText="false" indent="0" shrinkToFit="false"/>
      <protection locked="true" hidden="false"/>
    </xf>
    <xf numFmtId="164" fontId="14" fillId="16" borderId="125" xfId="0" applyFont="true" applyBorder="true" applyAlignment="true" applyProtection="false">
      <alignment horizontal="center" vertical="center" textRotation="0" wrapText="false" indent="0" shrinkToFit="false"/>
      <protection locked="true" hidden="false"/>
    </xf>
    <xf numFmtId="164" fontId="14" fillId="16" borderId="126" xfId="0" applyFont="true" applyBorder="true" applyAlignment="true" applyProtection="false">
      <alignment horizontal="center" vertical="center" textRotation="0" wrapText="false" indent="0" shrinkToFit="false"/>
      <protection locked="true" hidden="false"/>
    </xf>
    <xf numFmtId="164" fontId="37" fillId="16" borderId="127" xfId="0" applyFont="true" applyBorder="true" applyAlignment="true" applyProtection="false">
      <alignment horizontal="general" vertical="center" textRotation="0" wrapText="false" indent="0" shrinkToFit="false"/>
      <protection locked="true" hidden="false"/>
    </xf>
    <xf numFmtId="164" fontId="37" fillId="16" borderId="128" xfId="0" applyFont="true" applyBorder="true" applyAlignment="true" applyProtection="false">
      <alignment horizontal="general" vertical="center" textRotation="0" wrapText="false" indent="0" shrinkToFit="false"/>
      <protection locked="true" hidden="false"/>
    </xf>
    <xf numFmtId="164" fontId="37" fillId="16" borderId="129" xfId="0" applyFont="true" applyBorder="true" applyAlignment="true" applyProtection="false">
      <alignment horizontal="general" vertical="center" textRotation="0" wrapText="false" indent="0" shrinkToFit="false"/>
      <protection locked="true" hidden="false"/>
    </xf>
    <xf numFmtId="164" fontId="37" fillId="16" borderId="130" xfId="0" applyFont="true" applyBorder="true" applyAlignment="true" applyProtection="false">
      <alignment horizontal="general" vertical="center" textRotation="0" wrapText="false" indent="0" shrinkToFit="false"/>
      <protection locked="true" hidden="false"/>
    </xf>
    <xf numFmtId="164" fontId="37" fillId="16" borderId="131" xfId="0" applyFont="true" applyBorder="true" applyAlignment="true" applyProtection="false">
      <alignment horizontal="general" vertical="center" textRotation="0" wrapText="false" indent="0" shrinkToFit="false"/>
      <protection locked="true" hidden="false"/>
    </xf>
    <xf numFmtId="164" fontId="14" fillId="16" borderId="132" xfId="0" applyFont="true" applyBorder="true" applyAlignment="true" applyProtection="false">
      <alignment horizontal="center" vertical="center" textRotation="0" wrapText="false" indent="0" shrinkToFit="false"/>
      <protection locked="true" hidden="false"/>
    </xf>
    <xf numFmtId="164" fontId="14" fillId="16" borderId="133" xfId="0" applyFont="true" applyBorder="true" applyAlignment="true" applyProtection="false">
      <alignment horizontal="center" vertical="center" textRotation="0" wrapText="false" indent="0" shrinkToFit="false"/>
      <protection locked="true" hidden="false"/>
    </xf>
    <xf numFmtId="164" fontId="14" fillId="16" borderId="134" xfId="0" applyFont="true" applyBorder="true" applyAlignment="true" applyProtection="false">
      <alignment horizontal="center" vertical="center" textRotation="0" wrapText="false" indent="0" shrinkToFit="false"/>
      <protection locked="true" hidden="false"/>
    </xf>
    <xf numFmtId="164" fontId="14" fillId="16" borderId="135" xfId="0" applyFont="true" applyBorder="true" applyAlignment="true" applyProtection="false">
      <alignment horizontal="center" vertical="center" textRotation="0" wrapText="false" indent="0" shrinkToFit="false"/>
      <protection locked="true" hidden="false"/>
    </xf>
    <xf numFmtId="164" fontId="52" fillId="18" borderId="110" xfId="0" applyFont="true" applyBorder="true" applyAlignment="true" applyProtection="false">
      <alignment horizontal="center" vertical="center" textRotation="0" wrapText="true" indent="0" shrinkToFit="false"/>
      <protection locked="true" hidden="false"/>
    </xf>
    <xf numFmtId="175" fontId="52" fillId="18" borderId="110" xfId="0" applyFont="true" applyBorder="true" applyAlignment="true" applyProtection="false">
      <alignment horizontal="center" vertical="center" textRotation="0" wrapText="true" indent="0" shrinkToFit="false"/>
      <protection locked="true" hidden="false"/>
    </xf>
    <xf numFmtId="164" fontId="52" fillId="17" borderId="110" xfId="0" applyFont="true" applyBorder="true" applyAlignment="true" applyProtection="false">
      <alignment horizontal="center" vertical="center" textRotation="0" wrapText="true" indent="0" shrinkToFit="false"/>
      <protection locked="true" hidden="false"/>
    </xf>
    <xf numFmtId="175" fontId="52" fillId="17" borderId="110" xfId="0" applyFont="true" applyBorder="true" applyAlignment="true" applyProtection="false">
      <alignment horizontal="center" vertical="center" textRotation="0" wrapText="true" indent="0" shrinkToFit="false"/>
      <protection locked="true" hidden="false"/>
    </xf>
    <xf numFmtId="164" fontId="14" fillId="16" borderId="136" xfId="0" applyFont="true" applyBorder="true" applyAlignment="true" applyProtection="false">
      <alignment horizontal="center" vertical="center" textRotation="0" wrapText="false" indent="0" shrinkToFit="false"/>
      <protection locked="true" hidden="false"/>
    </xf>
    <xf numFmtId="176" fontId="14" fillId="16" borderId="137" xfId="0" applyFont="true" applyBorder="true" applyAlignment="true" applyProtection="false">
      <alignment horizontal="center" vertical="center" textRotation="0" wrapText="false" indent="0" shrinkToFit="false"/>
      <protection locked="true" hidden="false"/>
    </xf>
    <xf numFmtId="177" fontId="9" fillId="4" borderId="37" xfId="0" applyFont="true" applyBorder="true" applyAlignment="true" applyProtection="false">
      <alignment horizontal="center" vertical="center" textRotation="0" wrapText="false" indent="0" shrinkToFit="false"/>
      <protection locked="true" hidden="false"/>
    </xf>
    <xf numFmtId="164" fontId="9" fillId="4" borderId="64" xfId="0" applyFont="true" applyBorder="true" applyAlignment="true" applyProtection="false">
      <alignment horizontal="center" vertical="center" textRotation="0" wrapText="false" indent="0" shrinkToFit="false"/>
      <protection locked="true" hidden="false"/>
    </xf>
    <xf numFmtId="177" fontId="9" fillId="6" borderId="51" xfId="0" applyFont="true" applyBorder="true" applyAlignment="true" applyProtection="false">
      <alignment horizontal="center" vertical="center" textRotation="0" wrapText="false" indent="0" shrinkToFit="false"/>
      <protection locked="true" hidden="false"/>
    </xf>
    <xf numFmtId="178" fontId="39" fillId="4" borderId="35" xfId="0" applyFont="true" applyBorder="true" applyAlignment="true" applyProtection="false">
      <alignment horizontal="center" vertical="center" textRotation="0" wrapText="false" indent="0" shrinkToFit="false"/>
      <protection locked="true" hidden="false"/>
    </xf>
    <xf numFmtId="178" fontId="39" fillId="6" borderId="35" xfId="0" applyFont="true" applyBorder="true" applyAlignment="true" applyProtection="false">
      <alignment horizontal="center" vertical="center" textRotation="0" wrapText="false" indent="0" shrinkToFit="false"/>
      <protection locked="true" hidden="false"/>
    </xf>
    <xf numFmtId="165" fontId="39" fillId="6" borderId="35" xfId="0" applyFont="true" applyBorder="true" applyAlignment="true" applyProtection="false">
      <alignment horizontal="center" vertical="center" textRotation="0" wrapText="false" indent="0" shrinkToFit="false"/>
      <protection locked="true" hidden="false"/>
    </xf>
    <xf numFmtId="166" fontId="39" fillId="20" borderId="35" xfId="0" applyFont="true" applyBorder="true" applyAlignment="true" applyProtection="false">
      <alignment horizontal="center" vertical="center" textRotation="0" wrapText="true" indent="0" shrinkToFit="false"/>
      <protection locked="true" hidden="false"/>
    </xf>
    <xf numFmtId="164" fontId="39" fillId="8" borderId="138" xfId="0" applyFont="true" applyBorder="true" applyAlignment="true" applyProtection="false">
      <alignment horizontal="center" vertical="center" textRotation="0" wrapText="true" indent="0" shrinkToFit="false"/>
      <protection locked="true" hidden="false"/>
    </xf>
    <xf numFmtId="164" fontId="39" fillId="8" borderId="51" xfId="0" applyFont="true" applyBorder="true" applyAlignment="true" applyProtection="false">
      <alignment horizontal="center" vertical="center" textRotation="0" wrapText="true" indent="0" shrinkToFit="false"/>
      <protection locked="true" hidden="false"/>
    </xf>
    <xf numFmtId="164" fontId="39" fillId="9" borderId="0" xfId="0" applyFont="true" applyBorder="false" applyAlignment="true" applyProtection="false">
      <alignment horizontal="center" vertical="bottom" textRotation="0" wrapText="false" indent="0" shrinkToFit="false"/>
      <protection locked="true" hidden="false"/>
    </xf>
    <xf numFmtId="165" fontId="40" fillId="11" borderId="35" xfId="0" applyFont="true" applyBorder="true" applyAlignment="true" applyProtection="false">
      <alignment horizontal="center" vertical="center" textRotation="0" wrapText="false" indent="0" shrinkToFit="false"/>
      <protection locked="true" hidden="false"/>
    </xf>
    <xf numFmtId="164" fontId="37" fillId="16" borderId="139" xfId="0" applyFont="true" applyBorder="true" applyAlignment="true" applyProtection="false">
      <alignment horizontal="center" vertical="center" textRotation="0" wrapText="false" indent="0" shrinkToFit="false"/>
      <protection locked="true" hidden="false"/>
    </xf>
    <xf numFmtId="164" fontId="58" fillId="18" borderId="71" xfId="0" applyFont="true" applyBorder="true" applyAlignment="true" applyProtection="false">
      <alignment horizontal="center" vertical="center" textRotation="0" wrapText="false" indent="0" shrinkToFit="false"/>
      <protection locked="true" hidden="false"/>
    </xf>
    <xf numFmtId="164" fontId="58" fillId="17" borderId="68" xfId="0" applyFont="true" applyBorder="true" applyAlignment="true" applyProtection="false">
      <alignment horizontal="center" vertical="center" textRotation="0" wrapText="false" indent="0" shrinkToFit="false"/>
      <protection locked="true" hidden="false"/>
    </xf>
    <xf numFmtId="164" fontId="58" fillId="18" borderId="68" xfId="0" applyFont="true" applyBorder="true" applyAlignment="true" applyProtection="false">
      <alignment horizontal="center" vertical="center" textRotation="0" wrapText="false" indent="0" shrinkToFit="false"/>
      <protection locked="true" hidden="false"/>
    </xf>
    <xf numFmtId="164" fontId="58" fillId="18" borderId="75" xfId="0" applyFont="true" applyBorder="true" applyAlignment="true" applyProtection="false">
      <alignment horizontal="center" vertical="center" textRotation="0" wrapText="false" indent="0" shrinkToFit="false"/>
      <protection locked="true" hidden="false"/>
    </xf>
    <xf numFmtId="164" fontId="14" fillId="16" borderId="140" xfId="0" applyFont="true" applyBorder="true" applyAlignment="true" applyProtection="false">
      <alignment horizontal="center" vertical="center" textRotation="0" wrapText="false" indent="0" shrinkToFit="false"/>
      <protection locked="true" hidden="false"/>
    </xf>
    <xf numFmtId="164" fontId="56" fillId="17" borderId="141" xfId="0" applyFont="true" applyBorder="true" applyAlignment="true" applyProtection="false">
      <alignment horizontal="center" vertical="center" textRotation="0" wrapText="false" indent="0" shrinkToFit="false"/>
      <protection locked="true" hidden="false"/>
    </xf>
    <xf numFmtId="164" fontId="38" fillId="16" borderId="142" xfId="0" applyFont="true" applyBorder="true" applyAlignment="true" applyProtection="false">
      <alignment horizontal="center" vertical="center" textRotation="0" wrapText="false" indent="0" shrinkToFit="false"/>
      <protection locked="true" hidden="false"/>
    </xf>
    <xf numFmtId="164" fontId="14" fillId="16" borderId="143" xfId="0" applyFont="true" applyBorder="true" applyAlignment="true" applyProtection="false">
      <alignment horizontal="center" vertical="center" textRotation="0" wrapText="false" indent="0" shrinkToFit="false"/>
      <protection locked="true" hidden="false"/>
    </xf>
    <xf numFmtId="164" fontId="14" fillId="16" borderId="144" xfId="0" applyFont="true" applyBorder="true" applyAlignment="true" applyProtection="false">
      <alignment horizontal="center" vertical="center" textRotation="0" wrapText="false" indent="0" shrinkToFit="false"/>
      <protection locked="true" hidden="false"/>
    </xf>
    <xf numFmtId="164" fontId="37" fillId="16" borderId="145" xfId="0" applyFont="true" applyBorder="true" applyAlignment="true" applyProtection="false">
      <alignment horizontal="center" vertical="center" textRotation="0" wrapText="false" indent="0" shrinkToFit="false"/>
      <protection locked="true" hidden="false"/>
    </xf>
    <xf numFmtId="164" fontId="14" fillId="16" borderId="146" xfId="0" applyFont="true" applyBorder="true" applyAlignment="true" applyProtection="false">
      <alignment horizontal="center" vertical="center" textRotation="0" wrapText="false" indent="0" shrinkToFit="false"/>
      <protection locked="true" hidden="false"/>
    </xf>
    <xf numFmtId="169" fontId="52" fillId="18" borderId="110" xfId="0" applyFont="true" applyBorder="true" applyAlignment="true" applyProtection="false">
      <alignment horizontal="center" vertical="center" textRotation="0" wrapText="true" indent="0" shrinkToFit="false"/>
      <protection locked="true" hidden="false"/>
    </xf>
    <xf numFmtId="165" fontId="62" fillId="6" borderId="35" xfId="0" applyFont="true" applyBorder="true" applyAlignment="true" applyProtection="false">
      <alignment horizontal="center" vertical="center" textRotation="0" wrapText="false" indent="0" shrinkToFit="false"/>
      <protection locked="true" hidden="false"/>
    </xf>
    <xf numFmtId="165" fontId="63" fillId="4" borderId="35" xfId="0" applyFont="true" applyBorder="true" applyAlignment="true" applyProtection="false">
      <alignment horizontal="center" vertical="center" textRotation="0" wrapText="false" indent="0" shrinkToFit="false"/>
      <protection locked="true" hidden="false"/>
    </xf>
    <xf numFmtId="164" fontId="51" fillId="4" borderId="35" xfId="0" applyFont="true" applyBorder="true" applyAlignment="true" applyProtection="false">
      <alignment horizontal="center" vertical="center" textRotation="0" wrapText="false" indent="0" shrinkToFit="false"/>
      <protection locked="true" hidden="false"/>
    </xf>
    <xf numFmtId="165" fontId="51" fillId="6" borderId="35" xfId="0" applyFont="true" applyBorder="true" applyAlignment="true" applyProtection="false">
      <alignment horizontal="center" vertical="center" textRotation="0" wrapText="false" indent="0" shrinkToFit="false"/>
      <protection locked="true" hidden="false"/>
    </xf>
    <xf numFmtId="165" fontId="51" fillId="4" borderId="35" xfId="0" applyFont="true" applyBorder="true" applyAlignment="true" applyProtection="false">
      <alignment horizontal="center" vertical="center" textRotation="0" wrapText="false" indent="0" shrinkToFit="false"/>
      <protection locked="true" hidden="false"/>
    </xf>
    <xf numFmtId="165" fontId="54" fillId="6" borderId="35" xfId="0" applyFont="true" applyBorder="true" applyAlignment="true" applyProtection="false">
      <alignment horizontal="center" vertical="center" textRotation="0" wrapText="false" indent="0" shrinkToFit="false"/>
      <protection locked="true" hidden="false"/>
    </xf>
    <xf numFmtId="166" fontId="39" fillId="6" borderId="36" xfId="0" applyFont="true" applyBorder="true" applyAlignment="true" applyProtection="false">
      <alignment horizontal="center" vertical="center" textRotation="0" wrapText="true" indent="0" shrinkToFit="false"/>
      <protection locked="true" hidden="false"/>
    </xf>
    <xf numFmtId="166" fontId="39" fillId="4" borderId="36" xfId="0" applyFont="true" applyBorder="true" applyAlignment="true" applyProtection="false">
      <alignment horizontal="center" vertical="center" textRotation="0" wrapText="true" indent="0" shrinkToFit="false"/>
      <protection locked="true" hidden="false"/>
    </xf>
    <xf numFmtId="177" fontId="39" fillId="6" borderId="35" xfId="0" applyFont="true" applyBorder="true" applyAlignment="true" applyProtection="false">
      <alignment horizontal="center" vertical="center" textRotation="0" wrapText="false" indent="0" shrinkToFit="false"/>
      <protection locked="true" hidden="false"/>
    </xf>
    <xf numFmtId="164" fontId="61" fillId="4" borderId="0" xfId="0" applyFont="true" applyBorder="false" applyAlignment="true" applyProtection="false">
      <alignment horizontal="center" vertical="bottom" textRotation="0" wrapText="false" indent="0" shrinkToFit="false"/>
      <protection locked="true" hidden="false"/>
    </xf>
    <xf numFmtId="164" fontId="60" fillId="6" borderId="0" xfId="0" applyFont="true" applyBorder="false" applyAlignment="false" applyProtection="false">
      <alignment horizontal="general" vertical="bottom" textRotation="0" wrapText="false" indent="0" shrinkToFit="false"/>
      <protection locked="true" hidden="false"/>
    </xf>
    <xf numFmtId="165" fontId="39" fillId="4" borderId="35" xfId="0" applyFont="true" applyBorder="true" applyAlignment="true" applyProtection="false">
      <alignment horizontal="center" vertical="center" textRotation="0" wrapText="true" indent="0" shrinkToFit="false"/>
      <protection locked="true" hidden="false"/>
    </xf>
    <xf numFmtId="180" fontId="9" fillId="4" borderId="35" xfId="0" applyFont="true" applyBorder="true" applyAlignment="true" applyProtection="false">
      <alignment horizontal="center" vertical="center" textRotation="0" wrapText="false" indent="0" shrinkToFit="false"/>
      <protection locked="true" hidden="false"/>
    </xf>
    <xf numFmtId="180" fontId="9" fillId="6" borderId="35" xfId="0" applyFont="true" applyBorder="true" applyAlignment="true" applyProtection="false">
      <alignment horizontal="center" vertical="center" textRotation="0" wrapText="false" indent="0" shrinkToFit="false"/>
      <protection locked="true" hidden="false"/>
    </xf>
    <xf numFmtId="164" fontId="14" fillId="16" borderId="147" xfId="0" applyFont="true" applyBorder="true" applyAlignment="true" applyProtection="false">
      <alignment horizontal="center" vertical="center" textRotation="0" wrapText="false" indent="0" shrinkToFit="false"/>
      <protection locked="true" hidden="false"/>
    </xf>
    <xf numFmtId="165" fontId="64" fillId="6" borderId="35" xfId="0" applyFont="true" applyBorder="true" applyAlignment="true" applyProtection="false">
      <alignment horizontal="center" vertical="center" textRotation="0" wrapText="false" indent="0" shrinkToFit="false"/>
      <protection locked="true" hidden="false"/>
    </xf>
    <xf numFmtId="164" fontId="51" fillId="6" borderId="35" xfId="0" applyFont="true" applyBorder="true" applyAlignment="true" applyProtection="false">
      <alignment horizontal="center" vertical="center" textRotation="0" wrapText="true" indent="0" shrinkToFit="false"/>
      <protection locked="true" hidden="false"/>
    </xf>
    <xf numFmtId="164" fontId="9" fillId="8" borderId="35" xfId="0" applyFont="true" applyBorder="true" applyAlignment="true" applyProtection="false">
      <alignment horizontal="center" vertical="center" textRotation="0" wrapText="true" indent="0" shrinkToFit="false"/>
      <protection locked="true" hidden="false"/>
    </xf>
    <xf numFmtId="164" fontId="39" fillId="8" borderId="0" xfId="0" applyFont="true" applyBorder="false" applyAlignment="true" applyProtection="false">
      <alignment horizontal="center" vertical="bottom" textRotation="0" wrapText="false" indent="0" shrinkToFit="false"/>
      <protection locked="true" hidden="false"/>
    </xf>
    <xf numFmtId="165" fontId="65" fillId="6" borderId="35" xfId="0" applyFont="true" applyBorder="true" applyAlignment="true" applyProtection="false">
      <alignment horizontal="center" vertical="center" textRotation="0" wrapText="false" indent="0" shrinkToFit="false"/>
      <protection locked="true" hidden="false"/>
    </xf>
    <xf numFmtId="173" fontId="39" fillId="4" borderId="35" xfId="0" applyFont="true" applyBorder="true" applyAlignment="true" applyProtection="false">
      <alignment horizontal="center" vertical="center" textRotation="0" wrapText="false" indent="0" shrinkToFit="false"/>
      <protection locked="true" hidden="false"/>
    </xf>
    <xf numFmtId="164" fontId="39" fillId="5" borderId="0" xfId="0" applyFont="true" applyBorder="false" applyAlignment="true" applyProtection="false">
      <alignment horizontal="center" vertical="bottom" textRotation="0" wrapText="false" indent="0" shrinkToFit="false"/>
      <protection locked="true" hidden="false"/>
    </xf>
    <xf numFmtId="165" fontId="40" fillId="4" borderId="42" xfId="0" applyFont="true" applyBorder="true" applyAlignment="true" applyProtection="false">
      <alignment horizontal="center" vertical="center" textRotation="0" wrapText="false" indent="0" shrinkToFit="false"/>
      <protection locked="true" hidden="false"/>
    </xf>
    <xf numFmtId="165" fontId="40" fillId="6" borderId="37" xfId="0" applyFont="true" applyBorder="true" applyAlignment="true" applyProtection="false">
      <alignment horizontal="center" vertical="center" textRotation="0" wrapText="false" indent="0" shrinkToFit="false"/>
      <protection locked="true" hidden="false"/>
    </xf>
    <xf numFmtId="165" fontId="40" fillId="4" borderId="51" xfId="0" applyFont="true" applyBorder="true" applyAlignment="true" applyProtection="false">
      <alignment horizontal="center" vertical="center" textRotation="0" wrapText="false" indent="0" shrinkToFit="false"/>
      <protection locked="true" hidden="false"/>
    </xf>
    <xf numFmtId="165" fontId="56" fillId="18" borderId="68" xfId="0" applyFont="true" applyBorder="true" applyAlignment="true" applyProtection="false">
      <alignment horizontal="center" vertical="center" textRotation="0" wrapText="false" indent="0" shrinkToFit="false"/>
      <protection locked="true" hidden="false"/>
    </xf>
    <xf numFmtId="172" fontId="52" fillId="18" borderId="68" xfId="0" applyFont="true" applyBorder="true" applyAlignment="true" applyProtection="false">
      <alignment horizontal="center" vertical="center" textRotation="0" wrapText="false" indent="0" shrinkToFit="false"/>
      <protection locked="true" hidden="false"/>
    </xf>
    <xf numFmtId="170" fontId="52" fillId="18" borderId="68" xfId="0" applyFont="true" applyBorder="true" applyAlignment="true" applyProtection="false">
      <alignment horizontal="center" vertical="center" textRotation="0" wrapText="false" indent="0" shrinkToFit="false"/>
      <protection locked="true" hidden="false"/>
    </xf>
    <xf numFmtId="164" fontId="52" fillId="18" borderId="68" xfId="0" applyFont="true" applyBorder="true" applyAlignment="true" applyProtection="false">
      <alignment horizontal="center" vertical="center" textRotation="0" wrapText="false" indent="0" shrinkToFit="false"/>
      <protection locked="true" hidden="false"/>
    </xf>
    <xf numFmtId="177" fontId="52" fillId="18" borderId="68" xfId="0" applyFont="true" applyBorder="true" applyAlignment="true" applyProtection="false">
      <alignment horizontal="center" vertical="center" textRotation="0" wrapText="false" indent="0" shrinkToFit="false"/>
      <protection locked="true" hidden="false"/>
    </xf>
    <xf numFmtId="164" fontId="52" fillId="18" borderId="148" xfId="0" applyFont="true" applyBorder="true" applyAlignment="true" applyProtection="false">
      <alignment horizontal="center" vertical="center" textRotation="0" wrapText="false" indent="0" shrinkToFit="false"/>
      <protection locked="true" hidden="false"/>
    </xf>
    <xf numFmtId="171" fontId="52" fillId="18" borderId="68" xfId="0" applyFont="true" applyBorder="true" applyAlignment="true" applyProtection="false">
      <alignment horizontal="center" vertical="center" textRotation="0" wrapText="false" indent="0" shrinkToFit="false"/>
      <protection locked="true" hidden="false"/>
    </xf>
    <xf numFmtId="165" fontId="56" fillId="17" borderId="68" xfId="0" applyFont="true" applyBorder="true" applyAlignment="true" applyProtection="false">
      <alignment horizontal="center" vertical="center" textRotation="0" wrapText="false" indent="0" shrinkToFit="false"/>
      <protection locked="true" hidden="false"/>
    </xf>
    <xf numFmtId="172" fontId="52" fillId="17" borderId="68" xfId="0" applyFont="true" applyBorder="true" applyAlignment="true" applyProtection="false">
      <alignment horizontal="center" vertical="center" textRotation="0" wrapText="true" indent="0" shrinkToFit="false"/>
      <protection locked="true" hidden="false"/>
    </xf>
    <xf numFmtId="172" fontId="52" fillId="17" borderId="68" xfId="0" applyFont="true" applyBorder="true" applyAlignment="true" applyProtection="false">
      <alignment horizontal="center" vertical="center" textRotation="0" wrapText="false" indent="0" shrinkToFit="false"/>
      <protection locked="true" hidden="false"/>
    </xf>
    <xf numFmtId="170" fontId="52" fillId="17" borderId="68" xfId="0" applyFont="true" applyBorder="true" applyAlignment="true" applyProtection="false">
      <alignment horizontal="center" vertical="center" textRotation="0" wrapText="false" indent="0" shrinkToFit="false"/>
      <protection locked="true" hidden="false"/>
    </xf>
    <xf numFmtId="164" fontId="52" fillId="17" borderId="68" xfId="0" applyFont="true" applyBorder="true" applyAlignment="true" applyProtection="false">
      <alignment horizontal="center" vertical="center" textRotation="0" wrapText="false" indent="0" shrinkToFit="false"/>
      <protection locked="true" hidden="false"/>
    </xf>
    <xf numFmtId="177" fontId="52" fillId="17" borderId="68" xfId="0" applyFont="true" applyBorder="true" applyAlignment="true" applyProtection="false">
      <alignment horizontal="center" vertical="center" textRotation="0" wrapText="false" indent="0" shrinkToFit="false"/>
      <protection locked="true" hidden="false"/>
    </xf>
    <xf numFmtId="164" fontId="52" fillId="17" borderId="149" xfId="0" applyFont="true" applyBorder="true" applyAlignment="true" applyProtection="false">
      <alignment horizontal="center" vertical="center" textRotation="0" wrapText="false" indent="0" shrinkToFit="false"/>
      <protection locked="true" hidden="false"/>
    </xf>
    <xf numFmtId="171" fontId="52" fillId="17" borderId="68" xfId="0" applyFont="true" applyBorder="true" applyAlignment="true" applyProtection="false">
      <alignment horizontal="center" vertical="center" textRotation="0" wrapText="false" indent="0" shrinkToFit="false"/>
      <protection locked="true" hidden="false"/>
    </xf>
    <xf numFmtId="164" fontId="52" fillId="18" borderId="149" xfId="0" applyFont="true" applyBorder="true" applyAlignment="true" applyProtection="false">
      <alignment horizontal="center" vertical="center" textRotation="0" wrapText="false" indent="0" shrinkToFit="false"/>
      <protection locked="true" hidden="false"/>
    </xf>
    <xf numFmtId="172" fontId="52" fillId="18" borderId="68" xfId="0" applyFont="true" applyBorder="true" applyAlignment="true" applyProtection="false">
      <alignment horizontal="center" vertical="center" textRotation="0" wrapText="true" indent="0" shrinkToFit="false"/>
      <protection locked="true" hidden="false"/>
    </xf>
    <xf numFmtId="164" fontId="52" fillId="12" borderId="149" xfId="0" applyFont="true" applyBorder="true" applyAlignment="true" applyProtection="false">
      <alignment horizontal="center" vertical="bottom" textRotation="0" wrapText="false" indent="0" shrinkToFit="false"/>
      <protection locked="true" hidden="false"/>
    </xf>
    <xf numFmtId="177" fontId="52" fillId="18" borderId="68" xfId="0" applyFont="true" applyBorder="true" applyAlignment="true" applyProtection="false">
      <alignment horizontal="center" vertical="center" textRotation="0" wrapText="true" indent="0" shrinkToFit="false"/>
      <protection locked="true" hidden="false"/>
    </xf>
    <xf numFmtId="164" fontId="52" fillId="19" borderId="149" xfId="0" applyFont="true" applyBorder="true" applyAlignment="true" applyProtection="false">
      <alignment horizontal="center" vertical="center" textRotation="0" wrapText="true" indent="0" shrinkToFit="false"/>
      <protection locked="true" hidden="false"/>
    </xf>
    <xf numFmtId="167" fontId="56" fillId="17" borderId="71" xfId="0" applyFont="true" applyBorder="true" applyAlignment="true" applyProtection="false">
      <alignment horizontal="center" vertical="center" textRotation="0" wrapText="false" indent="0" shrinkToFit="false"/>
      <protection locked="true" hidden="false"/>
    </xf>
    <xf numFmtId="167" fontId="56" fillId="18" borderId="75" xfId="0" applyFont="true" applyBorder="true" applyAlignment="true" applyProtection="false">
      <alignment horizontal="center" vertical="center" textRotation="0" wrapText="false" indent="0" shrinkToFit="false"/>
      <protection locked="true" hidden="false"/>
    </xf>
    <xf numFmtId="164" fontId="52" fillId="10" borderId="150" xfId="0" applyFont="true" applyBorder="true" applyAlignment="true" applyProtection="false">
      <alignment horizontal="center" vertical="center" textRotation="0" wrapText="false" indent="0" shrinkToFit="false"/>
      <protection locked="true" hidden="false"/>
    </xf>
    <xf numFmtId="174" fontId="52" fillId="10" borderId="150" xfId="0" applyFont="true" applyBorder="true" applyAlignment="true" applyProtection="false">
      <alignment horizontal="center" vertical="center" textRotation="0" wrapText="false" indent="0" shrinkToFit="false"/>
      <protection locked="true" hidden="false"/>
    </xf>
    <xf numFmtId="174" fontId="52" fillId="10" borderId="110" xfId="0" applyFont="true" applyBorder="true" applyAlignment="true" applyProtection="false">
      <alignment horizontal="center" vertical="center" textRotation="0" wrapText="false" indent="0" shrinkToFit="false"/>
      <protection locked="true" hidden="false"/>
    </xf>
    <xf numFmtId="174" fontId="52" fillId="11" borderId="110" xfId="0" applyFont="true" applyBorder="true" applyAlignment="true" applyProtection="false">
      <alignment horizontal="center" vertical="center" textRotation="0" wrapText="false" indent="0" shrinkToFit="false"/>
      <protection locked="true" hidden="false"/>
    </xf>
    <xf numFmtId="174" fontId="52" fillId="12" borderId="110" xfId="0" applyFont="true" applyBorder="true" applyAlignment="true" applyProtection="false">
      <alignment horizontal="center" vertical="center" textRotation="0" wrapText="false" indent="0" shrinkToFit="false"/>
      <protection locked="true" hidden="false"/>
    </xf>
    <xf numFmtId="174" fontId="52" fillId="19" borderId="110" xfId="0" applyFont="true" applyBorder="true" applyAlignment="true" applyProtection="false">
      <alignment horizontal="center" vertical="center" textRotation="0" wrapText="false" indent="0" shrinkToFit="false"/>
      <protection locked="true" hidden="false"/>
    </xf>
    <xf numFmtId="177" fontId="52" fillId="18" borderId="68" xfId="0" applyFont="true" applyBorder="true" applyAlignment="true" applyProtection="false">
      <alignment horizontal="center" vertical="bottom" textRotation="0" wrapText="false" indent="0" shrinkToFit="false"/>
      <protection locked="true" hidden="false"/>
    </xf>
    <xf numFmtId="164" fontId="52" fillId="0" borderId="151" xfId="0" applyFont="true" applyBorder="true" applyAlignment="true" applyProtection="false">
      <alignment horizontal="center" vertical="center" textRotation="0" wrapText="false" indent="0" shrinkToFit="false"/>
      <protection locked="true" hidden="false"/>
    </xf>
    <xf numFmtId="174" fontId="52" fillId="0" borderId="151" xfId="0" applyFont="true" applyBorder="true" applyAlignment="true" applyProtection="false">
      <alignment horizontal="center" vertical="center" textRotation="0" wrapText="false" indent="0" shrinkToFit="false"/>
      <protection locked="true" hidden="false"/>
    </xf>
    <xf numFmtId="164" fontId="52" fillId="17" borderId="71" xfId="0" applyFont="true" applyBorder="true" applyAlignment="true" applyProtection="false">
      <alignment horizontal="center" vertical="center" textRotation="0" wrapText="true" indent="0" shrinkToFit="false"/>
      <protection locked="true" hidden="false"/>
    </xf>
    <xf numFmtId="176" fontId="52" fillId="18" borderId="110" xfId="0" applyFont="true" applyBorder="true" applyAlignment="true" applyProtection="false">
      <alignment horizontal="center" vertical="center" textRotation="0" wrapText="true" indent="0" shrinkToFit="false"/>
      <protection locked="true" hidden="false"/>
    </xf>
    <xf numFmtId="176" fontId="52" fillId="17" borderId="110" xfId="0" applyFont="true" applyBorder="true" applyAlignment="true" applyProtection="false">
      <alignment horizontal="center" vertical="center" textRotation="0" wrapText="true" indent="0" shrinkToFit="false"/>
      <protection locked="true" hidden="false"/>
    </xf>
    <xf numFmtId="172" fontId="52" fillId="17" borderId="68" xfId="0" applyFont="true" applyBorder="true" applyAlignment="true" applyProtection="false">
      <alignment horizontal="center" vertical="bottom" textRotation="0" wrapText="false" indent="0" shrinkToFit="false"/>
      <protection locked="true" hidden="false"/>
    </xf>
    <xf numFmtId="170" fontId="52" fillId="17" borderId="68" xfId="0" applyFont="true" applyBorder="true" applyAlignment="true" applyProtection="false">
      <alignment horizontal="center" vertical="bottom" textRotation="0" wrapText="false" indent="0" shrinkToFit="false"/>
      <protection locked="true" hidden="false"/>
    </xf>
    <xf numFmtId="164" fontId="52" fillId="17" borderId="68" xfId="0" applyFont="true" applyBorder="true" applyAlignment="true" applyProtection="false">
      <alignment horizontal="center" vertical="bottom" textRotation="0" wrapText="true" indent="0" shrinkToFit="false"/>
      <protection locked="true" hidden="false"/>
    </xf>
    <xf numFmtId="164" fontId="52" fillId="17" borderId="68" xfId="0" applyFont="true" applyBorder="true" applyAlignment="true" applyProtection="false">
      <alignment horizontal="center" vertical="bottom" textRotation="0" wrapText="false" indent="0" shrinkToFit="false"/>
      <protection locked="true" hidden="false"/>
    </xf>
    <xf numFmtId="177" fontId="52" fillId="17" borderId="68" xfId="0" applyFont="true" applyBorder="true" applyAlignment="true" applyProtection="false">
      <alignment horizontal="center" vertical="bottom" textRotation="0" wrapText="false" indent="0" shrinkToFit="false"/>
      <protection locked="true" hidden="false"/>
    </xf>
    <xf numFmtId="172" fontId="52" fillId="17" borderId="152" xfId="0" applyFont="true" applyBorder="true" applyAlignment="true" applyProtection="false">
      <alignment horizontal="center" vertical="center" textRotation="0" wrapText="false" indent="0" shrinkToFit="false"/>
      <protection locked="true" hidden="false"/>
    </xf>
    <xf numFmtId="170" fontId="52" fillId="17" borderId="86" xfId="0" applyFont="true" applyBorder="true" applyAlignment="true" applyProtection="false">
      <alignment horizontal="center" vertical="center" textRotation="0" wrapText="false" indent="0" shrinkToFit="false"/>
      <protection locked="true" hidden="false"/>
    </xf>
    <xf numFmtId="172" fontId="52" fillId="17" borderId="98" xfId="0" applyFont="true" applyBorder="true" applyAlignment="true" applyProtection="false">
      <alignment horizontal="center" vertical="center" textRotation="0" wrapText="true" indent="0" shrinkToFit="false"/>
      <protection locked="true" hidden="false"/>
    </xf>
    <xf numFmtId="172" fontId="52" fillId="17" borderId="153" xfId="0" applyFont="true" applyBorder="true" applyAlignment="true" applyProtection="false">
      <alignment horizontal="center" vertical="center" textRotation="0" wrapText="false" indent="0" shrinkToFit="false"/>
      <protection locked="true" hidden="false"/>
    </xf>
    <xf numFmtId="170" fontId="52" fillId="17" borderId="154" xfId="0" applyFont="true" applyBorder="true" applyAlignment="true" applyProtection="false">
      <alignment horizontal="center" vertical="center" textRotation="0" wrapText="false" indent="0" shrinkToFit="false"/>
      <protection locked="true" hidden="false"/>
    </xf>
    <xf numFmtId="164" fontId="52" fillId="17" borderId="155" xfId="0" applyFont="true" applyBorder="true" applyAlignment="true" applyProtection="false">
      <alignment horizontal="center" vertical="center" textRotation="0" wrapText="true" indent="0" shrinkToFit="false"/>
      <protection locked="true" hidden="false"/>
    </xf>
    <xf numFmtId="164" fontId="52" fillId="17" borderId="98" xfId="0" applyFont="true" applyBorder="true" applyAlignment="true" applyProtection="false">
      <alignment horizontal="center" vertical="center" textRotation="0" wrapText="false" indent="0" shrinkToFit="false"/>
      <protection locked="true" hidden="false"/>
    </xf>
    <xf numFmtId="164" fontId="52" fillId="17" borderId="98" xfId="0" applyFont="true" applyBorder="true" applyAlignment="true" applyProtection="false">
      <alignment horizontal="center" vertical="center" textRotation="0" wrapText="true" indent="0" shrinkToFit="false"/>
      <protection locked="true" hidden="false"/>
    </xf>
    <xf numFmtId="177" fontId="52" fillId="17" borderId="98" xfId="0" applyFont="true" applyBorder="true" applyAlignment="true" applyProtection="false">
      <alignment horizontal="center" vertical="center" textRotation="0" wrapText="false" indent="0" shrinkToFit="false"/>
      <protection locked="true" hidden="false"/>
    </xf>
    <xf numFmtId="165" fontId="56" fillId="17" borderId="153" xfId="0" applyFont="true" applyBorder="true" applyAlignment="true" applyProtection="false">
      <alignment horizontal="center" vertical="center" textRotation="0" wrapText="false" indent="0" shrinkToFit="false"/>
      <protection locked="true" hidden="false"/>
    </xf>
    <xf numFmtId="172" fontId="52" fillId="17" borderId="154" xfId="0" applyFont="true" applyBorder="true" applyAlignment="true" applyProtection="false">
      <alignment horizontal="center" vertical="center" textRotation="0" wrapText="true" indent="0" shrinkToFit="false"/>
      <protection locked="true" hidden="false"/>
    </xf>
    <xf numFmtId="172" fontId="52" fillId="17" borderId="154" xfId="0" applyFont="true" applyBorder="true" applyAlignment="true" applyProtection="false">
      <alignment horizontal="center" vertical="center" textRotation="0" wrapText="false" indent="0" shrinkToFit="false"/>
      <protection locked="true" hidden="false"/>
    </xf>
    <xf numFmtId="165" fontId="56" fillId="18" borderId="156" xfId="0" applyFont="true" applyBorder="true" applyAlignment="true" applyProtection="false">
      <alignment horizontal="center" vertical="center" textRotation="0" wrapText="false" indent="0" shrinkToFit="false"/>
      <protection locked="true" hidden="false"/>
    </xf>
    <xf numFmtId="172" fontId="52" fillId="18" borderId="157" xfId="0" applyFont="true" applyBorder="true" applyAlignment="true" applyProtection="false">
      <alignment horizontal="center" vertical="center" textRotation="0" wrapText="true" indent="0" shrinkToFit="false"/>
      <protection locked="true" hidden="false"/>
    </xf>
    <xf numFmtId="172" fontId="52" fillId="18" borderId="157" xfId="0" applyFont="true" applyBorder="true" applyAlignment="true" applyProtection="false">
      <alignment horizontal="center" vertical="center" textRotation="0" wrapText="false" indent="0" shrinkToFit="false"/>
      <protection locked="true" hidden="false"/>
    </xf>
    <xf numFmtId="170" fontId="52" fillId="18" borderId="157" xfId="0" applyFont="true" applyBorder="true" applyAlignment="true" applyProtection="false">
      <alignment horizontal="center" vertical="center" textRotation="0" wrapText="false" indent="0" shrinkToFit="false"/>
      <protection locked="true" hidden="false"/>
    </xf>
    <xf numFmtId="164" fontId="52" fillId="18" borderId="157" xfId="0" applyFont="true" applyBorder="true" applyAlignment="true" applyProtection="false">
      <alignment horizontal="center" vertical="center" textRotation="0" wrapText="false" indent="0" shrinkToFit="false"/>
      <protection locked="true" hidden="false"/>
    </xf>
    <xf numFmtId="164" fontId="52" fillId="18" borderId="157" xfId="0" applyFont="true" applyBorder="true" applyAlignment="true" applyProtection="false">
      <alignment horizontal="center" vertical="center" textRotation="0" wrapText="true" indent="0" shrinkToFit="false"/>
      <protection locked="true" hidden="false"/>
    </xf>
    <xf numFmtId="177" fontId="52" fillId="18" borderId="157" xfId="0" applyFont="true" applyBorder="true" applyAlignment="true" applyProtection="false">
      <alignment horizontal="center" vertical="center" textRotation="0" wrapText="false" indent="0" shrinkToFit="false"/>
      <protection locked="true" hidden="false"/>
    </xf>
    <xf numFmtId="165" fontId="56" fillId="17" borderId="156" xfId="0" applyFont="true" applyBorder="true" applyAlignment="true" applyProtection="false">
      <alignment horizontal="center" vertical="center" textRotation="0" wrapText="false" indent="0" shrinkToFit="false"/>
      <protection locked="true" hidden="false"/>
    </xf>
    <xf numFmtId="172" fontId="52" fillId="17" borderId="157" xfId="0" applyFont="true" applyBorder="true" applyAlignment="true" applyProtection="false">
      <alignment horizontal="center" vertical="center" textRotation="0" wrapText="false" indent="0" shrinkToFit="false"/>
      <protection locked="true" hidden="false"/>
    </xf>
    <xf numFmtId="170" fontId="52" fillId="17" borderId="157" xfId="0" applyFont="true" applyBorder="true" applyAlignment="true" applyProtection="false">
      <alignment horizontal="center" vertical="center" textRotation="0" wrapText="false" indent="0" shrinkToFit="false"/>
      <protection locked="true" hidden="false"/>
    </xf>
    <xf numFmtId="164" fontId="52" fillId="17" borderId="157" xfId="0" applyFont="true" applyBorder="true" applyAlignment="true" applyProtection="false">
      <alignment horizontal="center" vertical="center" textRotation="0" wrapText="true" indent="0" shrinkToFit="false"/>
      <protection locked="true" hidden="false"/>
    </xf>
    <xf numFmtId="164" fontId="52" fillId="17" borderId="157" xfId="0" applyFont="true" applyBorder="true" applyAlignment="true" applyProtection="false">
      <alignment horizontal="center" vertical="center" textRotation="0" wrapText="false" indent="0" shrinkToFit="false"/>
      <protection locked="true" hidden="false"/>
    </xf>
    <xf numFmtId="177" fontId="52" fillId="17" borderId="157" xfId="0" applyFont="true" applyBorder="true" applyAlignment="true" applyProtection="false">
      <alignment horizontal="center" vertical="center" textRotation="0" wrapText="false" indent="0" shrinkToFit="false"/>
      <protection locked="true" hidden="false"/>
    </xf>
    <xf numFmtId="177" fontId="52" fillId="17" borderId="157" xfId="0" applyFont="true" applyBorder="true" applyAlignment="true" applyProtection="false">
      <alignment horizontal="center" vertical="bottom" textRotation="0" wrapText="false" indent="0" shrinkToFit="false"/>
      <protection locked="true" hidden="false"/>
    </xf>
    <xf numFmtId="173" fontId="52" fillId="17" borderId="157" xfId="0" applyFont="true" applyBorder="true" applyAlignment="true" applyProtection="false">
      <alignment horizontal="center" vertical="center" textRotation="0" wrapText="false" indent="0" shrinkToFit="false"/>
      <protection locked="true" hidden="false"/>
    </xf>
    <xf numFmtId="165" fontId="56" fillId="18" borderId="123" xfId="0" applyFont="true" applyBorder="true" applyAlignment="true" applyProtection="false">
      <alignment horizontal="center" vertical="center" textRotation="0" wrapText="false" indent="0" shrinkToFit="false"/>
      <protection locked="true" hidden="false"/>
    </xf>
    <xf numFmtId="172" fontId="52" fillId="18" borderId="158" xfId="0" applyFont="true" applyBorder="true" applyAlignment="true" applyProtection="false">
      <alignment horizontal="center" vertical="center" textRotation="0" wrapText="false" indent="0" shrinkToFit="false"/>
      <protection locked="true" hidden="false"/>
    </xf>
    <xf numFmtId="172" fontId="52" fillId="18" borderId="159" xfId="0" applyFont="true" applyBorder="true" applyAlignment="true" applyProtection="false">
      <alignment horizontal="center" vertical="center" textRotation="0" wrapText="false" indent="0" shrinkToFit="false"/>
      <protection locked="true" hidden="false"/>
    </xf>
    <xf numFmtId="177" fontId="52" fillId="18" borderId="159" xfId="0" applyFont="true" applyBorder="true" applyAlignment="true" applyProtection="false">
      <alignment horizontal="center" vertical="center" textRotation="0" wrapText="false" indent="0" shrinkToFit="false"/>
      <protection locked="true" hidden="false"/>
    </xf>
    <xf numFmtId="164" fontId="52" fillId="18" borderId="160" xfId="0" applyFont="true" applyBorder="true" applyAlignment="true" applyProtection="false">
      <alignment horizontal="center" vertical="center" textRotation="0" wrapText="false" indent="0" shrinkToFit="false"/>
      <protection locked="true" hidden="false"/>
    </xf>
    <xf numFmtId="164" fontId="52" fillId="18" borderId="123" xfId="0" applyFont="true" applyBorder="true" applyAlignment="true" applyProtection="false">
      <alignment horizontal="center" vertical="center" textRotation="0" wrapText="false" indent="0" shrinkToFit="false"/>
      <protection locked="true" hidden="false"/>
    </xf>
    <xf numFmtId="164" fontId="52" fillId="18" borderId="158" xfId="0" applyFont="true" applyBorder="true" applyAlignment="true" applyProtection="false">
      <alignment horizontal="center" vertical="center" textRotation="0" wrapText="true" indent="0" shrinkToFit="false"/>
      <protection locked="true" hidden="false"/>
    </xf>
    <xf numFmtId="172" fontId="52" fillId="17" borderId="86" xfId="0" applyFont="true" applyBorder="true" applyAlignment="true" applyProtection="false">
      <alignment horizontal="center" vertical="center" textRotation="0" wrapText="false" indent="0" shrinkToFit="false"/>
      <protection locked="true" hidden="false"/>
    </xf>
    <xf numFmtId="177" fontId="52" fillId="17" borderId="152" xfId="0" applyFont="true" applyBorder="true" applyAlignment="true" applyProtection="false">
      <alignment horizontal="center" vertical="center" textRotation="0" wrapText="false" indent="0" shrinkToFit="false"/>
      <protection locked="true" hidden="false"/>
    </xf>
    <xf numFmtId="164" fontId="52" fillId="17" borderId="86" xfId="0" applyFont="true" applyBorder="true" applyAlignment="true" applyProtection="false">
      <alignment horizontal="center" vertical="center" textRotation="0" wrapText="true" indent="0" shrinkToFit="false"/>
      <protection locked="true" hidden="false"/>
    </xf>
    <xf numFmtId="172" fontId="52" fillId="18" borderId="152" xfId="0" applyFont="true" applyBorder="true" applyAlignment="true" applyProtection="false">
      <alignment horizontal="center" vertical="center" textRotation="0" wrapText="false" indent="0" shrinkToFit="false"/>
      <protection locked="true" hidden="false"/>
    </xf>
    <xf numFmtId="172" fontId="52" fillId="18" borderId="86" xfId="0" applyFont="true" applyBorder="true" applyAlignment="true" applyProtection="false">
      <alignment horizontal="center" vertical="center" textRotation="0" wrapText="false" indent="0" shrinkToFit="false"/>
      <protection locked="true" hidden="false"/>
    </xf>
    <xf numFmtId="172" fontId="52" fillId="18" borderId="68" xfId="0" applyFont="true" applyBorder="true" applyAlignment="true" applyProtection="false">
      <alignment horizontal="center" vertical="bottom" textRotation="0" wrapText="false" indent="0" shrinkToFit="false"/>
      <protection locked="true" hidden="false"/>
    </xf>
    <xf numFmtId="164" fontId="52" fillId="18" borderId="68" xfId="0" applyFont="true" applyBorder="true" applyAlignment="true" applyProtection="false">
      <alignment horizontal="center" vertical="bottom" textRotation="0" wrapText="false" indent="0" shrinkToFit="false"/>
      <protection locked="true" hidden="false"/>
    </xf>
    <xf numFmtId="164" fontId="52" fillId="18" borderId="68" xfId="0" applyFont="true" applyBorder="true" applyAlignment="true" applyProtection="false">
      <alignment horizontal="center" vertical="bottom" textRotation="0" wrapText="true" indent="0" shrinkToFit="false"/>
      <protection locked="true" hidden="false"/>
    </xf>
    <xf numFmtId="164" fontId="52" fillId="18" borderId="157" xfId="0" applyFont="true" applyBorder="true" applyAlignment="true" applyProtection="false">
      <alignment horizontal="center" vertical="bottom" textRotation="0" wrapText="false" indent="0" shrinkToFit="false"/>
      <protection locked="true" hidden="false"/>
    </xf>
    <xf numFmtId="170" fontId="52" fillId="18" borderId="68" xfId="0" applyFont="true" applyBorder="true" applyAlignment="true" applyProtection="false">
      <alignment horizontal="center" vertical="bottom" textRotation="0" wrapText="false" indent="0" shrinkToFit="false"/>
      <protection locked="true" hidden="false"/>
    </xf>
    <xf numFmtId="164" fontId="52" fillId="21" borderId="68" xfId="0" applyFont="true" applyBorder="true" applyAlignment="true" applyProtection="false">
      <alignment horizontal="center" vertical="center" textRotation="0" wrapText="false" indent="0" shrinkToFit="false"/>
      <protection locked="true" hidden="false"/>
    </xf>
    <xf numFmtId="164" fontId="52" fillId="17" borderId="84" xfId="0" applyFont="true" applyBorder="true" applyAlignment="true" applyProtection="false">
      <alignment horizontal="center" vertical="center" textRotation="0" wrapText="false" indent="0" shrinkToFit="false"/>
      <protection locked="true" hidden="false"/>
    </xf>
    <xf numFmtId="164" fontId="52" fillId="18" borderId="84" xfId="0" applyFont="true" applyBorder="true" applyAlignment="true" applyProtection="false">
      <alignment horizontal="center" vertical="center" textRotation="0" wrapText="false" indent="0" shrinkToFit="false"/>
      <protection locked="true" hidden="false"/>
    </xf>
    <xf numFmtId="164" fontId="52" fillId="10" borderId="149" xfId="0" applyFont="true" applyBorder="true" applyAlignment="true" applyProtection="false">
      <alignment horizontal="center" vertical="bottom" textRotation="0" wrapText="false" indent="0" shrinkToFit="false"/>
      <protection locked="true" hidden="false"/>
    </xf>
    <xf numFmtId="164" fontId="66" fillId="17" borderId="68" xfId="0" applyFont="true" applyBorder="true" applyAlignment="true" applyProtection="false">
      <alignment horizontal="center" vertical="center" textRotation="0" wrapText="true" indent="0" shrinkToFit="false"/>
      <protection locked="true" hidden="false"/>
    </xf>
    <xf numFmtId="164" fontId="66" fillId="18" borderId="68" xfId="0" applyFont="true" applyBorder="true" applyAlignment="true" applyProtection="false">
      <alignment horizontal="center" vertical="center" textRotation="0" wrapText="true" indent="0" shrinkToFit="false"/>
      <protection locked="true" hidden="false"/>
    </xf>
    <xf numFmtId="164" fontId="52" fillId="10" borderId="149" xfId="0" applyFont="true" applyBorder="true" applyAlignment="true" applyProtection="false">
      <alignment horizontal="center" vertical="center" textRotation="0" wrapText="true" indent="0" shrinkToFit="false"/>
      <protection locked="true" hidden="false"/>
    </xf>
    <xf numFmtId="164" fontId="52" fillId="10" borderId="161" xfId="0" applyFont="true" applyBorder="true" applyAlignment="true" applyProtection="false">
      <alignment horizontal="center" vertical="bottom" textRotation="0" wrapText="false" indent="0" shrinkToFit="false"/>
      <protection locked="true" hidden="false"/>
    </xf>
    <xf numFmtId="164" fontId="52" fillId="11" borderId="149" xfId="0" applyFont="true" applyBorder="true" applyAlignment="true" applyProtection="false">
      <alignment horizontal="center" vertical="center" textRotation="0" wrapText="true" indent="0" shrinkToFit="false"/>
      <protection locked="true" hidden="false"/>
    </xf>
    <xf numFmtId="165" fontId="67" fillId="17" borderId="68" xfId="0" applyFont="true" applyBorder="true" applyAlignment="true" applyProtection="false">
      <alignment horizontal="center" vertical="center" textRotation="0" wrapText="false" indent="0" shrinkToFit="false"/>
      <protection locked="true" hidden="false"/>
    </xf>
    <xf numFmtId="164" fontId="52" fillId="19" borderId="162" xfId="0" applyFont="true" applyBorder="true" applyAlignment="true" applyProtection="false">
      <alignment horizontal="center" vertical="center" textRotation="0" wrapText="true" indent="0" shrinkToFit="false"/>
      <protection locked="true" hidden="false"/>
    </xf>
    <xf numFmtId="164" fontId="52" fillId="11" borderId="162" xfId="0" applyFont="true" applyBorder="true" applyAlignment="true" applyProtection="false">
      <alignment horizontal="center" vertical="center" textRotation="0" wrapText="true" indent="0" shrinkToFit="false"/>
      <protection locked="true" hidden="false"/>
    </xf>
    <xf numFmtId="164" fontId="52" fillId="12" borderId="163" xfId="0" applyFont="true" applyBorder="true" applyAlignment="true" applyProtection="false">
      <alignment horizontal="center" vertical="bottom" textRotation="0" wrapText="false" indent="0" shrinkToFit="false"/>
      <protection locked="true" hidden="false"/>
    </xf>
    <xf numFmtId="171" fontId="52" fillId="17" borderId="68" xfId="0" applyFont="true" applyBorder="true" applyAlignment="true" applyProtection="false">
      <alignment horizontal="center" vertical="center" textRotation="0" wrapText="true" indent="0" shrinkToFit="false"/>
      <protection locked="true" hidden="false"/>
    </xf>
    <xf numFmtId="171" fontId="52" fillId="18" borderId="68" xfId="0" applyFont="true" applyBorder="true" applyAlignment="true" applyProtection="false">
      <alignment horizontal="center" vertical="center" textRotation="0" wrapText="true" indent="0" shrinkToFit="false"/>
      <protection locked="true" hidden="false"/>
    </xf>
    <xf numFmtId="164" fontId="52" fillId="19" borderId="68" xfId="0" applyFont="true" applyBorder="true" applyAlignment="true" applyProtection="false">
      <alignment horizontal="center" vertical="center" textRotation="0" wrapText="true" indent="0" shrinkToFit="false"/>
      <protection locked="true" hidden="false"/>
    </xf>
    <xf numFmtId="164" fontId="52" fillId="12" borderId="68" xfId="0" applyFont="true" applyBorder="true" applyAlignment="true" applyProtection="false">
      <alignment horizontal="center" vertical="center" textRotation="0" wrapText="false" indent="0" shrinkToFit="false"/>
      <protection locked="true" hidden="false"/>
    </xf>
    <xf numFmtId="164" fontId="52" fillId="11" borderId="68" xfId="0" applyFont="true" applyBorder="true" applyAlignment="true" applyProtection="false">
      <alignment horizontal="center" vertical="center" textRotation="0" wrapText="true" indent="0" shrinkToFit="false"/>
      <protection locked="true" hidden="false"/>
    </xf>
    <xf numFmtId="164" fontId="52" fillId="10" borderId="0" xfId="0" applyFont="true" applyBorder="false" applyAlignment="true" applyProtection="false">
      <alignment horizontal="center" vertical="bottom" textRotation="0" wrapText="true" indent="0" shrinkToFit="false"/>
      <protection locked="true" hidden="false"/>
    </xf>
    <xf numFmtId="164" fontId="66" fillId="11" borderId="68" xfId="0" applyFont="true" applyBorder="true" applyAlignment="true" applyProtection="false">
      <alignment horizontal="center" vertical="center" textRotation="0" wrapText="true" indent="0" shrinkToFit="false"/>
      <protection locked="true" hidden="false"/>
    </xf>
    <xf numFmtId="164" fontId="52" fillId="10" borderId="68" xfId="0" applyFont="true" applyBorder="true" applyAlignment="true" applyProtection="false">
      <alignment horizontal="center" vertical="center" textRotation="0" wrapText="false" indent="0" shrinkToFit="false"/>
      <protection locked="true" hidden="false"/>
    </xf>
    <xf numFmtId="164" fontId="66" fillId="18" borderId="68" xfId="0" applyFont="true" applyBorder="true" applyAlignment="true" applyProtection="false">
      <alignment horizontal="center" vertical="center" textRotation="0" wrapText="false" indent="0" shrinkToFit="false"/>
      <protection locked="true" hidden="false"/>
    </xf>
    <xf numFmtId="164" fontId="66" fillId="17" borderId="68" xfId="0" applyFont="true" applyBorder="true" applyAlignment="true" applyProtection="false">
      <alignment horizontal="center" vertical="center" textRotation="0" wrapText="false" indent="0" shrinkToFit="false"/>
      <protection locked="true" hidden="false"/>
    </xf>
    <xf numFmtId="166" fontId="52" fillId="10" borderId="68" xfId="0" applyFont="true" applyBorder="true" applyAlignment="true" applyProtection="false">
      <alignment horizontal="center" vertical="center" textRotation="0" wrapText="true" indent="0" shrinkToFit="false"/>
      <protection locked="true" hidden="false"/>
    </xf>
    <xf numFmtId="164" fontId="52" fillId="11" borderId="68" xfId="0" applyFont="true" applyBorder="true" applyAlignment="true" applyProtection="false">
      <alignment horizontal="center" vertical="center" textRotation="0" wrapText="false" indent="0" shrinkToFit="false"/>
      <protection locked="true" hidden="false"/>
    </xf>
    <xf numFmtId="170" fontId="56" fillId="18" borderId="68" xfId="0" applyFont="true" applyBorder="true" applyAlignment="true" applyProtection="false">
      <alignment horizontal="center" vertical="center" textRotation="0" wrapText="false" indent="0" shrinkToFit="false"/>
      <protection locked="true" hidden="false"/>
    </xf>
    <xf numFmtId="164" fontId="56" fillId="21" borderId="123" xfId="0" applyFont="true" applyBorder="true" applyAlignment="true" applyProtection="false">
      <alignment horizontal="center" vertical="center" textRotation="0" wrapText="true" indent="0" shrinkToFit="false"/>
      <protection locked="true" hidden="false"/>
    </xf>
    <xf numFmtId="164" fontId="52" fillId="21" borderId="160" xfId="0" applyFont="true" applyBorder="true" applyAlignment="true" applyProtection="false">
      <alignment horizontal="center" vertical="center" textRotation="0" wrapText="true" indent="0" shrinkToFit="false"/>
      <protection locked="true" hidden="false"/>
    </xf>
    <xf numFmtId="170" fontId="52" fillId="21" borderId="160" xfId="0" applyFont="true" applyBorder="true" applyAlignment="true" applyProtection="false">
      <alignment horizontal="center" vertical="center" textRotation="0" wrapText="true" indent="0" shrinkToFit="false"/>
      <protection locked="true" hidden="false"/>
    </xf>
    <xf numFmtId="164" fontId="52" fillId="14" borderId="160" xfId="0" applyFont="true" applyBorder="true" applyAlignment="true" applyProtection="false">
      <alignment horizontal="center" vertical="center" textRotation="0" wrapText="true" indent="0" shrinkToFit="false"/>
      <protection locked="true" hidden="false"/>
    </xf>
    <xf numFmtId="164" fontId="56" fillId="18" borderId="123" xfId="0" applyFont="true" applyBorder="true" applyAlignment="true" applyProtection="false">
      <alignment horizontal="center" vertical="center" textRotation="0" wrapText="true" indent="0" shrinkToFit="false"/>
      <protection locked="true" hidden="false"/>
    </xf>
    <xf numFmtId="164" fontId="52" fillId="18" borderId="160" xfId="0" applyFont="true" applyBorder="true" applyAlignment="true" applyProtection="false">
      <alignment horizontal="center" vertical="center" textRotation="0" wrapText="true" indent="0" shrinkToFit="false"/>
      <protection locked="true" hidden="false"/>
    </xf>
    <xf numFmtId="170" fontId="52" fillId="18" borderId="160" xfId="0" applyFont="true" applyBorder="true" applyAlignment="true" applyProtection="false">
      <alignment horizontal="center" vertical="center" textRotation="0" wrapText="true" indent="0" shrinkToFit="false"/>
      <protection locked="true" hidden="false"/>
    </xf>
    <xf numFmtId="164" fontId="52" fillId="19" borderId="160" xfId="0" applyFont="true" applyBorder="true" applyAlignment="true" applyProtection="false">
      <alignment horizontal="center" vertical="center" textRotation="0" wrapText="true" indent="0" shrinkToFit="false"/>
      <protection locked="true" hidden="false"/>
    </xf>
    <xf numFmtId="164" fontId="52" fillId="12" borderId="160" xfId="0" applyFont="true" applyBorder="true" applyAlignment="true" applyProtection="false">
      <alignment horizontal="center" vertical="center" textRotation="0" wrapText="true" indent="0" shrinkToFit="false"/>
      <protection locked="true" hidden="false"/>
    </xf>
    <xf numFmtId="164" fontId="56" fillId="21" borderId="68" xfId="0" applyFont="true" applyBorder="true" applyAlignment="true" applyProtection="false">
      <alignment horizontal="center" vertical="center" textRotation="0" wrapText="true" indent="0" shrinkToFit="false"/>
      <protection locked="true" hidden="false"/>
    </xf>
    <xf numFmtId="164" fontId="52" fillId="21" borderId="86" xfId="0" applyFont="true" applyBorder="true" applyAlignment="true" applyProtection="false">
      <alignment horizontal="center" vertical="center" textRotation="0" wrapText="true" indent="0" shrinkToFit="false"/>
      <protection locked="true" hidden="false"/>
    </xf>
    <xf numFmtId="170" fontId="52" fillId="21" borderId="86" xfId="0" applyFont="true" applyBorder="true" applyAlignment="true" applyProtection="false">
      <alignment horizontal="center" vertical="center" textRotation="0" wrapText="true" indent="0" shrinkToFit="false"/>
      <protection locked="true" hidden="false"/>
    </xf>
    <xf numFmtId="164" fontId="52" fillId="22" borderId="86" xfId="0" applyFont="true" applyBorder="true" applyAlignment="true" applyProtection="false">
      <alignment horizontal="center" vertical="center" textRotation="0" wrapText="true" indent="0" shrinkToFit="false"/>
      <protection locked="true" hidden="false"/>
    </xf>
    <xf numFmtId="164" fontId="52" fillId="22" borderId="160" xfId="0" applyFont="true" applyBorder="true" applyAlignment="true" applyProtection="false">
      <alignment horizontal="center" vertical="center" textRotation="0" wrapText="true" indent="0" shrinkToFit="false"/>
      <protection locked="true" hidden="false"/>
    </xf>
    <xf numFmtId="164" fontId="66" fillId="18" borderId="160" xfId="0" applyFont="true" applyBorder="true" applyAlignment="true" applyProtection="false">
      <alignment horizontal="center" vertical="center" textRotation="0" wrapText="true" indent="0" shrinkToFit="false"/>
      <protection locked="true" hidden="false"/>
    </xf>
    <xf numFmtId="164" fontId="66" fillId="21" borderId="160" xfId="0" applyFont="true" applyBorder="true" applyAlignment="true" applyProtection="false">
      <alignment horizontal="center" vertical="center" textRotation="0" wrapText="true" indent="0" shrinkToFit="false"/>
      <protection locked="true" hidden="false"/>
    </xf>
    <xf numFmtId="164" fontId="56" fillId="21" borderId="160" xfId="0" applyFont="true" applyBorder="true" applyAlignment="true" applyProtection="false">
      <alignment horizontal="center" vertical="center" textRotation="0" wrapText="true" indent="0" shrinkToFit="false"/>
      <protection locked="true" hidden="false"/>
    </xf>
    <xf numFmtId="170" fontId="56" fillId="21" borderId="160" xfId="0" applyFont="true" applyBorder="true" applyAlignment="true" applyProtection="false">
      <alignment horizontal="center" vertical="center" textRotation="0" wrapText="true" indent="0" shrinkToFit="false"/>
      <protection locked="true" hidden="false"/>
    </xf>
    <xf numFmtId="171" fontId="56" fillId="17" borderId="68" xfId="0" applyFont="true" applyBorder="true" applyAlignment="true" applyProtection="false">
      <alignment horizontal="center" vertical="center" textRotation="0" wrapText="true" indent="0" shrinkToFit="false"/>
      <protection locked="true" hidden="false"/>
    </xf>
    <xf numFmtId="164" fontId="52" fillId="11" borderId="160" xfId="0" applyFont="true" applyBorder="true" applyAlignment="true" applyProtection="false">
      <alignment horizontal="center" vertical="center" textRotation="0" wrapText="true" indent="0" shrinkToFit="false"/>
      <protection locked="true" hidden="false"/>
    </xf>
    <xf numFmtId="164" fontId="52" fillId="10" borderId="160" xfId="0" applyFont="true" applyBorder="true" applyAlignment="true" applyProtection="false">
      <alignment horizontal="center" vertical="center" textRotation="0" wrapText="true" indent="0" shrinkToFit="false"/>
      <protection locked="true" hidden="false"/>
    </xf>
    <xf numFmtId="164" fontId="56" fillId="21" borderId="141" xfId="0" applyFont="true" applyBorder="true" applyAlignment="true" applyProtection="false">
      <alignment horizontal="center" vertical="center" textRotation="0" wrapText="true" indent="0" shrinkToFit="false"/>
      <protection locked="true" hidden="false"/>
    </xf>
    <xf numFmtId="164" fontId="56" fillId="18" borderId="37" xfId="0" applyFont="true" applyBorder="true" applyAlignment="true" applyProtection="false">
      <alignment horizontal="center" vertical="center" textRotation="0" wrapText="true" indent="0" shrinkToFit="false"/>
      <protection locked="true" hidden="false"/>
    </xf>
    <xf numFmtId="164" fontId="56" fillId="21" borderId="164" xfId="0" applyFont="true" applyBorder="true" applyAlignment="true" applyProtection="false">
      <alignment horizontal="center" vertical="center" textRotation="0" wrapText="true" indent="0" shrinkToFit="false"/>
      <protection locked="true" hidden="false"/>
    </xf>
    <xf numFmtId="165" fontId="14" fillId="15" borderId="71" xfId="0" applyFont="true" applyBorder="true" applyAlignment="true" applyProtection="false">
      <alignment horizontal="center" vertical="center" textRotation="0" wrapText="false" indent="0" shrinkToFit="false"/>
      <protection locked="true" hidden="false"/>
    </xf>
    <xf numFmtId="166" fontId="14" fillId="15" borderId="71" xfId="0" applyFont="true" applyBorder="true" applyAlignment="true" applyProtection="false">
      <alignment horizontal="center" vertical="center" textRotation="0" wrapText="false" indent="0" shrinkToFit="false"/>
      <protection locked="true" hidden="false"/>
    </xf>
    <xf numFmtId="170" fontId="14" fillId="15" borderId="71" xfId="0" applyFont="true" applyBorder="true" applyAlignment="true" applyProtection="false">
      <alignment horizontal="center" vertical="center" textRotation="0" wrapText="false" indent="0" shrinkToFit="false"/>
      <protection locked="true" hidden="false"/>
    </xf>
    <xf numFmtId="164" fontId="14" fillId="15" borderId="71" xfId="0" applyFont="true" applyBorder="true" applyAlignment="true" applyProtection="false">
      <alignment horizontal="center" vertical="center" textRotation="0" wrapText="false" indent="0" shrinkToFit="false"/>
      <protection locked="true" hidden="false"/>
    </xf>
    <xf numFmtId="181" fontId="14" fillId="15" borderId="71" xfId="0" applyFont="true" applyBorder="true" applyAlignment="true" applyProtection="false">
      <alignment horizontal="center" vertical="center" textRotation="0" wrapText="false" indent="0" shrinkToFit="false"/>
      <protection locked="true" hidden="false"/>
    </xf>
    <xf numFmtId="164" fontId="52" fillId="19" borderId="68" xfId="0" applyFont="true" applyBorder="true" applyAlignment="true" applyProtection="false">
      <alignment horizontal="center" vertical="center" textRotation="0" wrapText="false" indent="0" shrinkToFit="false"/>
      <protection locked="true" hidden="false"/>
    </xf>
    <xf numFmtId="164" fontId="52" fillId="14" borderId="68" xfId="0" applyFont="true" applyBorder="true" applyAlignment="true" applyProtection="false">
      <alignment horizontal="center" vertical="center" textRotation="0" wrapText="false" indent="0" shrinkToFit="false"/>
      <protection locked="true" hidden="false"/>
    </xf>
    <xf numFmtId="164" fontId="52" fillId="14" borderId="75" xfId="0" applyFont="true" applyBorder="true" applyAlignment="true" applyProtection="false">
      <alignment horizontal="center" vertical="center" textRotation="0" wrapText="false" indent="0" shrinkToFit="false"/>
      <protection locked="true" hidden="false"/>
    </xf>
    <xf numFmtId="164" fontId="69" fillId="0" borderId="0" xfId="0" applyFont="true" applyBorder="false" applyAlignment="true" applyProtection="false">
      <alignment horizontal="center" vertical="center" textRotation="0" wrapText="false" indent="0" shrinkToFit="false"/>
      <protection locked="true" hidden="false"/>
    </xf>
    <xf numFmtId="166" fontId="52" fillId="12" borderId="165" xfId="0" applyFont="true" applyBorder="true" applyAlignment="true" applyProtection="false">
      <alignment horizontal="center" vertical="center" textRotation="0" wrapText="false" indent="0" shrinkToFit="false"/>
      <protection locked="true" hidden="false"/>
    </xf>
    <xf numFmtId="166" fontId="52" fillId="10" borderId="165" xfId="0" applyFont="true" applyBorder="true" applyAlignment="true" applyProtection="false">
      <alignment horizontal="center" vertical="center" textRotation="0" wrapText="false" indent="0" shrinkToFit="false"/>
      <protection locked="true" hidden="false"/>
    </xf>
    <xf numFmtId="166" fontId="52" fillId="11" borderId="165" xfId="0" applyFont="true" applyBorder="true" applyAlignment="true" applyProtection="false">
      <alignment horizontal="center" vertical="center" textRotation="0" wrapText="false" indent="0" shrinkToFit="false"/>
      <protection locked="true" hidden="false"/>
    </xf>
    <xf numFmtId="172" fontId="56" fillId="17" borderId="68" xfId="0" applyFont="true" applyBorder="true" applyAlignment="true" applyProtection="false">
      <alignment horizontal="center" vertical="center" textRotation="0" wrapText="false" indent="0" shrinkToFit="false"/>
      <protection locked="true" hidden="false"/>
    </xf>
    <xf numFmtId="170" fontId="56" fillId="17" borderId="68" xfId="0" applyFont="true" applyBorder="true" applyAlignment="true" applyProtection="false">
      <alignment horizontal="center" vertical="center" textRotation="0" wrapText="false" indent="0" shrinkToFit="false"/>
      <protection locked="true" hidden="false"/>
    </xf>
    <xf numFmtId="164" fontId="56" fillId="17" borderId="68" xfId="0" applyFont="true" applyBorder="true" applyAlignment="true" applyProtection="false">
      <alignment horizontal="center" vertical="center" textRotation="0" wrapText="true" indent="0" shrinkToFit="false"/>
      <protection locked="true" hidden="false"/>
    </xf>
    <xf numFmtId="164" fontId="56" fillId="18" borderId="68" xfId="0" applyFont="true" applyBorder="true" applyAlignment="true" applyProtection="false">
      <alignment horizontal="center" vertical="center" textRotation="0" wrapText="true" indent="0" shrinkToFit="false"/>
      <protection locked="true" hidden="false"/>
    </xf>
    <xf numFmtId="166" fontId="52" fillId="19" borderId="165" xfId="0" applyFont="true" applyBorder="true" applyAlignment="true" applyProtection="false">
      <alignment horizontal="center" vertical="center" textRotation="0" wrapText="false" indent="0" shrinkToFit="false"/>
      <protection locked="true" hidden="false"/>
    </xf>
    <xf numFmtId="164" fontId="59" fillId="17" borderId="68" xfId="0" applyFont="true" applyBorder="true" applyAlignment="true" applyProtection="false">
      <alignment horizontal="center" vertical="center" textRotation="0" wrapText="true" indent="0" shrinkToFit="false"/>
      <protection locked="true" hidden="false"/>
    </xf>
    <xf numFmtId="164" fontId="59" fillId="18" borderId="68" xfId="0" applyFont="true" applyBorder="true" applyAlignment="true" applyProtection="false">
      <alignment horizontal="center" vertical="center" textRotation="0" wrapText="true" indent="0" shrinkToFit="false"/>
      <protection locked="true" hidden="false"/>
    </xf>
    <xf numFmtId="164" fontId="70" fillId="17" borderId="68" xfId="0" applyFont="true" applyBorder="true" applyAlignment="true" applyProtection="false">
      <alignment horizontal="center" vertical="center" textRotation="0" wrapText="true" indent="0" shrinkToFit="false"/>
      <protection locked="true" hidden="false"/>
    </xf>
    <xf numFmtId="172" fontId="56" fillId="18" borderId="68" xfId="0" applyFont="true" applyBorder="true" applyAlignment="true" applyProtection="false">
      <alignment horizontal="center" vertical="center" textRotation="0" wrapText="false" indent="0" shrinkToFit="false"/>
      <protection locked="true" hidden="false"/>
    </xf>
    <xf numFmtId="171" fontId="56" fillId="18" borderId="68" xfId="0" applyFont="true" applyBorder="true" applyAlignment="true" applyProtection="false">
      <alignment horizontal="center" vertical="center" textRotation="0" wrapText="true" indent="0" shrinkToFit="false"/>
      <protection locked="true" hidden="false"/>
    </xf>
    <xf numFmtId="166" fontId="52" fillId="12" borderId="166" xfId="0" applyFont="true" applyBorder="true" applyAlignment="true" applyProtection="false">
      <alignment horizontal="center" vertical="center" textRotation="0" wrapText="false" indent="0" shrinkToFit="false"/>
      <protection locked="true" hidden="false"/>
    </xf>
    <xf numFmtId="165" fontId="14" fillId="16" borderId="167" xfId="0" applyFont="true" applyBorder="true" applyAlignment="true" applyProtection="false">
      <alignment horizontal="center" vertical="center" textRotation="0" wrapText="false" indent="0" shrinkToFit="false"/>
      <protection locked="true" hidden="false"/>
    </xf>
    <xf numFmtId="166" fontId="14" fillId="16" borderId="5" xfId="0" applyFont="true" applyBorder="true" applyAlignment="true" applyProtection="false">
      <alignment horizontal="center" vertical="center" textRotation="0" wrapText="false" indent="0" shrinkToFit="false"/>
      <protection locked="true" hidden="false"/>
    </xf>
    <xf numFmtId="170" fontId="14" fillId="16" borderId="5" xfId="0" applyFont="true" applyBorder="true" applyAlignment="true" applyProtection="false">
      <alignment horizontal="center" vertical="center" textRotation="0" wrapText="false" indent="0" shrinkToFit="false"/>
      <protection locked="true" hidden="false"/>
    </xf>
    <xf numFmtId="164" fontId="37" fillId="16" borderId="167" xfId="0" applyFont="true" applyBorder="true" applyAlignment="true" applyProtection="false">
      <alignment horizontal="center" vertical="center" textRotation="0" wrapText="false" indent="0" shrinkToFit="false"/>
      <protection locked="true" hidden="false"/>
    </xf>
    <xf numFmtId="164" fontId="14" fillId="16" borderId="167" xfId="0" applyFont="true" applyBorder="true" applyAlignment="true" applyProtection="false">
      <alignment horizontal="center" vertical="center" textRotation="0" wrapText="false" indent="0" shrinkToFit="false"/>
      <protection locked="true" hidden="false"/>
    </xf>
    <xf numFmtId="170" fontId="14" fillId="16" borderId="167" xfId="0" applyFont="true" applyBorder="true" applyAlignment="true" applyProtection="false">
      <alignment horizontal="center" vertical="center" textRotation="0" wrapText="false" indent="0" shrinkToFit="false"/>
      <protection locked="true" hidden="false"/>
    </xf>
    <xf numFmtId="166" fontId="14" fillId="16" borderId="0" xfId="0" applyFont="true" applyBorder="false" applyAlignment="true" applyProtection="false">
      <alignment horizontal="center" vertical="center" textRotation="0" wrapText="false" indent="0" shrinkToFit="false"/>
      <protection locked="true" hidden="false"/>
    </xf>
    <xf numFmtId="171" fontId="14" fillId="16" borderId="0" xfId="0" applyFont="true" applyBorder="false" applyAlignment="true" applyProtection="false">
      <alignment horizontal="center" vertical="center" textRotation="0" wrapText="false" indent="0" shrinkToFit="false"/>
      <protection locked="true" hidden="false"/>
    </xf>
    <xf numFmtId="164" fontId="52" fillId="19" borderId="165" xfId="0" applyFont="true" applyBorder="true" applyAlignment="true" applyProtection="false">
      <alignment horizontal="center" vertical="center" textRotation="0" wrapText="false" indent="0" shrinkToFit="false"/>
      <protection locked="true" hidden="false"/>
    </xf>
    <xf numFmtId="164" fontId="52" fillId="11" borderId="165" xfId="0" applyFont="true" applyBorder="true" applyAlignment="true" applyProtection="false">
      <alignment horizontal="center" vertical="center" textRotation="0" wrapText="false" indent="0" shrinkToFit="false"/>
      <protection locked="true" hidden="false"/>
    </xf>
    <xf numFmtId="164" fontId="52" fillId="12" borderId="165" xfId="0" applyFont="true" applyBorder="true" applyAlignment="true" applyProtection="false">
      <alignment horizontal="center" vertical="center" textRotation="0" wrapText="false" indent="0" shrinkToFit="false"/>
      <protection locked="true" hidden="false"/>
    </xf>
    <xf numFmtId="164" fontId="52" fillId="10" borderId="165" xfId="0" applyFont="true" applyBorder="true" applyAlignment="true" applyProtection="false">
      <alignment horizontal="center" vertical="center" textRotation="0" wrapText="false" indent="0" shrinkToFit="false"/>
      <protection locked="true" hidden="false"/>
    </xf>
    <xf numFmtId="164" fontId="71" fillId="0" borderId="0" xfId="0" applyFont="true" applyBorder="false" applyAlignment="true" applyProtection="false">
      <alignment horizontal="center" vertical="center" textRotation="0" wrapText="false" indent="0" shrinkToFit="false"/>
      <protection locked="true" hidden="false"/>
    </xf>
    <xf numFmtId="164" fontId="5" fillId="0" borderId="168" xfId="0" applyFont="true" applyBorder="true" applyAlignment="true" applyProtection="false">
      <alignment horizontal="center" vertical="center" textRotation="0" wrapText="false" indent="0" shrinkToFit="false"/>
      <protection locked="true" hidden="false"/>
    </xf>
    <xf numFmtId="166" fontId="59" fillId="10" borderId="169" xfId="0" applyFont="true" applyBorder="true" applyAlignment="true" applyProtection="false">
      <alignment horizontal="center" vertical="bottom" textRotation="0" wrapText="false" indent="0" shrinkToFit="false"/>
      <protection locked="true" hidden="false"/>
    </xf>
    <xf numFmtId="166" fontId="59" fillId="12" borderId="169" xfId="0" applyFont="true" applyBorder="true" applyAlignment="true" applyProtection="false">
      <alignment horizontal="center" vertical="bottom" textRotation="0" wrapText="false" indent="0" shrinkToFit="false"/>
      <protection locked="true" hidden="false"/>
    </xf>
    <xf numFmtId="164" fontId="71" fillId="0" borderId="0" xfId="0" applyFont="true" applyBorder="false" applyAlignment="false" applyProtection="false">
      <alignment horizontal="general" vertical="bottom" textRotation="0" wrapText="false" indent="0" shrinkToFit="false"/>
      <protection locked="true" hidden="false"/>
    </xf>
    <xf numFmtId="166" fontId="59" fillId="11" borderId="169" xfId="0" applyFont="true" applyBorder="true" applyAlignment="true" applyProtection="false">
      <alignment horizontal="center" vertical="bottom" textRotation="0" wrapText="false" indent="0" shrinkToFit="false"/>
      <protection locked="true" hidden="false"/>
    </xf>
    <xf numFmtId="166" fontId="59" fillId="19" borderId="169" xfId="0" applyFont="true" applyBorder="true" applyAlignment="true" applyProtection="false">
      <alignment horizontal="center" vertical="bottom" textRotation="0" wrapText="false" indent="0" shrinkToFit="false"/>
      <protection locked="true" hidden="false"/>
    </xf>
    <xf numFmtId="172" fontId="66" fillId="18" borderId="68" xfId="0" applyFont="true" applyBorder="true" applyAlignment="true" applyProtection="false">
      <alignment horizontal="center" vertical="center" textRotation="0" wrapText="false" indent="0" shrinkToFit="false"/>
      <protection locked="true" hidden="false"/>
    </xf>
    <xf numFmtId="172" fontId="66" fillId="17" borderId="68" xfId="0" applyFont="true" applyBorder="true" applyAlignment="true" applyProtection="false">
      <alignment horizontal="center" vertical="center" textRotation="0" wrapText="false" indent="0" shrinkToFit="false"/>
      <protection locked="true" hidden="false"/>
    </xf>
    <xf numFmtId="164" fontId="14" fillId="16" borderId="170" xfId="0" applyFont="true" applyBorder="true" applyAlignment="true" applyProtection="false">
      <alignment horizontal="center" vertical="center" textRotation="0" wrapText="false" indent="0" shrinkToFit="false"/>
      <protection locked="true" hidden="false"/>
    </xf>
    <xf numFmtId="164" fontId="52" fillId="10" borderId="171" xfId="0" applyFont="true" applyBorder="true" applyAlignment="true" applyProtection="false">
      <alignment horizontal="center" vertical="center" textRotation="0" wrapText="false" indent="0" shrinkToFit="false"/>
      <protection locked="true" hidden="false"/>
    </xf>
    <xf numFmtId="164" fontId="52" fillId="11" borderId="150" xfId="0" applyFont="true" applyBorder="true" applyAlignment="true" applyProtection="false">
      <alignment horizontal="center" vertical="center" textRotation="0" wrapText="false" indent="0" shrinkToFit="false"/>
      <protection locked="true" hidden="false"/>
    </xf>
    <xf numFmtId="164" fontId="52" fillId="17" borderId="74" xfId="0" applyFont="true" applyBorder="true" applyAlignment="true" applyProtection="false">
      <alignment horizontal="center" vertical="center" textRotation="0" wrapText="true" indent="0" shrinkToFit="false"/>
      <protection locked="true" hidden="false"/>
    </xf>
    <xf numFmtId="164" fontId="72" fillId="0" borderId="0" xfId="0" applyFont="true" applyBorder="false" applyAlignment="true" applyProtection="false">
      <alignment horizontal="center" vertical="bottom" textRotation="0" wrapText="false" indent="0" shrinkToFit="false"/>
      <protection locked="true" hidden="false"/>
    </xf>
    <xf numFmtId="166" fontId="59" fillId="10" borderId="68" xfId="0" applyFont="true" applyBorder="true" applyAlignment="true" applyProtection="false">
      <alignment horizontal="center" vertical="bottom" textRotation="0" wrapText="false" indent="0" shrinkToFit="false"/>
      <protection locked="true" hidden="false"/>
    </xf>
    <xf numFmtId="166" fontId="59" fillId="19" borderId="68" xfId="0" applyFont="true" applyBorder="true" applyAlignment="true" applyProtection="false">
      <alignment horizontal="center" vertical="bottom" textRotation="0" wrapText="false" indent="0" shrinkToFit="false"/>
      <protection locked="true" hidden="false"/>
    </xf>
    <xf numFmtId="166" fontId="59" fillId="12" borderId="68" xfId="0" applyFont="true" applyBorder="true" applyAlignment="true" applyProtection="false">
      <alignment horizontal="center" vertical="bottom" textRotation="0" wrapText="false" indent="0" shrinkToFit="false"/>
      <protection locked="true" hidden="false"/>
    </xf>
    <xf numFmtId="166" fontId="59" fillId="11" borderId="68" xfId="0" applyFont="true" applyBorder="true" applyAlignment="true" applyProtection="false">
      <alignment horizontal="center" vertical="bottom" textRotation="0" wrapText="false" indent="0" shrinkToFit="false"/>
      <protection locked="true" hidden="false"/>
    </xf>
    <xf numFmtId="172" fontId="73" fillId="17" borderId="68" xfId="0" applyFont="true" applyBorder="true" applyAlignment="true" applyProtection="false">
      <alignment horizontal="center" vertical="center" textRotation="0" wrapText="false" indent="0" shrinkToFit="false"/>
      <protection locked="true" hidden="false"/>
    </xf>
    <xf numFmtId="165" fontId="5" fillId="0" borderId="0" xfId="0" applyFont="true" applyBorder="false" applyAlignment="true" applyProtection="false">
      <alignment horizontal="center" vertical="bottom" textRotation="0" wrapText="false" indent="0" shrinkToFit="false"/>
      <protection locked="true" hidden="false"/>
    </xf>
    <xf numFmtId="172" fontId="5" fillId="0" borderId="0" xfId="0" applyFont="true" applyBorder="false" applyAlignment="true" applyProtection="false">
      <alignment horizontal="center" vertical="bottom" textRotation="0" wrapText="false" indent="0" shrinkToFit="false"/>
      <protection locked="true" hidden="false"/>
    </xf>
    <xf numFmtId="170" fontId="5" fillId="0" borderId="0" xfId="0" applyFont="true" applyBorder="false" applyAlignment="true" applyProtection="false">
      <alignment horizontal="center" vertical="bottom" textRotation="0" wrapText="false" indent="0" shrinkToFit="false"/>
      <protection locked="true" hidden="false"/>
    </xf>
    <xf numFmtId="171" fontId="56" fillId="18" borderId="68" xfId="0" applyFont="true" applyBorder="true" applyAlignment="true" applyProtection="false">
      <alignment horizontal="center" vertical="center" textRotation="0" wrapText="false" indent="0" shrinkToFit="false"/>
      <protection locked="true" hidden="false"/>
    </xf>
    <xf numFmtId="165" fontId="14" fillId="16" borderId="71" xfId="0" applyFont="true" applyBorder="true" applyAlignment="true" applyProtection="false">
      <alignment horizontal="center" vertical="center" textRotation="0" wrapText="false" indent="0" shrinkToFit="false"/>
      <protection locked="true" hidden="false"/>
    </xf>
    <xf numFmtId="164" fontId="14" fillId="16" borderId="71" xfId="0" applyFont="true" applyBorder="true" applyAlignment="true" applyProtection="false">
      <alignment horizontal="center" vertical="center" textRotation="0" wrapText="false" indent="0" shrinkToFit="false"/>
      <protection locked="true" hidden="false"/>
    </xf>
    <xf numFmtId="170" fontId="14" fillId="16" borderId="71" xfId="0" applyFont="true" applyBorder="true" applyAlignment="true" applyProtection="false">
      <alignment horizontal="center" vertical="center" textRotation="0" wrapText="false" indent="0" shrinkToFit="false"/>
      <protection locked="true" hidden="false"/>
    </xf>
    <xf numFmtId="181" fontId="14" fillId="16" borderId="71" xfId="0" applyFont="true" applyBorder="true" applyAlignment="true" applyProtection="false">
      <alignment horizontal="center" vertical="center" textRotation="0" wrapText="false" indent="0" shrinkToFit="false"/>
      <protection locked="true" hidden="false"/>
    </xf>
    <xf numFmtId="171" fontId="14" fillId="16" borderId="71" xfId="0" applyFont="true" applyBorder="true" applyAlignment="true" applyProtection="false">
      <alignment horizontal="center" vertical="center" textRotation="0" wrapText="false" indent="0" shrinkToFit="false"/>
      <protection locked="true" hidden="false"/>
    </xf>
    <xf numFmtId="166" fontId="52" fillId="18" borderId="68" xfId="0" applyFont="true" applyBorder="true" applyAlignment="true" applyProtection="false">
      <alignment horizontal="center" vertical="center" textRotation="0" wrapText="false" indent="0" shrinkToFit="false"/>
      <protection locked="true" hidden="false"/>
    </xf>
    <xf numFmtId="166" fontId="52" fillId="17" borderId="68" xfId="0" applyFont="true" applyBorder="true" applyAlignment="true" applyProtection="false">
      <alignment horizontal="center" vertical="center" textRotation="0" wrapText="false" indent="0" shrinkToFit="false"/>
      <protection locked="true" hidden="false"/>
    </xf>
    <xf numFmtId="172" fontId="70" fillId="18" borderId="68" xfId="0" applyFont="true" applyBorder="true" applyAlignment="true" applyProtection="false">
      <alignment horizontal="center" vertical="center" textRotation="0" wrapText="false" indent="0" shrinkToFit="false"/>
      <protection locked="true" hidden="false"/>
    </xf>
    <xf numFmtId="166" fontId="56" fillId="18" borderId="68" xfId="0" applyFont="true" applyBorder="true" applyAlignment="true" applyProtection="false">
      <alignment horizontal="center" vertical="center" textRotation="0" wrapText="false" indent="0" shrinkToFit="false"/>
      <protection locked="true" hidden="false"/>
    </xf>
    <xf numFmtId="171" fontId="56" fillId="17" borderId="68" xfId="0" applyFont="true" applyBorder="true" applyAlignment="true" applyProtection="false">
      <alignment horizontal="center" vertical="center" textRotation="0" wrapText="false" indent="0" shrinkToFit="false"/>
      <protection locked="true" hidden="false"/>
    </xf>
    <xf numFmtId="177" fontId="56" fillId="18" borderId="68" xfId="0" applyFont="true" applyBorder="true" applyAlignment="true" applyProtection="false">
      <alignment horizontal="center" vertical="center" textRotation="0" wrapText="false" indent="0" shrinkToFit="false"/>
      <protection locked="true" hidden="false"/>
    </xf>
    <xf numFmtId="172" fontId="56" fillId="17" borderId="123" xfId="0" applyFont="true" applyBorder="true" applyAlignment="true" applyProtection="false">
      <alignment horizontal="center" vertical="center" textRotation="0" wrapText="false" indent="0" shrinkToFit="false"/>
      <protection locked="true" hidden="false"/>
    </xf>
    <xf numFmtId="177" fontId="56" fillId="17" borderId="141" xfId="0" applyFont="true" applyBorder="true" applyAlignment="true" applyProtection="false">
      <alignment horizontal="center" vertical="center" textRotation="0" wrapText="false" indent="0" shrinkToFit="false"/>
      <protection locked="true" hidden="false"/>
    </xf>
    <xf numFmtId="171" fontId="5" fillId="0" borderId="0" xfId="0" applyFont="true" applyBorder="false" applyAlignment="true" applyProtection="false">
      <alignment horizontal="center" vertical="bottom" textRotation="0" wrapText="false" indent="0" shrinkToFit="false"/>
      <protection locked="true" hidden="false"/>
    </xf>
    <xf numFmtId="172" fontId="56" fillId="18" borderId="68" xfId="0" applyFont="true" applyBorder="true" applyAlignment="true" applyProtection="false">
      <alignment horizontal="center" vertical="center" textRotation="0" wrapText="true" indent="0" shrinkToFit="false"/>
      <protection locked="true" hidden="false"/>
    </xf>
    <xf numFmtId="166" fontId="59" fillId="19" borderId="68" xfId="0" applyFont="true" applyBorder="true" applyAlignment="true" applyProtection="false">
      <alignment horizontal="center"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Hyperlink 1" xfId="20"/>
  </cellStyles>
  <dxfs count="102">
    <dxf>
      <fill>
        <patternFill patternType="solid">
          <fgColor rgb="FF274E13"/>
          <bgColor rgb="FF000000"/>
        </patternFill>
      </fill>
    </dxf>
    <dxf>
      <fill>
        <patternFill patternType="solid">
          <fgColor rgb="FF93C47D"/>
          <bgColor rgb="FF000000"/>
        </patternFill>
      </fill>
    </dxf>
    <dxf>
      <fill>
        <patternFill patternType="solid">
          <fgColor rgb="FFB6D7A8"/>
          <bgColor rgb="FF000000"/>
        </patternFill>
      </fill>
    </dxf>
    <dxf>
      <fill>
        <patternFill patternType="solid">
          <fgColor rgb="FFFFFFFF"/>
          <bgColor rgb="FF000000"/>
        </patternFill>
      </fill>
    </dxf>
    <dxf>
      <fill>
        <patternFill patternType="solid">
          <fgColor rgb="FFFFFF00"/>
          <bgColor rgb="FF000000"/>
        </patternFill>
      </fill>
    </dxf>
    <dxf>
      <fill>
        <patternFill patternType="solid">
          <fgColor rgb="FF000000"/>
          <bgColor rgb="FF000000"/>
        </patternFill>
      </fill>
    </dxf>
    <dxf>
      <fill>
        <patternFill patternType="solid">
          <fgColor rgb="FF0FB85C"/>
          <bgColor rgb="FF000000"/>
        </patternFill>
      </fill>
    </dxf>
    <dxf>
      <fill>
        <patternFill patternType="solid">
          <fgColor rgb="FF17A2D5"/>
          <bgColor rgb="FF000000"/>
        </patternFill>
      </fill>
    </dxf>
    <dxf>
      <fill>
        <patternFill patternType="solid">
          <fgColor rgb="FFFF0000"/>
          <bgColor rgb="FF000000"/>
        </patternFill>
      </fill>
    </dxf>
    <dxf>
      <fill>
        <patternFill patternType="solid">
          <bgColor rgb="FF000000"/>
        </patternFill>
      </fill>
    </dxf>
    <dxf>
      <fill>
        <patternFill patternType="solid">
          <fgColor rgb="FF366092"/>
          <bgColor rgb="FF000000"/>
        </patternFill>
      </fill>
    </dxf>
    <dxf>
      <fill>
        <patternFill patternType="solid">
          <fgColor rgb="FFEC3D38"/>
          <bgColor rgb="FF000000"/>
        </patternFill>
      </fill>
    </dxf>
    <dxf>
      <fill>
        <patternFill patternType="solid">
          <fgColor rgb="FFF0F01E"/>
          <bgColor rgb="FF000000"/>
        </patternFill>
      </fill>
    </dxf>
    <dxf>
      <fill>
        <patternFill patternType="solid">
          <fgColor rgb="FF0D0D0D"/>
          <bgColor rgb="FF000000"/>
        </patternFill>
      </fill>
    </dxf>
    <dxf>
      <fill>
        <patternFill patternType="solid">
          <fgColor rgb="FF000066"/>
          <bgColor rgb="FF000000"/>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patternType="solid">
          <fgColor rgb="FF002060"/>
          <bgColor rgb="FF000000"/>
        </patternFill>
      </fill>
    </dxf>
    <dxf>
      <fill>
        <patternFill patternType="solid">
          <fgColor rgb="FF00B050"/>
          <bgColor rgb="FF000000"/>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bgColor rgb="FFB7E1CD"/>
        </patternFill>
      </fill>
    </dxf>
    <dxf>
      <fill>
        <patternFill patternType="solid">
          <fgColor rgb="FF38761D"/>
          <bgColor rgb="FF000000"/>
        </patternFill>
      </fill>
    </dxf>
    <dxf>
      <fill>
        <patternFill>
          <bgColor rgb="FFB7E1CD"/>
        </patternFill>
      </fill>
    </dxf>
    <dxf>
      <fill>
        <patternFill patternType="solid">
          <fgColor rgb="FFB8CCE4"/>
          <bgColor rgb="FF000000"/>
        </patternFill>
      </fill>
    </dxf>
    <dxf>
      <fill>
        <patternFill patternType="solid">
          <fgColor rgb="FFDBE5F1"/>
          <bgColor rgb="FF000000"/>
        </patternFill>
      </fill>
    </dxf>
    <dxf>
      <fill>
        <patternFill patternType="solid">
          <fgColor rgb="FFDCE6F1"/>
          <bgColor rgb="FF000000"/>
        </patternFill>
      </fill>
    </dxf>
    <dxf>
      <fill>
        <patternFill patternType="solid">
          <fgColor rgb="FF00B0F0"/>
          <bgColor rgb="FF000000"/>
        </patternFill>
      </fill>
    </dxf>
    <dxf>
      <fill>
        <patternFill patternType="solid">
          <fgColor rgb="FF92D050"/>
          <bgColor rgb="FF000000"/>
        </patternFill>
      </fill>
    </dxf>
    <dxf>
      <fill>
        <patternFill>
          <bgColor rgb="FFB7E1CD"/>
        </patternFill>
      </fill>
    </dxf>
    <dxf>
      <fill>
        <patternFill patternType="solid">
          <fgColor rgb="FF0070C0"/>
          <bgColor rgb="FF000000"/>
        </patternFill>
      </fill>
    </dxf>
    <dxf>
      <fill>
        <patternFill patternType="solid">
          <fgColor rgb="FF000080"/>
          <bgColor rgb="FF000000"/>
        </patternFill>
      </fill>
    </dxf>
    <dxf>
      <fill>
        <patternFill patternType="solid">
          <fgColor rgb="FFB7E1CD"/>
          <bgColor rgb="FF000000"/>
        </patternFill>
      </fill>
    </dxf>
    <dxf>
      <fill>
        <patternFill>
          <bgColor rgb="FFB7E1CD"/>
        </patternFill>
      </fill>
    </dxf>
  </dxfs>
  <colors>
    <indexedColors>
      <rgbColor rgb="FF000000"/>
      <rgbColor rgb="FFFFFFFF"/>
      <rgbColor rgb="FFFF0000"/>
      <rgbColor rgb="FF0FB85C"/>
      <rgbColor rgb="FF0000FF"/>
      <rgbColor rgb="FFFFFF00"/>
      <rgbColor rgb="FFE3008C"/>
      <rgbColor rgb="FF3A96DD"/>
      <rgbColor rgb="FFE6352F"/>
      <rgbColor rgb="FF38751D"/>
      <rgbColor rgb="FF000080"/>
      <rgbColor rgb="FF57811B"/>
      <rgbColor rgb="FF637CEF"/>
      <rgbColor rgb="FF3078BC"/>
      <rgbColor rgb="FFB6B6B6"/>
      <rgbColor rgb="FF8B8B8B"/>
      <rgbColor rgb="FF73A0E2"/>
      <rgbColor rgb="FFC0504D"/>
      <rgbColor rgb="FFD9D9D9"/>
      <rgbColor rgb="FFDCE6F1"/>
      <rgbColor rgb="FF4F81BD"/>
      <rgbColor rgb="FFF7964B"/>
      <rgbColor rgb="FF0072BE"/>
      <rgbColor rgb="FFB8CCE4"/>
      <rgbColor rgb="FF000066"/>
      <rgbColor rgb="FF93C47D"/>
      <rgbColor rgb="FFF0F01E"/>
      <rgbColor rgb="FF01AE33"/>
      <rgbColor rgb="FF70AD47"/>
      <rgbColor rgb="FFEC3D38"/>
      <rgbColor rgb="FF17A2D5"/>
      <rgbColor rgb="FFB6D7A8"/>
      <rgbColor rgb="FF00B0F0"/>
      <rgbColor rgb="FFDBE5F1"/>
      <rgbColor rgb="FFD9EAD3"/>
      <rgbColor rgb="FFEEEE42"/>
      <rgbColor rgb="FFB7E1CD"/>
      <rgbColor rgb="FFEA9999"/>
      <rgbColor rgb="FFEE5FB7"/>
      <rgbColor rgb="FFF6B277"/>
      <rgbColor rgb="FF4472C4"/>
      <rgbColor rgb="FF4BACC6"/>
      <rgbColor rgb="FF92D050"/>
      <rgbColor rgb="FFFFC90A"/>
      <rgbColor rgb="FFB48A00"/>
      <rgbColor rgb="FFE47739"/>
      <rgbColor rgb="FF8168A8"/>
      <rgbColor rgb="FF9BBB59"/>
      <rgbColor rgb="FF002060"/>
      <rgbColor rgb="FF548235"/>
      <rgbColor rgb="FF003300"/>
      <rgbColor rgb="FF274E13"/>
      <rgbColor rgb="FFCA5510"/>
      <rgbColor rgb="FFBA54CA"/>
      <rgbColor rgb="FF345F92"/>
      <rgbColor rgb="FF0D0D0D"/>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worksheet" Target="worksheets/sheet18.xml"/><Relationship Id="rId21" Type="http://schemas.openxmlformats.org/officeDocument/2006/relationships/worksheet" Target="worksheets/sheet19.xml"/><Relationship Id="rId22" Type="http://schemas.openxmlformats.org/officeDocument/2006/relationships/worksheet" Target="worksheets/sheet20.xml"/><Relationship Id="rId23" Type="http://schemas.openxmlformats.org/officeDocument/2006/relationships/worksheet" Target="worksheets/sheet21.xml"/><Relationship Id="rId24" Type="http://schemas.openxmlformats.org/officeDocument/2006/relationships/worksheet" Target="worksheets/sheet22.xml"/><Relationship Id="rId25" Type="http://schemas.openxmlformats.org/officeDocument/2006/relationships/worksheet" Target="worksheets/sheet23.xml"/><Relationship Id="rId26" Type="http://schemas.openxmlformats.org/officeDocument/2006/relationships/worksheet" Target="worksheets/sheet24.xml"/><Relationship Id="rId27" Type="http://schemas.openxmlformats.org/officeDocument/2006/relationships/worksheet" Target="worksheets/sheet25.xml"/><Relationship Id="rId28" Type="http://schemas.openxmlformats.org/officeDocument/2006/relationships/worksheet" Target="worksheets/sheet26.xml"/><Relationship Id="rId29" Type="http://schemas.openxmlformats.org/officeDocument/2006/relationships/worksheet" Target="worksheets/sheet27.xml"/><Relationship Id="rId30" Type="http://schemas.openxmlformats.org/officeDocument/2006/relationships/worksheet" Target="worksheets/sheet28.xml"/><Relationship Id="rId31" Type="http://schemas.openxmlformats.org/officeDocument/2006/relationships/worksheet" Target="worksheets/sheet29.xml"/><Relationship Id="rId32" Type="http://schemas.openxmlformats.org/officeDocument/2006/relationships/worksheet" Target="worksheets/sheet30.xml"/><Relationship Id="rId33" Type="http://schemas.openxmlformats.org/officeDocument/2006/relationships/worksheet" Target="worksheets/sheet31.xml"/><Relationship Id="rId34" Type="http://schemas.openxmlformats.org/officeDocument/2006/relationships/worksheet" Target="worksheets/sheet32.xml"/><Relationship Id="rId35" Type="http://schemas.openxmlformats.org/officeDocument/2006/relationships/worksheet" Target="worksheets/sheet33.xml"/><Relationship Id="rId36" Type="http://schemas.openxmlformats.org/officeDocument/2006/relationships/worksheet" Target="worksheets/sheet34.xml"/><Relationship Id="rId37" Type="http://schemas.openxmlformats.org/officeDocument/2006/relationships/worksheet" Target="worksheets/sheet35.xml"/><Relationship Id="rId38" Type="http://schemas.openxmlformats.org/officeDocument/2006/relationships/worksheet" Target="worksheets/sheet36.xml"/><Relationship Id="rId39" Type="http://schemas.openxmlformats.org/officeDocument/2006/relationships/worksheet" Target="worksheets/sheet37.xml"/><Relationship Id="rId40" Type="http://schemas.openxmlformats.org/officeDocument/2006/relationships/worksheet" Target="worksheets/sheet38.xml"/><Relationship Id="rId41" Type="http://schemas.openxmlformats.org/officeDocument/2006/relationships/worksheet" Target="worksheets/sheet39.xml"/><Relationship Id="rId42" Type="http://schemas.openxmlformats.org/officeDocument/2006/relationships/worksheet" Target="worksheets/sheet40.xml"/><Relationship Id="rId43" Type="http://schemas.openxmlformats.org/officeDocument/2006/relationships/sharedStrings" Target="sharedStrings.xml"/><Relationship Id="rId44" Type="http://schemas.openxmlformats.org/officeDocument/2006/relationships/customXml" Target="../customXml/item1.xml"/>
</Relationships>
</file>

<file path=xl/charts/_rels/chart1.xml.rels><?xml version="1.0" encoding="UTF-8"?>
<Relationships xmlns="http://schemas.openxmlformats.org/package/2006/relationships"><Relationship Id="rId1" Type="http://schemas.microsoft.com/office/2011/relationships/chartStyle" Target="style1.xml"/><Relationship Id="rId2" Type="http://schemas.microsoft.com/office/2011/relationships/chartColorStyle" Target="colors1.xml"/>
</Relationships>
</file>

<file path=xl/charts/_rels/chart10.xml.rels><?xml version="1.0" encoding="UTF-8"?>
<Relationships xmlns="http://schemas.openxmlformats.org/package/2006/relationships"><Relationship Id="rId1" Type="http://schemas.microsoft.com/office/2011/relationships/chartStyle" Target="style10.xml"/><Relationship Id="rId2" Type="http://schemas.microsoft.com/office/2011/relationships/chartColorStyle" Target="colors10.xml"/>
</Relationships>
</file>

<file path=xl/charts/_rels/chart11.xml.rels><?xml version="1.0" encoding="UTF-8"?>
<Relationships xmlns="http://schemas.openxmlformats.org/package/2006/relationships"><Relationship Id="rId1" Type="http://schemas.microsoft.com/office/2011/relationships/chartStyle" Target="style11.xml"/><Relationship Id="rId2" Type="http://schemas.microsoft.com/office/2011/relationships/chartColorStyle" Target="colors11.xml"/>
</Relationships>
</file>

<file path=xl/charts/_rels/chart12.xml.rels><?xml version="1.0" encoding="UTF-8"?>
<Relationships xmlns="http://schemas.openxmlformats.org/package/2006/relationships"><Relationship Id="rId1" Type="http://schemas.microsoft.com/office/2011/relationships/chartStyle" Target="style12.xml"/><Relationship Id="rId2" Type="http://schemas.microsoft.com/office/2011/relationships/chartColorStyle" Target="colors12.xml"/>
</Relationships>
</file>

<file path=xl/charts/_rels/chart13.xml.rels><?xml version="1.0" encoding="UTF-8"?>
<Relationships xmlns="http://schemas.openxmlformats.org/package/2006/relationships"><Relationship Id="rId1" Type="http://schemas.microsoft.com/office/2011/relationships/chartStyle" Target="style13.xml"/><Relationship Id="rId2" Type="http://schemas.microsoft.com/office/2011/relationships/chartColorStyle" Target="colors13.xml"/>
</Relationships>
</file>

<file path=xl/charts/_rels/chart14.xml.rels><?xml version="1.0" encoding="UTF-8"?>
<Relationships xmlns="http://schemas.openxmlformats.org/package/2006/relationships"><Relationship Id="rId1" Type="http://schemas.microsoft.com/office/2011/relationships/chartStyle" Target="style14.xml"/><Relationship Id="rId2" Type="http://schemas.microsoft.com/office/2011/relationships/chartColorStyle" Target="colors14.xml"/>
</Relationships>
</file>

<file path=xl/charts/_rels/chart2.xml.rels><?xml version="1.0" encoding="UTF-8"?>
<Relationships xmlns="http://schemas.openxmlformats.org/package/2006/relationships"><Relationship Id="rId1" Type="http://schemas.microsoft.com/office/2011/relationships/chartStyle" Target="style2.xml"/><Relationship Id="rId2" Type="http://schemas.microsoft.com/office/2011/relationships/chartColorStyle" Target="colors2.xml"/>
</Relationships>
</file>

<file path=xl/charts/_rels/chart3.xml.rels><?xml version="1.0" encoding="UTF-8"?>
<Relationships xmlns="http://schemas.openxmlformats.org/package/2006/relationships"><Relationship Id="rId1" Type="http://schemas.microsoft.com/office/2011/relationships/chartStyle" Target="style3.xml"/><Relationship Id="rId2" Type="http://schemas.microsoft.com/office/2011/relationships/chartColorStyle" Target="colors3.xml"/>
</Relationships>
</file>

<file path=xl/charts/_rels/chart4.xml.rels><?xml version="1.0" encoding="UTF-8"?>
<Relationships xmlns="http://schemas.openxmlformats.org/package/2006/relationships"><Relationship Id="rId1" Type="http://schemas.microsoft.com/office/2011/relationships/chartStyle" Target="style4.xml"/><Relationship Id="rId2" Type="http://schemas.microsoft.com/office/2011/relationships/chartColorStyle" Target="colors4.xml"/>
</Relationships>
</file>

<file path=xl/charts/_rels/chart5.xml.rels><?xml version="1.0" encoding="UTF-8"?>
<Relationships xmlns="http://schemas.openxmlformats.org/package/2006/relationships"><Relationship Id="rId1" Type="http://schemas.microsoft.com/office/2011/relationships/chartStyle" Target="style5.xml"/><Relationship Id="rId2" Type="http://schemas.microsoft.com/office/2011/relationships/chartColorStyle" Target="colors5.xml"/>
</Relationships>
</file>

<file path=xl/charts/_rels/chart6.xml.rels><?xml version="1.0" encoding="UTF-8"?>
<Relationships xmlns="http://schemas.openxmlformats.org/package/2006/relationships"><Relationship Id="rId1" Type="http://schemas.microsoft.com/office/2011/relationships/chartStyle" Target="style6.xml"/><Relationship Id="rId2" Type="http://schemas.microsoft.com/office/2011/relationships/chartColorStyle" Target="colors6.xml"/>
</Relationships>
</file>

<file path=xl/charts/_rels/chart7.xml.rels><?xml version="1.0" encoding="UTF-8"?>
<Relationships xmlns="http://schemas.openxmlformats.org/package/2006/relationships"><Relationship Id="rId1" Type="http://schemas.microsoft.com/office/2011/relationships/chartStyle" Target="style7.xml"/><Relationship Id="rId2" Type="http://schemas.microsoft.com/office/2011/relationships/chartColorStyle" Target="colors7.xml"/>
</Relationships>
</file>

<file path=xl/charts/_rels/chart8.xml.rels><?xml version="1.0" encoding="UTF-8"?>
<Relationships xmlns="http://schemas.openxmlformats.org/package/2006/relationships"><Relationship Id="rId1" Type="http://schemas.microsoft.com/office/2011/relationships/chartStyle" Target="style8.xml"/><Relationship Id="rId2" Type="http://schemas.microsoft.com/office/2011/relationships/chartColorStyle" Target="colors8.xml"/>
</Relationships>
</file>

<file path=xl/charts/_rels/chart9.xml.rels><?xml version="1.0" encoding="UTF-8"?>
<Relationships xmlns="http://schemas.openxmlformats.org/package/2006/relationships"><Relationship Id="rId1" Type="http://schemas.microsoft.com/office/2011/relationships/chartStyle" Target="style9.xml"/><Relationship Id="rId2" Type="http://schemas.microsoft.com/office/2011/relationships/chartColorStyle" Target="colors9.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style val="2"/>
  <c:chart>
    <c:title>
      <c:tx>
        <c:rich>
          <a:bodyPr rot="0"/>
          <a:lstStyle/>
          <a:p>
            <a:pPr>
              <a:defRPr sz="1300" b="0" u="none" strike="noStrike">
                <a:uFillTx/>
                <a:latin typeface="Arial"/>
              </a:defRPr>
            </a:pPr>
            <a:r>
              <a:rPr lang="en-US" sz="1800" b="1" u="none" strike="noStrike">
                <a:solidFill>
                  <a:srgbClr val="274E13"/>
                </a:solidFill>
                <a:uFillTx/>
                <a:latin typeface="Arial"/>
                <a:ea typeface="Calibri"/>
              </a:rPr>
              <a:t>Total de Registros - Produtos Técnicos e Formulados</a:t>
            </a:r>
          </a:p>
        </c:rich>
      </c:tx>
      <c:overlay val="0"/>
      <c:spPr>
        <a:noFill/>
        <a:ln w="0">
          <a:noFill/>
        </a:ln>
      </c:spPr>
    </c:title>
    <c:autoTitleDeleted val="0"/>
    <c:plotArea>
      <c:barChart>
        <c:barDir val="col"/>
        <c:grouping val="stacked"/>
        <c:varyColors val="0"/>
        <c:ser>
          <c:idx val="0"/>
          <c:order val="0"/>
          <c:tx>
            <c:strRef>
              <c:f>"Total Prdutos Técnicos (PT + PTN + PTE + Pré-Mistura)"</c:f>
              <c:strCache>
                <c:ptCount val="1"/>
                <c:pt idx="0">
                  <c:v>Total Prdutos Técnicos (PT + PTN + PTE + Pré-Mistura)</c:v>
                </c:pt>
              </c:strCache>
            </c:strRef>
          </c:tx>
          <c:spPr>
            <a:solidFill>
              <a:srgbClr val="4BACC6"/>
            </a:solidFill>
            <a:ln w="0">
              <a:solidFill>
                <a:srgbClr val="000000"/>
              </a:solidFill>
            </a:ln>
          </c:spPr>
          <c:invertIfNegative val="0"/>
          <c:dPt>
            <c:idx val="4"/>
            <c:invertIfNegative val="0"/>
            <c:spPr>
              <a:solidFill>
                <a:srgbClr val="4BACC6"/>
              </a:solidFill>
              <a:ln w="0">
                <a:solidFill>
                  <a:srgbClr val="000000"/>
                </a:solidFill>
              </a:ln>
            </c:spPr>
          </c:dPt>
          <c:dPt>
            <c:idx val="20"/>
            <c:invertIfNegative val="0"/>
            <c:spPr>
              <a:solidFill>
                <a:srgbClr val="4BACC6"/>
              </a:solidFill>
              <a:ln w="0">
                <a:solidFill>
                  <a:srgbClr val="000000"/>
                </a:solidFill>
              </a:ln>
            </c:spPr>
          </c:dPt>
          <c:dPt>
            <c:idx val="21"/>
            <c:invertIfNegative val="0"/>
            <c:spPr>
              <a:solidFill>
                <a:srgbClr val="4BACC6"/>
              </a:solidFill>
              <a:ln w="0">
                <a:solidFill>
                  <a:srgbClr val="000000"/>
                </a:solidFill>
              </a:ln>
            </c:spPr>
          </c:dPt>
          <c:dPt>
            <c:idx val="22"/>
            <c:invertIfNegative val="0"/>
            <c:spPr>
              <a:solidFill>
                <a:srgbClr val="4BACC6"/>
              </a:solidFill>
              <a:ln w="0">
                <a:solidFill>
                  <a:srgbClr val="000000"/>
                </a:solidFill>
              </a:ln>
            </c:spPr>
          </c:dPt>
          <c:dPt>
            <c:idx val="23"/>
            <c:invertIfNegative val="0"/>
            <c:spPr>
              <a:solidFill>
                <a:srgbClr val="4BACC6"/>
              </a:solidFill>
              <a:ln w="0">
                <a:solidFill>
                  <a:srgbClr val="000000"/>
                </a:solidFill>
              </a:ln>
            </c:spPr>
          </c:dPt>
          <c:dLbls>
            <c:dLbl>
              <c:idx val="4"/>
              <c:numFmt formatCode="General" sourceLinked="1"/>
              <c:spPr>
                <a:solidFill>
                  <a:srgbClr val="FFFF00"/>
                </a:solidFill>
              </c:spPr>
              <c:txPr>
                <a:bodyPr wrap="square"/>
                <a:lstStyle/>
                <a:p>
                  <a:pPr>
                    <a:defRPr sz="800" b="1" u="none" strike="noStrike">
                      <a:solidFill>
                        <a:srgbClr val="000000"/>
                      </a:solidFill>
                      <a:uFillTx/>
                      <a:latin typeface="Arial"/>
                    </a:defRPr>
                  </a:pPr>
                </a:p>
              </c:txPr>
              <c:dLblPos val="ctr"/>
              <c:showLegendKey val="0"/>
              <c:showVal val="1"/>
              <c:showCatName val="0"/>
              <c:showSerName val="0"/>
              <c:showPercent val="0"/>
              <c:separator>; </c:separator>
            </c:dLbl>
            <c:dLbl>
              <c:idx val="20"/>
              <c:numFmt formatCode="General" sourceLinked="1"/>
              <c:spPr>
                <a:solidFill>
                  <a:srgbClr val="FFFF00"/>
                </a:solidFill>
              </c:spPr>
              <c:txPr>
                <a:bodyPr wrap="square"/>
                <a:lstStyle/>
                <a:p>
                  <a:pPr>
                    <a:defRPr sz="800" b="1" u="none" strike="noStrike">
                      <a:solidFill>
                        <a:srgbClr val="000000"/>
                      </a:solidFill>
                      <a:uFillTx/>
                      <a:latin typeface="Arial"/>
                    </a:defRPr>
                  </a:pPr>
                </a:p>
              </c:txPr>
              <c:dLblPos val="ctr"/>
              <c:showLegendKey val="0"/>
              <c:showVal val="1"/>
              <c:showCatName val="0"/>
              <c:showSerName val="0"/>
              <c:showPercent val="0"/>
              <c:separator>; </c:separator>
            </c:dLbl>
            <c:dLbl>
              <c:idx val="21"/>
              <c:numFmt formatCode="General" sourceLinked="1"/>
              <c:spPr>
                <a:solidFill>
                  <a:srgbClr val="FFFF00"/>
                </a:solidFill>
              </c:spPr>
              <c:txPr>
                <a:bodyPr wrap="square"/>
                <a:lstStyle/>
                <a:p>
                  <a:pPr>
                    <a:defRPr sz="800" b="1" u="none" strike="noStrike">
                      <a:solidFill>
                        <a:srgbClr val="000000"/>
                      </a:solidFill>
                      <a:uFillTx/>
                      <a:latin typeface="Arial"/>
                      <a:ea typeface="Calibri"/>
                    </a:defRPr>
                  </a:pPr>
                </a:p>
              </c:txPr>
              <c:dLblPos val="ctr"/>
              <c:showLegendKey val="0"/>
              <c:showVal val="1"/>
              <c:showCatName val="0"/>
              <c:showSerName val="0"/>
              <c:showPercent val="0"/>
              <c:separator>; </c:separator>
            </c:dLbl>
            <c:dLbl>
              <c:idx val="22"/>
              <c:numFmt formatCode="General" sourceLinked="1"/>
              <c:spPr>
                <a:solidFill>
                  <a:srgbClr val="FFFF00"/>
                </a:solidFill>
              </c:spPr>
              <c:txPr>
                <a:bodyPr wrap="square"/>
                <a:lstStyle/>
                <a:p>
                  <a:pPr>
                    <a:defRPr sz="800" b="1" u="none" strike="noStrike">
                      <a:solidFill>
                        <a:srgbClr val="000000"/>
                      </a:solidFill>
                      <a:uFillTx/>
                      <a:latin typeface="Arial"/>
                      <a:ea typeface="Calibri"/>
                    </a:defRPr>
                  </a:pPr>
                </a:p>
              </c:txPr>
              <c:dLblPos val="ctr"/>
              <c:showLegendKey val="0"/>
              <c:showVal val="1"/>
              <c:showCatName val="0"/>
              <c:showSerName val="0"/>
              <c:showPercent val="0"/>
              <c:separator>; </c:separator>
            </c:dLbl>
            <c:dLbl>
              <c:idx val="23"/>
              <c:numFmt formatCode="General" sourceLinked="1"/>
              <c:spPr>
                <a:solidFill>
                  <a:srgbClr val="FFFF00"/>
                </a:solidFill>
              </c:spPr>
              <c:txPr>
                <a:bodyPr wrap="square"/>
                <a:lstStyle/>
                <a:p>
                  <a:pPr>
                    <a:defRPr sz="800" b="1" u="none" strike="noStrike">
                      <a:solidFill>
                        <a:srgbClr val="000000"/>
                      </a:solidFill>
                      <a:uFillTx/>
                      <a:latin typeface="Arial"/>
                      <a:ea typeface="Calibri"/>
                    </a:defRPr>
                  </a:pPr>
                </a:p>
              </c:txPr>
              <c:dLblPos val="ctr"/>
              <c:showLegendKey val="0"/>
              <c:showVal val="1"/>
              <c:showCatName val="0"/>
              <c:showSerName val="0"/>
              <c:showPercent val="0"/>
              <c:separator>; </c:separator>
            </c:dLbl>
            <c:numFmt formatCode="General" sourceLinked="1"/>
            <c:spPr>
              <a:solidFill>
                <a:srgbClr val="FFFF00"/>
              </a:solidFill>
            </c:spPr>
            <c:txPr>
              <a:bodyPr wrap="square"/>
              <a:lstStyle/>
              <a:p>
                <a:pPr>
                  <a:defRPr sz="800" b="1" u="none" strike="noStrike">
                    <a:solidFill>
                      <a:srgbClr val="000000"/>
                    </a:solidFill>
                    <a:uFillTx/>
                    <a:latin typeface="Arial"/>
                    <a:ea typeface="Calibri"/>
                  </a:defRPr>
                </a:pPr>
              </a:p>
            </c:txPr>
            <c:dLblPos val="ctr"/>
            <c:showLegendKey val="0"/>
            <c:showVal val="1"/>
            <c:showCatName val="0"/>
            <c:showSerName val="0"/>
            <c:showPercent val="0"/>
            <c:separator>; </c:separator>
            <c:showLeaderLines val="0"/>
            <c:extLst>
              <c:ext xmlns:c15="http://schemas.microsoft.com/office/drawing/2012/chart" uri="{CE6537A1-D6FC-4f65-9D91-7224C49458BB}">
                <c15:showLeaderLines val="0"/>
              </c:ext>
            </c:extLst>
          </c:dLbls>
          <c:cat>
            <c:multiLvlStrRef>
              <c:f>Resumo!$B$9:$AA$9</c:f>
              <c:multiLvlStrCache>
                <c:ptCount val="1"/>
                <c:lvl>
                  <c:pt idx="0">
                    <c:v>2025</c:v>
                  </c:pt>
                </c:lvl>
                <c:lvl>
                  <c:pt idx="0">
                    <c:v>2024</c:v>
                  </c:pt>
                </c:lvl>
                <c:lvl>
                  <c:pt idx="0">
                    <c:v>2023</c:v>
                  </c:pt>
                </c:lvl>
                <c:lvl>
                  <c:pt idx="0">
                    <c:v>2022</c:v>
                  </c:pt>
                </c:lvl>
                <c:lvl>
                  <c:pt idx="0">
                    <c:v>2021</c:v>
                  </c:pt>
                </c:lvl>
                <c:lvl>
                  <c:pt idx="0">
                    <c:v>2020</c:v>
                  </c:pt>
                </c:lvl>
                <c:lvl>
                  <c:pt idx="0">
                    <c:v>2019</c:v>
                  </c:pt>
                </c:lvl>
                <c:lvl>
                  <c:pt idx="0">
                    <c:v>2018</c:v>
                  </c:pt>
                </c:lvl>
                <c:lvl>
                  <c:pt idx="0">
                    <c:v>2017</c:v>
                  </c:pt>
                </c:lvl>
                <c:lvl>
                  <c:pt idx="0">
                    <c:v>2016</c:v>
                  </c:pt>
                </c:lvl>
                <c:lvl>
                  <c:pt idx="0">
                    <c:v>2015</c:v>
                  </c:pt>
                </c:lvl>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lvl>
                  <c:pt idx="0">
                    <c:v>2004</c:v>
                  </c:pt>
                </c:lvl>
                <c:lvl>
                  <c:pt idx="0">
                    <c:v>2003</c:v>
                  </c:pt>
                </c:lvl>
                <c:lvl>
                  <c:pt idx="0">
                    <c:v>2002</c:v>
                  </c:pt>
                </c:lvl>
                <c:lvl>
                  <c:pt idx="0">
                    <c:v>2001</c:v>
                  </c:pt>
                </c:lvl>
                <c:lvl>
                  <c:pt idx="0">
                    <c:v>2000</c:v>
                  </c:pt>
                </c:lvl>
              </c:multiLvlStrCache>
            </c:multiLvlStrRef>
          </c:cat>
          <c:val>
            <c:numRef>
              <c:f>Resumo!$B$14:$AB$14</c:f>
              <c:numCache>
                <c:formatCode>General</c:formatCode>
                <c:ptCount val="27"/>
                <c:pt idx="0">
                  <c:v>29</c:v>
                </c:pt>
                <c:pt idx="1">
                  <c:v>36</c:v>
                </c:pt>
                <c:pt idx="2">
                  <c:v>18</c:v>
                </c:pt>
                <c:pt idx="3">
                  <c:v>29</c:v>
                </c:pt>
                <c:pt idx="4">
                  <c:v>26</c:v>
                </c:pt>
                <c:pt idx="5">
                  <c:v>29</c:v>
                </c:pt>
                <c:pt idx="6">
                  <c:v>39</c:v>
                </c:pt>
                <c:pt idx="7">
                  <c:v>54</c:v>
                </c:pt>
                <c:pt idx="8">
                  <c:v>54</c:v>
                </c:pt>
                <c:pt idx="9">
                  <c:v>36</c:v>
                </c:pt>
                <c:pt idx="10">
                  <c:v>39</c:v>
                </c:pt>
                <c:pt idx="11">
                  <c:v>61</c:v>
                </c:pt>
                <c:pt idx="12">
                  <c:v>65</c:v>
                </c:pt>
                <c:pt idx="13">
                  <c:v>48</c:v>
                </c:pt>
                <c:pt idx="14">
                  <c:v>84</c:v>
                </c:pt>
                <c:pt idx="15">
                  <c:v>48</c:v>
                </c:pt>
                <c:pt idx="16">
                  <c:v>163</c:v>
                </c:pt>
                <c:pt idx="17">
                  <c:v>186</c:v>
                </c:pt>
                <c:pt idx="18">
                  <c:v>197</c:v>
                </c:pt>
                <c:pt idx="19">
                  <c:v>273</c:v>
                </c:pt>
                <c:pt idx="20">
                  <c:v>172</c:v>
                </c:pt>
                <c:pt idx="21">
                  <c:v>191</c:v>
                </c:pt>
                <c:pt idx="22">
                  <c:v>279</c:v>
                </c:pt>
                <c:pt idx="23">
                  <c:v>190</c:v>
                </c:pt>
                <c:pt idx="24">
                  <c:v>199</c:v>
                </c:pt>
                <c:pt idx="25">
                  <c:v>323</c:v>
                </c:pt>
                <c:pt idx="26">
                  <c:v>251</c:v>
                </c:pt>
              </c:numCache>
            </c:numRef>
          </c:val>
        </c:ser>
        <c:ser>
          <c:idx val="1"/>
          <c:order val="1"/>
          <c:tx>
            <c:strRef>
              <c:f>"Total de Produtos Formulados (PF + PFN + PF/PTE + Bio + Bio/Org)"</c:f>
              <c:strCache>
                <c:ptCount val="1"/>
                <c:pt idx="0">
                  <c:v>Total de Produtos Formulados (PF + PFN + PF/PTE + Bio + Bio/Org)</c:v>
                </c:pt>
              </c:strCache>
            </c:strRef>
          </c:tx>
          <c:spPr>
            <a:solidFill>
              <a:srgbClr val="4F81BD"/>
            </a:solidFill>
            <a:ln w="0">
              <a:solidFill>
                <a:srgbClr val="000000"/>
              </a:solidFill>
            </a:ln>
          </c:spPr>
          <c:invertIfNegative val="0"/>
          <c:dPt>
            <c:idx val="4"/>
            <c:invertIfNegative val="0"/>
            <c:spPr>
              <a:solidFill>
                <a:srgbClr val="4F81BD"/>
              </a:solidFill>
              <a:ln w="0">
                <a:solidFill>
                  <a:srgbClr val="000000"/>
                </a:solidFill>
              </a:ln>
            </c:spPr>
          </c:dPt>
          <c:dPt>
            <c:idx val="9"/>
            <c:invertIfNegative val="0"/>
            <c:spPr>
              <a:solidFill>
                <a:srgbClr val="4F81BD"/>
              </a:solidFill>
              <a:ln w="0">
                <a:solidFill>
                  <a:srgbClr val="000000"/>
                </a:solidFill>
              </a:ln>
            </c:spPr>
          </c:dPt>
          <c:dPt>
            <c:idx val="19"/>
            <c:invertIfNegative val="0"/>
            <c:spPr>
              <a:solidFill>
                <a:srgbClr val="4F81BD"/>
              </a:solidFill>
              <a:ln w="0">
                <a:solidFill>
                  <a:srgbClr val="000000"/>
                </a:solidFill>
              </a:ln>
            </c:spPr>
          </c:dPt>
          <c:dPt>
            <c:idx val="22"/>
            <c:invertIfNegative val="0"/>
            <c:spPr>
              <a:solidFill>
                <a:srgbClr val="4F81BD"/>
              </a:solidFill>
              <a:ln w="0">
                <a:solidFill>
                  <a:srgbClr val="000000"/>
                </a:solidFill>
              </a:ln>
            </c:spPr>
          </c:dPt>
          <c:dPt>
            <c:idx val="23"/>
            <c:invertIfNegative val="0"/>
            <c:spPr>
              <a:solidFill>
                <a:srgbClr val="4F81BD"/>
              </a:solidFill>
              <a:ln w="0">
                <a:solidFill>
                  <a:srgbClr val="000000"/>
                </a:solidFill>
              </a:ln>
            </c:spPr>
          </c:dPt>
          <c:dLbls>
            <c:dLbl>
              <c:idx val="4"/>
              <c:numFmt formatCode="General" sourceLinked="1"/>
              <c:spPr>
                <a:solidFill>
                  <a:srgbClr val="FFFF00"/>
                </a:solidFill>
              </c:spPr>
              <c:txPr>
                <a:bodyPr wrap="square"/>
                <a:lstStyle/>
                <a:p>
                  <a:pPr>
                    <a:defRPr sz="800" b="1" u="none" strike="noStrike">
                      <a:solidFill>
                        <a:srgbClr val="000000"/>
                      </a:solidFill>
                      <a:uFillTx/>
                      <a:latin typeface="Arial"/>
                    </a:defRPr>
                  </a:pPr>
                </a:p>
              </c:txPr>
              <c:dLblPos val="ctr"/>
              <c:showLegendKey val="0"/>
              <c:showVal val="1"/>
              <c:showCatName val="0"/>
              <c:showSerName val="0"/>
              <c:showPercent val="0"/>
              <c:separator>; </c:separator>
            </c:dLbl>
            <c:dLbl>
              <c:idx val="9"/>
              <c:numFmt formatCode="General" sourceLinked="1"/>
              <c:spPr>
                <a:solidFill>
                  <a:srgbClr val="FFFF00"/>
                </a:solidFill>
              </c:spPr>
              <c:txPr>
                <a:bodyPr wrap="square"/>
                <a:lstStyle/>
                <a:p>
                  <a:pPr>
                    <a:defRPr sz="800" b="1" u="none" strike="noStrike">
                      <a:solidFill>
                        <a:srgbClr val="000000"/>
                      </a:solidFill>
                      <a:uFillTx/>
                      <a:latin typeface="Arial"/>
                    </a:defRPr>
                  </a:pPr>
                </a:p>
              </c:txPr>
              <c:dLblPos val="ctr"/>
              <c:showLegendKey val="0"/>
              <c:showVal val="1"/>
              <c:showCatName val="0"/>
              <c:showSerName val="0"/>
              <c:showPercent val="0"/>
              <c:separator>; </c:separator>
            </c:dLbl>
            <c:dLbl>
              <c:idx val="19"/>
              <c:numFmt formatCode="General" sourceLinked="1"/>
              <c:spPr>
                <a:solidFill>
                  <a:srgbClr val="FFFF00"/>
                </a:solidFill>
              </c:spPr>
              <c:txPr>
                <a:bodyPr wrap="square"/>
                <a:lstStyle/>
                <a:p>
                  <a:pPr>
                    <a:defRPr sz="800" b="1" u="none" strike="noStrike">
                      <a:solidFill>
                        <a:srgbClr val="000000"/>
                      </a:solidFill>
                      <a:uFillTx/>
                      <a:latin typeface="Arial"/>
                    </a:defRPr>
                  </a:pPr>
                </a:p>
              </c:txPr>
              <c:dLblPos val="ctr"/>
              <c:showLegendKey val="0"/>
              <c:showVal val="1"/>
              <c:showCatName val="0"/>
              <c:showSerName val="0"/>
              <c:showPercent val="0"/>
              <c:separator>; </c:separator>
            </c:dLbl>
            <c:dLbl>
              <c:idx val="22"/>
              <c:numFmt formatCode="General" sourceLinked="1"/>
              <c:spPr>
                <a:solidFill>
                  <a:srgbClr val="FFFF00"/>
                </a:solidFill>
              </c:spPr>
              <c:txPr>
                <a:bodyPr wrap="square"/>
                <a:lstStyle/>
                <a:p>
                  <a:pPr>
                    <a:defRPr sz="800" b="1" u="none" strike="noStrike">
                      <a:solidFill>
                        <a:srgbClr val="000000"/>
                      </a:solidFill>
                      <a:uFillTx/>
                      <a:latin typeface="Arial"/>
                    </a:defRPr>
                  </a:pPr>
                </a:p>
              </c:txPr>
              <c:dLblPos val="ctr"/>
              <c:showLegendKey val="0"/>
              <c:showVal val="1"/>
              <c:showCatName val="0"/>
              <c:showSerName val="0"/>
              <c:showPercent val="0"/>
              <c:separator>; </c:separator>
            </c:dLbl>
            <c:dLbl>
              <c:idx val="23"/>
              <c:numFmt formatCode="General" sourceLinked="1"/>
              <c:spPr>
                <a:solidFill>
                  <a:srgbClr val="FFFF00"/>
                </a:solidFill>
              </c:spPr>
              <c:txPr>
                <a:bodyPr wrap="square"/>
                <a:lstStyle/>
                <a:p>
                  <a:pPr>
                    <a:defRPr sz="800" b="1" u="none" strike="noStrike">
                      <a:solidFill>
                        <a:srgbClr val="000000"/>
                      </a:solidFill>
                      <a:uFillTx/>
                      <a:latin typeface="Arial"/>
                    </a:defRPr>
                  </a:pPr>
                </a:p>
              </c:txPr>
              <c:dLblPos val="ctr"/>
              <c:showLegendKey val="0"/>
              <c:showVal val="1"/>
              <c:showCatName val="0"/>
              <c:showSerName val="0"/>
              <c:showPercent val="0"/>
              <c:separator>; </c:separator>
            </c:dLbl>
            <c:numFmt formatCode="General" sourceLinked="1"/>
            <c:spPr>
              <a:solidFill>
                <a:srgbClr val="FFFF00"/>
              </a:solidFill>
            </c:spPr>
            <c:txPr>
              <a:bodyPr wrap="square"/>
              <a:lstStyle/>
              <a:p>
                <a:pPr>
                  <a:defRPr sz="800" b="1" u="none" strike="noStrike">
                    <a:solidFill>
                      <a:srgbClr val="000000"/>
                    </a:solidFill>
                    <a:uFillTx/>
                    <a:latin typeface="Arial"/>
                    <a:ea typeface="Calibri"/>
                  </a:defRPr>
                </a:pPr>
              </a:p>
            </c:txPr>
            <c:dLblPos val="ctr"/>
            <c:showLegendKey val="0"/>
            <c:showVal val="1"/>
            <c:showCatName val="0"/>
            <c:showSerName val="0"/>
            <c:showPercent val="0"/>
            <c:separator>; </c:separator>
            <c:showLeaderLines val="0"/>
            <c:extLst>
              <c:ext xmlns:c15="http://schemas.microsoft.com/office/drawing/2012/chart" uri="{CE6537A1-D6FC-4f65-9D91-7224C49458BB}">
                <c15:showLeaderLines val="0"/>
              </c:ext>
            </c:extLst>
          </c:dLbls>
          <c:cat>
            <c:multiLvlStrRef>
              <c:f>Resumo!$B$9:$AA$9</c:f>
              <c:multiLvlStrCache>
                <c:ptCount val="1"/>
                <c:lvl>
                  <c:pt idx="0">
                    <c:v>2025</c:v>
                  </c:pt>
                </c:lvl>
                <c:lvl>
                  <c:pt idx="0">
                    <c:v>2024</c:v>
                  </c:pt>
                </c:lvl>
                <c:lvl>
                  <c:pt idx="0">
                    <c:v>2023</c:v>
                  </c:pt>
                </c:lvl>
                <c:lvl>
                  <c:pt idx="0">
                    <c:v>2022</c:v>
                  </c:pt>
                </c:lvl>
                <c:lvl>
                  <c:pt idx="0">
                    <c:v>2021</c:v>
                  </c:pt>
                </c:lvl>
                <c:lvl>
                  <c:pt idx="0">
                    <c:v>2020</c:v>
                  </c:pt>
                </c:lvl>
                <c:lvl>
                  <c:pt idx="0">
                    <c:v>2019</c:v>
                  </c:pt>
                </c:lvl>
                <c:lvl>
                  <c:pt idx="0">
                    <c:v>2018</c:v>
                  </c:pt>
                </c:lvl>
                <c:lvl>
                  <c:pt idx="0">
                    <c:v>2017</c:v>
                  </c:pt>
                </c:lvl>
                <c:lvl>
                  <c:pt idx="0">
                    <c:v>2016</c:v>
                  </c:pt>
                </c:lvl>
                <c:lvl>
                  <c:pt idx="0">
                    <c:v>2015</c:v>
                  </c:pt>
                </c:lvl>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lvl>
                  <c:pt idx="0">
                    <c:v>2004</c:v>
                  </c:pt>
                </c:lvl>
                <c:lvl>
                  <c:pt idx="0">
                    <c:v>2003</c:v>
                  </c:pt>
                </c:lvl>
                <c:lvl>
                  <c:pt idx="0">
                    <c:v>2002</c:v>
                  </c:pt>
                </c:lvl>
                <c:lvl>
                  <c:pt idx="0">
                    <c:v>2001</c:v>
                  </c:pt>
                </c:lvl>
                <c:lvl>
                  <c:pt idx="0">
                    <c:v>2000</c:v>
                  </c:pt>
                </c:lvl>
              </c:multiLvlStrCache>
            </c:multiLvlStrRef>
          </c:cat>
          <c:val>
            <c:numRef>
              <c:f>Resumo!$B$22:$AB$22</c:f>
              <c:numCache>
                <c:formatCode>General</c:formatCode>
                <c:ptCount val="27"/>
                <c:pt idx="0">
                  <c:v>53</c:v>
                </c:pt>
                <c:pt idx="1">
                  <c:v>79</c:v>
                </c:pt>
                <c:pt idx="2">
                  <c:v>35</c:v>
                </c:pt>
                <c:pt idx="3">
                  <c:v>48</c:v>
                </c:pt>
                <c:pt idx="4">
                  <c:v>58</c:v>
                </c:pt>
                <c:pt idx="5">
                  <c:v>60</c:v>
                </c:pt>
                <c:pt idx="6">
                  <c:v>70</c:v>
                </c:pt>
                <c:pt idx="7">
                  <c:v>148</c:v>
                </c:pt>
                <c:pt idx="8">
                  <c:v>137</c:v>
                </c:pt>
                <c:pt idx="9">
                  <c:v>101</c:v>
                </c:pt>
                <c:pt idx="10">
                  <c:v>65</c:v>
                </c:pt>
                <c:pt idx="11">
                  <c:v>85</c:v>
                </c:pt>
                <c:pt idx="12">
                  <c:v>103</c:v>
                </c:pt>
                <c:pt idx="13">
                  <c:v>62</c:v>
                </c:pt>
                <c:pt idx="14">
                  <c:v>64</c:v>
                </c:pt>
                <c:pt idx="15">
                  <c:v>91</c:v>
                </c:pt>
                <c:pt idx="16">
                  <c:v>114</c:v>
                </c:pt>
                <c:pt idx="17">
                  <c:v>218</c:v>
                </c:pt>
                <c:pt idx="18">
                  <c:v>252</c:v>
                </c:pt>
                <c:pt idx="19">
                  <c:v>202</c:v>
                </c:pt>
                <c:pt idx="20">
                  <c:v>321</c:v>
                </c:pt>
                <c:pt idx="21">
                  <c:v>371</c:v>
                </c:pt>
                <c:pt idx="22">
                  <c:v>373</c:v>
                </c:pt>
                <c:pt idx="23">
                  <c:v>365</c:v>
                </c:pt>
                <c:pt idx="24">
                  <c:v>464</c:v>
                </c:pt>
                <c:pt idx="25">
                  <c:v>589</c:v>
                </c:pt>
                <c:pt idx="26">
                  <c:v>323</c:v>
                </c:pt>
              </c:numCache>
            </c:numRef>
          </c:val>
        </c:ser>
        <c:gapWidth val="150"/>
        <c:overlap val="100"/>
        <c:axId val="76966397"/>
        <c:axId val="64594976"/>
      </c:barChart>
      <c:catAx>
        <c:axId val="76966397"/>
        <c:scaling>
          <c:orientation val="minMax"/>
        </c:scaling>
        <c:delete val="0"/>
        <c:axPos val="b"/>
        <c:numFmt formatCode="General" sourceLinked="0"/>
        <c:majorTickMark val="cross"/>
        <c:minorTickMark val="none"/>
        <c:tickLblPos val="nextTo"/>
        <c:spPr>
          <a:ln w="6480">
            <a:solidFill>
              <a:srgbClr val="8B8B8B"/>
            </a:solidFill>
            <a:round/>
          </a:ln>
        </c:spPr>
        <c:txPr>
          <a:bodyPr/>
          <a:lstStyle/>
          <a:p>
            <a:pPr>
              <a:defRPr sz="1000" b="1" u="none" strike="noStrike">
                <a:solidFill>
                  <a:srgbClr val="274E13"/>
                </a:solidFill>
                <a:uFillTx/>
                <a:latin typeface="Arial"/>
                <a:ea typeface="Calibri"/>
              </a:defRPr>
            </a:pPr>
          </a:p>
        </c:txPr>
        <c:crossAx val="64594976"/>
        <c:crosses val="autoZero"/>
        <c:auto val="1"/>
        <c:lblAlgn val="ctr"/>
        <c:lblOffset val="100"/>
        <c:noMultiLvlLbl val="0"/>
      </c:catAx>
      <c:valAx>
        <c:axId val="64594976"/>
        <c:scaling>
          <c:orientation val="minMax"/>
          <c:min val="0"/>
        </c:scaling>
        <c:delete val="0"/>
        <c:axPos val="l"/>
        <c:majorGridlines>
          <c:spPr>
            <a:ln w="6480">
              <a:solidFill>
                <a:srgbClr val="B7B7B7"/>
              </a:solidFill>
              <a:round/>
            </a:ln>
          </c:spPr>
        </c:majorGridlines>
        <c:title>
          <c:tx>
            <c:rich>
              <a:bodyPr rot="-5400000"/>
              <a:lstStyle/>
              <a:p>
                <a:pPr>
                  <a:defRPr sz="1300" b="0" u="none" strike="noStrike">
                    <a:uFillTx/>
                    <a:latin typeface="Arial"/>
                  </a:defRPr>
                </a:pPr>
                <a:r>
                  <a:rPr lang="en-US" sz="1000" b="1" u="none" strike="noStrike">
                    <a:solidFill>
                      <a:srgbClr val="274E13"/>
                    </a:solidFill>
                    <a:uFillTx/>
                    <a:latin typeface="Arial"/>
                    <a:ea typeface="Calibri"/>
                  </a:rPr>
                  <a:t>Registros Aprovados</a:t>
                </a:r>
              </a:p>
            </c:rich>
          </c:tx>
          <c:overlay val="0"/>
          <c:spPr>
            <a:noFill/>
            <a:ln w="0">
              <a:noFill/>
            </a:ln>
          </c:spPr>
        </c:title>
        <c:numFmt formatCode="General" sourceLinked="0"/>
        <c:majorTickMark val="cross"/>
        <c:minorTickMark val="cross"/>
        <c:tickLblPos val="nextTo"/>
        <c:spPr>
          <a:ln w="6480">
            <a:solidFill>
              <a:srgbClr val="8B8B8B"/>
            </a:solidFill>
            <a:round/>
          </a:ln>
        </c:spPr>
        <c:txPr>
          <a:bodyPr/>
          <a:lstStyle/>
          <a:p>
            <a:pPr>
              <a:defRPr sz="1000" b="1" u="none" strike="noStrike">
                <a:solidFill>
                  <a:srgbClr val="274E13"/>
                </a:solidFill>
                <a:uFillTx/>
                <a:latin typeface="Arial"/>
                <a:ea typeface="Calibri"/>
              </a:defRPr>
            </a:pPr>
          </a:p>
        </c:txPr>
        <c:crossAx val="76966397"/>
        <c:crosses val="autoZero"/>
        <c:crossBetween val="between"/>
      </c:valAx>
      <c:spPr>
        <a:noFill/>
        <a:ln w="0">
          <a:noFill/>
        </a:ln>
      </c:spPr>
    </c:plotArea>
    <c:legend>
      <c:legendPos val="b"/>
      <c:overlay val="0"/>
      <c:spPr>
        <a:noFill/>
        <a:ln w="0">
          <a:noFill/>
        </a:ln>
      </c:spPr>
      <c:txPr>
        <a:bodyPr/>
        <a:lstStyle/>
        <a:p>
          <a:pPr>
            <a:defRPr sz="1000" b="1" u="none" strike="noStrike">
              <a:solidFill>
                <a:srgbClr val="274E13"/>
              </a:solidFill>
              <a:uFillTx/>
              <a:latin typeface="Arial"/>
              <a:ea typeface="Calibri"/>
            </a:defRPr>
          </a:pPr>
        </a:p>
      </c:txPr>
    </c:legend>
    <c:plotVisOnly val="1"/>
    <c:dispBlanksAs val="zero"/>
  </c:chart>
  <c:spPr>
    <a:solidFill>
      <a:srgbClr val="FFFFFF"/>
    </a:solidFill>
    <a:ln w="9360">
      <a:solidFill>
        <a:srgbClr val="D9D9D9"/>
      </a:solidFill>
      <a:round/>
    </a:ln>
  </c:spPr>
</c:chartSpace>
</file>

<file path=xl/charts/chart10.xml><?xml version="1.0" encoding="utf-8"?>
<c:chartSpace xmlns:c="http://schemas.openxmlformats.org/drawingml/2006/chart" xmlns:a="http://schemas.openxmlformats.org/drawingml/2006/main" xmlns:r="http://schemas.openxmlformats.org/officeDocument/2006/relationships">
  <c:lang val="en-US"/>
  <c:roundedCorners val="0"/>
  <c:style val="2"/>
  <c:chart>
    <c:title>
      <c:tx>
        <c:rich>
          <a:bodyPr rot="0"/>
          <a:lstStyle/>
          <a:p>
            <a:pPr>
              <a:defRPr sz="1300" b="0" u="none" strike="noStrike">
                <a:uFillTx/>
                <a:latin typeface="Arial"/>
              </a:defRPr>
            </a:pPr>
            <a:r>
              <a:rPr lang="en-US" sz="1800" b="1" u="none" strike="noStrike">
                <a:solidFill>
                  <a:srgbClr val="274E13"/>
                </a:solidFill>
                <a:uFillTx/>
                <a:latin typeface="Arial"/>
                <a:ea typeface="Calibri"/>
              </a:rPr>
              <a:t>Produtos Técnicos e Pré-Misturas Registrados - Por Tipo</a:t>
            </a:r>
          </a:p>
        </c:rich>
      </c:tx>
      <c:overlay val="0"/>
      <c:spPr>
        <a:noFill/>
        <a:ln w="0">
          <a:noFill/>
        </a:ln>
      </c:spPr>
    </c:title>
    <c:autoTitleDeleted val="0"/>
    <c:plotArea>
      <c:barChart>
        <c:barDir val="col"/>
        <c:grouping val="stacked"/>
        <c:varyColors val="0"/>
        <c:ser>
          <c:idx val="0"/>
          <c:order val="0"/>
          <c:tx>
            <c:strRef>
              <c:f>"PT - Produto Técnico"</c:f>
              <c:strCache>
                <c:ptCount val="1"/>
                <c:pt idx="0">
                  <c:v>PT - Produto Técnico</c:v>
                </c:pt>
              </c:strCache>
            </c:strRef>
          </c:tx>
          <c:spPr>
            <a:solidFill>
              <a:srgbClr val="9BBB59"/>
            </a:solidFill>
            <a:ln w="0">
              <a:solidFill>
                <a:srgbClr val="000000"/>
              </a:solidFill>
            </a:ln>
          </c:spPr>
          <c:invertIfNegative val="0"/>
          <c:dPt>
            <c:idx val="21"/>
            <c:invertIfNegative val="0"/>
            <c:spPr>
              <a:solidFill>
                <a:srgbClr val="9BBB59"/>
              </a:solidFill>
              <a:ln w="0">
                <a:solidFill>
                  <a:srgbClr val="000000"/>
                </a:solidFill>
              </a:ln>
            </c:spPr>
          </c:dPt>
          <c:dLbls>
            <c:dLbl>
              <c:idx val="21"/>
              <c:numFmt formatCode="General" sourceLinked="1"/>
              <c:txPr>
                <a:bodyPr wrap="square"/>
                <a:lstStyle/>
                <a:p>
                  <a:pPr>
                    <a:defRPr sz="1000" b="0" u="none" strike="noStrike">
                      <a:solidFill>
                        <a:srgbClr val="000000"/>
                      </a:solidFill>
                      <a:uFillTx/>
                      <a:latin typeface="Calibri"/>
                    </a:defRPr>
                  </a:pPr>
                </a:p>
              </c:txPr>
              <c:dLblPos val="ctr"/>
              <c:showLegendKey val="0"/>
              <c:showVal val="1"/>
              <c:showCatName val="0"/>
              <c:showSerName val="0"/>
              <c:showPercent val="0"/>
              <c:separator>; </c:separator>
            </c:dLbl>
            <c:numFmt formatCode="General" sourceLinked="1"/>
            <c:txPr>
              <a:bodyPr wrap="square"/>
              <a:lstStyle/>
              <a:p>
                <a:pPr>
                  <a:defRPr sz="1000" b="0" u="none" strike="noStrike">
                    <a:solidFill>
                      <a:srgbClr val="000000"/>
                    </a:solidFill>
                    <a:uFillTx/>
                    <a:latin typeface="Calibri"/>
                  </a:defRPr>
                </a:pPr>
              </a:p>
            </c:txPr>
            <c:dLblPos val="ctr"/>
            <c:showLegendKey val="0"/>
            <c:showVal val="1"/>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multiLvlStrRef>
              <c:f>Resumo!$B$9:$AA$9</c:f>
              <c:multiLvlStrCache>
                <c:ptCount val="1"/>
                <c:lvl>
                  <c:pt idx="0">
                    <c:v>2025</c:v>
                  </c:pt>
                </c:lvl>
                <c:lvl>
                  <c:pt idx="0">
                    <c:v>2024</c:v>
                  </c:pt>
                </c:lvl>
                <c:lvl>
                  <c:pt idx="0">
                    <c:v>2023</c:v>
                  </c:pt>
                </c:lvl>
                <c:lvl>
                  <c:pt idx="0">
                    <c:v>2022</c:v>
                  </c:pt>
                </c:lvl>
                <c:lvl>
                  <c:pt idx="0">
                    <c:v>2021</c:v>
                  </c:pt>
                </c:lvl>
                <c:lvl>
                  <c:pt idx="0">
                    <c:v>2020</c:v>
                  </c:pt>
                </c:lvl>
                <c:lvl>
                  <c:pt idx="0">
                    <c:v>2019</c:v>
                  </c:pt>
                </c:lvl>
                <c:lvl>
                  <c:pt idx="0">
                    <c:v>2018</c:v>
                  </c:pt>
                </c:lvl>
                <c:lvl>
                  <c:pt idx="0">
                    <c:v>2017</c:v>
                  </c:pt>
                </c:lvl>
                <c:lvl>
                  <c:pt idx="0">
                    <c:v>2016</c:v>
                  </c:pt>
                </c:lvl>
                <c:lvl>
                  <c:pt idx="0">
                    <c:v>2015</c:v>
                  </c:pt>
                </c:lvl>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lvl>
                  <c:pt idx="0">
                    <c:v>2004</c:v>
                  </c:pt>
                </c:lvl>
                <c:lvl>
                  <c:pt idx="0">
                    <c:v>2003</c:v>
                  </c:pt>
                </c:lvl>
                <c:lvl>
                  <c:pt idx="0">
                    <c:v>2002</c:v>
                  </c:pt>
                </c:lvl>
                <c:lvl>
                  <c:pt idx="0">
                    <c:v>2001</c:v>
                  </c:pt>
                </c:lvl>
                <c:lvl>
                  <c:pt idx="0">
                    <c:v>2000</c:v>
                  </c:pt>
                </c:lvl>
              </c:multiLvlStrCache>
            </c:multiLvlStrRef>
          </c:cat>
          <c:val>
            <c:numRef>
              <c:f>Resumo!$B$10:$AA$10</c:f>
              <c:numCache>
                <c:formatCode>General</c:formatCode>
                <c:ptCount val="26"/>
                <c:pt idx="0">
                  <c:v>20</c:v>
                </c:pt>
                <c:pt idx="1">
                  <c:v>23</c:v>
                </c:pt>
                <c:pt idx="2">
                  <c:v>13</c:v>
                </c:pt>
                <c:pt idx="3">
                  <c:v>21</c:v>
                </c:pt>
                <c:pt idx="4">
                  <c:v>21</c:v>
                </c:pt>
                <c:pt idx="5">
                  <c:v>23</c:v>
                </c:pt>
                <c:pt idx="6">
                  <c:v>18</c:v>
                </c:pt>
                <c:pt idx="7">
                  <c:v>2</c:v>
                </c:pt>
                <c:pt idx="8">
                  <c:v>3</c:v>
                </c:pt>
                <c:pt idx="9">
                  <c:v>4</c:v>
                </c:pt>
                <c:pt idx="10">
                  <c:v>2</c:v>
                </c:pt>
                <c:pt idx="11">
                  <c:v>0</c:v>
                </c:pt>
                <c:pt idx="12">
                  <c:v>0</c:v>
                </c:pt>
                <c:pt idx="13">
                  <c:v>1</c:v>
                </c:pt>
                <c:pt idx="14">
                  <c:v>0</c:v>
                </c:pt>
                <c:pt idx="15">
                  <c:v>0</c:v>
                </c:pt>
                <c:pt idx="16">
                  <c:v>1</c:v>
                </c:pt>
                <c:pt idx="17">
                  <c:v>0</c:v>
                </c:pt>
                <c:pt idx="18">
                  <c:v>0</c:v>
                </c:pt>
                <c:pt idx="19">
                  <c:v>1</c:v>
                </c:pt>
                <c:pt idx="20">
                  <c:v>3</c:v>
                </c:pt>
                <c:pt idx="21">
                  <c:v>1</c:v>
                </c:pt>
                <c:pt idx="22">
                  <c:v>0</c:v>
                </c:pt>
                <c:pt idx="23">
                  <c:v>0</c:v>
                </c:pt>
                <c:pt idx="24">
                  <c:v>0</c:v>
                </c:pt>
                <c:pt idx="25">
                  <c:v>1</c:v>
                </c:pt>
              </c:numCache>
            </c:numRef>
          </c:val>
        </c:ser>
        <c:ser>
          <c:idx val="1"/>
          <c:order val="1"/>
          <c:tx>
            <c:strRef>
              <c:f>"PTN - Produto Técnico Novo"</c:f>
              <c:strCache>
                <c:ptCount val="1"/>
                <c:pt idx="0">
                  <c:v>PTN - Produto Técnico Novo</c:v>
                </c:pt>
              </c:strCache>
            </c:strRef>
          </c:tx>
          <c:spPr>
            <a:solidFill>
              <a:srgbClr val="C0504D"/>
            </a:solidFill>
            <a:ln w="0">
              <a:solidFill>
                <a:srgbClr val="000000"/>
              </a:solidFill>
            </a:ln>
          </c:spPr>
          <c:invertIfNegative val="0"/>
          <c:dPt>
            <c:idx val="11"/>
            <c:invertIfNegative val="0"/>
            <c:spPr>
              <a:solidFill>
                <a:srgbClr val="C0504D"/>
              </a:solidFill>
              <a:ln w="0">
                <a:solidFill>
                  <a:srgbClr val="000000"/>
                </a:solidFill>
              </a:ln>
            </c:spPr>
          </c:dPt>
          <c:dLbls>
            <c:dLbl>
              <c:idx val="11"/>
              <c:numFmt formatCode="General" sourceLinked="1"/>
              <c:txPr>
                <a:bodyPr wrap="square"/>
                <a:lstStyle/>
                <a:p>
                  <a:pPr>
                    <a:defRPr sz="1000" b="0" u="none" strike="noStrike">
                      <a:solidFill>
                        <a:srgbClr val="000000"/>
                      </a:solidFill>
                      <a:uFillTx/>
                      <a:latin typeface="Calibri"/>
                    </a:defRPr>
                  </a:pPr>
                </a:p>
              </c:txPr>
              <c:dLblPos val="ctr"/>
              <c:showLegendKey val="0"/>
              <c:showVal val="1"/>
              <c:showCatName val="0"/>
              <c:showSerName val="0"/>
              <c:showPercent val="0"/>
              <c:separator>; </c:separator>
            </c:dLbl>
            <c:numFmt formatCode="General" sourceLinked="1"/>
            <c:txPr>
              <a:bodyPr wrap="square"/>
              <a:lstStyle/>
              <a:p>
                <a:pPr>
                  <a:defRPr sz="1000" b="0" u="none" strike="noStrike">
                    <a:solidFill>
                      <a:srgbClr val="000000"/>
                    </a:solidFill>
                    <a:uFillTx/>
                    <a:latin typeface="Calibri"/>
                  </a:defRPr>
                </a:pPr>
              </a:p>
            </c:txPr>
            <c:dLblPos val="ctr"/>
            <c:showLegendKey val="0"/>
            <c:showVal val="1"/>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multiLvlStrRef>
              <c:f>Resumo!$B$9:$AA$9</c:f>
              <c:multiLvlStrCache>
                <c:ptCount val="1"/>
                <c:lvl>
                  <c:pt idx="0">
                    <c:v>2025</c:v>
                  </c:pt>
                </c:lvl>
                <c:lvl>
                  <c:pt idx="0">
                    <c:v>2024</c:v>
                  </c:pt>
                </c:lvl>
                <c:lvl>
                  <c:pt idx="0">
                    <c:v>2023</c:v>
                  </c:pt>
                </c:lvl>
                <c:lvl>
                  <c:pt idx="0">
                    <c:v>2022</c:v>
                  </c:pt>
                </c:lvl>
                <c:lvl>
                  <c:pt idx="0">
                    <c:v>2021</c:v>
                  </c:pt>
                </c:lvl>
                <c:lvl>
                  <c:pt idx="0">
                    <c:v>2020</c:v>
                  </c:pt>
                </c:lvl>
                <c:lvl>
                  <c:pt idx="0">
                    <c:v>2019</c:v>
                  </c:pt>
                </c:lvl>
                <c:lvl>
                  <c:pt idx="0">
                    <c:v>2018</c:v>
                  </c:pt>
                </c:lvl>
                <c:lvl>
                  <c:pt idx="0">
                    <c:v>2017</c:v>
                  </c:pt>
                </c:lvl>
                <c:lvl>
                  <c:pt idx="0">
                    <c:v>2016</c:v>
                  </c:pt>
                </c:lvl>
                <c:lvl>
                  <c:pt idx="0">
                    <c:v>2015</c:v>
                  </c:pt>
                </c:lvl>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lvl>
                  <c:pt idx="0">
                    <c:v>2004</c:v>
                  </c:pt>
                </c:lvl>
                <c:lvl>
                  <c:pt idx="0">
                    <c:v>2003</c:v>
                  </c:pt>
                </c:lvl>
                <c:lvl>
                  <c:pt idx="0">
                    <c:v>2002</c:v>
                  </c:pt>
                </c:lvl>
                <c:lvl>
                  <c:pt idx="0">
                    <c:v>2001</c:v>
                  </c:pt>
                </c:lvl>
                <c:lvl>
                  <c:pt idx="0">
                    <c:v>2000</c:v>
                  </c:pt>
                </c:lvl>
              </c:multiLvlStrCache>
            </c:multiLvlStrRef>
          </c:cat>
          <c:val>
            <c:numRef>
              <c:f>Resumo!$B$11:$AA$11</c:f>
              <c:numCache>
                <c:formatCode>General</c:formatCode>
                <c:ptCount val="26"/>
                <c:pt idx="0">
                  <c:v>9</c:v>
                </c:pt>
                <c:pt idx="1">
                  <c:v>11</c:v>
                </c:pt>
                <c:pt idx="2">
                  <c:v>5</c:v>
                </c:pt>
                <c:pt idx="3">
                  <c:v>8</c:v>
                </c:pt>
                <c:pt idx="4">
                  <c:v>4</c:v>
                </c:pt>
                <c:pt idx="5">
                  <c:v>5</c:v>
                </c:pt>
                <c:pt idx="6">
                  <c:v>5</c:v>
                </c:pt>
                <c:pt idx="7">
                  <c:v>2</c:v>
                </c:pt>
                <c:pt idx="8">
                  <c:v>6</c:v>
                </c:pt>
                <c:pt idx="9">
                  <c:v>4</c:v>
                </c:pt>
                <c:pt idx="10">
                  <c:v>0</c:v>
                </c:pt>
                <c:pt idx="11">
                  <c:v>1</c:v>
                </c:pt>
                <c:pt idx="12">
                  <c:v>1</c:v>
                </c:pt>
                <c:pt idx="13">
                  <c:v>2</c:v>
                </c:pt>
                <c:pt idx="14">
                  <c:v>5</c:v>
                </c:pt>
                <c:pt idx="15">
                  <c:v>2</c:v>
                </c:pt>
                <c:pt idx="16">
                  <c:v>1</c:v>
                </c:pt>
                <c:pt idx="17">
                  <c:v>5</c:v>
                </c:pt>
                <c:pt idx="18">
                  <c:v>2</c:v>
                </c:pt>
                <c:pt idx="19">
                  <c:v>3</c:v>
                </c:pt>
                <c:pt idx="20">
                  <c:v>5</c:v>
                </c:pt>
                <c:pt idx="21">
                  <c:v>7</c:v>
                </c:pt>
                <c:pt idx="22">
                  <c:v>8</c:v>
                </c:pt>
                <c:pt idx="23">
                  <c:v>11</c:v>
                </c:pt>
                <c:pt idx="24">
                  <c:v>3</c:v>
                </c:pt>
                <c:pt idx="25">
                  <c:v>6</c:v>
                </c:pt>
              </c:numCache>
            </c:numRef>
          </c:val>
        </c:ser>
        <c:ser>
          <c:idx val="2"/>
          <c:order val="2"/>
          <c:tx>
            <c:strRef>
              <c:f>"PTE - Produto Técnico Equivalente"</c:f>
              <c:strCache>
                <c:ptCount val="1"/>
                <c:pt idx="0">
                  <c:v>PTE - Produto Técnico Equivalente</c:v>
                </c:pt>
              </c:strCache>
            </c:strRef>
          </c:tx>
          <c:spPr>
            <a:solidFill>
              <a:srgbClr val="4F81BD"/>
            </a:solidFill>
            <a:ln w="0">
              <a:solidFill>
                <a:srgbClr val="000000"/>
              </a:solidFill>
            </a:ln>
          </c:spPr>
          <c:invertIfNegative val="0"/>
          <c:dPt>
            <c:idx val="12"/>
            <c:invertIfNegative val="0"/>
            <c:spPr>
              <a:solidFill>
                <a:srgbClr val="4F81BD"/>
              </a:solidFill>
              <a:ln w="0">
                <a:solidFill>
                  <a:srgbClr val="000000"/>
                </a:solidFill>
              </a:ln>
            </c:spPr>
          </c:dPt>
          <c:dLbls>
            <c:dLbl>
              <c:idx val="12"/>
              <c:numFmt formatCode="General" sourceLinked="1"/>
              <c:txPr>
                <a:bodyPr wrap="square"/>
                <a:lstStyle/>
                <a:p>
                  <a:pPr>
                    <a:defRPr sz="1000" b="0" u="none" strike="noStrike">
                      <a:solidFill>
                        <a:srgbClr val="000000"/>
                      </a:solidFill>
                      <a:uFillTx/>
                      <a:latin typeface="Calibri"/>
                    </a:defRPr>
                  </a:pPr>
                </a:p>
              </c:txPr>
              <c:dLblPos val="ctr"/>
              <c:showLegendKey val="0"/>
              <c:showVal val="1"/>
              <c:showCatName val="0"/>
              <c:showSerName val="0"/>
              <c:showPercent val="0"/>
              <c:separator>; </c:separator>
            </c:dLbl>
            <c:numFmt formatCode="General" sourceLinked="1"/>
            <c:txPr>
              <a:bodyPr wrap="square"/>
              <a:lstStyle/>
              <a:p>
                <a:pPr>
                  <a:defRPr sz="1000" b="0" u="none" strike="noStrike">
                    <a:solidFill>
                      <a:srgbClr val="000000"/>
                    </a:solidFill>
                    <a:uFillTx/>
                    <a:latin typeface="Calibri"/>
                  </a:defRPr>
                </a:pPr>
              </a:p>
            </c:txPr>
            <c:dLblPos val="ctr"/>
            <c:showLegendKey val="0"/>
            <c:showVal val="1"/>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multiLvlStrRef>
              <c:f>Resumo!$B$9:$AA$9</c:f>
              <c:multiLvlStrCache>
                <c:ptCount val="1"/>
                <c:lvl>
                  <c:pt idx="0">
                    <c:v>2025</c:v>
                  </c:pt>
                </c:lvl>
                <c:lvl>
                  <c:pt idx="0">
                    <c:v>2024</c:v>
                  </c:pt>
                </c:lvl>
                <c:lvl>
                  <c:pt idx="0">
                    <c:v>2023</c:v>
                  </c:pt>
                </c:lvl>
                <c:lvl>
                  <c:pt idx="0">
                    <c:v>2022</c:v>
                  </c:pt>
                </c:lvl>
                <c:lvl>
                  <c:pt idx="0">
                    <c:v>2021</c:v>
                  </c:pt>
                </c:lvl>
                <c:lvl>
                  <c:pt idx="0">
                    <c:v>2020</c:v>
                  </c:pt>
                </c:lvl>
                <c:lvl>
                  <c:pt idx="0">
                    <c:v>2019</c:v>
                  </c:pt>
                </c:lvl>
                <c:lvl>
                  <c:pt idx="0">
                    <c:v>2018</c:v>
                  </c:pt>
                </c:lvl>
                <c:lvl>
                  <c:pt idx="0">
                    <c:v>2017</c:v>
                  </c:pt>
                </c:lvl>
                <c:lvl>
                  <c:pt idx="0">
                    <c:v>2016</c:v>
                  </c:pt>
                </c:lvl>
                <c:lvl>
                  <c:pt idx="0">
                    <c:v>2015</c:v>
                  </c:pt>
                </c:lvl>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lvl>
                  <c:pt idx="0">
                    <c:v>2004</c:v>
                  </c:pt>
                </c:lvl>
                <c:lvl>
                  <c:pt idx="0">
                    <c:v>2003</c:v>
                  </c:pt>
                </c:lvl>
                <c:lvl>
                  <c:pt idx="0">
                    <c:v>2002</c:v>
                  </c:pt>
                </c:lvl>
                <c:lvl>
                  <c:pt idx="0">
                    <c:v>2001</c:v>
                  </c:pt>
                </c:lvl>
                <c:lvl>
                  <c:pt idx="0">
                    <c:v>2000</c:v>
                  </c:pt>
                </c:lvl>
              </c:multiLvlStrCache>
            </c:multiLvlStrRef>
          </c:cat>
          <c:val>
            <c:numRef>
              <c:f>Resumo!$B$12:$AA$12</c:f>
              <c:numCache>
                <c:formatCode>General</c:formatCode>
                <c:ptCount val="26"/>
                <c:pt idx="0">
                  <c:v>0</c:v>
                </c:pt>
                <c:pt idx="1">
                  <c:v>0</c:v>
                </c:pt>
                <c:pt idx="2">
                  <c:v>0</c:v>
                </c:pt>
                <c:pt idx="3">
                  <c:v>0</c:v>
                </c:pt>
                <c:pt idx="4">
                  <c:v>0</c:v>
                </c:pt>
                <c:pt idx="5">
                  <c:v>0</c:v>
                </c:pt>
                <c:pt idx="6">
                  <c:v>15</c:v>
                </c:pt>
                <c:pt idx="7">
                  <c:v>50</c:v>
                </c:pt>
                <c:pt idx="8">
                  <c:v>45</c:v>
                </c:pt>
                <c:pt idx="9">
                  <c:v>28</c:v>
                </c:pt>
                <c:pt idx="10">
                  <c:v>35</c:v>
                </c:pt>
                <c:pt idx="11">
                  <c:v>60</c:v>
                </c:pt>
                <c:pt idx="12">
                  <c:v>64</c:v>
                </c:pt>
                <c:pt idx="13">
                  <c:v>45</c:v>
                </c:pt>
                <c:pt idx="14">
                  <c:v>79</c:v>
                </c:pt>
                <c:pt idx="15">
                  <c:v>46</c:v>
                </c:pt>
                <c:pt idx="16">
                  <c:v>160</c:v>
                </c:pt>
                <c:pt idx="17">
                  <c:v>177</c:v>
                </c:pt>
                <c:pt idx="18">
                  <c:v>193</c:v>
                </c:pt>
                <c:pt idx="19">
                  <c:v>269</c:v>
                </c:pt>
                <c:pt idx="20">
                  <c:v>162</c:v>
                </c:pt>
                <c:pt idx="21">
                  <c:v>182</c:v>
                </c:pt>
                <c:pt idx="22">
                  <c:v>271</c:v>
                </c:pt>
                <c:pt idx="23">
                  <c:v>179</c:v>
                </c:pt>
                <c:pt idx="24">
                  <c:v>195</c:v>
                </c:pt>
                <c:pt idx="25">
                  <c:v>312</c:v>
                </c:pt>
              </c:numCache>
            </c:numRef>
          </c:val>
        </c:ser>
        <c:ser>
          <c:idx val="3"/>
          <c:order val="3"/>
          <c:tx>
            <c:strRef>
              <c:f>"Pré-Mistura"</c:f>
              <c:strCache>
                <c:ptCount val="1"/>
                <c:pt idx="0">
                  <c:v>Pré-Mistura</c:v>
                </c:pt>
              </c:strCache>
            </c:strRef>
          </c:tx>
          <c:spPr>
            <a:solidFill>
              <a:srgbClr val="F79646"/>
            </a:solidFill>
            <a:ln w="0">
              <a:solidFill>
                <a:srgbClr val="000000"/>
              </a:solidFill>
            </a:ln>
          </c:spPr>
          <c:invertIfNegative val="0"/>
          <c:dLbls>
            <c:numFmt formatCode="General" sourceLinked="1"/>
            <c:txPr>
              <a:bodyPr wrap="square"/>
              <a:lstStyle/>
              <a:p>
                <a:pPr>
                  <a:defRPr sz="1000" b="0" u="none" strike="noStrike">
                    <a:solidFill>
                      <a:srgbClr val="000000"/>
                    </a:solidFill>
                    <a:uFillTx/>
                    <a:latin typeface="Calibri"/>
                  </a:defRPr>
                </a:pPr>
              </a:p>
            </c:txPr>
            <c:dLblPos val="ctr"/>
            <c:showLegendKey val="0"/>
            <c:showVal val="1"/>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multiLvlStrRef>
              <c:f>Resumo!$B$9:$AA$9</c:f>
              <c:multiLvlStrCache>
                <c:ptCount val="1"/>
                <c:lvl>
                  <c:pt idx="0">
                    <c:v>2025</c:v>
                  </c:pt>
                </c:lvl>
                <c:lvl>
                  <c:pt idx="0">
                    <c:v>2024</c:v>
                  </c:pt>
                </c:lvl>
                <c:lvl>
                  <c:pt idx="0">
                    <c:v>2023</c:v>
                  </c:pt>
                </c:lvl>
                <c:lvl>
                  <c:pt idx="0">
                    <c:v>2022</c:v>
                  </c:pt>
                </c:lvl>
                <c:lvl>
                  <c:pt idx="0">
                    <c:v>2021</c:v>
                  </c:pt>
                </c:lvl>
                <c:lvl>
                  <c:pt idx="0">
                    <c:v>2020</c:v>
                  </c:pt>
                </c:lvl>
                <c:lvl>
                  <c:pt idx="0">
                    <c:v>2019</c:v>
                  </c:pt>
                </c:lvl>
                <c:lvl>
                  <c:pt idx="0">
                    <c:v>2018</c:v>
                  </c:pt>
                </c:lvl>
                <c:lvl>
                  <c:pt idx="0">
                    <c:v>2017</c:v>
                  </c:pt>
                </c:lvl>
                <c:lvl>
                  <c:pt idx="0">
                    <c:v>2016</c:v>
                  </c:pt>
                </c:lvl>
                <c:lvl>
                  <c:pt idx="0">
                    <c:v>2015</c:v>
                  </c:pt>
                </c:lvl>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lvl>
                  <c:pt idx="0">
                    <c:v>2004</c:v>
                  </c:pt>
                </c:lvl>
                <c:lvl>
                  <c:pt idx="0">
                    <c:v>2003</c:v>
                  </c:pt>
                </c:lvl>
                <c:lvl>
                  <c:pt idx="0">
                    <c:v>2002</c:v>
                  </c:pt>
                </c:lvl>
                <c:lvl>
                  <c:pt idx="0">
                    <c:v>2001</c:v>
                  </c:pt>
                </c:lvl>
                <c:lvl>
                  <c:pt idx="0">
                    <c:v>2000</c:v>
                  </c:pt>
                </c:lvl>
              </c:multiLvlStrCache>
            </c:multiLvlStrRef>
          </c:cat>
          <c:val>
            <c:numRef>
              <c:f>Resumo!$B$13:$Z$13</c:f>
              <c:numCache>
                <c:formatCode>General</c:formatCode>
                <c:ptCount val="25"/>
                <c:pt idx="0">
                  <c:v>0</c:v>
                </c:pt>
                <c:pt idx="1">
                  <c:v>2</c:v>
                </c:pt>
                <c:pt idx="2">
                  <c:v>0</c:v>
                </c:pt>
                <c:pt idx="3">
                  <c:v>0</c:v>
                </c:pt>
                <c:pt idx="4">
                  <c:v>1</c:v>
                </c:pt>
                <c:pt idx="5">
                  <c:v>1</c:v>
                </c:pt>
                <c:pt idx="6">
                  <c:v>1</c:v>
                </c:pt>
                <c:pt idx="7">
                  <c:v>0</c:v>
                </c:pt>
                <c:pt idx="8">
                  <c:v>0</c:v>
                </c:pt>
                <c:pt idx="9">
                  <c:v>0</c:v>
                </c:pt>
                <c:pt idx="10">
                  <c:v>2</c:v>
                </c:pt>
                <c:pt idx="11">
                  <c:v>0</c:v>
                </c:pt>
                <c:pt idx="12">
                  <c:v>0</c:v>
                </c:pt>
                <c:pt idx="13">
                  <c:v>0</c:v>
                </c:pt>
                <c:pt idx="14">
                  <c:v>0</c:v>
                </c:pt>
                <c:pt idx="15">
                  <c:v>0</c:v>
                </c:pt>
                <c:pt idx="16">
                  <c:v>1</c:v>
                </c:pt>
                <c:pt idx="17">
                  <c:v>4</c:v>
                </c:pt>
                <c:pt idx="18">
                  <c:v>2</c:v>
                </c:pt>
                <c:pt idx="19">
                  <c:v>0</c:v>
                </c:pt>
                <c:pt idx="20">
                  <c:v>2</c:v>
                </c:pt>
                <c:pt idx="21">
                  <c:v>1</c:v>
                </c:pt>
                <c:pt idx="22">
                  <c:v>0</c:v>
                </c:pt>
                <c:pt idx="23">
                  <c:v>0</c:v>
                </c:pt>
                <c:pt idx="24">
                  <c:v>1</c:v>
                </c:pt>
              </c:numCache>
            </c:numRef>
          </c:val>
        </c:ser>
        <c:gapWidth val="150"/>
        <c:overlap val="100"/>
        <c:axId val="60096927"/>
        <c:axId val="29941569"/>
      </c:barChart>
      <c:catAx>
        <c:axId val="60096927"/>
        <c:scaling>
          <c:orientation val="minMax"/>
        </c:scaling>
        <c:delete val="0"/>
        <c:axPos val="b"/>
        <c:numFmt formatCode="General" sourceLinked="0"/>
        <c:majorTickMark val="cross"/>
        <c:minorTickMark val="none"/>
        <c:tickLblPos val="nextTo"/>
        <c:spPr>
          <a:ln w="6480">
            <a:solidFill>
              <a:srgbClr val="8B8B8B"/>
            </a:solidFill>
            <a:round/>
          </a:ln>
        </c:spPr>
        <c:txPr>
          <a:bodyPr/>
          <a:lstStyle/>
          <a:p>
            <a:pPr>
              <a:defRPr sz="1000" b="1" u="none" strike="noStrike">
                <a:solidFill>
                  <a:srgbClr val="274E13"/>
                </a:solidFill>
                <a:uFillTx/>
                <a:latin typeface="Arial"/>
                <a:ea typeface="Calibri"/>
              </a:defRPr>
            </a:pPr>
          </a:p>
        </c:txPr>
        <c:crossAx val="29941569"/>
        <c:crosses val="autoZero"/>
        <c:auto val="1"/>
        <c:lblAlgn val="ctr"/>
        <c:lblOffset val="100"/>
        <c:noMultiLvlLbl val="0"/>
      </c:catAx>
      <c:valAx>
        <c:axId val="29941569"/>
        <c:scaling>
          <c:orientation val="minMax"/>
        </c:scaling>
        <c:delete val="0"/>
        <c:axPos val="l"/>
        <c:majorGridlines>
          <c:spPr>
            <a:ln w="6480">
              <a:solidFill>
                <a:srgbClr val="B7B7B7"/>
              </a:solidFill>
              <a:round/>
            </a:ln>
          </c:spPr>
        </c:majorGridlines>
        <c:title>
          <c:tx>
            <c:rich>
              <a:bodyPr rot="-5400000"/>
              <a:lstStyle/>
              <a:p>
                <a:pPr>
                  <a:defRPr sz="1300" b="0" u="none" strike="noStrike">
                    <a:uFillTx/>
                    <a:latin typeface="Arial"/>
                  </a:defRPr>
                </a:pPr>
                <a:r>
                  <a:rPr lang="pt-BR" sz="1000" b="1" u="none" strike="noStrike">
                    <a:solidFill>
                      <a:srgbClr val="274E13"/>
                    </a:solidFill>
                    <a:uFillTx/>
                    <a:latin typeface="Arial"/>
                    <a:ea typeface="Calibri"/>
                  </a:rPr>
                  <a:t>Registros Aprovados</a:t>
                </a:r>
              </a:p>
            </c:rich>
          </c:tx>
          <c:overlay val="0"/>
          <c:spPr>
            <a:noFill/>
            <a:ln w="0">
              <a:noFill/>
            </a:ln>
          </c:spPr>
        </c:title>
        <c:numFmt formatCode="General" sourceLinked="0"/>
        <c:majorTickMark val="cross"/>
        <c:minorTickMark val="cross"/>
        <c:tickLblPos val="nextTo"/>
        <c:spPr>
          <a:ln w="6480">
            <a:solidFill>
              <a:srgbClr val="8B8B8B"/>
            </a:solidFill>
            <a:round/>
          </a:ln>
        </c:spPr>
        <c:txPr>
          <a:bodyPr/>
          <a:lstStyle/>
          <a:p>
            <a:pPr>
              <a:defRPr sz="1000" b="1" u="none" strike="noStrike">
                <a:solidFill>
                  <a:srgbClr val="274E13"/>
                </a:solidFill>
                <a:uFillTx/>
                <a:latin typeface="Arial"/>
                <a:ea typeface="Calibri"/>
              </a:defRPr>
            </a:pPr>
          </a:p>
        </c:txPr>
        <c:crossAx val="60096927"/>
        <c:crosses val="autoZero"/>
        <c:crossBetween val="between"/>
      </c:valAx>
      <c:spPr>
        <a:noFill/>
        <a:ln w="0">
          <a:noFill/>
        </a:ln>
      </c:spPr>
    </c:plotArea>
    <c:legend>
      <c:legendPos val="b"/>
      <c:overlay val="0"/>
      <c:spPr>
        <a:noFill/>
        <a:ln w="0">
          <a:noFill/>
        </a:ln>
      </c:spPr>
      <c:txPr>
        <a:bodyPr/>
        <a:lstStyle/>
        <a:p>
          <a:pPr>
            <a:defRPr sz="1000" b="1" u="none" strike="noStrike">
              <a:solidFill>
                <a:srgbClr val="274E13"/>
              </a:solidFill>
              <a:uFillTx/>
              <a:latin typeface="Arial"/>
              <a:ea typeface="Calibri"/>
            </a:defRPr>
          </a:pPr>
        </a:p>
      </c:txPr>
    </c:legend>
    <c:plotVisOnly val="1"/>
    <c:dispBlanksAs val="zero"/>
  </c:chart>
  <c:spPr>
    <a:solidFill>
      <a:srgbClr val="FFFFFF"/>
    </a:solidFill>
    <a:ln w="9360">
      <a:solidFill>
        <a:srgbClr val="D9D9D9"/>
      </a:solidFill>
      <a:round/>
    </a:ln>
  </c:spPr>
</c:chartSpace>
</file>

<file path=xl/charts/chart11.xml><?xml version="1.0" encoding="utf-8"?>
<c:chartSpace xmlns:c="http://schemas.openxmlformats.org/drawingml/2006/chart" xmlns:a="http://schemas.openxmlformats.org/drawingml/2006/main" xmlns:r="http://schemas.openxmlformats.org/officeDocument/2006/relationships">
  <c:lang val="en-US"/>
  <c:roundedCorners val="0"/>
  <c:style val="2"/>
  <c:chart>
    <c:autoTitleDeleted val="1"/>
    <c:plotArea>
      <c:barChart>
        <c:barDir val="col"/>
        <c:grouping val="stacked"/>
        <c:varyColors val="0"/>
        <c:ser>
          <c:idx val="0"/>
          <c:order val="0"/>
          <c:tx>
            <c:strRef>
              <c:f>"TC - Equivalent"</c:f>
              <c:strCache>
                <c:ptCount val="1"/>
                <c:pt idx="0">
                  <c:v>TC - Equivalent</c:v>
                </c:pt>
              </c:strCache>
            </c:strRef>
          </c:tx>
          <c:spPr>
            <a:solidFill>
              <a:srgbClr val="2F75B5"/>
            </a:solidFill>
            <a:ln w="0">
              <a:solidFill>
                <a:srgbClr val="000000"/>
              </a:solidFill>
            </a:ln>
          </c:spPr>
          <c:invertIfNegative val="0"/>
          <c:dPt>
            <c:idx val="6"/>
            <c:invertIfNegative val="0"/>
            <c:spPr>
              <a:solidFill>
                <a:srgbClr val="2F75B5"/>
              </a:solidFill>
              <a:ln w="0">
                <a:solidFill>
                  <a:srgbClr val="000000"/>
                </a:solidFill>
              </a:ln>
            </c:spPr>
          </c:dPt>
          <c:dLbls>
            <c:dLbl>
              <c:idx val="6"/>
              <c:numFmt formatCode="General" sourceLinked="1"/>
              <c:txPr>
                <a:bodyPr wrap="square"/>
                <a:lstStyle/>
                <a:p>
                  <a:pPr>
                    <a:defRPr sz="1200" b="1" u="none" strike="noStrike">
                      <a:solidFill>
                        <a:srgbClr val="FFFFFF"/>
                      </a:solidFill>
                      <a:uFillTx/>
                      <a:latin typeface="Calibri"/>
                    </a:defRPr>
                  </a:pPr>
                </a:p>
              </c:txPr>
              <c:dLblPos val="inEnd"/>
              <c:showLegendKey val="0"/>
              <c:showVal val="1"/>
              <c:showCatName val="0"/>
              <c:showSerName val="0"/>
              <c:showPercent val="0"/>
              <c:separator>; </c:separator>
            </c:dLbl>
            <c:numFmt formatCode="General" sourceLinked="1"/>
            <c:txPr>
              <a:bodyPr wrap="square"/>
              <a:lstStyle/>
              <a:p>
                <a:pPr>
                  <a:defRPr sz="1200" b="1" u="none" strike="noStrike">
                    <a:solidFill>
                      <a:srgbClr val="FFFFFF"/>
                    </a:solidFill>
                    <a:uFillTx/>
                    <a:latin typeface="Calibri"/>
                  </a:defRPr>
                </a:pPr>
              </a:p>
            </c:txPr>
            <c:dLblPos val="inEnd"/>
            <c:showLegendKey val="0"/>
            <c:showVal val="1"/>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multiLvlStrRef>
              <c:f>Resumo!$H$9:$AA$9</c:f>
              <c:multiLvlStrCache>
                <c:ptCount val="1"/>
                <c:lvl>
                  <c:pt idx="0">
                    <c:v>2025</c:v>
                  </c:pt>
                </c:lvl>
                <c:lvl>
                  <c:pt idx="0">
                    <c:v>2024</c:v>
                  </c:pt>
                </c:lvl>
                <c:lvl>
                  <c:pt idx="0">
                    <c:v>2023</c:v>
                  </c:pt>
                </c:lvl>
                <c:lvl>
                  <c:pt idx="0">
                    <c:v>2022</c:v>
                  </c:pt>
                </c:lvl>
                <c:lvl>
                  <c:pt idx="0">
                    <c:v>2021</c:v>
                  </c:pt>
                </c:lvl>
                <c:lvl>
                  <c:pt idx="0">
                    <c:v>2020</c:v>
                  </c:pt>
                </c:lvl>
                <c:lvl>
                  <c:pt idx="0">
                    <c:v>2019</c:v>
                  </c:pt>
                </c:lvl>
                <c:lvl>
                  <c:pt idx="0">
                    <c:v>2018</c:v>
                  </c:pt>
                </c:lvl>
                <c:lvl>
                  <c:pt idx="0">
                    <c:v>2017</c:v>
                  </c:pt>
                </c:lvl>
                <c:lvl>
                  <c:pt idx="0">
                    <c:v>2016</c:v>
                  </c:pt>
                </c:lvl>
                <c:lvl>
                  <c:pt idx="0">
                    <c:v>2015</c:v>
                  </c:pt>
                </c:lvl>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multiLvlStrCache>
            </c:multiLvlStrRef>
          </c:cat>
          <c:val>
            <c:numRef>
              <c:f>Resumo!$H$12:$AA$12</c:f>
              <c:numCache>
                <c:formatCode>General</c:formatCode>
                <c:ptCount val="20"/>
                <c:pt idx="0">
                  <c:v>15</c:v>
                </c:pt>
                <c:pt idx="1">
                  <c:v>50</c:v>
                </c:pt>
                <c:pt idx="2">
                  <c:v>45</c:v>
                </c:pt>
                <c:pt idx="3">
                  <c:v>28</c:v>
                </c:pt>
                <c:pt idx="4">
                  <c:v>35</c:v>
                </c:pt>
                <c:pt idx="5">
                  <c:v>60</c:v>
                </c:pt>
                <c:pt idx="6">
                  <c:v>64</c:v>
                </c:pt>
                <c:pt idx="7">
                  <c:v>45</c:v>
                </c:pt>
                <c:pt idx="8">
                  <c:v>79</c:v>
                </c:pt>
                <c:pt idx="9">
                  <c:v>46</c:v>
                </c:pt>
                <c:pt idx="10">
                  <c:v>160</c:v>
                </c:pt>
                <c:pt idx="11">
                  <c:v>177</c:v>
                </c:pt>
                <c:pt idx="12">
                  <c:v>193</c:v>
                </c:pt>
                <c:pt idx="13">
                  <c:v>269</c:v>
                </c:pt>
                <c:pt idx="14">
                  <c:v>162</c:v>
                </c:pt>
                <c:pt idx="15">
                  <c:v>182</c:v>
                </c:pt>
                <c:pt idx="16">
                  <c:v>271</c:v>
                </c:pt>
                <c:pt idx="17">
                  <c:v>179</c:v>
                </c:pt>
                <c:pt idx="18">
                  <c:v>195</c:v>
                </c:pt>
                <c:pt idx="19">
                  <c:v>312</c:v>
                </c:pt>
              </c:numCache>
            </c:numRef>
          </c:val>
        </c:ser>
        <c:gapWidth val="50"/>
        <c:overlap val="100"/>
        <c:axId val="43428807"/>
        <c:axId val="62783542"/>
      </c:barChart>
      <c:catAx>
        <c:axId val="43428807"/>
        <c:scaling>
          <c:orientation val="minMax"/>
        </c:scaling>
        <c:delete val="0"/>
        <c:axPos val="b"/>
        <c:numFmt formatCode="General" sourceLinked="0"/>
        <c:majorTickMark val="cross"/>
        <c:minorTickMark val="none"/>
        <c:tickLblPos val="nextTo"/>
        <c:spPr>
          <a:ln w="6480">
            <a:solidFill>
              <a:srgbClr val="8B8B8B"/>
            </a:solidFill>
            <a:round/>
          </a:ln>
        </c:spPr>
        <c:txPr>
          <a:bodyPr/>
          <a:lstStyle/>
          <a:p>
            <a:pPr>
              <a:defRPr sz="1000" b="1" u="none" strike="noStrike">
                <a:solidFill>
                  <a:srgbClr val="274E13"/>
                </a:solidFill>
                <a:uFillTx/>
                <a:latin typeface="Arial"/>
                <a:ea typeface="Calibri"/>
              </a:defRPr>
            </a:pPr>
          </a:p>
        </c:txPr>
        <c:crossAx val="62783542"/>
        <c:crosses val="autoZero"/>
        <c:auto val="1"/>
        <c:lblAlgn val="ctr"/>
        <c:lblOffset val="100"/>
        <c:noMultiLvlLbl val="0"/>
      </c:catAx>
      <c:valAx>
        <c:axId val="62783542"/>
        <c:scaling>
          <c:orientation val="minMax"/>
        </c:scaling>
        <c:delete val="0"/>
        <c:axPos val="l"/>
        <c:majorGridlines>
          <c:spPr>
            <a:ln w="6480">
              <a:solidFill>
                <a:srgbClr val="B7B7B7"/>
              </a:solidFill>
              <a:round/>
            </a:ln>
          </c:spPr>
        </c:majorGridlines>
        <c:title>
          <c:tx>
            <c:rich>
              <a:bodyPr rot="-5400000"/>
              <a:lstStyle/>
              <a:p>
                <a:pPr>
                  <a:defRPr sz="1300" b="0" u="none" strike="noStrike">
                    <a:uFillTx/>
                    <a:latin typeface="Arial"/>
                  </a:defRPr>
                </a:pPr>
                <a:r>
                  <a:rPr lang="en-US" sz="1000" b="1" u="none" strike="noStrike">
                    <a:solidFill>
                      <a:srgbClr val="274E13"/>
                    </a:solidFill>
                    <a:uFillTx/>
                    <a:latin typeface="Arial"/>
                    <a:ea typeface="Calibri"/>
                  </a:rPr>
                  <a:t>Approved products</a:t>
                </a:r>
              </a:p>
            </c:rich>
          </c:tx>
          <c:overlay val="0"/>
          <c:spPr>
            <a:noFill/>
            <a:ln w="0">
              <a:noFill/>
            </a:ln>
          </c:spPr>
        </c:title>
        <c:numFmt formatCode="General" sourceLinked="0"/>
        <c:majorTickMark val="cross"/>
        <c:minorTickMark val="cross"/>
        <c:tickLblPos val="nextTo"/>
        <c:spPr>
          <a:ln w="6480">
            <a:solidFill>
              <a:srgbClr val="8B8B8B"/>
            </a:solidFill>
            <a:round/>
          </a:ln>
        </c:spPr>
        <c:txPr>
          <a:bodyPr/>
          <a:lstStyle/>
          <a:p>
            <a:pPr>
              <a:defRPr sz="1000" b="1" u="none" strike="noStrike">
                <a:solidFill>
                  <a:srgbClr val="274E13"/>
                </a:solidFill>
                <a:uFillTx/>
                <a:latin typeface="Arial"/>
                <a:ea typeface="Calibri"/>
              </a:defRPr>
            </a:pPr>
          </a:p>
        </c:txPr>
        <c:crossAx val="43428807"/>
        <c:crosses val="autoZero"/>
        <c:crossBetween val="between"/>
      </c:valAx>
      <c:spPr>
        <a:noFill/>
        <a:ln w="0">
          <a:noFill/>
        </a:ln>
      </c:spPr>
    </c:plotArea>
    <c:legend>
      <c:legendPos val="b"/>
      <c:layout>
        <c:manualLayout>
          <c:xMode val="edge"/>
          <c:yMode val="edge"/>
          <c:x val="0.364969907089051"/>
          <c:y val="0.949382232532294"/>
          <c:w val="0.270060085067196"/>
          <c:h val="0.0362698627890084"/>
        </c:manualLayout>
      </c:layout>
      <c:overlay val="0"/>
      <c:spPr>
        <a:noFill/>
        <a:ln w="0">
          <a:noFill/>
        </a:ln>
      </c:spPr>
      <c:txPr>
        <a:bodyPr/>
        <a:lstStyle/>
        <a:p>
          <a:pPr>
            <a:defRPr sz="1000" b="1" u="none" strike="noStrike">
              <a:solidFill>
                <a:srgbClr val="274E13"/>
              </a:solidFill>
              <a:uFillTx/>
              <a:latin typeface="Arial"/>
              <a:ea typeface="Calibri"/>
            </a:defRPr>
          </a:pPr>
        </a:p>
      </c:txPr>
    </c:legend>
    <c:plotVisOnly val="1"/>
    <c:dispBlanksAs val="zero"/>
  </c:chart>
  <c:spPr>
    <a:solidFill>
      <a:srgbClr val="FFFFFF"/>
    </a:solidFill>
    <a:ln w="9360">
      <a:solidFill>
        <a:srgbClr val="D9D9D9"/>
      </a:solidFill>
      <a:round/>
    </a:ln>
  </c:spPr>
</c:chartSpace>
</file>

<file path=xl/charts/chart12.xml><?xml version="1.0" encoding="utf-8"?>
<c:chartSpace xmlns:c="http://schemas.openxmlformats.org/drawingml/2006/chart" xmlns:a="http://schemas.openxmlformats.org/drawingml/2006/main" xmlns:r="http://schemas.openxmlformats.org/officeDocument/2006/relationships">
  <c:lang val="en-US"/>
  <c:roundedCorners val="0"/>
  <c:style val="2"/>
  <c:chart>
    <c:autoTitleDeleted val="1"/>
    <c:plotArea>
      <c:barChart>
        <c:barDir val="col"/>
        <c:grouping val="stacked"/>
        <c:varyColors val="0"/>
        <c:ser>
          <c:idx val="0"/>
          <c:order val="0"/>
          <c:tx>
            <c:strRef>
              <c:f>"TC - New"</c:f>
              <c:strCache>
                <c:ptCount val="1"/>
                <c:pt idx="0">
                  <c:v>TC - New</c:v>
                </c:pt>
              </c:strCache>
            </c:strRef>
          </c:tx>
          <c:spPr>
            <a:solidFill>
              <a:srgbClr val="C0504D"/>
            </a:solidFill>
            <a:ln w="0">
              <a:noFill/>
            </a:ln>
          </c:spPr>
          <c:invertIfNegative val="0"/>
          <c:dPt>
            <c:idx val="10"/>
            <c:invertIfNegative val="0"/>
            <c:spPr>
              <a:solidFill>
                <a:srgbClr val="C0504D"/>
              </a:solidFill>
              <a:ln w="0">
                <a:noFill/>
              </a:ln>
            </c:spPr>
          </c:dPt>
          <c:dPt>
            <c:idx val="11"/>
            <c:invertIfNegative val="0"/>
            <c:spPr>
              <a:solidFill>
                <a:srgbClr val="C0504D"/>
              </a:solidFill>
              <a:ln w="0">
                <a:noFill/>
              </a:ln>
            </c:spPr>
          </c:dPt>
          <c:dLbls>
            <c:dLbl>
              <c:idx val="10"/>
              <c:txPr>
                <a:bodyPr wrap="square"/>
                <a:lstStyle/>
                <a:p>
                  <a:pPr>
                    <a:defRPr sz="1200" b="1" u="none" strike="noStrike">
                      <a:solidFill>
                        <a:srgbClr val="FFFFFF"/>
                      </a:solidFill>
                      <a:uFillTx/>
                      <a:latin typeface="Calibri"/>
                    </a:defRPr>
                  </a:pPr>
                </a:p>
              </c:txPr>
              <c:dLblPos val="inEnd"/>
              <c:showLegendKey val="0"/>
              <c:showVal val="0"/>
              <c:showCatName val="0"/>
              <c:showSerName val="0"/>
              <c:showPercent val="0"/>
              <c:separator>; </c:separator>
            </c:dLbl>
            <c:dLbl>
              <c:idx val="11"/>
              <c:numFmt formatCode="General" sourceLinked="1"/>
              <c:txPr>
                <a:bodyPr wrap="square"/>
                <a:lstStyle/>
                <a:p>
                  <a:pPr>
                    <a:defRPr sz="1200" b="1" u="none" strike="noStrike">
                      <a:solidFill>
                        <a:srgbClr val="FFFFFF"/>
                      </a:solidFill>
                      <a:uFillTx/>
                      <a:latin typeface="Calibri"/>
                    </a:defRPr>
                  </a:pPr>
                </a:p>
              </c:txPr>
              <c:dLblPos val="inEnd"/>
              <c:showLegendKey val="0"/>
              <c:showVal val="1"/>
              <c:showCatName val="0"/>
              <c:showSerName val="0"/>
              <c:showPercent val="0"/>
              <c:separator>; </c:separator>
            </c:dLbl>
            <c:numFmt formatCode="General" sourceLinked="1"/>
            <c:txPr>
              <a:bodyPr wrap="square"/>
              <a:lstStyle/>
              <a:p>
                <a:pPr>
                  <a:defRPr sz="1200" b="1" u="none" strike="noStrike">
                    <a:solidFill>
                      <a:srgbClr val="FFFFFF"/>
                    </a:solidFill>
                    <a:uFillTx/>
                    <a:latin typeface="Calibri"/>
                  </a:defRPr>
                </a:pPr>
              </a:p>
            </c:txPr>
            <c:dLblPos val="inEnd"/>
            <c:showLegendKey val="0"/>
            <c:showVal val="1"/>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multiLvlStrRef>
              <c:f>Resumo!$B$9:$AB$9</c:f>
              <c:multiLvlStrCache>
                <c:ptCount val="1"/>
                <c:lvl>
                  <c:pt idx="0">
                    <c:v>2026</c:v>
                  </c:pt>
                </c:lvl>
                <c:lvl>
                  <c:pt idx="0">
                    <c:v>2025</c:v>
                  </c:pt>
                </c:lvl>
                <c:lvl>
                  <c:pt idx="0">
                    <c:v>2024</c:v>
                  </c:pt>
                </c:lvl>
                <c:lvl>
                  <c:pt idx="0">
                    <c:v>2023</c:v>
                  </c:pt>
                </c:lvl>
                <c:lvl>
                  <c:pt idx="0">
                    <c:v>2022</c:v>
                  </c:pt>
                </c:lvl>
                <c:lvl>
                  <c:pt idx="0">
                    <c:v>2021</c:v>
                  </c:pt>
                </c:lvl>
                <c:lvl>
                  <c:pt idx="0">
                    <c:v>2020</c:v>
                  </c:pt>
                </c:lvl>
                <c:lvl>
                  <c:pt idx="0">
                    <c:v>2019</c:v>
                  </c:pt>
                </c:lvl>
                <c:lvl>
                  <c:pt idx="0">
                    <c:v>2018</c:v>
                  </c:pt>
                </c:lvl>
                <c:lvl>
                  <c:pt idx="0">
                    <c:v>2017</c:v>
                  </c:pt>
                </c:lvl>
                <c:lvl>
                  <c:pt idx="0">
                    <c:v>2016</c:v>
                  </c:pt>
                </c:lvl>
                <c:lvl>
                  <c:pt idx="0">
                    <c:v>2015</c:v>
                  </c:pt>
                </c:lvl>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lvl>
                  <c:pt idx="0">
                    <c:v>2004</c:v>
                  </c:pt>
                </c:lvl>
                <c:lvl>
                  <c:pt idx="0">
                    <c:v>2003</c:v>
                  </c:pt>
                </c:lvl>
                <c:lvl>
                  <c:pt idx="0">
                    <c:v>2002</c:v>
                  </c:pt>
                </c:lvl>
                <c:lvl>
                  <c:pt idx="0">
                    <c:v>2001</c:v>
                  </c:pt>
                </c:lvl>
                <c:lvl>
                  <c:pt idx="0">
                    <c:v>2000</c:v>
                  </c:pt>
                </c:lvl>
              </c:multiLvlStrCache>
            </c:multiLvlStrRef>
          </c:cat>
          <c:val>
            <c:numRef>
              <c:f>Resumo!$B$11:$AB$11</c:f>
              <c:numCache>
                <c:formatCode>General</c:formatCode>
                <c:ptCount val="27"/>
                <c:pt idx="0">
                  <c:v>9</c:v>
                </c:pt>
                <c:pt idx="1">
                  <c:v>11</c:v>
                </c:pt>
                <c:pt idx="2">
                  <c:v>5</c:v>
                </c:pt>
                <c:pt idx="3">
                  <c:v>8</c:v>
                </c:pt>
                <c:pt idx="4">
                  <c:v>4</c:v>
                </c:pt>
                <c:pt idx="5">
                  <c:v>5</c:v>
                </c:pt>
                <c:pt idx="6">
                  <c:v>5</c:v>
                </c:pt>
                <c:pt idx="7">
                  <c:v>2</c:v>
                </c:pt>
                <c:pt idx="8">
                  <c:v>6</c:v>
                </c:pt>
                <c:pt idx="9">
                  <c:v>4</c:v>
                </c:pt>
                <c:pt idx="10">
                  <c:v>0</c:v>
                </c:pt>
                <c:pt idx="11">
                  <c:v>1</c:v>
                </c:pt>
                <c:pt idx="12">
                  <c:v>1</c:v>
                </c:pt>
                <c:pt idx="13">
                  <c:v>2</c:v>
                </c:pt>
                <c:pt idx="14">
                  <c:v>5</c:v>
                </c:pt>
                <c:pt idx="15">
                  <c:v>2</c:v>
                </c:pt>
                <c:pt idx="16">
                  <c:v>1</c:v>
                </c:pt>
                <c:pt idx="17">
                  <c:v>5</c:v>
                </c:pt>
                <c:pt idx="18">
                  <c:v>2</c:v>
                </c:pt>
                <c:pt idx="19">
                  <c:v>3</c:v>
                </c:pt>
                <c:pt idx="20">
                  <c:v>5</c:v>
                </c:pt>
                <c:pt idx="21">
                  <c:v>7</c:v>
                </c:pt>
                <c:pt idx="22">
                  <c:v>8</c:v>
                </c:pt>
                <c:pt idx="23">
                  <c:v>11</c:v>
                </c:pt>
                <c:pt idx="24">
                  <c:v>3</c:v>
                </c:pt>
                <c:pt idx="25">
                  <c:v>6</c:v>
                </c:pt>
                <c:pt idx="26">
                  <c:v>3</c:v>
                </c:pt>
              </c:numCache>
            </c:numRef>
          </c:val>
        </c:ser>
        <c:gapWidth val="50"/>
        <c:overlap val="100"/>
        <c:axId val="61048907"/>
        <c:axId val="46823443"/>
      </c:barChart>
      <c:catAx>
        <c:axId val="61048907"/>
        <c:scaling>
          <c:orientation val="minMax"/>
        </c:scaling>
        <c:delete val="0"/>
        <c:axPos val="b"/>
        <c:numFmt formatCode="General" sourceLinked="0"/>
        <c:majorTickMark val="cross"/>
        <c:minorTickMark val="none"/>
        <c:tickLblPos val="nextTo"/>
        <c:spPr>
          <a:ln w="6480">
            <a:solidFill>
              <a:srgbClr val="8B8B8B"/>
            </a:solidFill>
            <a:round/>
          </a:ln>
        </c:spPr>
        <c:txPr>
          <a:bodyPr/>
          <a:lstStyle/>
          <a:p>
            <a:pPr>
              <a:defRPr sz="1000" b="1" u="none" strike="noStrike">
                <a:solidFill>
                  <a:srgbClr val="274E13"/>
                </a:solidFill>
                <a:uFillTx/>
                <a:latin typeface="Arial"/>
                <a:ea typeface="Calibri"/>
              </a:defRPr>
            </a:pPr>
          </a:p>
        </c:txPr>
        <c:crossAx val="46823443"/>
        <c:crosses val="autoZero"/>
        <c:auto val="1"/>
        <c:lblAlgn val="ctr"/>
        <c:lblOffset val="100"/>
        <c:noMultiLvlLbl val="0"/>
      </c:catAx>
      <c:valAx>
        <c:axId val="46823443"/>
        <c:scaling>
          <c:orientation val="minMax"/>
        </c:scaling>
        <c:delete val="0"/>
        <c:axPos val="l"/>
        <c:majorGridlines>
          <c:spPr>
            <a:ln w="6480">
              <a:solidFill>
                <a:srgbClr val="B7B7B7"/>
              </a:solidFill>
              <a:round/>
            </a:ln>
          </c:spPr>
        </c:majorGridlines>
        <c:title>
          <c:tx>
            <c:rich>
              <a:bodyPr rot="-5400000"/>
              <a:lstStyle/>
              <a:p>
                <a:pPr>
                  <a:defRPr sz="1300" b="0" u="none" strike="noStrike">
                    <a:uFillTx/>
                    <a:latin typeface="Arial"/>
                  </a:defRPr>
                </a:pPr>
                <a:r>
                  <a:rPr lang="en-US" sz="1000" b="1" u="none" strike="noStrike">
                    <a:solidFill>
                      <a:srgbClr val="274E13"/>
                    </a:solidFill>
                    <a:uFillTx/>
                    <a:latin typeface="Arial"/>
                    <a:ea typeface="Calibri"/>
                  </a:rPr>
                  <a:t>Approved products</a:t>
                </a:r>
              </a:p>
            </c:rich>
          </c:tx>
          <c:overlay val="0"/>
          <c:spPr>
            <a:noFill/>
            <a:ln w="0">
              <a:noFill/>
            </a:ln>
          </c:spPr>
        </c:title>
        <c:numFmt formatCode="General" sourceLinked="0"/>
        <c:majorTickMark val="cross"/>
        <c:minorTickMark val="cross"/>
        <c:tickLblPos val="nextTo"/>
        <c:spPr>
          <a:ln w="6480">
            <a:solidFill>
              <a:srgbClr val="8B8B8B"/>
            </a:solidFill>
            <a:round/>
          </a:ln>
        </c:spPr>
        <c:txPr>
          <a:bodyPr/>
          <a:lstStyle/>
          <a:p>
            <a:pPr>
              <a:defRPr sz="1000" b="1" u="none" strike="noStrike">
                <a:solidFill>
                  <a:srgbClr val="274E13"/>
                </a:solidFill>
                <a:uFillTx/>
                <a:latin typeface="Arial"/>
                <a:ea typeface="Calibri"/>
              </a:defRPr>
            </a:pPr>
          </a:p>
        </c:txPr>
        <c:crossAx val="61048907"/>
        <c:crosses val="autoZero"/>
        <c:crossBetween val="between"/>
      </c:valAx>
      <c:spPr>
        <a:noFill/>
        <a:ln w="0">
          <a:noFill/>
        </a:ln>
      </c:spPr>
    </c:plotArea>
    <c:legend>
      <c:legendPos val="b"/>
      <c:overlay val="0"/>
      <c:spPr>
        <a:noFill/>
        <a:ln w="0">
          <a:noFill/>
        </a:ln>
      </c:spPr>
      <c:txPr>
        <a:bodyPr/>
        <a:lstStyle/>
        <a:p>
          <a:pPr>
            <a:defRPr sz="1000" b="1" u="none" strike="noStrike">
              <a:solidFill>
                <a:srgbClr val="274E13"/>
              </a:solidFill>
              <a:uFillTx/>
              <a:latin typeface="Arial"/>
              <a:ea typeface="Calibri"/>
            </a:defRPr>
          </a:pPr>
        </a:p>
      </c:txPr>
    </c:legend>
    <c:plotVisOnly val="1"/>
    <c:dispBlanksAs val="zero"/>
  </c:chart>
  <c:spPr>
    <a:solidFill>
      <a:srgbClr val="FFFFFF"/>
    </a:solidFill>
    <a:ln w="9360">
      <a:solidFill>
        <a:srgbClr val="D9D9D9"/>
      </a:solidFill>
      <a:round/>
    </a:ln>
  </c:spPr>
</c:chartSpace>
</file>

<file path=xl/charts/chart13.xml><?xml version="1.0" encoding="utf-8"?>
<c:chartSpace xmlns:c="http://schemas.openxmlformats.org/drawingml/2006/chart" xmlns:a="http://schemas.openxmlformats.org/drawingml/2006/main" xmlns:r="http://schemas.openxmlformats.org/officeDocument/2006/relationships">
  <c:lang val="en-US"/>
  <c:roundedCorners val="0"/>
  <c:style val="2"/>
  <c:chart>
    <c:title>
      <c:tx>
        <c:rich>
          <a:bodyPr rot="0"/>
          <a:lstStyle/>
          <a:p>
            <a:pPr>
              <a:defRPr sz="1300" b="0" u="none" strike="noStrike">
                <a:uFillTx/>
                <a:latin typeface="Arial"/>
              </a:defRPr>
            </a:pPr>
            <a:r>
              <a:rPr lang="en-US" sz="1800" b="1" u="none" strike="noStrike">
                <a:solidFill>
                  <a:srgbClr val="274E13"/>
                </a:solidFill>
                <a:uFillTx/>
                <a:latin typeface="Arial"/>
                <a:ea typeface="Calibri"/>
              </a:rPr>
              <a:t>Número de Registros Concedidos Por Ano de Submissão</a:t>
            </a:r>
          </a:p>
        </c:rich>
      </c:tx>
      <c:overlay val="0"/>
      <c:spPr>
        <a:noFill/>
        <a:ln w="0">
          <a:noFill/>
        </a:ln>
      </c:spPr>
    </c:title>
    <c:autoTitleDeleted val="0"/>
    <c:plotArea>
      <c:barChart>
        <c:barDir val="col"/>
        <c:grouping val="clustered"/>
        <c:varyColors val="1"/>
        <c:ser>
          <c:idx val="0"/>
          <c:order val="0"/>
          <c:tx>
            <c:strRef>
              <c:f>'Tabela Geral 2020 e Outros'!$AE$45:$AE$49</c:f>
              <c:strCache>
                <c:ptCount val="1"/>
                <c:pt idx="0">
                  <c:v>Total de Produtos Aprovados por Ano de Protocolo</c:v>
                </c:pt>
              </c:strCache>
            </c:strRef>
          </c:tx>
          <c:spPr>
            <a:solidFill>
              <a:srgbClr val="4472C4"/>
            </a:solidFill>
            <a:ln w="0">
              <a:noFill/>
            </a:ln>
          </c:spPr>
          <c:invertIfNegative val="0"/>
          <c:dPt>
            <c:idx val="0"/>
            <c:spPr>
              <a:solidFill>
                <a:srgbClr val="637CEF"/>
              </a:solidFill>
              <a:ln w="0">
                <a:noFill/>
              </a:ln>
            </c:spPr>
          </c:dPt>
          <c:dPt>
            <c:idx val="1"/>
            <c:spPr>
              <a:solidFill>
                <a:srgbClr val="E3008C"/>
              </a:solidFill>
              <a:ln w="0">
                <a:noFill/>
              </a:ln>
            </c:spPr>
          </c:dPt>
          <c:dPt>
            <c:idx val="2"/>
            <c:spPr>
              <a:solidFill>
                <a:srgbClr val="2AA0A4"/>
              </a:solidFill>
              <a:ln w="0">
                <a:noFill/>
              </a:ln>
            </c:spPr>
          </c:dPt>
          <c:dPt>
            <c:idx val="3"/>
            <c:spPr>
              <a:solidFill>
                <a:srgbClr val="9373C0"/>
              </a:solidFill>
              <a:ln w="0">
                <a:noFill/>
              </a:ln>
            </c:spPr>
          </c:dPt>
          <c:dPt>
            <c:idx val="4"/>
            <c:spPr>
              <a:solidFill>
                <a:srgbClr val="13A10E"/>
              </a:solidFill>
              <a:ln w="0">
                <a:noFill/>
              </a:ln>
            </c:spPr>
          </c:dPt>
          <c:dPt>
            <c:idx val="5"/>
            <c:spPr>
              <a:solidFill>
                <a:srgbClr val="3A96DD"/>
              </a:solidFill>
              <a:ln w="0">
                <a:noFill/>
              </a:ln>
            </c:spPr>
          </c:dPt>
          <c:dPt>
            <c:idx val="6"/>
            <c:spPr>
              <a:solidFill>
                <a:srgbClr val="CA5010"/>
              </a:solidFill>
              <a:ln w="0">
                <a:noFill/>
              </a:ln>
            </c:spPr>
          </c:dPt>
          <c:dPt>
            <c:idx val="7"/>
            <c:spPr>
              <a:solidFill>
                <a:srgbClr val="57811B"/>
              </a:solidFill>
              <a:ln w="0">
                <a:noFill/>
              </a:ln>
            </c:spPr>
          </c:dPt>
          <c:dPt>
            <c:idx val="8"/>
            <c:spPr>
              <a:solidFill>
                <a:srgbClr val="B146C2"/>
              </a:solidFill>
              <a:ln w="0">
                <a:noFill/>
              </a:ln>
            </c:spPr>
          </c:dPt>
          <c:dPt>
            <c:idx val="9"/>
            <c:spPr>
              <a:solidFill>
                <a:srgbClr val="AE8C00"/>
              </a:solidFill>
              <a:ln w="0">
                <a:noFill/>
              </a:ln>
            </c:spPr>
          </c:dPt>
          <c:dPt>
            <c:idx val="10"/>
            <c:spPr>
              <a:solidFill>
                <a:srgbClr val="AE8C00"/>
              </a:solidFill>
              <a:ln w="0">
                <a:noFill/>
              </a:ln>
            </c:spPr>
          </c:dPt>
          <c:dPt>
            <c:idx val="11"/>
            <c:spPr>
              <a:solidFill>
                <a:srgbClr val="637CEF"/>
              </a:solidFill>
              <a:ln w="0">
                <a:noFill/>
              </a:ln>
            </c:spPr>
          </c:dPt>
          <c:dPt>
            <c:idx val="12"/>
            <c:spPr>
              <a:solidFill>
                <a:srgbClr val="EE5FB7"/>
              </a:solidFill>
              <a:ln w="0">
                <a:noFill/>
              </a:ln>
            </c:spPr>
          </c:dPt>
          <c:dPt>
            <c:idx val="13"/>
            <c:spPr>
              <a:solidFill>
                <a:srgbClr val="008B94"/>
              </a:solidFill>
              <a:ln w="0">
                <a:noFill/>
              </a:ln>
            </c:spPr>
          </c:dPt>
          <c:dPt>
            <c:idx val="14"/>
            <c:spPr>
              <a:solidFill>
                <a:srgbClr val="D77440"/>
              </a:solidFill>
              <a:ln w="0">
                <a:noFill/>
              </a:ln>
            </c:spPr>
          </c:dPt>
          <c:dPt>
            <c:idx val="15"/>
            <c:spPr>
              <a:solidFill>
                <a:srgbClr val="BA58C9"/>
              </a:solidFill>
              <a:ln w="0">
                <a:noFill/>
              </a:ln>
            </c:spPr>
          </c:dPt>
          <c:dPt>
            <c:idx val="16"/>
            <c:spPr>
              <a:solidFill>
                <a:srgbClr val="3A96DD"/>
              </a:solidFill>
              <a:ln w="0">
                <a:noFill/>
              </a:ln>
            </c:spPr>
          </c:dPt>
          <c:dPt>
            <c:idx val="17"/>
            <c:spPr>
              <a:solidFill>
                <a:srgbClr val="E3008C"/>
              </a:solidFill>
              <a:ln w="0">
                <a:noFill/>
              </a:ln>
            </c:spPr>
          </c:dPt>
          <c:dPt>
            <c:idx val="18"/>
            <c:spPr>
              <a:solidFill>
                <a:srgbClr val="C36BD1"/>
              </a:solidFill>
              <a:ln w="0">
                <a:noFill/>
              </a:ln>
            </c:spPr>
          </c:dPt>
          <c:dPt>
            <c:idx val="19"/>
            <c:spPr>
              <a:solidFill>
                <a:srgbClr val="D06228"/>
              </a:solidFill>
              <a:ln w="0">
                <a:noFill/>
              </a:ln>
            </c:spPr>
          </c:dPt>
          <c:dPt>
            <c:idx val="20"/>
            <c:spPr>
              <a:solidFill>
                <a:srgbClr val="57811B"/>
              </a:solidFill>
              <a:ln w="0">
                <a:noFill/>
              </a:ln>
            </c:spPr>
          </c:dPt>
          <c:dPt>
            <c:idx val="21"/>
            <c:spPr>
              <a:solidFill>
                <a:srgbClr val="637CEF"/>
              </a:solidFill>
              <a:ln w="0">
                <a:noFill/>
              </a:ln>
            </c:spPr>
          </c:dPt>
          <c:dPt>
            <c:idx val="22"/>
            <c:spPr>
              <a:solidFill>
                <a:srgbClr val="E3008C"/>
              </a:solidFill>
              <a:ln w="0">
                <a:noFill/>
              </a:ln>
            </c:spPr>
          </c:dPt>
          <c:dPt>
            <c:idx val="23"/>
            <c:spPr>
              <a:solidFill>
                <a:srgbClr val="2AA0A4"/>
              </a:solidFill>
              <a:ln w="0">
                <a:noFill/>
              </a:ln>
            </c:spPr>
          </c:dPt>
          <c:dPt>
            <c:idx val="24"/>
            <c:spPr>
              <a:solidFill>
                <a:srgbClr val="9373C0"/>
              </a:solidFill>
              <a:ln w="0">
                <a:noFill/>
              </a:ln>
            </c:spPr>
          </c:dPt>
          <c:dPt>
            <c:idx val="25"/>
            <c:spPr>
              <a:solidFill>
                <a:srgbClr val="13A10E"/>
              </a:solidFill>
              <a:ln w="0">
                <a:noFill/>
              </a:ln>
            </c:spPr>
          </c:dPt>
          <c:dPt>
            <c:idx val="26"/>
            <c:spPr>
              <a:solidFill>
                <a:srgbClr val="3A96DD"/>
              </a:solidFill>
              <a:ln w="0">
                <a:noFill/>
              </a:ln>
            </c:spPr>
          </c:dPt>
          <c:dPt>
            <c:idx val="27"/>
            <c:spPr>
              <a:solidFill>
                <a:srgbClr val="CA5010"/>
              </a:solidFill>
              <a:ln w="0">
                <a:noFill/>
              </a:ln>
            </c:spPr>
          </c:dPt>
          <c:dPt>
            <c:idx val="28"/>
            <c:spPr>
              <a:solidFill>
                <a:srgbClr val="57811B"/>
              </a:solidFill>
              <a:ln w="0">
                <a:noFill/>
              </a:ln>
            </c:spPr>
          </c:dPt>
          <c:dPt>
            <c:idx val="29"/>
            <c:spPr>
              <a:solidFill>
                <a:srgbClr val="B146C2"/>
              </a:solidFill>
              <a:ln w="0">
                <a:noFill/>
              </a:ln>
            </c:spPr>
          </c:dPt>
          <c:dPt>
            <c:idx val="30"/>
            <c:spPr>
              <a:solidFill>
                <a:srgbClr val="AE8C00"/>
              </a:solidFill>
              <a:ln w="0">
                <a:noFill/>
              </a:ln>
            </c:spPr>
          </c:dPt>
          <c:dPt>
            <c:idx val="31"/>
            <c:spPr>
              <a:solidFill>
                <a:srgbClr val="AE8C00"/>
              </a:solidFill>
              <a:ln w="0">
                <a:noFill/>
              </a:ln>
            </c:spPr>
          </c:dPt>
          <c:dPt>
            <c:idx val="32"/>
            <c:spPr>
              <a:solidFill>
                <a:srgbClr val="637CEF"/>
              </a:solidFill>
              <a:ln w="0">
                <a:noFill/>
              </a:ln>
            </c:spPr>
          </c:dPt>
          <c:dPt>
            <c:idx val="33"/>
            <c:spPr>
              <a:solidFill>
                <a:srgbClr val="EE5FB7"/>
              </a:solidFill>
              <a:ln w="0">
                <a:noFill/>
              </a:ln>
            </c:spPr>
          </c:dPt>
          <c:dPt>
            <c:idx val="34"/>
            <c:spPr>
              <a:solidFill>
                <a:srgbClr val="008B94"/>
              </a:solidFill>
              <a:ln w="0">
                <a:noFill/>
              </a:ln>
            </c:spPr>
          </c:dPt>
          <c:dPt>
            <c:idx val="35"/>
            <c:spPr>
              <a:solidFill>
                <a:srgbClr val="D77440"/>
              </a:solidFill>
              <a:ln w="0">
                <a:noFill/>
              </a:ln>
            </c:spPr>
          </c:dPt>
          <c:dLbls>
            <c:dLbl>
              <c:idx val="0"/>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1"/>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2"/>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3"/>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4"/>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5"/>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6"/>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7"/>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8"/>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9"/>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10"/>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11"/>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12"/>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13"/>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14"/>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15"/>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16"/>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17"/>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18"/>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19"/>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20"/>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21"/>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22"/>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23"/>
              <c:numFmt formatCode="0" sourceLinked="1"/>
              <c:txPr>
                <a:bodyPr wrap="square"/>
                <a:lstStyle/>
                <a:p>
                  <a:pPr>
                    <a:defRPr sz="1000" b="1" u="none" strike="noStrike">
                      <a:solidFill>
                        <a:srgbClr val="000000"/>
                      </a:solidFill>
                      <a:uFillTx/>
                      <a:latin typeface="Calibri"/>
                      <a:ea typeface="Calibri"/>
                    </a:defRPr>
                  </a:pPr>
                </a:p>
              </c:txPr>
              <c:dLblPos val="outEnd"/>
              <c:showLegendKey val="0"/>
              <c:showVal val="1"/>
              <c:showCatName val="0"/>
              <c:showSerName val="0"/>
              <c:showPercent val="0"/>
              <c:separator>; </c:separator>
            </c:dLbl>
            <c:dLbl>
              <c:idx val="24"/>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25"/>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26"/>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27"/>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28"/>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29"/>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30"/>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31"/>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32"/>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33"/>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34"/>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35"/>
              <c:numFmt formatCode="0"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numFmt formatCode="0" sourceLinked="1"/>
            <c:txPr>
              <a:bodyPr wrap="square"/>
              <a:lstStyle/>
              <a:p>
                <a:pPr>
                  <a:defRPr sz="1000" b="1" u="none" strike="noStrike">
                    <a:solidFill>
                      <a:srgbClr val="000000"/>
                    </a:solidFill>
                    <a:uFillTx/>
                    <a:latin typeface="Arial"/>
                    <a:ea typeface="Calibri"/>
                  </a:defRPr>
                </a:pPr>
              </a:p>
            </c:txPr>
            <c:dLblPos val="outEnd"/>
            <c:showLegendKey val="0"/>
            <c:showVal val="1"/>
            <c:showCatName val="0"/>
            <c:showSerName val="0"/>
            <c:showPercent val="0"/>
            <c:separator>; </c:separator>
            <c:showLeaderLines val="0"/>
            <c:extLst>
              <c:ext xmlns:c15="http://schemas.microsoft.com/office/drawing/2012/chart" uri="{CE6537A1-D6FC-4f65-9D91-7224C49458BB}">
                <c15:showLeaderLines val="0"/>
              </c:ext>
            </c:extLst>
          </c:dLbls>
          <c:cat>
            <c:multiLvlStrRef>
              <c:f>'Tabela Geral 2020 e Outros'!$A$50:$D$85</c:f>
              <c:multiLvlStrCache>
                <c:ptCount val="36"/>
                <c:lvl/>
                <c:lvl/>
                <c:lvl/>
                <c:lvl>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lvl>
              </c:multiLvlStrCache>
            </c:multiLvlStrRef>
          </c:cat>
          <c:val>
            <c:numRef>
              <c:f>'Tabela Geral 2020 e Outros'!$AE$50:$AE$85</c:f>
              <c:numCache>
                <c:formatCode>0</c:formatCode>
                <c:ptCount val="36"/>
                <c:pt idx="0">
                  <c:v>2</c:v>
                </c:pt>
                <c:pt idx="1">
                  <c:v>2</c:v>
                </c:pt>
                <c:pt idx="2">
                  <c:v>4</c:v>
                </c:pt>
                <c:pt idx="3">
                  <c:v>5</c:v>
                </c:pt>
                <c:pt idx="4">
                  <c:v>9</c:v>
                </c:pt>
                <c:pt idx="5">
                  <c:v>21</c:v>
                </c:pt>
                <c:pt idx="6">
                  <c:v>13</c:v>
                </c:pt>
                <c:pt idx="7">
                  <c:v>16</c:v>
                </c:pt>
                <c:pt idx="8">
                  <c:v>69</c:v>
                </c:pt>
                <c:pt idx="9">
                  <c:v>113</c:v>
                </c:pt>
                <c:pt idx="10">
                  <c:v>112</c:v>
                </c:pt>
                <c:pt idx="11">
                  <c:v>128</c:v>
                </c:pt>
                <c:pt idx="12">
                  <c:v>65</c:v>
                </c:pt>
                <c:pt idx="13">
                  <c:v>86</c:v>
                </c:pt>
                <c:pt idx="14">
                  <c:v>118</c:v>
                </c:pt>
                <c:pt idx="15">
                  <c:v>133</c:v>
                </c:pt>
                <c:pt idx="16">
                  <c:v>160</c:v>
                </c:pt>
                <c:pt idx="17">
                  <c:v>152</c:v>
                </c:pt>
                <c:pt idx="18">
                  <c:v>218</c:v>
                </c:pt>
                <c:pt idx="19">
                  <c:v>281</c:v>
                </c:pt>
                <c:pt idx="20">
                  <c:v>318</c:v>
                </c:pt>
                <c:pt idx="21">
                  <c:v>293</c:v>
                </c:pt>
                <c:pt idx="22">
                  <c:v>312</c:v>
                </c:pt>
                <c:pt idx="23">
                  <c:v>425</c:v>
                </c:pt>
                <c:pt idx="24">
                  <c:v>467</c:v>
                </c:pt>
                <c:pt idx="25">
                  <c:v>479</c:v>
                </c:pt>
                <c:pt idx="26">
                  <c:v>446</c:v>
                </c:pt>
                <c:pt idx="27">
                  <c:v>428</c:v>
                </c:pt>
                <c:pt idx="28">
                  <c:v>489</c:v>
                </c:pt>
                <c:pt idx="29">
                  <c:v>436</c:v>
                </c:pt>
                <c:pt idx="30">
                  <c:v>509</c:v>
                </c:pt>
                <c:pt idx="31">
                  <c:v>501</c:v>
                </c:pt>
                <c:pt idx="32">
                  <c:v>244</c:v>
                </c:pt>
                <c:pt idx="33">
                  <c:v>190</c:v>
                </c:pt>
                <c:pt idx="34">
                  <c:v>151</c:v>
                </c:pt>
                <c:pt idx="35">
                  <c:v>8</c:v>
                </c:pt>
              </c:numCache>
            </c:numRef>
          </c:val>
        </c:ser>
        <c:gapWidth val="150"/>
        <c:overlap val="0"/>
        <c:axId val="18040143"/>
        <c:axId val="60644343"/>
      </c:barChart>
      <c:catAx>
        <c:axId val="18040143"/>
        <c:scaling>
          <c:orientation val="minMax"/>
        </c:scaling>
        <c:delete val="0"/>
        <c:axPos val="b"/>
        <c:title>
          <c:tx>
            <c:rich>
              <a:bodyPr rot="0"/>
              <a:lstStyle/>
              <a:p>
                <a:pPr>
                  <a:defRPr sz="1300" b="0" u="none" strike="noStrike">
                    <a:uFillTx/>
                    <a:latin typeface="Arial"/>
                  </a:defRPr>
                </a:pPr>
                <a:r>
                  <a:rPr lang="en-US" sz="1000" b="1" u="none" strike="noStrike">
                    <a:solidFill>
                      <a:srgbClr val="274E13"/>
                    </a:solidFill>
                    <a:uFillTx/>
                    <a:latin typeface="Arial"/>
                    <a:ea typeface="Calibri"/>
                  </a:rPr>
                  <a:t>Ano de Protocolo da Solicitação de Registro</a:t>
                </a:r>
              </a:p>
            </c:rich>
          </c:tx>
          <c:overlay val="0"/>
          <c:spPr>
            <a:noFill/>
            <a:ln w="0">
              <a:noFill/>
            </a:ln>
          </c:spPr>
        </c:title>
        <c:numFmt formatCode="General" sourceLinked="0"/>
        <c:majorTickMark val="cross"/>
        <c:minorTickMark val="none"/>
        <c:tickLblPos val="nextTo"/>
        <c:spPr>
          <a:ln w="6480">
            <a:solidFill>
              <a:srgbClr val="8B8B8B"/>
            </a:solidFill>
            <a:round/>
          </a:ln>
        </c:spPr>
        <c:txPr>
          <a:bodyPr/>
          <a:lstStyle/>
          <a:p>
            <a:pPr>
              <a:defRPr sz="1000" b="1" u="none" strike="noStrike">
                <a:solidFill>
                  <a:srgbClr val="274E13"/>
                </a:solidFill>
                <a:uFillTx/>
                <a:latin typeface="Arial"/>
                <a:ea typeface="Calibri"/>
              </a:defRPr>
            </a:pPr>
          </a:p>
        </c:txPr>
        <c:crossAx val="60644343"/>
        <c:crosses val="autoZero"/>
        <c:auto val="1"/>
        <c:lblAlgn val="ctr"/>
        <c:lblOffset val="100"/>
        <c:noMultiLvlLbl val="0"/>
      </c:catAx>
      <c:valAx>
        <c:axId val="60644343"/>
        <c:scaling>
          <c:orientation val="minMax"/>
          <c:min val="0"/>
        </c:scaling>
        <c:delete val="0"/>
        <c:axPos val="l"/>
        <c:majorGridlines>
          <c:spPr>
            <a:ln w="6480">
              <a:solidFill>
                <a:srgbClr val="B7B7B7"/>
              </a:solidFill>
              <a:round/>
            </a:ln>
          </c:spPr>
        </c:majorGridlines>
        <c:title>
          <c:tx>
            <c:rich>
              <a:bodyPr rot="-5400000"/>
              <a:lstStyle/>
              <a:p>
                <a:pPr>
                  <a:defRPr sz="1300" b="0" u="none" strike="noStrike">
                    <a:uFillTx/>
                    <a:latin typeface="Arial"/>
                  </a:defRPr>
                </a:pPr>
                <a:r>
                  <a:rPr lang="en-US" sz="1000" b="1" u="none" strike="noStrike">
                    <a:solidFill>
                      <a:srgbClr val="274E13"/>
                    </a:solidFill>
                    <a:uFillTx/>
                    <a:latin typeface="Arial"/>
                    <a:ea typeface="Calibri"/>
                  </a:rPr>
                  <a:t>Registros Aprovados</a:t>
                </a:r>
              </a:p>
            </c:rich>
          </c:tx>
          <c:overlay val="0"/>
          <c:spPr>
            <a:noFill/>
            <a:ln w="0">
              <a:noFill/>
            </a:ln>
          </c:spPr>
        </c:title>
        <c:numFmt formatCode="0" sourceLinked="0"/>
        <c:majorTickMark val="cross"/>
        <c:minorTickMark val="cross"/>
        <c:tickLblPos val="nextTo"/>
        <c:spPr>
          <a:ln w="6480">
            <a:solidFill>
              <a:srgbClr val="8B8B8B"/>
            </a:solidFill>
            <a:round/>
          </a:ln>
        </c:spPr>
        <c:txPr>
          <a:bodyPr/>
          <a:lstStyle/>
          <a:p>
            <a:pPr>
              <a:defRPr sz="1000" b="1" u="none" strike="noStrike">
                <a:solidFill>
                  <a:srgbClr val="274E13"/>
                </a:solidFill>
                <a:uFillTx/>
                <a:latin typeface="Arial"/>
                <a:ea typeface="Calibri"/>
              </a:defRPr>
            </a:pPr>
          </a:p>
        </c:txPr>
        <c:crossAx val="18040143"/>
        <c:crosses val="autoZero"/>
        <c:crossBetween val="between"/>
      </c:valAx>
      <c:spPr>
        <a:noFill/>
        <a:ln w="0">
          <a:noFill/>
        </a:ln>
      </c:spPr>
    </c:plotArea>
    <c:plotVisOnly val="1"/>
    <c:dispBlanksAs val="zero"/>
  </c:chart>
  <c:spPr>
    <a:solidFill>
      <a:srgbClr val="FFFFFF"/>
    </a:solidFill>
    <a:ln w="9360">
      <a:solidFill>
        <a:srgbClr val="D9D9D9"/>
      </a:solidFill>
      <a:round/>
    </a:ln>
  </c:spPr>
</c:chartSpace>
</file>

<file path=xl/charts/chart14.xml><?xml version="1.0" encoding="utf-8"?>
<c:chartSpace xmlns:c="http://schemas.openxmlformats.org/drawingml/2006/chart" xmlns:a="http://schemas.openxmlformats.org/drawingml/2006/main" xmlns:r="http://schemas.openxmlformats.org/officeDocument/2006/relationships">
  <c:lang val="en-US"/>
  <c:roundedCorners val="0"/>
  <c:style val="2"/>
  <c:chart>
    <c:title>
      <c:tx>
        <c:rich>
          <a:bodyPr rot="0"/>
          <a:lstStyle/>
          <a:p>
            <a:pPr>
              <a:defRPr sz="1300" b="0" u="none" strike="noStrike">
                <a:uFillTx/>
                <a:latin typeface="Arial"/>
              </a:defRPr>
            </a:pPr>
            <a:r>
              <a:rPr lang="en-US" sz="1800" b="1" u="none" strike="noStrike">
                <a:solidFill>
                  <a:srgbClr val="274E13"/>
                </a:solidFill>
                <a:uFillTx/>
                <a:latin typeface="Arial"/>
                <a:ea typeface="Calibri"/>
              </a:rPr>
              <a:t>Tempo Médio de Registro - Por Tipo</a:t>
            </a:r>
          </a:p>
        </c:rich>
      </c:tx>
      <c:overlay val="0"/>
      <c:spPr>
        <a:noFill/>
        <a:ln w="0">
          <a:noFill/>
        </a:ln>
      </c:spPr>
    </c:title>
    <c:autoTitleDeleted val="0"/>
    <c:plotArea>
      <c:lineChart>
        <c:grouping val="standard"/>
        <c:varyColors val="0"/>
        <c:ser>
          <c:idx val="0"/>
          <c:order val="0"/>
          <c:tx>
            <c:strRef>
              <c:f>"PTN - Produto Técnico Novo"</c:f>
              <c:strCache>
                <c:ptCount val="1"/>
                <c:pt idx="0">
                  <c:v>PTN - Produto Técnico Novo</c:v>
                </c:pt>
              </c:strCache>
            </c:strRef>
          </c:tx>
          <c:spPr>
            <a:solidFill>
              <a:srgbClr val="C0504D"/>
            </a:solidFill>
            <a:ln w="19080">
              <a:solidFill>
                <a:srgbClr val="C0504D"/>
              </a:solidFill>
              <a:round/>
            </a:ln>
          </c:spPr>
          <c:marker>
            <c:symbol val="circle"/>
            <c:size val="6"/>
            <c:spPr>
              <a:solidFill>
                <a:srgbClr val="C0504D"/>
              </a:solidFill>
            </c:spPr>
          </c:marker>
          <c:dLbls>
            <c:txPr>
              <a:bodyPr wrap="square"/>
              <a:lstStyle/>
              <a:p>
                <a:pPr>
                  <a:defRPr sz="1000" b="0" u="none" strike="noStrike">
                    <a:solidFill>
                      <a:srgbClr val="000000"/>
                    </a:solidFill>
                    <a:uFillTx/>
                    <a:latin typeface="Calibri"/>
                    <a:ea typeface="Calibri"/>
                  </a:defRPr>
                </a:pPr>
              </a:p>
            </c:txPr>
            <c:dLblPos val="r"/>
            <c:showLegendKey val="0"/>
            <c:showVal val="0"/>
            <c:showCatName val="0"/>
            <c:showSerName val="0"/>
            <c:showPercent val="0"/>
            <c:separator>; </c:separator>
            <c:showLeaderLines val="1"/>
            <c:leaderLines>
              <c:spPr>
                <a:ln w="19080">
                  <a:solidFill>
                    <a:srgbClr val="000000"/>
                  </a:solidFill>
                </a:ln>
              </c:spPr>
            </c:leaderLines>
            <c:extLst>
              <c:ext xmlns:c15="http://schemas.microsoft.com/office/drawing/2012/chart" uri="{CE6537A1-D6FC-4f65-9D91-7224C49458BB}">
                <c15:showLeaderLines val="1"/>
              </c:ext>
            </c:extLst>
          </c:dLbls>
          <c:cat>
            <c:multiLvlStrRef>
              <c:f>'Tabela Geral 2020 e Outros'!$E$33:$AD$33</c:f>
              <c:multiLvlStrCache>
                <c:ptCount val="1"/>
                <c:lvl>
                  <c:pt idx="0">
                    <c:v>2025</c:v>
                  </c:pt>
                </c:lvl>
                <c:lvl>
                  <c:pt idx="0">
                    <c:v>2024</c:v>
                  </c:pt>
                </c:lvl>
                <c:lvl>
                  <c:pt idx="0">
                    <c:v>2023</c:v>
                  </c:pt>
                </c:lvl>
                <c:lvl>
                  <c:pt idx="0">
                    <c:v>2022</c:v>
                  </c:pt>
                </c:lvl>
                <c:lvl>
                  <c:pt idx="0">
                    <c:v>2021</c:v>
                  </c:pt>
                </c:lvl>
                <c:lvl>
                  <c:pt idx="0">
                    <c:v>2020</c:v>
                  </c:pt>
                </c:lvl>
                <c:lvl>
                  <c:pt idx="0">
                    <c:v>2019</c:v>
                  </c:pt>
                </c:lvl>
                <c:lvl>
                  <c:pt idx="0">
                    <c:v>2018</c:v>
                  </c:pt>
                </c:lvl>
                <c:lvl>
                  <c:pt idx="0">
                    <c:v>2017</c:v>
                  </c:pt>
                </c:lvl>
                <c:lvl>
                  <c:pt idx="0">
                    <c:v>2016</c:v>
                  </c:pt>
                </c:lvl>
                <c:lvl>
                  <c:pt idx="0">
                    <c:v>2015</c:v>
                  </c:pt>
                </c:lvl>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lvl>
                  <c:pt idx="0">
                    <c:v>2004</c:v>
                  </c:pt>
                </c:lvl>
                <c:lvl>
                  <c:pt idx="0">
                    <c:v>2003</c:v>
                  </c:pt>
                </c:lvl>
                <c:lvl>
                  <c:pt idx="0">
                    <c:v>2002</c:v>
                  </c:pt>
                </c:lvl>
                <c:lvl>
                  <c:pt idx="0">
                    <c:v>2001</c:v>
                  </c:pt>
                </c:lvl>
                <c:lvl>
                  <c:pt idx="0">
                    <c:v>2000</c:v>
                  </c:pt>
                </c:lvl>
              </c:multiLvlStrCache>
            </c:multiLvlStrRef>
          </c:cat>
          <c:val>
            <c:numRef>
              <c:f>'Tabela Geral 2020 e Outros'!$E$35:$AD$35</c:f>
              <c:numCache>
                <c:formatCode>0.0</c:formatCode>
                <c:ptCount val="26"/>
                <c:pt idx="0">
                  <c:v>20.6962962962963</c:v>
                </c:pt>
                <c:pt idx="1">
                  <c:v>27.5090909090909</c:v>
                </c:pt>
                <c:pt idx="2">
                  <c:v>25.4866666666667</c:v>
                </c:pt>
                <c:pt idx="3">
                  <c:v>24.1291666666667</c:v>
                </c:pt>
                <c:pt idx="4">
                  <c:v>35.2916666666667</c:v>
                </c:pt>
                <c:pt idx="5">
                  <c:v>27.8533333333333</c:v>
                </c:pt>
                <c:pt idx="6">
                  <c:v>36.0733333333333</c:v>
                </c:pt>
                <c:pt idx="7">
                  <c:v>30.5833333333333</c:v>
                </c:pt>
                <c:pt idx="8">
                  <c:v>44.3</c:v>
                </c:pt>
                <c:pt idx="9">
                  <c:v>43.225</c:v>
                </c:pt>
                <c:pt idx="11">
                  <c:v>56</c:v>
                </c:pt>
                <c:pt idx="12">
                  <c:v>49</c:v>
                </c:pt>
                <c:pt idx="13">
                  <c:v>58.5</c:v>
                </c:pt>
                <c:pt idx="14">
                  <c:v>61.4</c:v>
                </c:pt>
                <c:pt idx="15">
                  <c:v>68.4</c:v>
                </c:pt>
                <c:pt idx="16">
                  <c:v>79.7666666666667</c:v>
                </c:pt>
                <c:pt idx="17">
                  <c:v>66.2266666666667</c:v>
                </c:pt>
                <c:pt idx="18">
                  <c:v>59.05</c:v>
                </c:pt>
                <c:pt idx="19">
                  <c:v>86.8333333333333</c:v>
                </c:pt>
                <c:pt idx="20">
                  <c:v>99.1666666666667</c:v>
                </c:pt>
                <c:pt idx="21">
                  <c:v>85.4142857142857</c:v>
                </c:pt>
                <c:pt idx="22">
                  <c:v>87.5833333333333</c:v>
                </c:pt>
                <c:pt idx="23">
                  <c:v>89.469696969697</c:v>
                </c:pt>
                <c:pt idx="24">
                  <c:v>45.2666666666667</c:v>
                </c:pt>
                <c:pt idx="25">
                  <c:v>66.8666666666667</c:v>
                </c:pt>
              </c:numCache>
            </c:numRef>
          </c:val>
          <c:smooth val="0"/>
        </c:ser>
        <c:ser>
          <c:idx val="1"/>
          <c:order val="1"/>
          <c:tx>
            <c:strRef>
              <c:f>"PTE - Produto Técnico Equivalente"</c:f>
              <c:strCache>
                <c:ptCount val="1"/>
                <c:pt idx="0">
                  <c:v>PTE - Produto Técnico Equivalente</c:v>
                </c:pt>
              </c:strCache>
            </c:strRef>
          </c:tx>
          <c:spPr>
            <a:solidFill>
              <a:srgbClr val="8064A2"/>
            </a:solidFill>
            <a:ln w="19080">
              <a:solidFill>
                <a:srgbClr val="8064A2"/>
              </a:solidFill>
              <a:round/>
            </a:ln>
          </c:spPr>
          <c:marker>
            <c:symbol val="circle"/>
            <c:size val="6"/>
            <c:spPr>
              <a:solidFill>
                <a:srgbClr val="8064A2"/>
              </a:solidFill>
            </c:spPr>
          </c:marker>
          <c:dLbls>
            <c:txPr>
              <a:bodyPr wrap="square"/>
              <a:lstStyle/>
              <a:p>
                <a:pPr>
                  <a:defRPr sz="1000" b="0" u="none" strike="noStrike">
                    <a:solidFill>
                      <a:srgbClr val="000000"/>
                    </a:solidFill>
                    <a:uFillTx/>
                    <a:latin typeface="Calibri"/>
                    <a:ea typeface="Calibri"/>
                  </a:defRPr>
                </a:pPr>
              </a:p>
            </c:txPr>
            <c:dLblPos val="r"/>
            <c:showLegendKey val="0"/>
            <c:showVal val="0"/>
            <c:showCatName val="0"/>
            <c:showSerName val="0"/>
            <c:showPercent val="0"/>
            <c:separator>; </c:separator>
            <c:showLeaderLines val="1"/>
            <c:leaderLines>
              <c:spPr>
                <a:ln w="19080">
                  <a:solidFill>
                    <a:srgbClr val="000000"/>
                  </a:solidFill>
                </a:ln>
              </c:spPr>
            </c:leaderLines>
            <c:extLst>
              <c:ext xmlns:c15="http://schemas.microsoft.com/office/drawing/2012/chart" uri="{CE6537A1-D6FC-4f65-9D91-7224C49458BB}">
                <c15:showLeaderLines val="1"/>
              </c:ext>
            </c:extLst>
          </c:dLbls>
          <c:cat>
            <c:multiLvlStrRef>
              <c:f>'Tabela Geral 2020 e Outros'!$E$33:$AD$33</c:f>
              <c:multiLvlStrCache>
                <c:ptCount val="1"/>
                <c:lvl>
                  <c:pt idx="0">
                    <c:v>2025</c:v>
                  </c:pt>
                </c:lvl>
                <c:lvl>
                  <c:pt idx="0">
                    <c:v>2024</c:v>
                  </c:pt>
                </c:lvl>
                <c:lvl>
                  <c:pt idx="0">
                    <c:v>2023</c:v>
                  </c:pt>
                </c:lvl>
                <c:lvl>
                  <c:pt idx="0">
                    <c:v>2022</c:v>
                  </c:pt>
                </c:lvl>
                <c:lvl>
                  <c:pt idx="0">
                    <c:v>2021</c:v>
                  </c:pt>
                </c:lvl>
                <c:lvl>
                  <c:pt idx="0">
                    <c:v>2020</c:v>
                  </c:pt>
                </c:lvl>
                <c:lvl>
                  <c:pt idx="0">
                    <c:v>2019</c:v>
                  </c:pt>
                </c:lvl>
                <c:lvl>
                  <c:pt idx="0">
                    <c:v>2018</c:v>
                  </c:pt>
                </c:lvl>
                <c:lvl>
                  <c:pt idx="0">
                    <c:v>2017</c:v>
                  </c:pt>
                </c:lvl>
                <c:lvl>
                  <c:pt idx="0">
                    <c:v>2016</c:v>
                  </c:pt>
                </c:lvl>
                <c:lvl>
                  <c:pt idx="0">
                    <c:v>2015</c:v>
                  </c:pt>
                </c:lvl>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lvl>
                  <c:pt idx="0">
                    <c:v>2004</c:v>
                  </c:pt>
                </c:lvl>
                <c:lvl>
                  <c:pt idx="0">
                    <c:v>2003</c:v>
                  </c:pt>
                </c:lvl>
                <c:lvl>
                  <c:pt idx="0">
                    <c:v>2002</c:v>
                  </c:pt>
                </c:lvl>
                <c:lvl>
                  <c:pt idx="0">
                    <c:v>2001</c:v>
                  </c:pt>
                </c:lvl>
                <c:lvl>
                  <c:pt idx="0">
                    <c:v>2000</c:v>
                  </c:pt>
                </c:lvl>
              </c:multiLvlStrCache>
            </c:multiLvlStrRef>
          </c:cat>
          <c:val>
            <c:numRef>
              <c:f>'Tabela Geral 2020 e Outros'!$E$36:$AD$36</c:f>
              <c:numCache>
                <c:formatCode>0.0</c:formatCode>
                <c:ptCount val="26"/>
                <c:pt idx="6">
                  <c:v>27.5444444444444</c:v>
                </c:pt>
                <c:pt idx="7">
                  <c:v>31.2133333333333</c:v>
                </c:pt>
                <c:pt idx="8">
                  <c:v>19.8222222222222</c:v>
                </c:pt>
                <c:pt idx="9">
                  <c:v>19.5404761904762</c:v>
                </c:pt>
                <c:pt idx="10">
                  <c:v>25.9847619047619</c:v>
                </c:pt>
                <c:pt idx="11">
                  <c:v>30.925</c:v>
                </c:pt>
                <c:pt idx="12">
                  <c:v>33.75</c:v>
                </c:pt>
                <c:pt idx="13">
                  <c:v>39.0318518518519</c:v>
                </c:pt>
                <c:pt idx="14">
                  <c:v>41.6936708860759</c:v>
                </c:pt>
                <c:pt idx="15">
                  <c:v>51.9050724637681</c:v>
                </c:pt>
                <c:pt idx="16">
                  <c:v>45.651875</c:v>
                </c:pt>
                <c:pt idx="17">
                  <c:v>51.2653483992467</c:v>
                </c:pt>
                <c:pt idx="18">
                  <c:v>51.7879101899827</c:v>
                </c:pt>
                <c:pt idx="19">
                  <c:v>48.3270136307311</c:v>
                </c:pt>
                <c:pt idx="20">
                  <c:v>48.9705761316872</c:v>
                </c:pt>
                <c:pt idx="21">
                  <c:v>49.9423076923077</c:v>
                </c:pt>
                <c:pt idx="22">
                  <c:v>57.3717097170972</c:v>
                </c:pt>
                <c:pt idx="23">
                  <c:v>58.6942271880819</c:v>
                </c:pt>
                <c:pt idx="24">
                  <c:v>56.414358974359</c:v>
                </c:pt>
                <c:pt idx="25">
                  <c:v>67.3673076923077</c:v>
                </c:pt>
              </c:numCache>
            </c:numRef>
          </c:val>
          <c:smooth val="0"/>
        </c:ser>
        <c:ser>
          <c:idx val="2"/>
          <c:order val="2"/>
          <c:tx>
            <c:strRef>
              <c:f>"PF - Produto Formulado"</c:f>
              <c:strCache>
                <c:ptCount val="1"/>
                <c:pt idx="0">
                  <c:v>PF - Produto Formulado</c:v>
                </c:pt>
              </c:strCache>
            </c:strRef>
          </c:tx>
          <c:spPr>
            <a:solidFill>
              <a:srgbClr val="F79646"/>
            </a:solidFill>
            <a:ln w="19080">
              <a:solidFill>
                <a:srgbClr val="F79646"/>
              </a:solidFill>
              <a:round/>
            </a:ln>
          </c:spPr>
          <c:marker>
            <c:symbol val="circle"/>
            <c:size val="6"/>
            <c:spPr>
              <a:solidFill>
                <a:srgbClr val="F79646"/>
              </a:solidFill>
            </c:spPr>
          </c:marker>
          <c:dLbls>
            <c:txPr>
              <a:bodyPr wrap="square"/>
              <a:lstStyle/>
              <a:p>
                <a:pPr>
                  <a:defRPr sz="1000" b="0" u="none" strike="noStrike">
                    <a:solidFill>
                      <a:srgbClr val="000000"/>
                    </a:solidFill>
                    <a:uFillTx/>
                    <a:latin typeface="Calibri"/>
                    <a:ea typeface="Calibri"/>
                  </a:defRPr>
                </a:pPr>
              </a:p>
            </c:txPr>
            <c:dLblPos val="r"/>
            <c:showLegendKey val="0"/>
            <c:showVal val="0"/>
            <c:showCatName val="0"/>
            <c:showSerName val="0"/>
            <c:showPercent val="0"/>
            <c:separator>; </c:separator>
            <c:showLeaderLines val="1"/>
            <c:leaderLines>
              <c:spPr>
                <a:ln w="19080">
                  <a:solidFill>
                    <a:srgbClr val="000000"/>
                  </a:solidFill>
                </a:ln>
              </c:spPr>
            </c:leaderLines>
            <c:extLst>
              <c:ext xmlns:c15="http://schemas.microsoft.com/office/drawing/2012/chart" uri="{CE6537A1-D6FC-4f65-9D91-7224C49458BB}">
                <c15:showLeaderLines val="1"/>
              </c:ext>
            </c:extLst>
          </c:dLbls>
          <c:cat>
            <c:multiLvlStrRef>
              <c:f>'Tabela Geral 2020 e Outros'!$E$33:$AD$33</c:f>
              <c:multiLvlStrCache>
                <c:ptCount val="1"/>
                <c:lvl>
                  <c:pt idx="0">
                    <c:v>2025</c:v>
                  </c:pt>
                </c:lvl>
                <c:lvl>
                  <c:pt idx="0">
                    <c:v>2024</c:v>
                  </c:pt>
                </c:lvl>
                <c:lvl>
                  <c:pt idx="0">
                    <c:v>2023</c:v>
                  </c:pt>
                </c:lvl>
                <c:lvl>
                  <c:pt idx="0">
                    <c:v>2022</c:v>
                  </c:pt>
                </c:lvl>
                <c:lvl>
                  <c:pt idx="0">
                    <c:v>2021</c:v>
                  </c:pt>
                </c:lvl>
                <c:lvl>
                  <c:pt idx="0">
                    <c:v>2020</c:v>
                  </c:pt>
                </c:lvl>
                <c:lvl>
                  <c:pt idx="0">
                    <c:v>2019</c:v>
                  </c:pt>
                </c:lvl>
                <c:lvl>
                  <c:pt idx="0">
                    <c:v>2018</c:v>
                  </c:pt>
                </c:lvl>
                <c:lvl>
                  <c:pt idx="0">
                    <c:v>2017</c:v>
                  </c:pt>
                </c:lvl>
                <c:lvl>
                  <c:pt idx="0">
                    <c:v>2016</c:v>
                  </c:pt>
                </c:lvl>
                <c:lvl>
                  <c:pt idx="0">
                    <c:v>2015</c:v>
                  </c:pt>
                </c:lvl>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lvl>
                  <c:pt idx="0">
                    <c:v>2004</c:v>
                  </c:pt>
                </c:lvl>
                <c:lvl>
                  <c:pt idx="0">
                    <c:v>2003</c:v>
                  </c:pt>
                </c:lvl>
                <c:lvl>
                  <c:pt idx="0">
                    <c:v>2002</c:v>
                  </c:pt>
                </c:lvl>
                <c:lvl>
                  <c:pt idx="0">
                    <c:v>2001</c:v>
                  </c:pt>
                </c:lvl>
                <c:lvl>
                  <c:pt idx="0">
                    <c:v>2000</c:v>
                  </c:pt>
                </c:lvl>
              </c:multiLvlStrCache>
            </c:multiLvlStrRef>
          </c:cat>
          <c:val>
            <c:numRef>
              <c:f>'Tabela Geral 2020 e Outros'!$E$38:$AD$38</c:f>
              <c:numCache>
                <c:formatCode>0.0</c:formatCode>
                <c:ptCount val="26"/>
                <c:pt idx="0">
                  <c:v>26.543137254902</c:v>
                </c:pt>
                <c:pt idx="1">
                  <c:v>35.7549019607843</c:v>
                </c:pt>
                <c:pt idx="2">
                  <c:v>36.6014492753623</c:v>
                </c:pt>
                <c:pt idx="3">
                  <c:v>39.1741666666667</c:v>
                </c:pt>
                <c:pt idx="4">
                  <c:v>35.7888888888889</c:v>
                </c:pt>
                <c:pt idx="5">
                  <c:v>39.6696296296296</c:v>
                </c:pt>
                <c:pt idx="6">
                  <c:v>48.4720238095238</c:v>
                </c:pt>
                <c:pt idx="7">
                  <c:v>43.7929824561404</c:v>
                </c:pt>
                <c:pt idx="8">
                  <c:v>36.3754385964912</c:v>
                </c:pt>
                <c:pt idx="9">
                  <c:v>42.5866666666667</c:v>
                </c:pt>
                <c:pt idx="10">
                  <c:v>63.2474358974359</c:v>
                </c:pt>
                <c:pt idx="11">
                  <c:v>41.828125</c:v>
                </c:pt>
                <c:pt idx="12">
                  <c:v>52.5933333333333</c:v>
                </c:pt>
                <c:pt idx="13">
                  <c:v>53.6962962962963</c:v>
                </c:pt>
                <c:pt idx="14">
                  <c:v>67.7</c:v>
                </c:pt>
                <c:pt idx="15">
                  <c:v>71.6638888888889</c:v>
                </c:pt>
                <c:pt idx="16">
                  <c:v>50.1701754385965</c:v>
                </c:pt>
                <c:pt idx="17">
                  <c:v>59.5138888888889</c:v>
                </c:pt>
                <c:pt idx="18">
                  <c:v>58.8916666666667</c:v>
                </c:pt>
                <c:pt idx="19">
                  <c:v>68.6518518518519</c:v>
                </c:pt>
                <c:pt idx="20">
                  <c:v>84.4176190476191</c:v>
                </c:pt>
                <c:pt idx="21">
                  <c:v>67.6483333333333</c:v>
                </c:pt>
                <c:pt idx="22">
                  <c:v>64.8540229885058</c:v>
                </c:pt>
                <c:pt idx="23">
                  <c:v>47.4441666666667</c:v>
                </c:pt>
                <c:pt idx="24">
                  <c:v>53.1754385964912</c:v>
                </c:pt>
                <c:pt idx="25">
                  <c:v>55.1567567567568</c:v>
                </c:pt>
              </c:numCache>
            </c:numRef>
          </c:val>
          <c:smooth val="0"/>
        </c:ser>
        <c:ser>
          <c:idx val="3"/>
          <c:order val="3"/>
          <c:tx>
            <c:strRef>
              <c:f>"PFN - Produto Formulado a Base de Ingrediente Ativo Novo"</c:f>
              <c:strCache>
                <c:ptCount val="1"/>
                <c:pt idx="0">
                  <c:v>PFN - Produto Formulado a Base de Ingrediente Ativo Novo</c:v>
                </c:pt>
              </c:strCache>
            </c:strRef>
          </c:tx>
          <c:spPr>
            <a:solidFill>
              <a:srgbClr val="8064A2"/>
            </a:solidFill>
            <a:ln w="19080">
              <a:solidFill>
                <a:srgbClr val="8064A2"/>
              </a:solidFill>
              <a:round/>
            </a:ln>
          </c:spPr>
          <c:marker>
            <c:symbol val="circle"/>
            <c:size val="6"/>
            <c:spPr>
              <a:solidFill>
                <a:srgbClr val="8064A2"/>
              </a:solidFill>
            </c:spPr>
          </c:marker>
          <c:dLbls>
            <c:txPr>
              <a:bodyPr wrap="square"/>
              <a:lstStyle/>
              <a:p>
                <a:pPr>
                  <a:defRPr sz="1000" b="0" u="none" strike="noStrike">
                    <a:solidFill>
                      <a:srgbClr val="000000"/>
                    </a:solidFill>
                    <a:uFillTx/>
                    <a:latin typeface="Calibri"/>
                    <a:ea typeface="Calibri"/>
                  </a:defRPr>
                </a:pPr>
              </a:p>
            </c:txPr>
            <c:dLblPos val="r"/>
            <c:showLegendKey val="0"/>
            <c:showVal val="0"/>
            <c:showCatName val="0"/>
            <c:showSerName val="0"/>
            <c:showPercent val="0"/>
            <c:separator>; </c:separator>
            <c:showLeaderLines val="1"/>
            <c:leaderLines>
              <c:spPr>
                <a:ln w="19080">
                  <a:solidFill>
                    <a:srgbClr val="000000"/>
                  </a:solidFill>
                </a:ln>
              </c:spPr>
            </c:leaderLines>
            <c:extLst>
              <c:ext xmlns:c15="http://schemas.microsoft.com/office/drawing/2012/chart" uri="{CE6537A1-D6FC-4f65-9D91-7224C49458BB}">
                <c15:showLeaderLines val="1"/>
              </c:ext>
            </c:extLst>
          </c:dLbls>
          <c:cat>
            <c:multiLvlStrRef>
              <c:f>'Tabela Geral 2020 e Outros'!$E$33:$AD$33</c:f>
              <c:multiLvlStrCache>
                <c:ptCount val="1"/>
                <c:lvl>
                  <c:pt idx="0">
                    <c:v>2025</c:v>
                  </c:pt>
                </c:lvl>
                <c:lvl>
                  <c:pt idx="0">
                    <c:v>2024</c:v>
                  </c:pt>
                </c:lvl>
                <c:lvl>
                  <c:pt idx="0">
                    <c:v>2023</c:v>
                  </c:pt>
                </c:lvl>
                <c:lvl>
                  <c:pt idx="0">
                    <c:v>2022</c:v>
                  </c:pt>
                </c:lvl>
                <c:lvl>
                  <c:pt idx="0">
                    <c:v>2021</c:v>
                  </c:pt>
                </c:lvl>
                <c:lvl>
                  <c:pt idx="0">
                    <c:v>2020</c:v>
                  </c:pt>
                </c:lvl>
                <c:lvl>
                  <c:pt idx="0">
                    <c:v>2019</c:v>
                  </c:pt>
                </c:lvl>
                <c:lvl>
                  <c:pt idx="0">
                    <c:v>2018</c:v>
                  </c:pt>
                </c:lvl>
                <c:lvl>
                  <c:pt idx="0">
                    <c:v>2017</c:v>
                  </c:pt>
                </c:lvl>
                <c:lvl>
                  <c:pt idx="0">
                    <c:v>2016</c:v>
                  </c:pt>
                </c:lvl>
                <c:lvl>
                  <c:pt idx="0">
                    <c:v>2015</c:v>
                  </c:pt>
                </c:lvl>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lvl>
                  <c:pt idx="0">
                    <c:v>2004</c:v>
                  </c:pt>
                </c:lvl>
                <c:lvl>
                  <c:pt idx="0">
                    <c:v>2003</c:v>
                  </c:pt>
                </c:lvl>
                <c:lvl>
                  <c:pt idx="0">
                    <c:v>2002</c:v>
                  </c:pt>
                </c:lvl>
                <c:lvl>
                  <c:pt idx="0">
                    <c:v>2001</c:v>
                  </c:pt>
                </c:lvl>
                <c:lvl>
                  <c:pt idx="0">
                    <c:v>2000</c:v>
                  </c:pt>
                </c:lvl>
              </c:multiLvlStrCache>
            </c:multiLvlStrRef>
          </c:cat>
          <c:val>
            <c:numRef>
              <c:f>'Tabela Geral 2020 e Outros'!$E$39:$AD$39</c:f>
              <c:numCache>
                <c:formatCode>0.0</c:formatCode>
                <c:ptCount val="26"/>
                <c:pt idx="0">
                  <c:v>20.2972222222222</c:v>
                </c:pt>
                <c:pt idx="1">
                  <c:v>20.4285714285714</c:v>
                </c:pt>
                <c:pt idx="2">
                  <c:v>42.6722222222222</c:v>
                </c:pt>
                <c:pt idx="3">
                  <c:v>19.9444444444444</c:v>
                </c:pt>
                <c:pt idx="4">
                  <c:v>30.5571428571429</c:v>
                </c:pt>
                <c:pt idx="5">
                  <c:v>35.1066666666667</c:v>
                </c:pt>
                <c:pt idx="6">
                  <c:v>34.0761904761905</c:v>
                </c:pt>
                <c:pt idx="7">
                  <c:v>28.1866666666667</c:v>
                </c:pt>
                <c:pt idx="8">
                  <c:v>43.14</c:v>
                </c:pt>
                <c:pt idx="9">
                  <c:v>39.2761904761905</c:v>
                </c:pt>
                <c:pt idx="10">
                  <c:v>15.4333333333333</c:v>
                </c:pt>
                <c:pt idx="11">
                  <c:v>56.1</c:v>
                </c:pt>
                <c:pt idx="12">
                  <c:v>24</c:v>
                </c:pt>
                <c:pt idx="13">
                  <c:v>52.5888888888889</c:v>
                </c:pt>
                <c:pt idx="14">
                  <c:v>54.7428571428571</c:v>
                </c:pt>
                <c:pt idx="15">
                  <c:v>53.8333333333333</c:v>
                </c:pt>
                <c:pt idx="16">
                  <c:v>59.5366666666667</c:v>
                </c:pt>
                <c:pt idx="17">
                  <c:v>49.2703703703704</c:v>
                </c:pt>
                <c:pt idx="18">
                  <c:v>26.825</c:v>
                </c:pt>
                <c:pt idx="19">
                  <c:v>53.9</c:v>
                </c:pt>
                <c:pt idx="20">
                  <c:v>70.3592592592593</c:v>
                </c:pt>
                <c:pt idx="21">
                  <c:v>70.6527777777778</c:v>
                </c:pt>
                <c:pt idx="22">
                  <c:v>76.644</c:v>
                </c:pt>
                <c:pt idx="23">
                  <c:v>74.0333333333333</c:v>
                </c:pt>
                <c:pt idx="24">
                  <c:v>39.8083333333333</c:v>
                </c:pt>
                <c:pt idx="25">
                  <c:v>54.9526315789474</c:v>
                </c:pt>
              </c:numCache>
            </c:numRef>
          </c:val>
          <c:smooth val="0"/>
        </c:ser>
        <c:ser>
          <c:idx val="4"/>
          <c:order val="4"/>
          <c:tx>
            <c:strRef>
              <c:f>"PF/PTE - Produto Formulado a Base de Produto Técnico Equivalente"</c:f>
              <c:strCache>
                <c:ptCount val="1"/>
                <c:pt idx="0">
                  <c:v>PF/PTE - Produto Formulado a Base de Produto Técnico Equivalente</c:v>
                </c:pt>
              </c:strCache>
            </c:strRef>
          </c:tx>
          <c:spPr>
            <a:solidFill>
              <a:srgbClr val="9BBB59"/>
            </a:solidFill>
            <a:ln w="19080">
              <a:solidFill>
                <a:srgbClr val="9BBB59"/>
              </a:solidFill>
              <a:round/>
            </a:ln>
          </c:spPr>
          <c:marker>
            <c:symbol val="circle"/>
            <c:size val="6"/>
            <c:spPr>
              <a:solidFill>
                <a:srgbClr val="9BBB59"/>
              </a:solidFill>
            </c:spPr>
          </c:marker>
          <c:dLbls>
            <c:txPr>
              <a:bodyPr wrap="square"/>
              <a:lstStyle/>
              <a:p>
                <a:pPr>
                  <a:defRPr sz="1000" b="0" u="none" strike="noStrike">
                    <a:solidFill>
                      <a:srgbClr val="000000"/>
                    </a:solidFill>
                    <a:uFillTx/>
                    <a:latin typeface="Calibri"/>
                    <a:ea typeface="Calibri"/>
                  </a:defRPr>
                </a:pPr>
              </a:p>
            </c:txPr>
            <c:dLblPos val="r"/>
            <c:showLegendKey val="0"/>
            <c:showVal val="0"/>
            <c:showCatName val="0"/>
            <c:showSerName val="0"/>
            <c:showPercent val="0"/>
            <c:separator>; </c:separator>
            <c:showLeaderLines val="1"/>
            <c:leaderLines>
              <c:spPr>
                <a:ln w="19080">
                  <a:solidFill>
                    <a:srgbClr val="000000"/>
                  </a:solidFill>
                </a:ln>
              </c:spPr>
            </c:leaderLines>
            <c:extLst>
              <c:ext xmlns:c15="http://schemas.microsoft.com/office/drawing/2012/chart" uri="{CE6537A1-D6FC-4f65-9D91-7224C49458BB}">
                <c15:showLeaderLines val="1"/>
              </c:ext>
            </c:extLst>
          </c:dLbls>
          <c:cat>
            <c:multiLvlStrRef>
              <c:f>'Tabela Geral 2020 e Outros'!$E$33:$AD$33</c:f>
              <c:multiLvlStrCache>
                <c:ptCount val="1"/>
                <c:lvl>
                  <c:pt idx="0">
                    <c:v>2025</c:v>
                  </c:pt>
                </c:lvl>
                <c:lvl>
                  <c:pt idx="0">
                    <c:v>2024</c:v>
                  </c:pt>
                </c:lvl>
                <c:lvl>
                  <c:pt idx="0">
                    <c:v>2023</c:v>
                  </c:pt>
                </c:lvl>
                <c:lvl>
                  <c:pt idx="0">
                    <c:v>2022</c:v>
                  </c:pt>
                </c:lvl>
                <c:lvl>
                  <c:pt idx="0">
                    <c:v>2021</c:v>
                  </c:pt>
                </c:lvl>
                <c:lvl>
                  <c:pt idx="0">
                    <c:v>2020</c:v>
                  </c:pt>
                </c:lvl>
                <c:lvl>
                  <c:pt idx="0">
                    <c:v>2019</c:v>
                  </c:pt>
                </c:lvl>
                <c:lvl>
                  <c:pt idx="0">
                    <c:v>2018</c:v>
                  </c:pt>
                </c:lvl>
                <c:lvl>
                  <c:pt idx="0">
                    <c:v>2017</c:v>
                  </c:pt>
                </c:lvl>
                <c:lvl>
                  <c:pt idx="0">
                    <c:v>2016</c:v>
                  </c:pt>
                </c:lvl>
                <c:lvl>
                  <c:pt idx="0">
                    <c:v>2015</c:v>
                  </c:pt>
                </c:lvl>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lvl>
                  <c:pt idx="0">
                    <c:v>2004</c:v>
                  </c:pt>
                </c:lvl>
                <c:lvl>
                  <c:pt idx="0">
                    <c:v>2003</c:v>
                  </c:pt>
                </c:lvl>
                <c:lvl>
                  <c:pt idx="0">
                    <c:v>2002</c:v>
                  </c:pt>
                </c:lvl>
                <c:lvl>
                  <c:pt idx="0">
                    <c:v>2001</c:v>
                  </c:pt>
                </c:lvl>
                <c:lvl>
                  <c:pt idx="0">
                    <c:v>2000</c:v>
                  </c:pt>
                </c:lvl>
              </c:multiLvlStrCache>
            </c:multiLvlStrRef>
          </c:cat>
          <c:val>
            <c:numRef>
              <c:f>'Tabela Geral 2020 e Outros'!$E$40:$AD$40</c:f>
              <c:numCache>
                <c:formatCode>0.0</c:formatCode>
                <c:ptCount val="26"/>
                <c:pt idx="7">
                  <c:v>38.626582278481</c:v>
                </c:pt>
                <c:pt idx="8">
                  <c:v>29.2939814814815</c:v>
                </c:pt>
                <c:pt idx="9">
                  <c:v>28.0290322580645</c:v>
                </c:pt>
                <c:pt idx="10">
                  <c:v>31.7186274509804</c:v>
                </c:pt>
                <c:pt idx="11">
                  <c:v>32.5462962962963</c:v>
                </c:pt>
                <c:pt idx="12">
                  <c:v>38.9493333333333</c:v>
                </c:pt>
                <c:pt idx="13">
                  <c:v>42.6944444444444</c:v>
                </c:pt>
                <c:pt idx="14">
                  <c:v>51.0444444444444</c:v>
                </c:pt>
                <c:pt idx="15">
                  <c:v>52.4148936170213</c:v>
                </c:pt>
                <c:pt idx="16">
                  <c:v>59.1876811594203</c:v>
                </c:pt>
                <c:pt idx="17">
                  <c:v>61.2399491094148</c:v>
                </c:pt>
                <c:pt idx="18">
                  <c:v>64.1463963963964</c:v>
                </c:pt>
                <c:pt idx="19">
                  <c:v>67.1913461538462</c:v>
                </c:pt>
                <c:pt idx="20">
                  <c:v>63.0025821596244</c:v>
                </c:pt>
                <c:pt idx="21">
                  <c:v>68.9032362459547</c:v>
                </c:pt>
                <c:pt idx="22">
                  <c:v>68.3905109489051</c:v>
                </c:pt>
                <c:pt idx="23">
                  <c:v>69.8541085271318</c:v>
                </c:pt>
                <c:pt idx="24">
                  <c:v>67.0560652395515</c:v>
                </c:pt>
                <c:pt idx="25">
                  <c:v>64.6610328067286</c:v>
                </c:pt>
              </c:numCache>
            </c:numRef>
          </c:val>
          <c:smooth val="0"/>
        </c:ser>
        <c:ser>
          <c:idx val="5"/>
          <c:order val="5"/>
          <c:tx>
            <c:strRef>
              <c:f>"Bio - Produto Formulado Biológico, Microbiológico, Bioquímico, Extrato Vegetal, Regulador de Crescimento ou Semioquímico; de Baixo Risco"</c:f>
              <c:strCache>
                <c:ptCount val="1"/>
                <c:pt idx="0">
                  <c:v>Bio - Produto Formulado Biológico, Microbiológico, Bioquímico, Extrato Vegetal, Regulador de Crescimento ou Semioquímico; de Baixo Risco</c:v>
                </c:pt>
              </c:strCache>
            </c:strRef>
          </c:tx>
          <c:spPr>
            <a:solidFill>
              <a:srgbClr val="EA9999"/>
            </a:solidFill>
            <a:ln w="19080">
              <a:solidFill>
                <a:srgbClr val="EA9999"/>
              </a:solidFill>
              <a:round/>
            </a:ln>
          </c:spPr>
          <c:marker>
            <c:symbol val="circle"/>
            <c:size val="6"/>
            <c:spPr>
              <a:solidFill>
                <a:srgbClr val="EA9999"/>
              </a:solidFill>
            </c:spPr>
          </c:marker>
          <c:dLbls>
            <c:txPr>
              <a:bodyPr wrap="square"/>
              <a:lstStyle/>
              <a:p>
                <a:pPr>
                  <a:defRPr sz="1000" b="0" u="none" strike="noStrike">
                    <a:solidFill>
                      <a:srgbClr val="000000"/>
                    </a:solidFill>
                    <a:uFillTx/>
                    <a:latin typeface="Calibri"/>
                    <a:ea typeface="Calibri"/>
                  </a:defRPr>
                </a:pPr>
              </a:p>
            </c:txPr>
            <c:dLblPos val="r"/>
            <c:showLegendKey val="0"/>
            <c:showVal val="0"/>
            <c:showCatName val="0"/>
            <c:showSerName val="0"/>
            <c:showPercent val="0"/>
            <c:separator>; </c:separator>
            <c:showLeaderLines val="1"/>
            <c:leaderLines>
              <c:spPr>
                <a:ln w="19080">
                  <a:solidFill>
                    <a:srgbClr val="000000"/>
                  </a:solidFill>
                </a:ln>
              </c:spPr>
            </c:leaderLines>
            <c:extLst>
              <c:ext xmlns:c15="http://schemas.microsoft.com/office/drawing/2012/chart" uri="{CE6537A1-D6FC-4f65-9D91-7224C49458BB}">
                <c15:showLeaderLines val="1"/>
              </c:ext>
            </c:extLst>
          </c:dLbls>
          <c:cat>
            <c:multiLvlStrRef>
              <c:f>'Tabela Geral 2020 e Outros'!$E$33:$AD$33</c:f>
              <c:multiLvlStrCache>
                <c:ptCount val="1"/>
                <c:lvl>
                  <c:pt idx="0">
                    <c:v>2025</c:v>
                  </c:pt>
                </c:lvl>
                <c:lvl>
                  <c:pt idx="0">
                    <c:v>2024</c:v>
                  </c:pt>
                </c:lvl>
                <c:lvl>
                  <c:pt idx="0">
                    <c:v>2023</c:v>
                  </c:pt>
                </c:lvl>
                <c:lvl>
                  <c:pt idx="0">
                    <c:v>2022</c:v>
                  </c:pt>
                </c:lvl>
                <c:lvl>
                  <c:pt idx="0">
                    <c:v>2021</c:v>
                  </c:pt>
                </c:lvl>
                <c:lvl>
                  <c:pt idx="0">
                    <c:v>2020</c:v>
                  </c:pt>
                </c:lvl>
                <c:lvl>
                  <c:pt idx="0">
                    <c:v>2019</c:v>
                  </c:pt>
                </c:lvl>
                <c:lvl>
                  <c:pt idx="0">
                    <c:v>2018</c:v>
                  </c:pt>
                </c:lvl>
                <c:lvl>
                  <c:pt idx="0">
                    <c:v>2017</c:v>
                  </c:pt>
                </c:lvl>
                <c:lvl>
                  <c:pt idx="0">
                    <c:v>2016</c:v>
                  </c:pt>
                </c:lvl>
                <c:lvl>
                  <c:pt idx="0">
                    <c:v>2015</c:v>
                  </c:pt>
                </c:lvl>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lvl>
                  <c:pt idx="0">
                    <c:v>2004</c:v>
                  </c:pt>
                </c:lvl>
                <c:lvl>
                  <c:pt idx="0">
                    <c:v>2003</c:v>
                  </c:pt>
                </c:lvl>
                <c:lvl>
                  <c:pt idx="0">
                    <c:v>2002</c:v>
                  </c:pt>
                </c:lvl>
                <c:lvl>
                  <c:pt idx="0">
                    <c:v>2001</c:v>
                  </c:pt>
                </c:lvl>
                <c:lvl>
                  <c:pt idx="0">
                    <c:v>2000</c:v>
                  </c:pt>
                </c:lvl>
              </c:multiLvlStrCache>
            </c:multiLvlStrRef>
          </c:cat>
          <c:val>
            <c:numRef>
              <c:f>'Tabela Geral 2020 e Outros'!$E$41:$AD$41</c:f>
              <c:numCache>
                <c:formatCode>0.0</c:formatCode>
                <c:ptCount val="26"/>
                <c:pt idx="0">
                  <c:v>15.8</c:v>
                </c:pt>
                <c:pt idx="1">
                  <c:v>27.1363636363636</c:v>
                </c:pt>
                <c:pt idx="2">
                  <c:v>27.5722222222222</c:v>
                </c:pt>
                <c:pt idx="3">
                  <c:v>19.68</c:v>
                </c:pt>
                <c:pt idx="4">
                  <c:v>31.2666666666667</c:v>
                </c:pt>
                <c:pt idx="5">
                  <c:v>35.8433333333333</c:v>
                </c:pt>
                <c:pt idx="6">
                  <c:v>18.3285714285714</c:v>
                </c:pt>
                <c:pt idx="7">
                  <c:v>18.5619047619048</c:v>
                </c:pt>
                <c:pt idx="8">
                  <c:v>27.7111111111111</c:v>
                </c:pt>
                <c:pt idx="9">
                  <c:v>26.8</c:v>
                </c:pt>
                <c:pt idx="10">
                  <c:v>21.9416666666667</c:v>
                </c:pt>
                <c:pt idx="11">
                  <c:v>25.5128205128205</c:v>
                </c:pt>
                <c:pt idx="12">
                  <c:v>31.64</c:v>
                </c:pt>
                <c:pt idx="13">
                  <c:v>34.7111111111111</c:v>
                </c:pt>
                <c:pt idx="14">
                  <c:v>30.9666666666667</c:v>
                </c:pt>
                <c:pt idx="15">
                  <c:v>24.2238095238095</c:v>
                </c:pt>
                <c:pt idx="16">
                  <c:v>22.9888888888889</c:v>
                </c:pt>
                <c:pt idx="17">
                  <c:v>23.7857142857143</c:v>
                </c:pt>
                <c:pt idx="18">
                  <c:v>16.0561904761905</c:v>
                </c:pt>
                <c:pt idx="19">
                  <c:v>11.1913978494624</c:v>
                </c:pt>
                <c:pt idx="20">
                  <c:v>13.3089285714286</c:v>
                </c:pt>
                <c:pt idx="21">
                  <c:v>11.8581196581197</c:v>
                </c:pt>
                <c:pt idx="22">
                  <c:v>9.47543859649123</c:v>
                </c:pt>
                <c:pt idx="23">
                  <c:v>11.5151515151515</c:v>
                </c:pt>
                <c:pt idx="24">
                  <c:v>17.0051282051282</c:v>
                </c:pt>
                <c:pt idx="25">
                  <c:v>15.8498084291188</c:v>
                </c:pt>
              </c:numCache>
            </c:numRef>
          </c:val>
          <c:smooth val="0"/>
        </c:ser>
        <c:ser>
          <c:idx val="6"/>
          <c:order val="6"/>
          <c:tx>
            <c:strRef>
              <c:f>"Bio/Org - Produto Formulado Biológico, Microbiológico, Bioquímico, Extrato Vegetal, Regulador de Crescimento ou Semioquímico, para a Agricultura Orgânica"</c:f>
              <c:strCache>
                <c:ptCount val="1"/>
                <c:pt idx="0">
                  <c:v>Bio/Org - Produto Formulado Biológico, Microbiológico, Bioquímico, Extrato Vegetal, Regulador de Crescimento ou Semioquímico, para a Agricultura Orgânica</c:v>
                </c:pt>
              </c:strCache>
            </c:strRef>
          </c:tx>
          <c:spPr>
            <a:solidFill>
              <a:srgbClr val="9BBB59"/>
            </a:solidFill>
            <a:ln w="19080">
              <a:solidFill>
                <a:srgbClr val="9BBB59"/>
              </a:solidFill>
              <a:round/>
            </a:ln>
          </c:spPr>
          <c:marker>
            <c:symbol val="circle"/>
            <c:size val="6"/>
            <c:spPr>
              <a:solidFill>
                <a:srgbClr val="9BBB59"/>
              </a:solidFill>
            </c:spPr>
          </c:marker>
          <c:dLbls>
            <c:txPr>
              <a:bodyPr wrap="square"/>
              <a:lstStyle/>
              <a:p>
                <a:pPr>
                  <a:defRPr sz="1000" b="0" u="none" strike="noStrike">
                    <a:solidFill>
                      <a:srgbClr val="000000"/>
                    </a:solidFill>
                    <a:uFillTx/>
                    <a:latin typeface="Calibri"/>
                    <a:ea typeface="Calibri"/>
                  </a:defRPr>
                </a:pPr>
              </a:p>
            </c:txPr>
            <c:dLblPos val="r"/>
            <c:showLegendKey val="0"/>
            <c:showVal val="0"/>
            <c:showCatName val="0"/>
            <c:showSerName val="0"/>
            <c:showPercent val="0"/>
            <c:separator>; </c:separator>
            <c:showLeaderLines val="1"/>
            <c:leaderLines>
              <c:spPr>
                <a:ln w="19080">
                  <a:solidFill>
                    <a:srgbClr val="000000"/>
                  </a:solidFill>
                </a:ln>
              </c:spPr>
            </c:leaderLines>
            <c:extLst>
              <c:ext xmlns:c15="http://schemas.microsoft.com/office/drawing/2012/chart" uri="{CE6537A1-D6FC-4f65-9D91-7224C49458BB}">
                <c15:showLeaderLines val="1"/>
              </c:ext>
            </c:extLst>
          </c:dLbls>
          <c:cat>
            <c:multiLvlStrRef>
              <c:f>'Tabela Geral 2020 e Outros'!$E$33:$AD$33</c:f>
              <c:multiLvlStrCache>
                <c:ptCount val="1"/>
                <c:lvl>
                  <c:pt idx="0">
                    <c:v>2025</c:v>
                  </c:pt>
                </c:lvl>
                <c:lvl>
                  <c:pt idx="0">
                    <c:v>2024</c:v>
                  </c:pt>
                </c:lvl>
                <c:lvl>
                  <c:pt idx="0">
                    <c:v>2023</c:v>
                  </c:pt>
                </c:lvl>
                <c:lvl>
                  <c:pt idx="0">
                    <c:v>2022</c:v>
                  </c:pt>
                </c:lvl>
                <c:lvl>
                  <c:pt idx="0">
                    <c:v>2021</c:v>
                  </c:pt>
                </c:lvl>
                <c:lvl>
                  <c:pt idx="0">
                    <c:v>2020</c:v>
                  </c:pt>
                </c:lvl>
                <c:lvl>
                  <c:pt idx="0">
                    <c:v>2019</c:v>
                  </c:pt>
                </c:lvl>
                <c:lvl>
                  <c:pt idx="0">
                    <c:v>2018</c:v>
                  </c:pt>
                </c:lvl>
                <c:lvl>
                  <c:pt idx="0">
                    <c:v>2017</c:v>
                  </c:pt>
                </c:lvl>
                <c:lvl>
                  <c:pt idx="0">
                    <c:v>2016</c:v>
                  </c:pt>
                </c:lvl>
                <c:lvl>
                  <c:pt idx="0">
                    <c:v>2015</c:v>
                  </c:pt>
                </c:lvl>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lvl>
                  <c:pt idx="0">
                    <c:v>2004</c:v>
                  </c:pt>
                </c:lvl>
                <c:lvl>
                  <c:pt idx="0">
                    <c:v>2003</c:v>
                  </c:pt>
                </c:lvl>
                <c:lvl>
                  <c:pt idx="0">
                    <c:v>2002</c:v>
                  </c:pt>
                </c:lvl>
                <c:lvl>
                  <c:pt idx="0">
                    <c:v>2001</c:v>
                  </c:pt>
                </c:lvl>
                <c:lvl>
                  <c:pt idx="0">
                    <c:v>2000</c:v>
                  </c:pt>
                </c:lvl>
              </c:multiLvlStrCache>
            </c:multiLvlStrRef>
          </c:cat>
          <c:val>
            <c:numRef>
              <c:f>'Tabela Geral 2020 e Outros'!$E$42:$AD$42</c:f>
              <c:numCache>
                <c:formatCode>0.0</c:formatCode>
                <c:ptCount val="26"/>
                <c:pt idx="11">
                  <c:v>3.32222222222222</c:v>
                </c:pt>
                <c:pt idx="12">
                  <c:v>7.53333333333333</c:v>
                </c:pt>
                <c:pt idx="13">
                  <c:v>10.3066666666667</c:v>
                </c:pt>
                <c:pt idx="14">
                  <c:v>15.2</c:v>
                </c:pt>
                <c:pt idx="15">
                  <c:v>19.2611111111111</c:v>
                </c:pt>
                <c:pt idx="16">
                  <c:v>17.2513888888889</c:v>
                </c:pt>
                <c:pt idx="17">
                  <c:v>12.6111111111111</c:v>
                </c:pt>
                <c:pt idx="18">
                  <c:v>8.4921568627451</c:v>
                </c:pt>
                <c:pt idx="19">
                  <c:v>9.27777777777778</c:v>
                </c:pt>
                <c:pt idx="20">
                  <c:v>7.89649122807018</c:v>
                </c:pt>
                <c:pt idx="21">
                  <c:v>7.05359477124183</c:v>
                </c:pt>
                <c:pt idx="22">
                  <c:v>7.88518518518518</c:v>
                </c:pt>
                <c:pt idx="23">
                  <c:v>8.04857142857143</c:v>
                </c:pt>
                <c:pt idx="24">
                  <c:v>10.658024691358</c:v>
                </c:pt>
                <c:pt idx="25">
                  <c:v>12.9195555555556</c:v>
                </c:pt>
              </c:numCache>
            </c:numRef>
          </c:val>
          <c:smooth val="0"/>
        </c:ser>
        <c:ser>
          <c:idx val="7"/>
          <c:order val="7"/>
          <c:tx>
            <c:strRef>
              <c:f>"Média Geral"</c:f>
              <c:strCache>
                <c:ptCount val="1"/>
                <c:pt idx="0">
                  <c:v>Média Geral</c:v>
                </c:pt>
              </c:strCache>
            </c:strRef>
          </c:tx>
          <c:spPr>
            <a:solidFill>
              <a:srgbClr val="4BACC6"/>
            </a:solidFill>
            <a:ln w="19080">
              <a:solidFill>
                <a:srgbClr val="4BACC6"/>
              </a:solidFill>
              <a:round/>
            </a:ln>
          </c:spPr>
          <c:marker>
            <c:symbol val="circle"/>
            <c:size val="6"/>
            <c:spPr>
              <a:solidFill>
                <a:srgbClr val="4BACC6"/>
              </a:solidFill>
            </c:spPr>
          </c:marker>
          <c:dLbls>
            <c:txPr>
              <a:bodyPr wrap="square"/>
              <a:lstStyle/>
              <a:p>
                <a:pPr>
                  <a:defRPr sz="1000" b="0" u="none" strike="noStrike">
                    <a:solidFill>
                      <a:srgbClr val="000000"/>
                    </a:solidFill>
                    <a:uFillTx/>
                    <a:latin typeface="Calibri"/>
                    <a:ea typeface="Calibri"/>
                  </a:defRPr>
                </a:pPr>
              </a:p>
            </c:txPr>
            <c:dLblPos val="r"/>
            <c:showLegendKey val="0"/>
            <c:showVal val="0"/>
            <c:showCatName val="0"/>
            <c:showSerName val="0"/>
            <c:showPercent val="0"/>
            <c:separator>; </c:separator>
            <c:showLeaderLines val="1"/>
            <c:leaderLines>
              <c:spPr>
                <a:ln w="19080">
                  <a:solidFill>
                    <a:srgbClr val="000000"/>
                  </a:solidFill>
                </a:ln>
              </c:spPr>
            </c:leaderLines>
            <c:extLst>
              <c:ext xmlns:c15="http://schemas.microsoft.com/office/drawing/2012/chart" uri="{CE6537A1-D6FC-4f65-9D91-7224C49458BB}">
                <c15:showLeaderLines val="1"/>
              </c:ext>
            </c:extLst>
          </c:dLbls>
          <c:cat>
            <c:multiLvlStrRef>
              <c:f>'Tabela Geral 2020 e Outros'!$E$33:$AD$33</c:f>
              <c:multiLvlStrCache>
                <c:ptCount val="1"/>
                <c:lvl>
                  <c:pt idx="0">
                    <c:v>2025</c:v>
                  </c:pt>
                </c:lvl>
                <c:lvl>
                  <c:pt idx="0">
                    <c:v>2024</c:v>
                  </c:pt>
                </c:lvl>
                <c:lvl>
                  <c:pt idx="0">
                    <c:v>2023</c:v>
                  </c:pt>
                </c:lvl>
                <c:lvl>
                  <c:pt idx="0">
                    <c:v>2022</c:v>
                  </c:pt>
                </c:lvl>
                <c:lvl>
                  <c:pt idx="0">
                    <c:v>2021</c:v>
                  </c:pt>
                </c:lvl>
                <c:lvl>
                  <c:pt idx="0">
                    <c:v>2020</c:v>
                  </c:pt>
                </c:lvl>
                <c:lvl>
                  <c:pt idx="0">
                    <c:v>2019</c:v>
                  </c:pt>
                </c:lvl>
                <c:lvl>
                  <c:pt idx="0">
                    <c:v>2018</c:v>
                  </c:pt>
                </c:lvl>
                <c:lvl>
                  <c:pt idx="0">
                    <c:v>2017</c:v>
                  </c:pt>
                </c:lvl>
                <c:lvl>
                  <c:pt idx="0">
                    <c:v>2016</c:v>
                  </c:pt>
                </c:lvl>
                <c:lvl>
                  <c:pt idx="0">
                    <c:v>2015</c:v>
                  </c:pt>
                </c:lvl>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lvl>
                  <c:pt idx="0">
                    <c:v>2004</c:v>
                  </c:pt>
                </c:lvl>
                <c:lvl>
                  <c:pt idx="0">
                    <c:v>2003</c:v>
                  </c:pt>
                </c:lvl>
                <c:lvl>
                  <c:pt idx="0">
                    <c:v>2002</c:v>
                  </c:pt>
                </c:lvl>
                <c:lvl>
                  <c:pt idx="0">
                    <c:v>2001</c:v>
                  </c:pt>
                </c:lvl>
                <c:lvl>
                  <c:pt idx="0">
                    <c:v>2000</c:v>
                  </c:pt>
                </c:lvl>
              </c:multiLvlStrCache>
            </c:multiLvlStrRef>
          </c:cat>
          <c:val>
            <c:numRef>
              <c:f>'Tabela Geral 2020 e Outros'!$E$43:$AD$43</c:f>
              <c:numCache>
                <c:formatCode>0.0</c:formatCode>
                <c:ptCount val="26"/>
                <c:pt idx="0">
                  <c:v>30.4802631578947</c:v>
                </c:pt>
                <c:pt idx="1">
                  <c:v>31.1699404761905</c:v>
                </c:pt>
                <c:pt idx="2">
                  <c:v>37.3358490566038</c:v>
                </c:pt>
                <c:pt idx="3">
                  <c:v>34.8735930735931</c:v>
                </c:pt>
                <c:pt idx="4">
                  <c:v>35.3289682539683</c:v>
                </c:pt>
                <c:pt idx="5">
                  <c:v>37.0310861423221</c:v>
                </c:pt>
                <c:pt idx="6">
                  <c:v>41.1085626911315</c:v>
                </c:pt>
                <c:pt idx="7">
                  <c:v>37.543894389439</c:v>
                </c:pt>
                <c:pt idx="8">
                  <c:v>30.321815008726</c:v>
                </c:pt>
                <c:pt idx="9">
                  <c:v>30.7588807785888</c:v>
                </c:pt>
                <c:pt idx="10">
                  <c:v>38.1775641025641</c:v>
                </c:pt>
                <c:pt idx="11">
                  <c:v>33.0095890410959</c:v>
                </c:pt>
                <c:pt idx="12">
                  <c:v>35.2900793650794</c:v>
                </c:pt>
                <c:pt idx="13">
                  <c:v>41.9960606060606</c:v>
                </c:pt>
                <c:pt idx="14">
                  <c:v>46.5475225225225</c:v>
                </c:pt>
                <c:pt idx="15">
                  <c:v>47.0040767386091</c:v>
                </c:pt>
                <c:pt idx="16">
                  <c:v>45.3941034897714</c:v>
                </c:pt>
                <c:pt idx="17">
                  <c:v>51.8023102310231</c:v>
                </c:pt>
                <c:pt idx="18">
                  <c:v>51.9743132887899</c:v>
                </c:pt>
                <c:pt idx="19">
                  <c:v>51.0841403508772</c:v>
                </c:pt>
                <c:pt idx="20">
                  <c:v>52.2914634146341</c:v>
                </c:pt>
                <c:pt idx="21">
                  <c:v>53.0881758764112</c:v>
                </c:pt>
                <c:pt idx="22">
                  <c:v>53.7541518386714</c:v>
                </c:pt>
                <c:pt idx="23">
                  <c:v>51.2941793755191</c:v>
                </c:pt>
                <c:pt idx="24">
                  <c:v>42.3063352966943</c:v>
                </c:pt>
                <c:pt idx="25">
                  <c:v>46.2656029058609</c:v>
                </c:pt>
              </c:numCache>
            </c:numRef>
          </c:val>
          <c:smooth val="0"/>
        </c:ser>
        <c:hiLowLines>
          <c:spPr>
            <a:ln w="0">
              <a:noFill/>
            </a:ln>
          </c:spPr>
        </c:hiLowLines>
        <c:marker val="1"/>
        <c:axId val="29376034"/>
        <c:axId val="21852347"/>
      </c:lineChart>
      <c:catAx>
        <c:axId val="29376034"/>
        <c:scaling>
          <c:orientation val="minMax"/>
        </c:scaling>
        <c:delete val="0"/>
        <c:axPos val="b"/>
        <c:numFmt formatCode="General" sourceLinked="0"/>
        <c:majorTickMark val="cross"/>
        <c:minorTickMark val="none"/>
        <c:tickLblPos val="nextTo"/>
        <c:spPr>
          <a:ln w="6480">
            <a:solidFill>
              <a:srgbClr val="8B8B8B"/>
            </a:solidFill>
            <a:round/>
          </a:ln>
        </c:spPr>
        <c:txPr>
          <a:bodyPr/>
          <a:lstStyle/>
          <a:p>
            <a:pPr>
              <a:defRPr sz="1000" b="1" u="none" strike="noStrike">
                <a:solidFill>
                  <a:srgbClr val="274E13"/>
                </a:solidFill>
                <a:uFillTx/>
                <a:latin typeface="Arial"/>
                <a:ea typeface="Calibri"/>
              </a:defRPr>
            </a:pPr>
          </a:p>
        </c:txPr>
        <c:crossAx val="21852347"/>
        <c:crosses val="autoZero"/>
        <c:auto val="1"/>
        <c:lblAlgn val="ctr"/>
        <c:lblOffset val="100"/>
        <c:noMultiLvlLbl val="0"/>
      </c:catAx>
      <c:valAx>
        <c:axId val="21852347"/>
        <c:scaling>
          <c:orientation val="minMax"/>
        </c:scaling>
        <c:delete val="0"/>
        <c:axPos val="l"/>
        <c:majorGridlines>
          <c:spPr>
            <a:ln w="6480">
              <a:solidFill>
                <a:srgbClr val="B7B7B7"/>
              </a:solidFill>
              <a:round/>
            </a:ln>
          </c:spPr>
        </c:majorGridlines>
        <c:title>
          <c:tx>
            <c:rich>
              <a:bodyPr rot="-5400000"/>
              <a:lstStyle/>
              <a:p>
                <a:pPr>
                  <a:defRPr sz="1300" b="0" u="none" strike="noStrike">
                    <a:uFillTx/>
                    <a:latin typeface="Arial"/>
                  </a:defRPr>
                </a:pPr>
                <a:r>
                  <a:rPr lang="en-US" sz="1000" b="1" u="none" strike="noStrike">
                    <a:solidFill>
                      <a:srgbClr val="274E13"/>
                    </a:solidFill>
                    <a:uFillTx/>
                    <a:latin typeface="Arial"/>
                    <a:ea typeface="Calibri"/>
                  </a:rPr>
                  <a:t>Tempo de Tramitação, Em Meses</a:t>
                </a:r>
              </a:p>
            </c:rich>
          </c:tx>
          <c:overlay val="0"/>
          <c:spPr>
            <a:noFill/>
            <a:ln w="0">
              <a:noFill/>
            </a:ln>
          </c:spPr>
        </c:title>
        <c:numFmt formatCode="General" sourceLinked="0"/>
        <c:majorTickMark val="none"/>
        <c:minorTickMark val="none"/>
        <c:tickLblPos val="nextTo"/>
        <c:spPr>
          <a:ln w="6480">
            <a:solidFill>
              <a:srgbClr val="8B8B8B"/>
            </a:solidFill>
            <a:round/>
          </a:ln>
        </c:spPr>
        <c:txPr>
          <a:bodyPr/>
          <a:lstStyle/>
          <a:p>
            <a:pPr>
              <a:defRPr sz="1000" b="1" u="none" strike="noStrike">
                <a:solidFill>
                  <a:srgbClr val="274E13"/>
                </a:solidFill>
                <a:uFillTx/>
                <a:latin typeface="Arial"/>
                <a:ea typeface="Calibri"/>
              </a:defRPr>
            </a:pPr>
          </a:p>
        </c:txPr>
        <c:crossAx val="29376034"/>
        <c:crosses val="autoZero"/>
        <c:crossBetween val="between"/>
      </c:valAx>
      <c:spPr>
        <a:noFill/>
        <a:ln w="0">
          <a:noFill/>
        </a:ln>
      </c:spPr>
    </c:plotArea>
    <c:legend>
      <c:legendPos val="b"/>
      <c:overlay val="0"/>
      <c:spPr>
        <a:noFill/>
        <a:ln w="0">
          <a:noFill/>
        </a:ln>
      </c:spPr>
      <c:txPr>
        <a:bodyPr/>
        <a:lstStyle/>
        <a:p>
          <a:pPr>
            <a:defRPr sz="1000" b="1" u="none" strike="noStrike">
              <a:solidFill>
                <a:srgbClr val="274E13"/>
              </a:solidFill>
              <a:uFillTx/>
              <a:latin typeface="Arial"/>
              <a:ea typeface="Calibri"/>
            </a:defRPr>
          </a:pPr>
        </a:p>
      </c:txPr>
    </c:legend>
    <c:plotVisOnly val="1"/>
    <c:dispBlanksAs val="zero"/>
  </c:chart>
  <c:spPr>
    <a:solidFill>
      <a:srgbClr val="FFFFFF"/>
    </a:solidFill>
    <a:ln w="9360">
      <a:solidFill>
        <a:srgbClr val="D9D9D9"/>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style val="2"/>
  <c:chart>
    <c:title>
      <c:tx>
        <c:rich>
          <a:bodyPr rot="0"/>
          <a:lstStyle/>
          <a:p>
            <a:pPr>
              <a:defRPr sz="1300" b="0" u="none" strike="noStrike">
                <a:uFillTx/>
                <a:latin typeface="Arial"/>
              </a:defRPr>
            </a:pPr>
            <a:r>
              <a:rPr lang="en-US" sz="1800" b="1" u="none" strike="noStrike">
                <a:solidFill>
                  <a:srgbClr val="274E13"/>
                </a:solidFill>
                <a:uFillTx/>
                <a:latin typeface="Arial"/>
                <a:ea typeface="Calibri"/>
              </a:rPr>
              <a:t>Total Registrations - Technical and Formulated Products</a:t>
            </a:r>
          </a:p>
        </c:rich>
      </c:tx>
      <c:overlay val="0"/>
      <c:spPr>
        <a:noFill/>
        <a:ln w="0">
          <a:noFill/>
        </a:ln>
      </c:spPr>
    </c:title>
    <c:autoTitleDeleted val="0"/>
    <c:plotArea>
      <c:barChart>
        <c:barDir val="col"/>
        <c:grouping val="stacked"/>
        <c:varyColors val="0"/>
        <c:ser>
          <c:idx val="0"/>
          <c:order val="0"/>
          <c:tx>
            <c:strRef>
              <c:f>"Total Technical Products (PT + PTN + PTE + Premixes)"</c:f>
              <c:strCache>
                <c:ptCount val="1"/>
                <c:pt idx="0">
                  <c:v>Total Technical Products (PT + PTN + PTE + Premixes)</c:v>
                </c:pt>
              </c:strCache>
            </c:strRef>
          </c:tx>
          <c:spPr>
            <a:solidFill>
              <a:srgbClr val="4BACC6"/>
            </a:solidFill>
            <a:ln w="0">
              <a:solidFill>
                <a:srgbClr val="000000"/>
              </a:solidFill>
            </a:ln>
          </c:spPr>
          <c:invertIfNegative val="0"/>
          <c:dPt>
            <c:idx val="4"/>
            <c:invertIfNegative val="0"/>
            <c:spPr>
              <a:solidFill>
                <a:srgbClr val="4BACC6"/>
              </a:solidFill>
              <a:ln w="0">
                <a:solidFill>
                  <a:srgbClr val="000000"/>
                </a:solidFill>
              </a:ln>
            </c:spPr>
          </c:dPt>
          <c:dPt>
            <c:idx val="20"/>
            <c:invertIfNegative val="0"/>
            <c:spPr>
              <a:solidFill>
                <a:srgbClr val="4BACC6"/>
              </a:solidFill>
              <a:ln w="0">
                <a:solidFill>
                  <a:srgbClr val="000000"/>
                </a:solidFill>
              </a:ln>
            </c:spPr>
          </c:dPt>
          <c:dPt>
            <c:idx val="21"/>
            <c:invertIfNegative val="0"/>
            <c:spPr>
              <a:solidFill>
                <a:srgbClr val="4BACC6"/>
              </a:solidFill>
              <a:ln w="0">
                <a:solidFill>
                  <a:srgbClr val="000000"/>
                </a:solidFill>
              </a:ln>
            </c:spPr>
          </c:dPt>
          <c:dPt>
            <c:idx val="22"/>
            <c:invertIfNegative val="0"/>
            <c:spPr>
              <a:solidFill>
                <a:srgbClr val="4BACC6"/>
              </a:solidFill>
              <a:ln w="0">
                <a:solidFill>
                  <a:srgbClr val="000000"/>
                </a:solidFill>
              </a:ln>
            </c:spPr>
          </c:dPt>
          <c:dPt>
            <c:idx val="23"/>
            <c:invertIfNegative val="0"/>
            <c:spPr>
              <a:solidFill>
                <a:srgbClr val="4BACC6"/>
              </a:solidFill>
              <a:ln w="0">
                <a:solidFill>
                  <a:srgbClr val="000000"/>
                </a:solidFill>
              </a:ln>
            </c:spPr>
          </c:dPt>
          <c:dLbls>
            <c:dLbl>
              <c:idx val="4"/>
              <c:numFmt formatCode="General" sourceLinked="1"/>
              <c:txPr>
                <a:bodyPr wrap="square"/>
                <a:lstStyle/>
                <a:p>
                  <a:pPr>
                    <a:defRPr sz="800" b="1" u="none" strike="noStrike">
                      <a:solidFill>
                        <a:srgbClr val="FFFFFF"/>
                      </a:solidFill>
                      <a:uFillTx/>
                      <a:latin typeface="Arial"/>
                    </a:defRPr>
                  </a:pPr>
                </a:p>
              </c:txPr>
              <c:dLblPos val="ctr"/>
              <c:showLegendKey val="0"/>
              <c:showVal val="1"/>
              <c:showCatName val="0"/>
              <c:showSerName val="0"/>
              <c:showPercent val="0"/>
              <c:separator>; </c:separator>
            </c:dLbl>
            <c:dLbl>
              <c:idx val="20"/>
              <c:numFmt formatCode="General" sourceLinked="1"/>
              <c:txPr>
                <a:bodyPr wrap="square"/>
                <a:lstStyle/>
                <a:p>
                  <a:pPr>
                    <a:defRPr sz="800" b="1" u="none" strike="noStrike">
                      <a:solidFill>
                        <a:srgbClr val="FFFFFF"/>
                      </a:solidFill>
                      <a:uFillTx/>
                      <a:latin typeface="Arial"/>
                    </a:defRPr>
                  </a:pPr>
                </a:p>
              </c:txPr>
              <c:dLblPos val="ctr"/>
              <c:showLegendKey val="0"/>
              <c:showVal val="1"/>
              <c:showCatName val="0"/>
              <c:showSerName val="0"/>
              <c:showPercent val="0"/>
              <c:separator>; </c:separator>
            </c:dLbl>
            <c:dLbl>
              <c:idx val="21"/>
              <c:numFmt formatCode="General" sourceLinked="1"/>
              <c:txPr>
                <a:bodyPr wrap="square"/>
                <a:lstStyle/>
                <a:p>
                  <a:pPr>
                    <a:defRPr sz="800" b="1" u="none" strike="noStrike">
                      <a:solidFill>
                        <a:srgbClr val="FFFFFF"/>
                      </a:solidFill>
                      <a:uFillTx/>
                      <a:latin typeface="Arial"/>
                      <a:ea typeface="Calibri"/>
                    </a:defRPr>
                  </a:pPr>
                </a:p>
              </c:txPr>
              <c:dLblPos val="ctr"/>
              <c:showLegendKey val="0"/>
              <c:showVal val="1"/>
              <c:showCatName val="0"/>
              <c:showSerName val="0"/>
              <c:showPercent val="0"/>
              <c:separator>; </c:separator>
            </c:dLbl>
            <c:dLbl>
              <c:idx val="22"/>
              <c:numFmt formatCode="General" sourceLinked="1"/>
              <c:txPr>
                <a:bodyPr wrap="square"/>
                <a:lstStyle/>
                <a:p>
                  <a:pPr>
                    <a:defRPr sz="800" b="1" u="none" strike="noStrike">
                      <a:solidFill>
                        <a:srgbClr val="FFFFFF"/>
                      </a:solidFill>
                      <a:uFillTx/>
                      <a:latin typeface="Arial"/>
                      <a:ea typeface="Calibri"/>
                    </a:defRPr>
                  </a:pPr>
                </a:p>
              </c:txPr>
              <c:dLblPos val="ctr"/>
              <c:showLegendKey val="0"/>
              <c:showVal val="1"/>
              <c:showCatName val="0"/>
              <c:showSerName val="0"/>
              <c:showPercent val="0"/>
              <c:separator>; </c:separator>
            </c:dLbl>
            <c:dLbl>
              <c:idx val="23"/>
              <c:numFmt formatCode="General" sourceLinked="1"/>
              <c:txPr>
                <a:bodyPr wrap="square"/>
                <a:lstStyle/>
                <a:p>
                  <a:pPr>
                    <a:defRPr sz="800" b="1" u="none" strike="noStrike">
                      <a:solidFill>
                        <a:srgbClr val="FFFFFF"/>
                      </a:solidFill>
                      <a:uFillTx/>
                      <a:latin typeface="Arial"/>
                      <a:ea typeface="Calibri"/>
                    </a:defRPr>
                  </a:pPr>
                </a:p>
              </c:txPr>
              <c:dLblPos val="ctr"/>
              <c:showLegendKey val="0"/>
              <c:showVal val="1"/>
              <c:showCatName val="0"/>
              <c:showSerName val="0"/>
              <c:showPercent val="0"/>
              <c:separator>; </c:separator>
            </c:dLbl>
            <c:numFmt formatCode="General" sourceLinked="1"/>
            <c:txPr>
              <a:bodyPr wrap="square"/>
              <a:lstStyle/>
              <a:p>
                <a:pPr>
                  <a:defRPr sz="800" b="1" u="none" strike="noStrike">
                    <a:solidFill>
                      <a:srgbClr val="FFFFFF"/>
                    </a:solidFill>
                    <a:uFillTx/>
                    <a:latin typeface="Arial"/>
                    <a:ea typeface="Calibri"/>
                  </a:defRPr>
                </a:pPr>
              </a:p>
            </c:txPr>
            <c:dLblPos val="ctr"/>
            <c:showLegendKey val="0"/>
            <c:showVal val="1"/>
            <c:showCatName val="0"/>
            <c:showSerName val="0"/>
            <c:showPercent val="0"/>
            <c:separator>; </c:separator>
            <c:showLeaderLines val="0"/>
            <c:extLst>
              <c:ext xmlns:c15="http://schemas.microsoft.com/office/drawing/2012/chart" uri="{CE6537A1-D6FC-4f65-9D91-7224C49458BB}">
                <c15:showLeaderLines val="0"/>
              </c:ext>
            </c:extLst>
          </c:dLbls>
          <c:cat>
            <c:multiLvlStrRef>
              <c:f>Resumo!$B$9:$AB$9</c:f>
              <c:multiLvlStrCache>
                <c:ptCount val="1"/>
                <c:lvl>
                  <c:pt idx="0">
                    <c:v>2026</c:v>
                  </c:pt>
                </c:lvl>
                <c:lvl>
                  <c:pt idx="0">
                    <c:v>2025</c:v>
                  </c:pt>
                </c:lvl>
                <c:lvl>
                  <c:pt idx="0">
                    <c:v>2024</c:v>
                  </c:pt>
                </c:lvl>
                <c:lvl>
                  <c:pt idx="0">
                    <c:v>2023</c:v>
                  </c:pt>
                </c:lvl>
                <c:lvl>
                  <c:pt idx="0">
                    <c:v>2022</c:v>
                  </c:pt>
                </c:lvl>
                <c:lvl>
                  <c:pt idx="0">
                    <c:v>2021</c:v>
                  </c:pt>
                </c:lvl>
                <c:lvl>
                  <c:pt idx="0">
                    <c:v>2020</c:v>
                  </c:pt>
                </c:lvl>
                <c:lvl>
                  <c:pt idx="0">
                    <c:v>2019</c:v>
                  </c:pt>
                </c:lvl>
                <c:lvl>
                  <c:pt idx="0">
                    <c:v>2018</c:v>
                  </c:pt>
                </c:lvl>
                <c:lvl>
                  <c:pt idx="0">
                    <c:v>2017</c:v>
                  </c:pt>
                </c:lvl>
                <c:lvl>
                  <c:pt idx="0">
                    <c:v>2016</c:v>
                  </c:pt>
                </c:lvl>
                <c:lvl>
                  <c:pt idx="0">
                    <c:v>2015</c:v>
                  </c:pt>
                </c:lvl>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lvl>
                  <c:pt idx="0">
                    <c:v>2004</c:v>
                  </c:pt>
                </c:lvl>
                <c:lvl>
                  <c:pt idx="0">
                    <c:v>2003</c:v>
                  </c:pt>
                </c:lvl>
                <c:lvl>
                  <c:pt idx="0">
                    <c:v>2002</c:v>
                  </c:pt>
                </c:lvl>
                <c:lvl>
                  <c:pt idx="0">
                    <c:v>2001</c:v>
                  </c:pt>
                </c:lvl>
                <c:lvl>
                  <c:pt idx="0">
                    <c:v>2000</c:v>
                  </c:pt>
                </c:lvl>
              </c:multiLvlStrCache>
            </c:multiLvlStrRef>
          </c:cat>
          <c:val>
            <c:numRef>
              <c:f>Resumo!$B$14:$AB$14</c:f>
              <c:numCache>
                <c:formatCode>General</c:formatCode>
                <c:ptCount val="27"/>
                <c:pt idx="0">
                  <c:v>29</c:v>
                </c:pt>
                <c:pt idx="1">
                  <c:v>36</c:v>
                </c:pt>
                <c:pt idx="2">
                  <c:v>18</c:v>
                </c:pt>
                <c:pt idx="3">
                  <c:v>29</c:v>
                </c:pt>
                <c:pt idx="4">
                  <c:v>26</c:v>
                </c:pt>
                <c:pt idx="5">
                  <c:v>29</c:v>
                </c:pt>
                <c:pt idx="6">
                  <c:v>39</c:v>
                </c:pt>
                <c:pt idx="7">
                  <c:v>54</c:v>
                </c:pt>
                <c:pt idx="8">
                  <c:v>54</c:v>
                </c:pt>
                <c:pt idx="9">
                  <c:v>36</c:v>
                </c:pt>
                <c:pt idx="10">
                  <c:v>39</c:v>
                </c:pt>
                <c:pt idx="11">
                  <c:v>61</c:v>
                </c:pt>
                <c:pt idx="12">
                  <c:v>65</c:v>
                </c:pt>
                <c:pt idx="13">
                  <c:v>48</c:v>
                </c:pt>
                <c:pt idx="14">
                  <c:v>84</c:v>
                </c:pt>
                <c:pt idx="15">
                  <c:v>48</c:v>
                </c:pt>
                <c:pt idx="16">
                  <c:v>163</c:v>
                </c:pt>
                <c:pt idx="17">
                  <c:v>186</c:v>
                </c:pt>
                <c:pt idx="18">
                  <c:v>197</c:v>
                </c:pt>
                <c:pt idx="19">
                  <c:v>273</c:v>
                </c:pt>
                <c:pt idx="20">
                  <c:v>172</c:v>
                </c:pt>
                <c:pt idx="21">
                  <c:v>191</c:v>
                </c:pt>
                <c:pt idx="22">
                  <c:v>279</c:v>
                </c:pt>
                <c:pt idx="23">
                  <c:v>190</c:v>
                </c:pt>
                <c:pt idx="24">
                  <c:v>199</c:v>
                </c:pt>
                <c:pt idx="25">
                  <c:v>323</c:v>
                </c:pt>
                <c:pt idx="26">
                  <c:v>251</c:v>
                </c:pt>
              </c:numCache>
            </c:numRef>
          </c:val>
        </c:ser>
        <c:ser>
          <c:idx val="1"/>
          <c:order val="1"/>
          <c:tx>
            <c:strRef>
              <c:f>"Total Formulated Products (PF + PFN + PF/PTE + Bio + Bio/Org)"</c:f>
              <c:strCache>
                <c:ptCount val="1"/>
                <c:pt idx="0">
                  <c:v>Total Formulated Products (PF + PFN + PF/PTE + Bio + Bio/Org)</c:v>
                </c:pt>
              </c:strCache>
            </c:strRef>
          </c:tx>
          <c:spPr>
            <a:solidFill>
              <a:srgbClr val="4F81BD"/>
            </a:solidFill>
            <a:ln w="0">
              <a:solidFill>
                <a:srgbClr val="000000"/>
              </a:solidFill>
            </a:ln>
          </c:spPr>
          <c:invertIfNegative val="0"/>
          <c:dPt>
            <c:idx val="4"/>
            <c:invertIfNegative val="0"/>
            <c:spPr>
              <a:solidFill>
                <a:srgbClr val="4F81BD"/>
              </a:solidFill>
              <a:ln w="0">
                <a:solidFill>
                  <a:srgbClr val="000000"/>
                </a:solidFill>
              </a:ln>
            </c:spPr>
          </c:dPt>
          <c:dPt>
            <c:idx val="9"/>
            <c:invertIfNegative val="0"/>
            <c:spPr>
              <a:solidFill>
                <a:srgbClr val="4F81BD"/>
              </a:solidFill>
              <a:ln w="0">
                <a:solidFill>
                  <a:srgbClr val="000000"/>
                </a:solidFill>
              </a:ln>
            </c:spPr>
          </c:dPt>
          <c:dPt>
            <c:idx val="19"/>
            <c:invertIfNegative val="0"/>
            <c:spPr>
              <a:solidFill>
                <a:srgbClr val="4F81BD"/>
              </a:solidFill>
              <a:ln w="0">
                <a:solidFill>
                  <a:srgbClr val="000000"/>
                </a:solidFill>
              </a:ln>
            </c:spPr>
          </c:dPt>
          <c:dPt>
            <c:idx val="22"/>
            <c:invertIfNegative val="0"/>
            <c:spPr>
              <a:solidFill>
                <a:srgbClr val="4F81BD"/>
              </a:solidFill>
              <a:ln w="0">
                <a:solidFill>
                  <a:srgbClr val="000000"/>
                </a:solidFill>
              </a:ln>
            </c:spPr>
          </c:dPt>
          <c:dPt>
            <c:idx val="23"/>
            <c:invertIfNegative val="0"/>
            <c:spPr>
              <a:solidFill>
                <a:srgbClr val="4F81BD"/>
              </a:solidFill>
              <a:ln w="0">
                <a:solidFill>
                  <a:srgbClr val="000000"/>
                </a:solidFill>
              </a:ln>
            </c:spPr>
          </c:dPt>
          <c:dLbls>
            <c:dLbl>
              <c:idx val="4"/>
              <c:numFmt formatCode="General" sourceLinked="1"/>
              <c:txPr>
                <a:bodyPr wrap="square"/>
                <a:lstStyle/>
                <a:p>
                  <a:pPr>
                    <a:defRPr sz="800" b="1" u="none" strike="noStrike">
                      <a:solidFill>
                        <a:srgbClr val="FFFFFF"/>
                      </a:solidFill>
                      <a:uFillTx/>
                      <a:latin typeface="Arial"/>
                    </a:defRPr>
                  </a:pPr>
                </a:p>
              </c:txPr>
              <c:dLblPos val="ctr"/>
              <c:showLegendKey val="0"/>
              <c:showVal val="1"/>
              <c:showCatName val="0"/>
              <c:showSerName val="0"/>
              <c:showPercent val="0"/>
              <c:separator>; </c:separator>
            </c:dLbl>
            <c:dLbl>
              <c:idx val="9"/>
              <c:numFmt formatCode="General" sourceLinked="1"/>
              <c:txPr>
                <a:bodyPr wrap="square"/>
                <a:lstStyle/>
                <a:p>
                  <a:pPr>
                    <a:defRPr sz="800" b="1" u="none" strike="noStrike">
                      <a:solidFill>
                        <a:srgbClr val="FFFFFF"/>
                      </a:solidFill>
                      <a:uFillTx/>
                      <a:latin typeface="Arial"/>
                    </a:defRPr>
                  </a:pPr>
                </a:p>
              </c:txPr>
              <c:dLblPos val="ctr"/>
              <c:showLegendKey val="0"/>
              <c:showVal val="1"/>
              <c:showCatName val="0"/>
              <c:showSerName val="0"/>
              <c:showPercent val="0"/>
              <c:separator>; </c:separator>
            </c:dLbl>
            <c:dLbl>
              <c:idx val="19"/>
              <c:numFmt formatCode="General" sourceLinked="1"/>
              <c:txPr>
                <a:bodyPr wrap="square"/>
                <a:lstStyle/>
                <a:p>
                  <a:pPr>
                    <a:defRPr sz="800" b="1" u="none" strike="noStrike">
                      <a:solidFill>
                        <a:srgbClr val="FFFFFF"/>
                      </a:solidFill>
                      <a:uFillTx/>
                      <a:latin typeface="Arial"/>
                    </a:defRPr>
                  </a:pPr>
                </a:p>
              </c:txPr>
              <c:dLblPos val="ctr"/>
              <c:showLegendKey val="0"/>
              <c:showVal val="1"/>
              <c:showCatName val="0"/>
              <c:showSerName val="0"/>
              <c:showPercent val="0"/>
              <c:separator>; </c:separator>
            </c:dLbl>
            <c:dLbl>
              <c:idx val="22"/>
              <c:numFmt formatCode="General" sourceLinked="1"/>
              <c:txPr>
                <a:bodyPr wrap="square"/>
                <a:lstStyle/>
                <a:p>
                  <a:pPr>
                    <a:defRPr sz="800" b="1" u="none" strike="noStrike">
                      <a:solidFill>
                        <a:srgbClr val="FFFFFF"/>
                      </a:solidFill>
                      <a:uFillTx/>
                      <a:latin typeface="Arial"/>
                    </a:defRPr>
                  </a:pPr>
                </a:p>
              </c:txPr>
              <c:dLblPos val="ctr"/>
              <c:showLegendKey val="0"/>
              <c:showVal val="1"/>
              <c:showCatName val="0"/>
              <c:showSerName val="0"/>
              <c:showPercent val="0"/>
              <c:separator>; </c:separator>
            </c:dLbl>
            <c:dLbl>
              <c:idx val="23"/>
              <c:numFmt formatCode="General" sourceLinked="1"/>
              <c:txPr>
                <a:bodyPr wrap="square"/>
                <a:lstStyle/>
                <a:p>
                  <a:pPr>
                    <a:defRPr sz="800" b="1" u="none" strike="noStrike">
                      <a:solidFill>
                        <a:srgbClr val="FFFFFF"/>
                      </a:solidFill>
                      <a:uFillTx/>
                      <a:latin typeface="Arial"/>
                    </a:defRPr>
                  </a:pPr>
                </a:p>
              </c:txPr>
              <c:dLblPos val="ctr"/>
              <c:showLegendKey val="0"/>
              <c:showVal val="1"/>
              <c:showCatName val="0"/>
              <c:showSerName val="0"/>
              <c:showPercent val="0"/>
              <c:separator>; </c:separator>
            </c:dLbl>
            <c:numFmt formatCode="General" sourceLinked="1"/>
            <c:txPr>
              <a:bodyPr wrap="square"/>
              <a:lstStyle/>
              <a:p>
                <a:pPr>
                  <a:defRPr sz="800" b="1" u="none" strike="noStrike">
                    <a:solidFill>
                      <a:srgbClr val="FFFFFF"/>
                    </a:solidFill>
                    <a:uFillTx/>
                    <a:latin typeface="Arial"/>
                    <a:ea typeface="Calibri"/>
                  </a:defRPr>
                </a:pPr>
              </a:p>
            </c:txPr>
            <c:dLblPos val="ctr"/>
            <c:showLegendKey val="0"/>
            <c:showVal val="1"/>
            <c:showCatName val="0"/>
            <c:showSerName val="0"/>
            <c:showPercent val="0"/>
            <c:separator>; </c:separator>
            <c:showLeaderLines val="0"/>
            <c:extLst>
              <c:ext xmlns:c15="http://schemas.microsoft.com/office/drawing/2012/chart" uri="{CE6537A1-D6FC-4f65-9D91-7224C49458BB}">
                <c15:showLeaderLines val="0"/>
              </c:ext>
            </c:extLst>
          </c:dLbls>
          <c:cat>
            <c:multiLvlStrRef>
              <c:f>Resumo!$B$9:$AB$9</c:f>
              <c:multiLvlStrCache>
                <c:ptCount val="1"/>
                <c:lvl>
                  <c:pt idx="0">
                    <c:v>2026</c:v>
                  </c:pt>
                </c:lvl>
                <c:lvl>
                  <c:pt idx="0">
                    <c:v>2025</c:v>
                  </c:pt>
                </c:lvl>
                <c:lvl>
                  <c:pt idx="0">
                    <c:v>2024</c:v>
                  </c:pt>
                </c:lvl>
                <c:lvl>
                  <c:pt idx="0">
                    <c:v>2023</c:v>
                  </c:pt>
                </c:lvl>
                <c:lvl>
                  <c:pt idx="0">
                    <c:v>2022</c:v>
                  </c:pt>
                </c:lvl>
                <c:lvl>
                  <c:pt idx="0">
                    <c:v>2021</c:v>
                  </c:pt>
                </c:lvl>
                <c:lvl>
                  <c:pt idx="0">
                    <c:v>2020</c:v>
                  </c:pt>
                </c:lvl>
                <c:lvl>
                  <c:pt idx="0">
                    <c:v>2019</c:v>
                  </c:pt>
                </c:lvl>
                <c:lvl>
                  <c:pt idx="0">
                    <c:v>2018</c:v>
                  </c:pt>
                </c:lvl>
                <c:lvl>
                  <c:pt idx="0">
                    <c:v>2017</c:v>
                  </c:pt>
                </c:lvl>
                <c:lvl>
                  <c:pt idx="0">
                    <c:v>2016</c:v>
                  </c:pt>
                </c:lvl>
                <c:lvl>
                  <c:pt idx="0">
                    <c:v>2015</c:v>
                  </c:pt>
                </c:lvl>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lvl>
                  <c:pt idx="0">
                    <c:v>2004</c:v>
                  </c:pt>
                </c:lvl>
                <c:lvl>
                  <c:pt idx="0">
                    <c:v>2003</c:v>
                  </c:pt>
                </c:lvl>
                <c:lvl>
                  <c:pt idx="0">
                    <c:v>2002</c:v>
                  </c:pt>
                </c:lvl>
                <c:lvl>
                  <c:pt idx="0">
                    <c:v>2001</c:v>
                  </c:pt>
                </c:lvl>
                <c:lvl>
                  <c:pt idx="0">
                    <c:v>2000</c:v>
                  </c:pt>
                </c:lvl>
              </c:multiLvlStrCache>
            </c:multiLvlStrRef>
          </c:cat>
          <c:val>
            <c:numRef>
              <c:f>Resumo!$B$22:$AB$22</c:f>
              <c:numCache>
                <c:formatCode>General</c:formatCode>
                <c:ptCount val="27"/>
                <c:pt idx="0">
                  <c:v>53</c:v>
                </c:pt>
                <c:pt idx="1">
                  <c:v>79</c:v>
                </c:pt>
                <c:pt idx="2">
                  <c:v>35</c:v>
                </c:pt>
                <c:pt idx="3">
                  <c:v>48</c:v>
                </c:pt>
                <c:pt idx="4">
                  <c:v>58</c:v>
                </c:pt>
                <c:pt idx="5">
                  <c:v>60</c:v>
                </c:pt>
                <c:pt idx="6">
                  <c:v>70</c:v>
                </c:pt>
                <c:pt idx="7">
                  <c:v>148</c:v>
                </c:pt>
                <c:pt idx="8">
                  <c:v>137</c:v>
                </c:pt>
                <c:pt idx="9">
                  <c:v>101</c:v>
                </c:pt>
                <c:pt idx="10">
                  <c:v>65</c:v>
                </c:pt>
                <c:pt idx="11">
                  <c:v>85</c:v>
                </c:pt>
                <c:pt idx="12">
                  <c:v>103</c:v>
                </c:pt>
                <c:pt idx="13">
                  <c:v>62</c:v>
                </c:pt>
                <c:pt idx="14">
                  <c:v>64</c:v>
                </c:pt>
                <c:pt idx="15">
                  <c:v>91</c:v>
                </c:pt>
                <c:pt idx="16">
                  <c:v>114</c:v>
                </c:pt>
                <c:pt idx="17">
                  <c:v>218</c:v>
                </c:pt>
                <c:pt idx="18">
                  <c:v>252</c:v>
                </c:pt>
                <c:pt idx="19">
                  <c:v>202</c:v>
                </c:pt>
                <c:pt idx="20">
                  <c:v>321</c:v>
                </c:pt>
                <c:pt idx="21">
                  <c:v>371</c:v>
                </c:pt>
                <c:pt idx="22">
                  <c:v>373</c:v>
                </c:pt>
                <c:pt idx="23">
                  <c:v>365</c:v>
                </c:pt>
                <c:pt idx="24">
                  <c:v>464</c:v>
                </c:pt>
                <c:pt idx="25">
                  <c:v>589</c:v>
                </c:pt>
                <c:pt idx="26">
                  <c:v>323</c:v>
                </c:pt>
              </c:numCache>
            </c:numRef>
          </c:val>
        </c:ser>
        <c:gapWidth val="150"/>
        <c:overlap val="100"/>
        <c:axId val="92734586"/>
        <c:axId val="60585274"/>
      </c:barChart>
      <c:catAx>
        <c:axId val="92734586"/>
        <c:scaling>
          <c:orientation val="minMax"/>
        </c:scaling>
        <c:delete val="0"/>
        <c:axPos val="b"/>
        <c:numFmt formatCode="General" sourceLinked="0"/>
        <c:majorTickMark val="cross"/>
        <c:minorTickMark val="none"/>
        <c:tickLblPos val="nextTo"/>
        <c:spPr>
          <a:ln w="6480">
            <a:solidFill>
              <a:srgbClr val="8B8B8B"/>
            </a:solidFill>
            <a:round/>
          </a:ln>
        </c:spPr>
        <c:txPr>
          <a:bodyPr/>
          <a:lstStyle/>
          <a:p>
            <a:pPr>
              <a:defRPr sz="1000" b="1" u="none" strike="noStrike">
                <a:solidFill>
                  <a:srgbClr val="274E13"/>
                </a:solidFill>
                <a:uFillTx/>
                <a:latin typeface="Arial"/>
                <a:ea typeface="Calibri"/>
              </a:defRPr>
            </a:pPr>
          </a:p>
        </c:txPr>
        <c:crossAx val="60585274"/>
        <c:crosses val="autoZero"/>
        <c:auto val="1"/>
        <c:lblAlgn val="ctr"/>
        <c:lblOffset val="100"/>
        <c:noMultiLvlLbl val="0"/>
      </c:catAx>
      <c:valAx>
        <c:axId val="60585274"/>
        <c:scaling>
          <c:orientation val="minMax"/>
          <c:min val="0"/>
        </c:scaling>
        <c:delete val="0"/>
        <c:axPos val="l"/>
        <c:majorGridlines>
          <c:spPr>
            <a:ln w="6480">
              <a:solidFill>
                <a:srgbClr val="B7B7B7"/>
              </a:solidFill>
              <a:round/>
            </a:ln>
          </c:spPr>
        </c:majorGridlines>
        <c:title>
          <c:tx>
            <c:rich>
              <a:bodyPr rot="-5400000"/>
              <a:lstStyle/>
              <a:p>
                <a:pPr>
                  <a:defRPr sz="1300" b="0" u="none" strike="noStrike">
                    <a:uFillTx/>
                    <a:latin typeface="Arial"/>
                  </a:defRPr>
                </a:pPr>
                <a:r>
                  <a:rPr lang="en-US" sz="1000" b="1" u="none" strike="noStrike">
                    <a:solidFill>
                      <a:srgbClr val="274E13"/>
                    </a:solidFill>
                    <a:uFillTx/>
                    <a:latin typeface="Arial"/>
                    <a:ea typeface="Calibri"/>
                  </a:rPr>
                  <a:t>Approved products</a:t>
                </a:r>
              </a:p>
            </c:rich>
          </c:tx>
          <c:layout>
            <c:manualLayout>
              <c:xMode val="edge"/>
              <c:yMode val="edge"/>
              <c:x val="0.0121684749849307"/>
              <c:y val="0.379318646924281"/>
            </c:manualLayout>
          </c:layout>
          <c:overlay val="0"/>
          <c:spPr>
            <a:noFill/>
            <a:ln w="0">
              <a:noFill/>
            </a:ln>
          </c:spPr>
        </c:title>
        <c:numFmt formatCode="General" sourceLinked="0"/>
        <c:majorTickMark val="cross"/>
        <c:minorTickMark val="cross"/>
        <c:tickLblPos val="nextTo"/>
        <c:spPr>
          <a:ln w="6480">
            <a:solidFill>
              <a:srgbClr val="8B8B8B"/>
            </a:solidFill>
            <a:round/>
          </a:ln>
        </c:spPr>
        <c:txPr>
          <a:bodyPr/>
          <a:lstStyle/>
          <a:p>
            <a:pPr>
              <a:defRPr sz="1000" b="1" u="none" strike="noStrike">
                <a:solidFill>
                  <a:srgbClr val="274E13"/>
                </a:solidFill>
                <a:uFillTx/>
                <a:latin typeface="Arial"/>
                <a:ea typeface="Calibri"/>
              </a:defRPr>
            </a:pPr>
          </a:p>
        </c:txPr>
        <c:crossAx val="92734586"/>
        <c:crosses val="autoZero"/>
        <c:crossBetween val="between"/>
      </c:valAx>
      <c:spPr>
        <a:noFill/>
        <a:ln w="0">
          <a:noFill/>
        </a:ln>
      </c:spPr>
    </c:plotArea>
    <c:legend>
      <c:legendPos val="b"/>
      <c:overlay val="0"/>
      <c:spPr>
        <a:noFill/>
        <a:ln w="0">
          <a:noFill/>
        </a:ln>
      </c:spPr>
      <c:txPr>
        <a:bodyPr/>
        <a:lstStyle/>
        <a:p>
          <a:pPr>
            <a:defRPr sz="1000" b="1" u="none" strike="noStrike">
              <a:solidFill>
                <a:srgbClr val="274E13"/>
              </a:solidFill>
              <a:uFillTx/>
              <a:latin typeface="Arial"/>
              <a:ea typeface="Calibri"/>
            </a:defRPr>
          </a:pPr>
        </a:p>
      </c:txPr>
    </c:legend>
    <c:plotVisOnly val="1"/>
    <c:dispBlanksAs val="zero"/>
  </c:chart>
  <c:spPr>
    <a:solidFill>
      <a:srgbClr val="FFFFFF"/>
    </a:solidFill>
    <a:ln w="9360">
      <a:solidFill>
        <a:srgbClr val="D9D9D9"/>
      </a:solidFill>
      <a:round/>
    </a:ln>
  </c:spPr>
</c:chartSpace>
</file>

<file path=xl/charts/chart3.xml><?xml version="1.0" encoding="utf-8"?>
<c:chartSpace xmlns:c="http://schemas.openxmlformats.org/drawingml/2006/chart" xmlns:a="http://schemas.openxmlformats.org/drawingml/2006/main" xmlns:r="http://schemas.openxmlformats.org/officeDocument/2006/relationships">
  <c:lang val="en-US"/>
  <c:roundedCorners val="0"/>
  <c:style val="2"/>
  <c:chart>
    <c:title>
      <c:tx>
        <c:rich>
          <a:bodyPr rot="0"/>
          <a:lstStyle/>
          <a:p>
            <a:pPr>
              <a:defRPr sz="1300" b="0" u="none" strike="noStrike">
                <a:uFillTx/>
                <a:latin typeface="Arial"/>
              </a:defRPr>
            </a:pPr>
            <a:r>
              <a:rPr lang="en-US" sz="1800" b="1" u="none" strike="noStrike">
                <a:solidFill>
                  <a:srgbClr val="274E13"/>
                </a:solidFill>
                <a:uFillTx/>
                <a:latin typeface="Arial"/>
                <a:ea typeface="Calibri"/>
              </a:rPr>
              <a:t>Produtos de Baixo Risco (Biológicos, Microbiológicos, Semioquímicos, Extratos Vegetais, Reguladores de Crescimento ou Agricultura Orgânica)</a:t>
            </a:r>
          </a:p>
        </c:rich>
      </c:tx>
      <c:overlay val="0"/>
      <c:spPr>
        <a:noFill/>
        <a:ln w="0">
          <a:noFill/>
        </a:ln>
      </c:spPr>
    </c:title>
    <c:autoTitleDeleted val="0"/>
    <c:plotArea>
      <c:layout>
        <c:manualLayout>
          <c:xMode val="edge"/>
          <c:yMode val="edge"/>
          <c:x val="0.0612598365902331"/>
          <c:y val="0.140463995179271"/>
          <c:w val="0.92812229376106"/>
          <c:h val="0.790177764386864"/>
        </c:manualLayout>
      </c:layout>
      <c:barChart>
        <c:barDir val="col"/>
        <c:grouping val="clustered"/>
        <c:varyColors val="1"/>
        <c:ser>
          <c:idx val="0"/>
          <c:order val="0"/>
          <c:tx>
            <c:strRef>
              <c:f>"Produtos Formulados de Baixo Risco (Bio + Bio/Org)"</c:f>
              <c:strCache>
                <c:ptCount val="1"/>
                <c:pt idx="0">
                  <c:v>Produtos Formulados de Baixo Risco (Bio + Bio/Org)</c:v>
                </c:pt>
              </c:strCache>
            </c:strRef>
          </c:tx>
          <c:spPr>
            <a:solidFill>
              <a:srgbClr val="4472C4"/>
            </a:solidFill>
            <a:ln w="12600">
              <a:solidFill>
                <a:srgbClr val="000000"/>
              </a:solidFill>
              <a:round/>
            </a:ln>
          </c:spPr>
          <c:invertIfNegative val="0"/>
          <c:dPt>
            <c:idx val="0"/>
            <c:spPr>
              <a:solidFill>
                <a:srgbClr val="4472C4"/>
              </a:solidFill>
              <a:ln w="0">
                <a:solidFill>
                  <a:srgbClr val="000000"/>
                </a:solidFill>
              </a:ln>
            </c:spPr>
          </c:dPt>
          <c:dPt>
            <c:idx val="1"/>
            <c:spPr>
              <a:solidFill>
                <a:srgbClr val="ED7D31"/>
              </a:solidFill>
              <a:ln w="0">
                <a:solidFill>
                  <a:srgbClr val="000000"/>
                </a:solidFill>
              </a:ln>
            </c:spPr>
          </c:dPt>
          <c:dPt>
            <c:idx val="2"/>
            <c:spPr>
              <a:solidFill>
                <a:srgbClr val="A5A5A5"/>
              </a:solidFill>
              <a:ln w="0">
                <a:solidFill>
                  <a:srgbClr val="000000"/>
                </a:solidFill>
              </a:ln>
            </c:spPr>
          </c:dPt>
          <c:dPt>
            <c:idx val="3"/>
            <c:spPr>
              <a:solidFill>
                <a:srgbClr val="FFC000"/>
              </a:solidFill>
              <a:ln w="0">
                <a:solidFill>
                  <a:srgbClr val="000000"/>
                </a:solidFill>
              </a:ln>
            </c:spPr>
          </c:dPt>
          <c:dPt>
            <c:idx val="4"/>
            <c:spPr>
              <a:solidFill>
                <a:srgbClr val="5B9BD5"/>
              </a:solidFill>
              <a:ln w="0">
                <a:solidFill>
                  <a:srgbClr val="000000"/>
                </a:solidFill>
              </a:ln>
            </c:spPr>
          </c:dPt>
          <c:dPt>
            <c:idx val="5"/>
            <c:spPr>
              <a:solidFill>
                <a:srgbClr val="70AD47"/>
              </a:solidFill>
              <a:ln w="0">
                <a:solidFill>
                  <a:srgbClr val="000000"/>
                </a:solidFill>
              </a:ln>
            </c:spPr>
          </c:dPt>
          <c:dPt>
            <c:idx val="6"/>
            <c:spPr>
              <a:solidFill>
                <a:srgbClr val="264478"/>
              </a:solidFill>
              <a:ln w="0">
                <a:solidFill>
                  <a:srgbClr val="000000"/>
                </a:solidFill>
              </a:ln>
            </c:spPr>
          </c:dPt>
          <c:dPt>
            <c:idx val="7"/>
            <c:spPr>
              <a:solidFill>
                <a:srgbClr val="9E480E"/>
              </a:solidFill>
              <a:ln w="0">
                <a:solidFill>
                  <a:srgbClr val="000000"/>
                </a:solidFill>
              </a:ln>
            </c:spPr>
          </c:dPt>
          <c:dPt>
            <c:idx val="8"/>
            <c:spPr>
              <a:solidFill>
                <a:srgbClr val="636363"/>
              </a:solidFill>
              <a:ln w="0">
                <a:solidFill>
                  <a:srgbClr val="000000"/>
                </a:solidFill>
              </a:ln>
            </c:spPr>
          </c:dPt>
          <c:dPt>
            <c:idx val="9"/>
            <c:spPr>
              <a:solidFill>
                <a:srgbClr val="997300"/>
              </a:solidFill>
              <a:ln w="0">
                <a:solidFill>
                  <a:srgbClr val="000000"/>
                </a:solidFill>
              </a:ln>
            </c:spPr>
          </c:dPt>
          <c:dPt>
            <c:idx val="10"/>
            <c:spPr>
              <a:solidFill>
                <a:srgbClr val="255E91"/>
              </a:solidFill>
              <a:ln w="0">
                <a:solidFill>
                  <a:srgbClr val="000000"/>
                </a:solidFill>
              </a:ln>
            </c:spPr>
          </c:dPt>
          <c:dPt>
            <c:idx val="11"/>
            <c:spPr>
              <a:solidFill>
                <a:srgbClr val="43682B"/>
              </a:solidFill>
              <a:ln w="0">
                <a:solidFill>
                  <a:srgbClr val="000000"/>
                </a:solidFill>
              </a:ln>
            </c:spPr>
          </c:dPt>
          <c:dPt>
            <c:idx val="12"/>
            <c:spPr>
              <a:solidFill>
                <a:srgbClr val="698ED0"/>
              </a:solidFill>
              <a:ln w="0">
                <a:solidFill>
                  <a:srgbClr val="000000"/>
                </a:solidFill>
              </a:ln>
            </c:spPr>
          </c:dPt>
          <c:dPt>
            <c:idx val="13"/>
            <c:spPr>
              <a:solidFill>
                <a:srgbClr val="F1975A"/>
              </a:solidFill>
              <a:ln w="0">
                <a:solidFill>
                  <a:srgbClr val="000000"/>
                </a:solidFill>
              </a:ln>
            </c:spPr>
          </c:dPt>
          <c:dPt>
            <c:idx val="14"/>
            <c:spPr>
              <a:solidFill>
                <a:srgbClr val="B7B7B7"/>
              </a:solidFill>
              <a:ln w="0">
                <a:solidFill>
                  <a:srgbClr val="000000"/>
                </a:solidFill>
              </a:ln>
            </c:spPr>
          </c:dPt>
          <c:dPt>
            <c:idx val="15"/>
            <c:spPr>
              <a:solidFill>
                <a:srgbClr val="FFCD33"/>
              </a:solidFill>
              <a:ln w="0">
                <a:solidFill>
                  <a:srgbClr val="000000"/>
                </a:solidFill>
              </a:ln>
            </c:spPr>
          </c:dPt>
          <c:dPt>
            <c:idx val="16"/>
            <c:spPr>
              <a:solidFill>
                <a:srgbClr val="7CAFDD"/>
              </a:solidFill>
              <a:ln w="0">
                <a:solidFill>
                  <a:srgbClr val="000000"/>
                </a:solidFill>
              </a:ln>
            </c:spPr>
          </c:dPt>
          <c:dPt>
            <c:idx val="17"/>
            <c:spPr>
              <a:solidFill>
                <a:srgbClr val="8CC168"/>
              </a:solidFill>
              <a:ln w="0">
                <a:solidFill>
                  <a:srgbClr val="000000"/>
                </a:solidFill>
              </a:ln>
            </c:spPr>
          </c:dPt>
          <c:dPt>
            <c:idx val="18"/>
            <c:spPr>
              <a:solidFill>
                <a:srgbClr val="335AA1"/>
              </a:solidFill>
              <a:ln w="0">
                <a:solidFill>
                  <a:srgbClr val="000000"/>
                </a:solidFill>
              </a:ln>
            </c:spPr>
          </c:dPt>
          <c:dPt>
            <c:idx val="19"/>
            <c:spPr>
              <a:solidFill>
                <a:srgbClr val="D26012"/>
              </a:solidFill>
              <a:ln w="0">
                <a:solidFill>
                  <a:srgbClr val="000000"/>
                </a:solidFill>
              </a:ln>
            </c:spPr>
          </c:dPt>
          <c:dPt>
            <c:idx val="20"/>
            <c:spPr>
              <a:solidFill>
                <a:srgbClr val="848484"/>
              </a:solidFill>
              <a:ln w="0">
                <a:solidFill>
                  <a:srgbClr val="000000"/>
                </a:solidFill>
              </a:ln>
            </c:spPr>
          </c:dPt>
          <c:dPt>
            <c:idx val="21"/>
            <c:spPr>
              <a:solidFill>
                <a:srgbClr val="CC9A00"/>
              </a:solidFill>
              <a:ln w="0">
                <a:solidFill>
                  <a:srgbClr val="000000"/>
                </a:solidFill>
              </a:ln>
            </c:spPr>
          </c:dPt>
          <c:dPt>
            <c:idx val="22"/>
            <c:spPr>
              <a:solidFill>
                <a:srgbClr val="327DC2"/>
              </a:solidFill>
              <a:ln w="0">
                <a:solidFill>
                  <a:srgbClr val="000000"/>
                </a:solidFill>
              </a:ln>
            </c:spPr>
          </c:dPt>
          <c:dPt>
            <c:idx val="23"/>
            <c:spPr>
              <a:solidFill>
                <a:srgbClr val="5A8A39"/>
              </a:solidFill>
              <a:ln w="0">
                <a:solidFill>
                  <a:srgbClr val="000000"/>
                </a:solidFill>
              </a:ln>
            </c:spPr>
          </c:dPt>
          <c:dPt>
            <c:idx val="24"/>
            <c:spPr>
              <a:solidFill>
                <a:srgbClr val="8FAADC"/>
              </a:solidFill>
              <a:ln w="0">
                <a:solidFill>
                  <a:srgbClr val="000000"/>
                </a:solidFill>
              </a:ln>
            </c:spPr>
          </c:dPt>
          <c:dPt>
            <c:idx val="25"/>
            <c:spPr>
              <a:solidFill>
                <a:srgbClr val="F4B183"/>
              </a:solidFill>
              <a:ln w="0">
                <a:solidFill>
                  <a:srgbClr val="000000"/>
                </a:solidFill>
              </a:ln>
            </c:spPr>
          </c:dPt>
          <c:dPt>
            <c:idx val="26"/>
            <c:spPr>
              <a:solidFill>
                <a:srgbClr val="C9C9C9"/>
              </a:solidFill>
              <a:ln w="0">
                <a:solidFill>
                  <a:srgbClr val="000000"/>
                </a:solidFill>
              </a:ln>
            </c:spPr>
          </c:dPt>
          <c:dLbls>
            <c:dLbl>
              <c:idx val="0"/>
              <c:numFmt formatCode="General" sourceLinked="1"/>
              <c:txPr>
                <a:bodyPr wrap="square"/>
                <a:lstStyle/>
                <a:p>
                  <a:pPr>
                    <a:defRPr sz="1000" b="1" u="none" strike="noStrike">
                      <a:solidFill>
                        <a:srgbClr val="000000"/>
                      </a:solidFill>
                      <a:uFillTx/>
                      <a:latin typeface="Calibri"/>
                      <a:ea typeface="Calibri"/>
                    </a:defRPr>
                  </a:pPr>
                </a:p>
              </c:txPr>
              <c:dLblPos val="outEnd"/>
              <c:showLegendKey val="0"/>
              <c:showVal val="1"/>
              <c:showCatName val="0"/>
              <c:showSerName val="0"/>
              <c:showPercent val="0"/>
              <c:separator>; </c:separator>
            </c:dLbl>
            <c:dLbl>
              <c:idx val="1"/>
              <c:numFmt formatCode="General"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2"/>
              <c:numFmt formatCode="General"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3"/>
              <c:numFmt formatCode="General"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4"/>
              <c:numFmt formatCode="General"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5"/>
              <c:numFmt formatCode="General"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6"/>
              <c:numFmt formatCode="General"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7"/>
              <c:numFmt formatCode="General"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8"/>
              <c:numFmt formatCode="General" sourceLinked="1"/>
              <c:txPr>
                <a:bodyPr wrap="square"/>
                <a:lstStyle/>
                <a:p>
                  <a:pPr>
                    <a:defRPr sz="1000" b="1" u="none" strike="noStrike">
                      <a:solidFill>
                        <a:srgbClr val="000000"/>
                      </a:solidFill>
                      <a:uFillTx/>
                      <a:latin typeface="Calibri"/>
                      <a:ea typeface="Calibri"/>
                    </a:defRPr>
                  </a:pPr>
                </a:p>
              </c:txPr>
              <c:dLblPos val="outEnd"/>
              <c:showLegendKey val="0"/>
              <c:showVal val="1"/>
              <c:showCatName val="0"/>
              <c:showSerName val="0"/>
              <c:showPercent val="0"/>
              <c:separator>; </c:separator>
            </c:dLbl>
            <c:dLbl>
              <c:idx val="9"/>
              <c:numFmt formatCode="General" sourceLinked="1"/>
              <c:txPr>
                <a:bodyPr wrap="square"/>
                <a:lstStyle/>
                <a:p>
                  <a:pPr>
                    <a:defRPr sz="1000" b="1" u="none" strike="noStrike">
                      <a:solidFill>
                        <a:srgbClr val="000000"/>
                      </a:solidFill>
                      <a:uFillTx/>
                      <a:latin typeface="Calibri"/>
                      <a:ea typeface="Calibri"/>
                    </a:defRPr>
                  </a:pPr>
                </a:p>
              </c:txPr>
              <c:dLblPos val="outEnd"/>
              <c:showLegendKey val="0"/>
              <c:showVal val="1"/>
              <c:showCatName val="0"/>
              <c:showSerName val="0"/>
              <c:showPercent val="0"/>
              <c:separator>; </c:separator>
            </c:dLbl>
            <c:dLbl>
              <c:idx val="10"/>
              <c:numFmt formatCode="General"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11"/>
              <c:numFmt formatCode="General"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12"/>
              <c:numFmt formatCode="General"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13"/>
              <c:numFmt formatCode="General"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14"/>
              <c:numFmt formatCode="General"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15"/>
              <c:numFmt formatCode="General"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16"/>
              <c:numFmt formatCode="General"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17"/>
              <c:numFmt formatCode="General"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18"/>
              <c:numFmt formatCode="General"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19"/>
              <c:numFmt formatCode="General"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20"/>
              <c:numFmt formatCode="General"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21"/>
              <c:numFmt formatCode="General"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22"/>
              <c:numFmt formatCode="General"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23"/>
              <c:numFmt formatCode="General"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24"/>
              <c:numFmt formatCode="General"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25"/>
              <c:numFmt formatCode="General"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dLbl>
              <c:idx val="26"/>
              <c:numFmt formatCode="General" sourceLinked="1"/>
              <c:txPr>
                <a:bodyPr wrap="square"/>
                <a:lstStyle/>
                <a:p>
                  <a:pPr>
                    <a:defRPr sz="1000" b="1" u="none" strike="noStrike">
                      <a:solidFill>
                        <a:srgbClr val="000000"/>
                      </a:solidFill>
                      <a:uFillTx/>
                      <a:latin typeface="Arial"/>
                    </a:defRPr>
                  </a:pPr>
                </a:p>
              </c:txPr>
              <c:dLblPos val="outEnd"/>
              <c:showLegendKey val="0"/>
              <c:showVal val="1"/>
              <c:showCatName val="0"/>
              <c:showSerName val="0"/>
              <c:showPercent val="0"/>
              <c:separator>; </c:separator>
            </c:dLbl>
            <c:numFmt formatCode="General" sourceLinked="1"/>
            <c:txPr>
              <a:bodyPr wrap="square"/>
              <a:lstStyle/>
              <a:p>
                <a:pPr>
                  <a:defRPr sz="1000" b="1" u="none" strike="noStrike">
                    <a:solidFill>
                      <a:srgbClr val="000000"/>
                    </a:solidFill>
                    <a:uFillTx/>
                    <a:latin typeface="Arial"/>
                    <a:ea typeface="Calibri"/>
                  </a:defRPr>
                </a:pPr>
              </a:p>
            </c:txPr>
            <c:dLblPos val="outEnd"/>
            <c:showLegendKey val="0"/>
            <c:showVal val="1"/>
            <c:showCatName val="0"/>
            <c:showSerName val="0"/>
            <c:showPercent val="0"/>
            <c:separator>; </c:separator>
            <c:showLeaderLines val="0"/>
            <c:extLst>
              <c:ext xmlns:c15="http://schemas.microsoft.com/office/drawing/2012/chart" uri="{CE6537A1-D6FC-4f65-9D91-7224C49458BB}">
                <c15:showLeaderLines val="0"/>
              </c:ext>
            </c:extLst>
          </c:dLbls>
          <c:cat>
            <c:multiLvlStrRef>
              <c:f>Resumo!$B$9:$AB$9</c:f>
              <c:multiLvlStrCache>
                <c:ptCount val="1"/>
                <c:lvl>
                  <c:pt idx="0">
                    <c:v>2026</c:v>
                  </c:pt>
                </c:lvl>
                <c:lvl>
                  <c:pt idx="0">
                    <c:v>2025</c:v>
                  </c:pt>
                </c:lvl>
                <c:lvl>
                  <c:pt idx="0">
                    <c:v>2024</c:v>
                  </c:pt>
                </c:lvl>
                <c:lvl>
                  <c:pt idx="0">
                    <c:v>2023</c:v>
                  </c:pt>
                </c:lvl>
                <c:lvl>
                  <c:pt idx="0">
                    <c:v>2022</c:v>
                  </c:pt>
                </c:lvl>
                <c:lvl>
                  <c:pt idx="0">
                    <c:v>2021</c:v>
                  </c:pt>
                </c:lvl>
                <c:lvl>
                  <c:pt idx="0">
                    <c:v>2020</c:v>
                  </c:pt>
                </c:lvl>
                <c:lvl>
                  <c:pt idx="0">
                    <c:v>2019</c:v>
                  </c:pt>
                </c:lvl>
                <c:lvl>
                  <c:pt idx="0">
                    <c:v>2018</c:v>
                  </c:pt>
                </c:lvl>
                <c:lvl>
                  <c:pt idx="0">
                    <c:v>2017</c:v>
                  </c:pt>
                </c:lvl>
                <c:lvl>
                  <c:pt idx="0">
                    <c:v>2016</c:v>
                  </c:pt>
                </c:lvl>
                <c:lvl>
                  <c:pt idx="0">
                    <c:v>2015</c:v>
                  </c:pt>
                </c:lvl>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lvl>
                  <c:pt idx="0">
                    <c:v>2004</c:v>
                  </c:pt>
                </c:lvl>
                <c:lvl>
                  <c:pt idx="0">
                    <c:v>2003</c:v>
                  </c:pt>
                </c:lvl>
                <c:lvl>
                  <c:pt idx="0">
                    <c:v>2002</c:v>
                  </c:pt>
                </c:lvl>
                <c:lvl>
                  <c:pt idx="0">
                    <c:v>2001</c:v>
                  </c:pt>
                </c:lvl>
                <c:lvl>
                  <c:pt idx="0">
                    <c:v>2000</c:v>
                  </c:pt>
                </c:lvl>
              </c:multiLvlStrCache>
            </c:multiLvlStrRef>
          </c:cat>
          <c:val>
            <c:numRef>
              <c:f>Resumo!$B$20:$AB$20</c:f>
              <c:numCache>
                <c:formatCode>General</c:formatCode>
                <c:ptCount val="27"/>
                <c:pt idx="0">
                  <c:v>2</c:v>
                </c:pt>
                <c:pt idx="1">
                  <c:v>11</c:v>
                </c:pt>
                <c:pt idx="2">
                  <c:v>6</c:v>
                </c:pt>
                <c:pt idx="3">
                  <c:v>5</c:v>
                </c:pt>
                <c:pt idx="4">
                  <c:v>6</c:v>
                </c:pt>
                <c:pt idx="5">
                  <c:v>10</c:v>
                </c:pt>
                <c:pt idx="6">
                  <c:v>7</c:v>
                </c:pt>
                <c:pt idx="7">
                  <c:v>7</c:v>
                </c:pt>
                <c:pt idx="8">
                  <c:v>3</c:v>
                </c:pt>
                <c:pt idx="9">
                  <c:v>2</c:v>
                </c:pt>
                <c:pt idx="10">
                  <c:v>4</c:v>
                </c:pt>
                <c:pt idx="11">
                  <c:v>16</c:v>
                </c:pt>
                <c:pt idx="12">
                  <c:v>17</c:v>
                </c:pt>
                <c:pt idx="13">
                  <c:v>11</c:v>
                </c:pt>
                <c:pt idx="14">
                  <c:v>8</c:v>
                </c:pt>
                <c:pt idx="15">
                  <c:v>31</c:v>
                </c:pt>
                <c:pt idx="16">
                  <c:v>39</c:v>
                </c:pt>
                <c:pt idx="17">
                  <c:v>42</c:v>
                </c:pt>
                <c:pt idx="18">
                  <c:v>52</c:v>
                </c:pt>
                <c:pt idx="19">
                  <c:v>43</c:v>
                </c:pt>
                <c:pt idx="20">
                  <c:v>95</c:v>
                </c:pt>
                <c:pt idx="21">
                  <c:v>92</c:v>
                </c:pt>
                <c:pt idx="22">
                  <c:v>136</c:v>
                </c:pt>
                <c:pt idx="23">
                  <c:v>90</c:v>
                </c:pt>
                <c:pt idx="24">
                  <c:v>106</c:v>
                </c:pt>
                <c:pt idx="25">
                  <c:v>162</c:v>
                </c:pt>
                <c:pt idx="26">
                  <c:v>59</c:v>
                </c:pt>
              </c:numCache>
            </c:numRef>
          </c:val>
        </c:ser>
        <c:gapWidth val="150"/>
        <c:overlap val="0"/>
        <c:axId val="67842795"/>
        <c:axId val="68664039"/>
      </c:barChart>
      <c:catAx>
        <c:axId val="67842795"/>
        <c:scaling>
          <c:orientation val="minMax"/>
        </c:scaling>
        <c:delete val="0"/>
        <c:axPos val="b"/>
        <c:numFmt formatCode="General" sourceLinked="0"/>
        <c:majorTickMark val="none"/>
        <c:minorTickMark val="none"/>
        <c:tickLblPos val="nextTo"/>
        <c:spPr>
          <a:ln w="6480">
            <a:solidFill>
              <a:srgbClr val="8B8B8B"/>
            </a:solidFill>
            <a:round/>
          </a:ln>
        </c:spPr>
        <c:txPr>
          <a:bodyPr/>
          <a:lstStyle/>
          <a:p>
            <a:pPr>
              <a:defRPr sz="1000" b="1" u="none" strike="noStrike">
                <a:solidFill>
                  <a:srgbClr val="274E13"/>
                </a:solidFill>
                <a:uFillTx/>
                <a:latin typeface="Arial"/>
                <a:ea typeface="Calibri"/>
              </a:defRPr>
            </a:pPr>
          </a:p>
        </c:txPr>
        <c:crossAx val="68664039"/>
        <c:crosses val="autoZero"/>
        <c:auto val="1"/>
        <c:lblAlgn val="ctr"/>
        <c:lblOffset val="100"/>
        <c:noMultiLvlLbl val="0"/>
      </c:catAx>
      <c:valAx>
        <c:axId val="68664039"/>
        <c:scaling>
          <c:orientation val="minMax"/>
        </c:scaling>
        <c:delete val="0"/>
        <c:axPos val="l"/>
        <c:majorGridlines>
          <c:spPr>
            <a:ln w="6480">
              <a:solidFill>
                <a:srgbClr val="B7B7B7"/>
              </a:solidFill>
              <a:round/>
            </a:ln>
          </c:spPr>
        </c:majorGridlines>
        <c:title>
          <c:tx>
            <c:rich>
              <a:bodyPr rot="-5400000"/>
              <a:lstStyle/>
              <a:p>
                <a:pPr>
                  <a:defRPr sz="1300" b="0" u="none" strike="noStrike">
                    <a:uFillTx/>
                    <a:latin typeface="Arial"/>
                  </a:defRPr>
                </a:pPr>
                <a:r>
                  <a:rPr lang="pt-BR" sz="1000" b="1" u="none" strike="noStrike">
                    <a:solidFill>
                      <a:srgbClr val="274E13"/>
                    </a:solidFill>
                    <a:uFillTx/>
                    <a:latin typeface="Arial"/>
                    <a:ea typeface="Calibri"/>
                  </a:rPr>
                  <a:t>Registros Aprovados</a:t>
                </a:r>
              </a:p>
            </c:rich>
          </c:tx>
          <c:overlay val="0"/>
          <c:spPr>
            <a:noFill/>
            <a:ln w="0">
              <a:noFill/>
            </a:ln>
          </c:spPr>
        </c:title>
        <c:numFmt formatCode="General" sourceLinked="0"/>
        <c:majorTickMark val="cross"/>
        <c:minorTickMark val="cross"/>
        <c:tickLblPos val="nextTo"/>
        <c:spPr>
          <a:ln w="6480">
            <a:solidFill>
              <a:srgbClr val="8B8B8B"/>
            </a:solidFill>
            <a:round/>
          </a:ln>
        </c:spPr>
        <c:txPr>
          <a:bodyPr/>
          <a:lstStyle/>
          <a:p>
            <a:pPr>
              <a:defRPr sz="1000" b="1" u="none" strike="noStrike">
                <a:solidFill>
                  <a:srgbClr val="274E13"/>
                </a:solidFill>
                <a:uFillTx/>
                <a:latin typeface="Arial"/>
                <a:ea typeface="Calibri"/>
              </a:defRPr>
            </a:pPr>
          </a:p>
        </c:txPr>
        <c:crossAx val="67842795"/>
        <c:crosses val="autoZero"/>
        <c:crossBetween val="between"/>
      </c:valAx>
      <c:spPr>
        <a:noFill/>
        <a:ln w="0">
          <a:noFill/>
        </a:ln>
      </c:spPr>
    </c:plotArea>
    <c:plotVisOnly val="1"/>
    <c:dispBlanksAs val="zero"/>
  </c:chart>
  <c:spPr>
    <a:solidFill>
      <a:srgbClr val="FFFFFF"/>
    </a:solidFill>
    <a:ln w="9360">
      <a:solidFill>
        <a:srgbClr val="D9D9D9"/>
      </a:solidFill>
      <a:round/>
    </a:ln>
  </c:spPr>
</c:chartSpace>
</file>

<file path=xl/charts/chart4.xml><?xml version="1.0" encoding="utf-8"?>
<c:chartSpace xmlns:c="http://schemas.openxmlformats.org/drawingml/2006/chart" xmlns:a="http://schemas.openxmlformats.org/drawingml/2006/main" xmlns:r="http://schemas.openxmlformats.org/officeDocument/2006/relationships">
  <c:lang val="en-US"/>
  <c:roundedCorners val="0"/>
  <c:style val="2"/>
  <c:chart>
    <c:title>
      <c:tx>
        <c:rich>
          <a:bodyPr rot="0"/>
          <a:lstStyle/>
          <a:p>
            <a:pPr>
              <a:defRPr sz="1300" b="0" u="none" strike="noStrike">
                <a:uFillTx/>
                <a:latin typeface="Arial"/>
              </a:defRPr>
            </a:pPr>
            <a:r>
              <a:rPr lang="en-US" sz="1000" b="1" u="none" strike="noStrike">
                <a:solidFill>
                  <a:srgbClr val="274E13"/>
                </a:solidFill>
                <a:uFillTx/>
                <a:latin typeface="Arial"/>
                <a:ea typeface="Calibri"/>
              </a:rPr>
              <a:t>Total de Registros de Agrotóxicos, seus Componentes e Afins</a:t>
            </a:r>
          </a:p>
        </c:rich>
      </c:tx>
      <c:layout>
        <c:manualLayout>
          <c:xMode val="edge"/>
          <c:yMode val="edge"/>
          <c:x val="0.30554926387316"/>
          <c:y val="0.0142898804316127"/>
        </c:manualLayout>
      </c:layout>
      <c:overlay val="0"/>
      <c:spPr>
        <a:noFill/>
        <a:ln w="0">
          <a:noFill/>
        </a:ln>
      </c:spPr>
    </c:title>
    <c:autoTitleDeleted val="0"/>
    <c:plotArea>
      <c:lineChart>
        <c:grouping val="standard"/>
        <c:varyColors val="0"/>
        <c:ser>
          <c:idx val="0"/>
          <c:order val="0"/>
          <c:tx>
            <c:strRef>
              <c:f>Resumo!$A$23</c:f>
              <c:strCache>
                <c:ptCount val="1"/>
                <c:pt idx="0">
                  <c:v>Total Geral de Registros</c:v>
                </c:pt>
              </c:strCache>
            </c:strRef>
          </c:tx>
          <c:spPr>
            <a:solidFill>
              <a:srgbClr val="4472C4"/>
            </a:solidFill>
            <a:ln w="38160">
              <a:solidFill>
                <a:srgbClr val="4472C4"/>
              </a:solidFill>
              <a:round/>
            </a:ln>
          </c:spPr>
          <c:dPt>
            <c:idx val="1"/>
          </c:dPt>
          <c:dPt>
            <c:idx val="2"/>
          </c:dPt>
          <c:dPt>
            <c:idx val="3"/>
          </c:dPt>
          <c:dPt>
            <c:idx val="4"/>
          </c:dPt>
          <c:dPt>
            <c:idx val="5"/>
          </c:dPt>
          <c:dPt>
            <c:idx val="6"/>
          </c:dPt>
          <c:dPt>
            <c:idx val="7"/>
          </c:dPt>
          <c:dPt>
            <c:idx val="8"/>
          </c:dPt>
          <c:dPt>
            <c:idx val="10"/>
          </c:dPt>
          <c:dPt>
            <c:idx val="11"/>
          </c:dPt>
          <c:dPt>
            <c:idx val="13"/>
          </c:dPt>
          <c:dPt>
            <c:idx val="14"/>
          </c:dPt>
          <c:dPt>
            <c:idx val="18"/>
          </c:dPt>
          <c:dPt>
            <c:idx val="19"/>
          </c:dPt>
          <c:dPt>
            <c:idx val="22"/>
          </c:dPt>
          <c:dPt>
            <c:idx val="23"/>
          </c:dPt>
          <c:dPt>
            <c:idx val="24"/>
          </c:dPt>
          <c:dPt>
            <c:idx val="25"/>
          </c:dPt>
          <c:dLbls>
            <c:dLbl>
              <c:idx val="1"/>
              <c:layout>
                <c:manualLayout>
                  <c:x val="-0.0197754811500093"/>
                  <c:y val="-0.0243172179970276"/>
                </c:manualLayout>
              </c:layout>
              <c:numFmt formatCode="General" sourceLinked="1"/>
              <c:txPr>
                <a:bodyPr wrap="square"/>
                <a:lstStyle/>
                <a:p>
                  <a:pPr>
                    <a:defRPr sz="1200" b="1" u="none" strike="noStrike">
                      <a:solidFill>
                        <a:srgbClr val="000000"/>
                      </a:solidFill>
                      <a:uFillTx/>
                      <a:latin typeface="Calibri"/>
                    </a:defRPr>
                  </a:pPr>
                </a:p>
              </c:txPr>
              <c:dLblPos val="r"/>
              <c:showLegendKey val="0"/>
              <c:showVal val="1"/>
              <c:showCatName val="0"/>
              <c:showSerName val="0"/>
              <c:showPercent val="0"/>
              <c:separator>; </c:separator>
            </c:dLbl>
            <c:dLbl>
              <c:idx val="2"/>
              <c:layout>
                <c:manualLayout>
                  <c:x val="-0.0186122081558901"/>
                  <c:y val="0.016835016835017"/>
                </c:manualLayout>
              </c:layout>
              <c:numFmt formatCode="General" sourceLinked="1"/>
              <c:txPr>
                <a:bodyPr wrap="square"/>
                <a:lstStyle/>
                <a:p>
                  <a:pPr>
                    <a:defRPr sz="1200" b="1" u="none" strike="noStrike">
                      <a:solidFill>
                        <a:srgbClr val="000000"/>
                      </a:solidFill>
                      <a:uFillTx/>
                      <a:latin typeface="Calibri"/>
                    </a:defRPr>
                  </a:pPr>
                </a:p>
              </c:txPr>
              <c:dLblPos val="r"/>
              <c:showLegendKey val="0"/>
              <c:showVal val="1"/>
              <c:showCatName val="0"/>
              <c:showSerName val="0"/>
              <c:showPercent val="0"/>
              <c:separator>; </c:separator>
            </c:dLbl>
            <c:dLbl>
              <c:idx val="3"/>
              <c:layout>
                <c:manualLayout>
                  <c:x val="-0.0174489073985319"/>
                  <c:y val="-0.022446646757272"/>
                </c:manualLayout>
              </c:layout>
              <c:numFmt formatCode="General" sourceLinked="1"/>
              <c:txPr>
                <a:bodyPr wrap="square"/>
                <a:lstStyle/>
                <a:p>
                  <a:pPr>
                    <a:defRPr sz="1200" b="1" u="none" strike="noStrike">
                      <a:solidFill>
                        <a:srgbClr val="000000"/>
                      </a:solidFill>
                      <a:uFillTx/>
                      <a:latin typeface="Calibri"/>
                    </a:defRPr>
                  </a:pPr>
                </a:p>
              </c:txPr>
              <c:dLblPos val="r"/>
              <c:showLegendKey val="0"/>
              <c:showVal val="1"/>
              <c:showCatName val="0"/>
              <c:showSerName val="0"/>
              <c:showPercent val="0"/>
              <c:separator>; </c:separator>
            </c:dLbl>
            <c:dLbl>
              <c:idx val="4"/>
              <c:layout>
                <c:manualLayout>
                  <c:x val="-0.0197754631154483"/>
                  <c:y val="0.0187056617187654"/>
                </c:manualLayout>
              </c:layout>
              <c:numFmt formatCode="General" sourceLinked="1"/>
              <c:txPr>
                <a:bodyPr wrap="square"/>
                <a:lstStyle/>
                <a:p>
                  <a:pPr>
                    <a:defRPr sz="1200" b="1" u="none" strike="noStrike">
                      <a:solidFill>
                        <a:srgbClr val="000000"/>
                      </a:solidFill>
                      <a:uFillTx/>
                      <a:latin typeface="Calibri"/>
                    </a:defRPr>
                  </a:pPr>
                </a:p>
              </c:txPr>
              <c:dLblPos val="r"/>
              <c:showLegendKey val="0"/>
              <c:showVal val="1"/>
              <c:showCatName val="0"/>
              <c:showSerName val="0"/>
              <c:showPercent val="0"/>
              <c:separator>; </c:separator>
            </c:dLbl>
            <c:dLbl>
              <c:idx val="5"/>
              <c:layout>
                <c:manualLayout>
                  <c:x val="-0.018030584971332"/>
                  <c:y val="0.0187056313460123"/>
                </c:manualLayout>
              </c:layout>
              <c:numFmt formatCode="General" sourceLinked="1"/>
              <c:txPr>
                <a:bodyPr wrap="square"/>
                <a:lstStyle/>
                <a:p>
                  <a:pPr>
                    <a:defRPr sz="1200" b="1" u="none" strike="noStrike">
                      <a:solidFill>
                        <a:srgbClr val="000000"/>
                      </a:solidFill>
                      <a:uFillTx/>
                      <a:latin typeface="Calibri"/>
                    </a:defRPr>
                  </a:pPr>
                </a:p>
              </c:txPr>
              <c:dLblPos val="r"/>
              <c:showLegendKey val="0"/>
              <c:showVal val="1"/>
              <c:showCatName val="0"/>
              <c:showSerName val="0"/>
              <c:showPercent val="0"/>
              <c:separator>; </c:separator>
            </c:dLbl>
            <c:dLbl>
              <c:idx val="6"/>
              <c:layout>
                <c:manualLayout>
                  <c:x val="-0.0372244429367829"/>
                  <c:y val="-0.0149644023240216"/>
                </c:manualLayout>
              </c:layout>
              <c:numFmt formatCode="General" sourceLinked="1"/>
              <c:txPr>
                <a:bodyPr wrap="square"/>
                <a:lstStyle/>
                <a:p>
                  <a:pPr>
                    <a:defRPr sz="1200" b="1" u="none" strike="noStrike">
                      <a:solidFill>
                        <a:srgbClr val="000000"/>
                      </a:solidFill>
                      <a:uFillTx/>
                      <a:latin typeface="Calibri"/>
                    </a:defRPr>
                  </a:pPr>
                </a:p>
              </c:txPr>
              <c:dLblPos val="r"/>
              <c:showLegendKey val="0"/>
              <c:showVal val="1"/>
              <c:showCatName val="0"/>
              <c:showSerName val="0"/>
              <c:showPercent val="0"/>
              <c:separator>; </c:separator>
            </c:dLbl>
            <c:dLbl>
              <c:idx val="7"/>
              <c:layout>
                <c:manualLayout>
                  <c:x val="-0.0255918292242806"/>
                  <c:y val="-0.0233819678264122"/>
                </c:manualLayout>
              </c:layout>
              <c:numFmt formatCode="General" sourceLinked="1"/>
              <c:txPr>
                <a:bodyPr wrap="square"/>
                <a:lstStyle/>
                <a:p>
                  <a:pPr>
                    <a:defRPr sz="1200" b="1" u="none" strike="noStrike">
                      <a:solidFill>
                        <a:srgbClr val="000000"/>
                      </a:solidFill>
                      <a:uFillTx/>
                      <a:latin typeface="Calibri"/>
                    </a:defRPr>
                  </a:pPr>
                </a:p>
              </c:txPr>
              <c:dLblPos val="r"/>
              <c:showLegendKey val="0"/>
              <c:showVal val="1"/>
              <c:showCatName val="0"/>
              <c:showSerName val="0"/>
              <c:showPercent val="0"/>
              <c:separator>; </c:separator>
            </c:dLbl>
            <c:dLbl>
              <c:idx val="8"/>
              <c:layout>
                <c:manualLayout>
                  <c:x val="-0.0180305583463292"/>
                  <c:y val="-0.0252525252525252"/>
                </c:manualLayout>
              </c:layout>
              <c:numFmt formatCode="General" sourceLinked="1"/>
              <c:txPr>
                <a:bodyPr wrap="square"/>
                <a:lstStyle/>
                <a:p>
                  <a:pPr>
                    <a:defRPr sz="1200" b="1" u="none" strike="noStrike">
                      <a:solidFill>
                        <a:srgbClr val="000000"/>
                      </a:solidFill>
                      <a:uFillTx/>
                      <a:latin typeface="Calibri"/>
                    </a:defRPr>
                  </a:pPr>
                </a:p>
              </c:txPr>
              <c:dLblPos val="r"/>
              <c:showLegendKey val="0"/>
              <c:showVal val="1"/>
              <c:showCatName val="0"/>
              <c:showSerName val="0"/>
              <c:showPercent val="0"/>
              <c:separator>; </c:separator>
            </c:dLbl>
            <c:dLbl>
              <c:idx val="10"/>
              <c:layout>
                <c:manualLayout>
                  <c:x val="-0.0244285465014832"/>
                  <c:y val="0.0243173036243512"/>
                </c:manualLayout>
              </c:layout>
              <c:numFmt formatCode="General" sourceLinked="1"/>
              <c:txPr>
                <a:bodyPr wrap="square"/>
                <a:lstStyle/>
                <a:p>
                  <a:pPr>
                    <a:defRPr sz="1200" b="1" u="none" strike="noStrike">
                      <a:solidFill>
                        <a:srgbClr val="000000"/>
                      </a:solidFill>
                      <a:uFillTx/>
                      <a:latin typeface="Calibri"/>
                    </a:defRPr>
                  </a:pPr>
                </a:p>
              </c:txPr>
              <c:dLblPos val="r"/>
              <c:showLegendKey val="0"/>
              <c:showVal val="1"/>
              <c:showCatName val="0"/>
              <c:showSerName val="0"/>
              <c:showPercent val="0"/>
              <c:separator>; </c:separator>
            </c:dLbl>
            <c:dLbl>
              <c:idx val="11"/>
              <c:layout>
                <c:manualLayout>
                  <c:x val="-0.0255917928705996"/>
                  <c:y val="-0.0261877468806992"/>
                </c:manualLayout>
              </c:layout>
              <c:numFmt formatCode="General" sourceLinked="1"/>
              <c:txPr>
                <a:bodyPr wrap="square"/>
                <a:lstStyle/>
                <a:p>
                  <a:pPr>
                    <a:defRPr sz="1200" b="1" u="none" strike="noStrike">
                      <a:solidFill>
                        <a:srgbClr val="000000"/>
                      </a:solidFill>
                      <a:uFillTx/>
                      <a:latin typeface="Calibri"/>
                    </a:defRPr>
                  </a:pPr>
                </a:p>
              </c:txPr>
              <c:dLblPos val="r"/>
              <c:showLegendKey val="0"/>
              <c:showVal val="1"/>
              <c:showCatName val="0"/>
              <c:showSerName val="0"/>
              <c:showPercent val="0"/>
              <c:separator>; </c:separator>
            </c:dLbl>
            <c:dLbl>
              <c:idx val="13"/>
              <c:layout>
                <c:manualLayout>
                  <c:x val="-0.0232652468823613"/>
                  <c:y val="0.0224466891133559"/>
                </c:manualLayout>
              </c:layout>
              <c:numFmt formatCode="General" sourceLinked="1"/>
              <c:txPr>
                <a:bodyPr wrap="square"/>
                <a:lstStyle/>
                <a:p>
                  <a:pPr>
                    <a:defRPr sz="1200" b="1" u="none" strike="noStrike">
                      <a:solidFill>
                        <a:srgbClr val="000000"/>
                      </a:solidFill>
                      <a:uFillTx/>
                      <a:latin typeface="Calibri"/>
                    </a:defRPr>
                  </a:pPr>
                </a:p>
              </c:txPr>
              <c:dLblPos val="r"/>
              <c:showLegendKey val="0"/>
              <c:showVal val="1"/>
              <c:showCatName val="0"/>
              <c:showSerName val="0"/>
              <c:showPercent val="0"/>
              <c:separator>; </c:separator>
            </c:dLbl>
            <c:dLbl>
              <c:idx val="14"/>
              <c:layout>
                <c:manualLayout>
                  <c:x val="-0.0186122081558901"/>
                  <c:y val="-0.0261877468806992"/>
                </c:manualLayout>
              </c:layout>
              <c:numFmt formatCode="General" sourceLinked="1"/>
              <c:txPr>
                <a:bodyPr wrap="square"/>
                <a:lstStyle/>
                <a:p>
                  <a:pPr>
                    <a:defRPr sz="1200" b="1" u="none" strike="noStrike">
                      <a:solidFill>
                        <a:srgbClr val="000000"/>
                      </a:solidFill>
                      <a:uFillTx/>
                      <a:latin typeface="Calibri"/>
                    </a:defRPr>
                  </a:pPr>
                </a:p>
              </c:txPr>
              <c:dLblPos val="r"/>
              <c:showLegendKey val="0"/>
              <c:showVal val="1"/>
              <c:showCatName val="0"/>
              <c:showSerName val="0"/>
              <c:showPercent val="0"/>
              <c:separator>; </c:separator>
            </c:dLbl>
            <c:dLbl>
              <c:idx val="18"/>
              <c:layout>
                <c:manualLayout>
                  <c:x val="-0.036061169942664"/>
                  <c:y val="-0.0205761174160222"/>
                </c:manualLayout>
              </c:layout>
              <c:numFmt formatCode="General" sourceLinked="1"/>
              <c:txPr>
                <a:bodyPr wrap="square"/>
                <a:lstStyle/>
                <a:p>
                  <a:pPr>
                    <a:defRPr sz="1200" b="1" u="none" strike="noStrike">
                      <a:solidFill>
                        <a:srgbClr val="000000"/>
                      </a:solidFill>
                      <a:uFillTx/>
                      <a:latin typeface="Calibri"/>
                    </a:defRPr>
                  </a:pPr>
                </a:p>
              </c:txPr>
              <c:dLblPos val="r"/>
              <c:showLegendKey val="0"/>
              <c:showVal val="1"/>
              <c:showCatName val="0"/>
              <c:showSerName val="0"/>
              <c:showPercent val="0"/>
              <c:separator>; </c:separator>
            </c:dLbl>
            <c:dLbl>
              <c:idx val="19"/>
              <c:layout>
                <c:manualLayout>
                  <c:x val="-0.0226836503228059"/>
                  <c:y val="-0.0280583613916948"/>
                </c:manualLayout>
              </c:layout>
              <c:numFmt formatCode="General" sourceLinked="1"/>
              <c:txPr>
                <a:bodyPr wrap="square"/>
                <a:lstStyle/>
                <a:p>
                  <a:pPr>
                    <a:defRPr sz="1200" b="1" u="none" strike="noStrike">
                      <a:solidFill>
                        <a:srgbClr val="000000"/>
                      </a:solidFill>
                      <a:uFillTx/>
                      <a:latin typeface="Calibri"/>
                    </a:defRPr>
                  </a:pPr>
                </a:p>
              </c:txPr>
              <c:dLblPos val="r"/>
              <c:showLegendKey val="0"/>
              <c:showVal val="1"/>
              <c:showCatName val="0"/>
              <c:showSerName val="0"/>
              <c:showPercent val="0"/>
              <c:separator>; </c:separator>
            </c:dLbl>
            <c:dLbl>
              <c:idx val="22"/>
              <c:layout>
                <c:manualLayout>
                  <c:x val="-0.0255917396205942"/>
                  <c:y val="-0.0252525252525252"/>
                </c:manualLayout>
              </c:layout>
              <c:numFmt formatCode="General" sourceLinked="1"/>
              <c:txPr>
                <a:bodyPr wrap="square"/>
                <a:lstStyle/>
                <a:p>
                  <a:pPr>
                    <a:defRPr sz="1200" b="1" u="none" strike="noStrike">
                      <a:solidFill>
                        <a:srgbClr val="000000"/>
                      </a:solidFill>
                      <a:uFillTx/>
                      <a:latin typeface="Calibri"/>
                    </a:defRPr>
                  </a:pPr>
                </a:p>
              </c:txPr>
              <c:dLblPos val="r"/>
              <c:showLegendKey val="0"/>
              <c:showVal val="1"/>
              <c:showCatName val="0"/>
              <c:showSerName val="0"/>
              <c:showPercent val="0"/>
              <c:separator>; </c:separator>
            </c:dLbl>
            <c:dLbl>
              <c:idx val="23"/>
              <c:layout>
                <c:manualLayout>
                  <c:x val="-0.0244285465014833"/>
                  <c:y val="0.0224466891133558"/>
                </c:manualLayout>
              </c:layout>
              <c:numFmt formatCode="General" sourceLinked="1"/>
              <c:txPr>
                <a:bodyPr wrap="square"/>
                <a:lstStyle/>
                <a:p>
                  <a:pPr>
                    <a:defRPr sz="1200" b="1" u="none" strike="noStrike">
                      <a:solidFill>
                        <a:srgbClr val="000000"/>
                      </a:solidFill>
                      <a:uFillTx/>
                      <a:latin typeface="Calibri"/>
                    </a:defRPr>
                  </a:pPr>
                </a:p>
              </c:txPr>
              <c:dLblPos val="r"/>
              <c:showLegendKey val="0"/>
              <c:showVal val="1"/>
              <c:showCatName val="0"/>
              <c:showSerName val="0"/>
              <c:showPercent val="0"/>
              <c:separator>; </c:separator>
            </c:dLbl>
            <c:dLbl>
              <c:idx val="24"/>
              <c:layout>
                <c:manualLayout>
                  <c:x val="-0.020357051084562"/>
                  <c:y val="-0.0215113818578581"/>
                </c:manualLayout>
              </c:layout>
              <c:numFmt formatCode="General" sourceLinked="1"/>
              <c:txPr>
                <a:bodyPr wrap="square"/>
                <a:lstStyle/>
                <a:p>
                  <a:pPr>
                    <a:defRPr sz="1200" b="1" u="none" strike="noStrike">
                      <a:solidFill>
                        <a:srgbClr val="000000"/>
                      </a:solidFill>
                      <a:uFillTx/>
                      <a:latin typeface="Calibri"/>
                    </a:defRPr>
                  </a:pPr>
                </a:p>
              </c:txPr>
              <c:dLblPos val="r"/>
              <c:showLegendKey val="0"/>
              <c:showVal val="1"/>
              <c:showCatName val="0"/>
              <c:showSerName val="0"/>
              <c:showPercent val="0"/>
              <c:separator>; </c:separator>
            </c:dLbl>
            <c:dLbl>
              <c:idx val="25"/>
              <c:layout>
                <c:manualLayout>
                  <c:x val="-0.016285662167652"/>
                  <c:y val="0.0317995047863619"/>
                </c:manualLayout>
              </c:layout>
              <c:numFmt formatCode="General" sourceLinked="1"/>
              <c:txPr>
                <a:bodyPr wrap="square"/>
                <a:lstStyle/>
                <a:p>
                  <a:pPr>
                    <a:defRPr sz="1200" b="1" u="none" strike="noStrike">
                      <a:solidFill>
                        <a:srgbClr val="000000"/>
                      </a:solidFill>
                      <a:uFillTx/>
                      <a:latin typeface="Calibri"/>
                    </a:defRPr>
                  </a:pPr>
                </a:p>
              </c:txPr>
              <c:dLblPos val="r"/>
              <c:showLegendKey val="0"/>
              <c:showVal val="1"/>
              <c:showCatName val="0"/>
              <c:showSerName val="0"/>
              <c:showPercent val="0"/>
              <c:separator>; </c:separator>
            </c:dLbl>
            <c:numFmt formatCode="General" sourceLinked="1"/>
            <c:txPr>
              <a:bodyPr wrap="square"/>
              <a:lstStyle/>
              <a:p>
                <a:pPr>
                  <a:defRPr sz="1200" b="1" u="none" strike="noStrike">
                    <a:solidFill>
                      <a:srgbClr val="000000"/>
                    </a:solidFill>
                    <a:uFillTx/>
                    <a:latin typeface="Calibri"/>
                  </a:defRPr>
                </a:pPr>
              </a:p>
            </c:txPr>
            <c:dLblPos val="r"/>
            <c:showLegendKey val="0"/>
            <c:showVal val="1"/>
            <c:showCatName val="0"/>
            <c:showSerName val="0"/>
            <c:showPercent val="0"/>
            <c:separator>; </c:separator>
            <c:showLeaderLines val="1"/>
            <c:leaderLines>
              <c:spPr>
                <a:ln w="38160">
                  <a:solidFill>
                    <a:srgbClr val="000000"/>
                  </a:solidFill>
                </a:ln>
              </c:spPr>
            </c:leaderLines>
            <c:extLst>
              <c:ext xmlns:c15="http://schemas.microsoft.com/office/drawing/2012/chart" uri="{CE6537A1-D6FC-4f65-9D91-7224C49458BB}">
                <c15:showLeaderLines val="1"/>
              </c:ext>
            </c:extLst>
          </c:dLbls>
          <c:cat>
            <c:strRef>
              <c:f>Resumo!$B$9:$AB$9</c:f>
              <c:strCache>
                <c:ptCount val="27"/>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strCache>
            </c:strRef>
          </c:cat>
          <c:val>
            <c:numRef>
              <c:f>Resumo!$B$23:$AB$23</c:f>
              <c:numCache>
                <c:formatCode>General</c:formatCode>
                <c:ptCount val="27"/>
                <c:pt idx="0">
                  <c:v>82</c:v>
                </c:pt>
                <c:pt idx="1">
                  <c:v>115</c:v>
                </c:pt>
                <c:pt idx="2">
                  <c:v>53</c:v>
                </c:pt>
                <c:pt idx="3">
                  <c:v>77</c:v>
                </c:pt>
                <c:pt idx="4">
                  <c:v>84</c:v>
                </c:pt>
                <c:pt idx="5">
                  <c:v>89</c:v>
                </c:pt>
                <c:pt idx="6">
                  <c:v>109</c:v>
                </c:pt>
                <c:pt idx="7">
                  <c:v>202</c:v>
                </c:pt>
                <c:pt idx="8">
                  <c:v>191</c:v>
                </c:pt>
                <c:pt idx="9">
                  <c:v>137</c:v>
                </c:pt>
                <c:pt idx="10">
                  <c:v>104</c:v>
                </c:pt>
                <c:pt idx="11">
                  <c:v>146</c:v>
                </c:pt>
                <c:pt idx="12">
                  <c:v>168</c:v>
                </c:pt>
                <c:pt idx="13">
                  <c:v>110</c:v>
                </c:pt>
                <c:pt idx="14">
                  <c:v>148</c:v>
                </c:pt>
                <c:pt idx="15">
                  <c:v>139</c:v>
                </c:pt>
                <c:pt idx="16">
                  <c:v>277</c:v>
                </c:pt>
                <c:pt idx="17">
                  <c:v>404</c:v>
                </c:pt>
                <c:pt idx="18">
                  <c:v>449</c:v>
                </c:pt>
                <c:pt idx="19">
                  <c:v>475</c:v>
                </c:pt>
                <c:pt idx="20">
                  <c:v>493</c:v>
                </c:pt>
                <c:pt idx="21">
                  <c:v>562</c:v>
                </c:pt>
                <c:pt idx="22">
                  <c:v>652</c:v>
                </c:pt>
                <c:pt idx="23">
                  <c:v>555</c:v>
                </c:pt>
                <c:pt idx="24">
                  <c:v>663</c:v>
                </c:pt>
                <c:pt idx="25">
                  <c:v>912</c:v>
                </c:pt>
                <c:pt idx="26">
                  <c:v>574</c:v>
                </c:pt>
              </c:numCache>
            </c:numRef>
          </c:val>
          <c:smooth val="0"/>
        </c:ser>
        <c:hiLowLines>
          <c:spPr>
            <a:ln w="0">
              <a:noFill/>
            </a:ln>
          </c:spPr>
        </c:hiLowLines>
        <c:marker val="1"/>
        <c:axId val="46062141"/>
        <c:axId val="78557912"/>
      </c:lineChart>
      <c:catAx>
        <c:axId val="46062141"/>
        <c:scaling>
          <c:orientation val="minMax"/>
        </c:scaling>
        <c:delete val="0"/>
        <c:axPos val="b"/>
        <c:title>
          <c:tx>
            <c:rich>
              <a:bodyPr rot="0"/>
              <a:lstStyle/>
              <a:p>
                <a:pPr>
                  <a:defRPr sz="1300" b="0" u="none" strike="noStrike">
                    <a:uFillTx/>
                    <a:latin typeface="Arial"/>
                  </a:defRPr>
                </a:pPr>
                <a:r>
                  <a:rPr lang="en-US" sz="1000" b="1" u="none" strike="noStrike">
                    <a:solidFill>
                      <a:srgbClr val="274E13"/>
                    </a:solidFill>
                    <a:uFillTx/>
                    <a:latin typeface="Arial"/>
                    <a:ea typeface="Calibri"/>
                  </a:rPr>
                  <a:t>Ano</a:t>
                </a:r>
              </a:p>
            </c:rich>
          </c:tx>
          <c:overlay val="0"/>
          <c:spPr>
            <a:noFill/>
            <a:ln w="0">
              <a:noFill/>
            </a:ln>
          </c:spPr>
        </c:title>
        <c:numFmt formatCode="General" sourceLinked="0"/>
        <c:majorTickMark val="cross"/>
        <c:minorTickMark val="none"/>
        <c:tickLblPos val="nextTo"/>
        <c:spPr>
          <a:ln w="6480">
            <a:solidFill>
              <a:srgbClr val="8B8B8B"/>
            </a:solidFill>
            <a:round/>
          </a:ln>
        </c:spPr>
        <c:txPr>
          <a:bodyPr/>
          <a:lstStyle/>
          <a:p>
            <a:pPr>
              <a:defRPr sz="1000" b="1" u="none" strike="noStrike">
                <a:solidFill>
                  <a:srgbClr val="274E13"/>
                </a:solidFill>
                <a:uFillTx/>
                <a:latin typeface="Arial"/>
                <a:ea typeface="Calibri"/>
              </a:defRPr>
            </a:pPr>
          </a:p>
        </c:txPr>
        <c:crossAx val="78557912"/>
        <c:crosses val="autoZero"/>
        <c:auto val="1"/>
        <c:lblAlgn val="ctr"/>
        <c:lblOffset val="100"/>
        <c:noMultiLvlLbl val="0"/>
      </c:catAx>
      <c:valAx>
        <c:axId val="78557912"/>
        <c:scaling>
          <c:orientation val="minMax"/>
          <c:max val="930"/>
          <c:min val="0"/>
        </c:scaling>
        <c:delete val="0"/>
        <c:axPos val="l"/>
        <c:majorGridlines>
          <c:spPr>
            <a:ln w="6480">
              <a:solidFill>
                <a:srgbClr val="B7B7B7"/>
              </a:solidFill>
              <a:round/>
            </a:ln>
          </c:spPr>
        </c:majorGridlines>
        <c:title>
          <c:tx>
            <c:rich>
              <a:bodyPr rot="-5400000"/>
              <a:lstStyle/>
              <a:p>
                <a:pPr>
                  <a:defRPr sz="1300" b="0" u="none" strike="noStrike">
                    <a:uFillTx/>
                    <a:latin typeface="Arial"/>
                  </a:defRPr>
                </a:pPr>
                <a:r>
                  <a:rPr lang="pt-BR" sz="1000" b="1" u="none" strike="noStrike">
                    <a:solidFill>
                      <a:srgbClr val="274E13"/>
                    </a:solidFill>
                    <a:uFillTx/>
                    <a:latin typeface="Arial"/>
                    <a:ea typeface="Calibri"/>
                  </a:rPr>
                  <a:t>Registros Aprovados</a:t>
                </a:r>
              </a:p>
            </c:rich>
          </c:tx>
          <c:overlay val="0"/>
          <c:spPr>
            <a:noFill/>
            <a:ln w="0">
              <a:noFill/>
            </a:ln>
          </c:spPr>
        </c:title>
        <c:numFmt formatCode="General" sourceLinked="0"/>
        <c:majorTickMark val="cross"/>
        <c:minorTickMark val="cross"/>
        <c:tickLblPos val="nextTo"/>
        <c:spPr>
          <a:ln w="6480">
            <a:solidFill>
              <a:srgbClr val="8B8B8B"/>
            </a:solidFill>
            <a:round/>
          </a:ln>
        </c:spPr>
        <c:txPr>
          <a:bodyPr/>
          <a:lstStyle/>
          <a:p>
            <a:pPr>
              <a:defRPr sz="1000" b="1" u="none" strike="noStrike">
                <a:solidFill>
                  <a:srgbClr val="274E13"/>
                </a:solidFill>
                <a:uFillTx/>
                <a:latin typeface="Arial"/>
                <a:ea typeface="Calibri"/>
              </a:defRPr>
            </a:pPr>
          </a:p>
        </c:txPr>
        <c:crossAx val="46062141"/>
        <c:crosses val="autoZero"/>
        <c:crossBetween val="between"/>
      </c:valAx>
      <c:spPr>
        <a:noFill/>
        <a:ln w="0">
          <a:noFill/>
        </a:ln>
      </c:spPr>
    </c:plotArea>
    <c:plotVisOnly val="1"/>
    <c:dispBlanksAs val="zero"/>
  </c:chart>
  <c:spPr>
    <a:solidFill>
      <a:srgbClr val="FFFFFF"/>
    </a:solidFill>
    <a:ln w="9360">
      <a:solidFill>
        <a:srgbClr val="D9D9D9"/>
      </a:solidFill>
      <a:round/>
    </a:ln>
  </c:spPr>
</c:chartSpace>
</file>

<file path=xl/charts/chart5.xml><?xml version="1.0" encoding="utf-8"?>
<c:chartSpace xmlns:c="http://schemas.openxmlformats.org/drawingml/2006/chart" xmlns:a="http://schemas.openxmlformats.org/drawingml/2006/main" xmlns:r="http://schemas.openxmlformats.org/officeDocument/2006/relationships">
  <c:lang val="en-US"/>
  <c:roundedCorners val="0"/>
  <c:style val="2"/>
  <c:chart>
    <c:title>
      <c:tx>
        <c:rich>
          <a:bodyPr rot="0"/>
          <a:lstStyle/>
          <a:p>
            <a:pPr>
              <a:defRPr sz="1300" b="0" u="none" strike="noStrike">
                <a:uFillTx/>
                <a:latin typeface="Arial"/>
              </a:defRPr>
            </a:pPr>
            <a:r>
              <a:rPr lang="en-US" sz="1000" b="1" u="none" strike="noStrike">
                <a:solidFill>
                  <a:srgbClr val="274E13"/>
                </a:solidFill>
                <a:uFillTx/>
                <a:latin typeface="Arial"/>
                <a:ea typeface="Calibri"/>
              </a:rPr>
              <a:t>Total Registrations of Pesticides, their Components and Related Products</a:t>
            </a:r>
          </a:p>
        </c:rich>
      </c:tx>
      <c:overlay val="0"/>
      <c:spPr>
        <a:noFill/>
        <a:ln w="0">
          <a:noFill/>
        </a:ln>
      </c:spPr>
    </c:title>
    <c:autoTitleDeleted val="0"/>
    <c:plotArea>
      <c:lineChart>
        <c:grouping val="standard"/>
        <c:varyColors val="0"/>
        <c:ser>
          <c:idx val="0"/>
          <c:order val="0"/>
          <c:tx>
            <c:strRef>
              <c:f>Resumo!$A$23</c:f>
              <c:strCache>
                <c:ptCount val="1"/>
                <c:pt idx="0">
                  <c:v>Total Geral de Registros</c:v>
                </c:pt>
              </c:strCache>
            </c:strRef>
          </c:tx>
          <c:spPr>
            <a:solidFill>
              <a:srgbClr val="4472C4"/>
            </a:solidFill>
            <a:ln w="19080">
              <a:solidFill>
                <a:srgbClr val="4472C4"/>
              </a:solidFill>
              <a:round/>
            </a:ln>
          </c:spPr>
          <c:dLbls>
            <c:numFmt formatCode="General" sourceLinked="1"/>
            <c:txPr>
              <a:bodyPr wrap="square"/>
              <a:lstStyle/>
              <a:p>
                <a:pPr>
                  <a:defRPr sz="1000" b="1" u="none" strike="noStrike">
                    <a:solidFill>
                      <a:srgbClr val="000000"/>
                    </a:solidFill>
                    <a:uFillTx/>
                    <a:latin typeface="Calibri"/>
                  </a:defRPr>
                </a:pPr>
              </a:p>
            </c:txPr>
            <c:dLblPos val="r"/>
            <c:showLegendKey val="0"/>
            <c:showVal val="1"/>
            <c:showCatName val="0"/>
            <c:showSerName val="0"/>
            <c:showPercent val="0"/>
            <c:separator>; </c:separator>
            <c:showLeaderLines val="1"/>
            <c:leaderLines>
              <c:spPr>
                <a:ln w="19080">
                  <a:solidFill>
                    <a:srgbClr val="000000"/>
                  </a:solidFill>
                </a:ln>
              </c:spPr>
            </c:leaderLines>
            <c:extLst>
              <c:ext xmlns:c15="http://schemas.microsoft.com/office/drawing/2012/chart" uri="{CE6537A1-D6FC-4f65-9D91-7224C49458BB}">
                <c15:showLeaderLines val="1"/>
              </c:ext>
            </c:extLst>
          </c:dLbls>
          <c:cat>
            <c:strRef>
              <c:f>Resumo!$B$9:$AB$9</c:f>
              <c:strCache>
                <c:ptCount val="27"/>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strCache>
            </c:strRef>
          </c:cat>
          <c:val>
            <c:numRef>
              <c:f>Resumo!$B$23:$AB$23</c:f>
              <c:numCache>
                <c:formatCode>General</c:formatCode>
                <c:ptCount val="27"/>
                <c:pt idx="0">
                  <c:v>82</c:v>
                </c:pt>
                <c:pt idx="1">
                  <c:v>115</c:v>
                </c:pt>
                <c:pt idx="2">
                  <c:v>53</c:v>
                </c:pt>
                <c:pt idx="3">
                  <c:v>77</c:v>
                </c:pt>
                <c:pt idx="4">
                  <c:v>84</c:v>
                </c:pt>
                <c:pt idx="5">
                  <c:v>89</c:v>
                </c:pt>
                <c:pt idx="6">
                  <c:v>109</c:v>
                </c:pt>
                <c:pt idx="7">
                  <c:v>202</c:v>
                </c:pt>
                <c:pt idx="8">
                  <c:v>191</c:v>
                </c:pt>
                <c:pt idx="9">
                  <c:v>137</c:v>
                </c:pt>
                <c:pt idx="10">
                  <c:v>104</c:v>
                </c:pt>
                <c:pt idx="11">
                  <c:v>146</c:v>
                </c:pt>
                <c:pt idx="12">
                  <c:v>168</c:v>
                </c:pt>
                <c:pt idx="13">
                  <c:v>110</c:v>
                </c:pt>
                <c:pt idx="14">
                  <c:v>148</c:v>
                </c:pt>
                <c:pt idx="15">
                  <c:v>139</c:v>
                </c:pt>
                <c:pt idx="16">
                  <c:v>277</c:v>
                </c:pt>
                <c:pt idx="17">
                  <c:v>404</c:v>
                </c:pt>
                <c:pt idx="18">
                  <c:v>449</c:v>
                </c:pt>
                <c:pt idx="19">
                  <c:v>475</c:v>
                </c:pt>
                <c:pt idx="20">
                  <c:v>493</c:v>
                </c:pt>
                <c:pt idx="21">
                  <c:v>562</c:v>
                </c:pt>
                <c:pt idx="22">
                  <c:v>652</c:v>
                </c:pt>
                <c:pt idx="23">
                  <c:v>555</c:v>
                </c:pt>
                <c:pt idx="24">
                  <c:v>663</c:v>
                </c:pt>
                <c:pt idx="25">
                  <c:v>912</c:v>
                </c:pt>
                <c:pt idx="26">
                  <c:v>574</c:v>
                </c:pt>
              </c:numCache>
            </c:numRef>
          </c:val>
          <c:smooth val="0"/>
        </c:ser>
        <c:hiLowLines>
          <c:spPr>
            <a:ln w="0">
              <a:noFill/>
            </a:ln>
          </c:spPr>
        </c:hiLowLines>
        <c:marker val="1"/>
        <c:axId val="39604876"/>
        <c:axId val="89982106"/>
      </c:lineChart>
      <c:catAx>
        <c:axId val="39604876"/>
        <c:scaling>
          <c:orientation val="minMax"/>
        </c:scaling>
        <c:delete val="0"/>
        <c:axPos val="b"/>
        <c:title>
          <c:tx>
            <c:rich>
              <a:bodyPr rot="0"/>
              <a:lstStyle/>
              <a:p>
                <a:pPr>
                  <a:defRPr sz="1300" b="0" u="none" strike="noStrike">
                    <a:uFillTx/>
                    <a:latin typeface="Arial"/>
                  </a:defRPr>
                </a:pPr>
                <a:r>
                  <a:rPr lang="en-US" sz="1000" b="1" u="none" strike="noStrike">
                    <a:solidFill>
                      <a:srgbClr val="274E13"/>
                    </a:solidFill>
                    <a:uFillTx/>
                    <a:latin typeface="Arial"/>
                    <a:ea typeface="Calibri"/>
                  </a:rPr>
                  <a:t>Year</a:t>
                </a:r>
              </a:p>
            </c:rich>
          </c:tx>
          <c:overlay val="0"/>
          <c:spPr>
            <a:noFill/>
            <a:ln w="0">
              <a:noFill/>
            </a:ln>
          </c:spPr>
        </c:title>
        <c:numFmt formatCode="General" sourceLinked="0"/>
        <c:majorTickMark val="cross"/>
        <c:minorTickMark val="none"/>
        <c:tickLblPos val="nextTo"/>
        <c:spPr>
          <a:ln w="6480">
            <a:solidFill>
              <a:srgbClr val="8B8B8B"/>
            </a:solidFill>
            <a:round/>
          </a:ln>
        </c:spPr>
        <c:txPr>
          <a:bodyPr/>
          <a:lstStyle/>
          <a:p>
            <a:pPr>
              <a:defRPr sz="1000" b="1" u="none" strike="noStrike">
                <a:solidFill>
                  <a:srgbClr val="274E13"/>
                </a:solidFill>
                <a:uFillTx/>
                <a:latin typeface="Arial"/>
                <a:ea typeface="Calibri"/>
              </a:defRPr>
            </a:pPr>
          </a:p>
        </c:txPr>
        <c:crossAx val="89982106"/>
        <c:crosses val="autoZero"/>
        <c:auto val="1"/>
        <c:lblAlgn val="ctr"/>
        <c:lblOffset val="100"/>
        <c:noMultiLvlLbl val="0"/>
      </c:catAx>
      <c:valAx>
        <c:axId val="89982106"/>
        <c:scaling>
          <c:orientation val="minMax"/>
          <c:max val="930"/>
          <c:min val="0"/>
        </c:scaling>
        <c:delete val="0"/>
        <c:axPos val="l"/>
        <c:majorGridlines>
          <c:spPr>
            <a:ln w="6480">
              <a:solidFill>
                <a:srgbClr val="B7B7B7"/>
              </a:solidFill>
              <a:round/>
            </a:ln>
          </c:spPr>
        </c:majorGridlines>
        <c:title>
          <c:tx>
            <c:rich>
              <a:bodyPr rot="-5400000"/>
              <a:lstStyle/>
              <a:p>
                <a:pPr>
                  <a:defRPr sz="1300" b="0" u="none" strike="noStrike">
                    <a:uFillTx/>
                    <a:latin typeface="Arial"/>
                  </a:defRPr>
                </a:pPr>
                <a:r>
                  <a:rPr lang="en-US" sz="1000" b="1" u="none" strike="noStrike">
                    <a:solidFill>
                      <a:srgbClr val="274E13"/>
                    </a:solidFill>
                    <a:uFillTx/>
                    <a:latin typeface="Arial"/>
                    <a:ea typeface="Calibri"/>
                  </a:rPr>
                  <a:t>Approved products</a:t>
                </a:r>
              </a:p>
            </c:rich>
          </c:tx>
          <c:overlay val="0"/>
          <c:spPr>
            <a:noFill/>
            <a:ln w="0">
              <a:noFill/>
            </a:ln>
          </c:spPr>
        </c:title>
        <c:numFmt formatCode="General" sourceLinked="0"/>
        <c:majorTickMark val="cross"/>
        <c:minorTickMark val="cross"/>
        <c:tickLblPos val="nextTo"/>
        <c:spPr>
          <a:ln w="6480">
            <a:solidFill>
              <a:srgbClr val="8B8B8B"/>
            </a:solidFill>
            <a:round/>
          </a:ln>
        </c:spPr>
        <c:txPr>
          <a:bodyPr/>
          <a:lstStyle/>
          <a:p>
            <a:pPr>
              <a:defRPr sz="1000" b="1" u="none" strike="noStrike">
                <a:solidFill>
                  <a:srgbClr val="274E13"/>
                </a:solidFill>
                <a:uFillTx/>
                <a:latin typeface="Arial"/>
                <a:ea typeface="Calibri"/>
              </a:defRPr>
            </a:pPr>
          </a:p>
        </c:txPr>
        <c:crossAx val="39604876"/>
        <c:crosses val="autoZero"/>
        <c:crossBetween val="between"/>
      </c:valAx>
      <c:spPr>
        <a:noFill/>
        <a:ln w="0">
          <a:noFill/>
        </a:ln>
      </c:spPr>
    </c:plotArea>
    <c:plotVisOnly val="1"/>
    <c:dispBlanksAs val="zero"/>
  </c:chart>
  <c:spPr>
    <a:solidFill>
      <a:srgbClr val="FFFFFF"/>
    </a:solidFill>
    <a:ln w="9360">
      <a:solidFill>
        <a:srgbClr val="D9D9D9"/>
      </a:solidFill>
      <a:round/>
    </a:ln>
  </c:spPr>
</c:chartSpace>
</file>

<file path=xl/charts/chart6.xml><?xml version="1.0" encoding="utf-8"?>
<c:chartSpace xmlns:c="http://schemas.openxmlformats.org/drawingml/2006/chart" xmlns:a="http://schemas.openxmlformats.org/drawingml/2006/main" xmlns:r="http://schemas.openxmlformats.org/officeDocument/2006/relationships">
  <c:lang val="en-US"/>
  <c:roundedCorners val="0"/>
  <c:style val="2"/>
  <c:chart>
    <c:title>
      <c:tx>
        <c:rich>
          <a:bodyPr rot="0"/>
          <a:lstStyle/>
          <a:p>
            <a:pPr>
              <a:defRPr sz="1300" b="0" u="none" strike="noStrike">
                <a:uFillTx/>
                <a:latin typeface="Arial"/>
              </a:defRPr>
            </a:pPr>
            <a:r>
              <a:rPr lang="en-US" sz="1800" b="1" u="none" strike="noStrike">
                <a:solidFill>
                  <a:srgbClr val="274E13"/>
                </a:solidFill>
                <a:uFillTx/>
                <a:latin typeface="Arial"/>
                <a:ea typeface="Calibri"/>
              </a:rPr>
              <a:t>Classes Toxicológicas dos Registros e Agrotóxicos, seus Componentes e Afins Aprovados</a:t>
            </a:r>
          </a:p>
        </c:rich>
      </c:tx>
      <c:overlay val="0"/>
      <c:spPr>
        <a:noFill/>
        <a:ln w="0">
          <a:noFill/>
        </a:ln>
      </c:spPr>
    </c:title>
    <c:autoTitleDeleted val="0"/>
    <c:plotArea>
      <c:barChart>
        <c:barDir val="col"/>
        <c:grouping val="stacked"/>
        <c:varyColors val="0"/>
        <c:ser>
          <c:idx val="0"/>
          <c:order val="0"/>
          <c:tx>
            <c:strRef>
              <c:f>'Tabela Geral 2020 e Outros'!$A$4</c:f>
              <c:strCache>
                <c:ptCount val="1"/>
                <c:pt idx="0">
                  <c:v>I - Extremamente tóxico</c:v>
                </c:pt>
              </c:strCache>
            </c:strRef>
          </c:tx>
          <c:spPr>
            <a:solidFill>
              <a:srgbClr val="E6352F"/>
            </a:solidFill>
            <a:ln w="0">
              <a:solidFill>
                <a:srgbClr val="000000"/>
              </a:solidFill>
            </a:ln>
          </c:spPr>
          <c:invertIfNegative val="0"/>
          <c:dLbls>
            <c:txPr>
              <a:bodyPr wrap="square"/>
              <a:lstStyle/>
              <a:p>
                <a:pPr>
                  <a:defRPr sz="1000" b="0" u="none" strike="noStrike">
                    <a:solidFill>
                      <a:srgbClr val="000000"/>
                    </a:solidFill>
                    <a:uFillTx/>
                    <a:latin typeface="Calibri"/>
                  </a:defRPr>
                </a:pPr>
              </a:p>
            </c:txPr>
            <c:dLblPos val="ctr"/>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'Tabela Geral 2020 e Outros'!$E$3:$AD$3</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'Tabela Geral 2020 e Outros'!$E$4:$AD$4</c:f>
              <c:numCache>
                <c:formatCode>0</c:formatCode>
                <c:ptCount val="26"/>
                <c:pt idx="0">
                  <c:v>9</c:v>
                </c:pt>
                <c:pt idx="1">
                  <c:v>17</c:v>
                </c:pt>
                <c:pt idx="2">
                  <c:v>11</c:v>
                </c:pt>
                <c:pt idx="3">
                  <c:v>21</c:v>
                </c:pt>
                <c:pt idx="4">
                  <c:v>14</c:v>
                </c:pt>
                <c:pt idx="5">
                  <c:v>16</c:v>
                </c:pt>
                <c:pt idx="6">
                  <c:v>32</c:v>
                </c:pt>
                <c:pt idx="7">
                  <c:v>62</c:v>
                </c:pt>
                <c:pt idx="8">
                  <c:v>72</c:v>
                </c:pt>
                <c:pt idx="9">
                  <c:v>68</c:v>
                </c:pt>
                <c:pt idx="10">
                  <c:v>46</c:v>
                </c:pt>
                <c:pt idx="11">
                  <c:v>44</c:v>
                </c:pt>
                <c:pt idx="12">
                  <c:v>57</c:v>
                </c:pt>
                <c:pt idx="13">
                  <c:v>31</c:v>
                </c:pt>
                <c:pt idx="14">
                  <c:v>59</c:v>
                </c:pt>
                <c:pt idx="15">
                  <c:v>41</c:v>
                </c:pt>
                <c:pt idx="16">
                  <c:v>105</c:v>
                </c:pt>
                <c:pt idx="17">
                  <c:v>134</c:v>
                </c:pt>
                <c:pt idx="18">
                  <c:v>125</c:v>
                </c:pt>
                <c:pt idx="19">
                  <c:v>109</c:v>
                </c:pt>
                <c:pt idx="20">
                  <c:v>1</c:v>
                </c:pt>
                <c:pt idx="21">
                  <c:v>14</c:v>
                </c:pt>
                <c:pt idx="22">
                  <c:v>1</c:v>
                </c:pt>
                <c:pt idx="23">
                  <c:v>0</c:v>
                </c:pt>
                <c:pt idx="24">
                  <c:v>3</c:v>
                </c:pt>
                <c:pt idx="25">
                  <c:v>0</c:v>
                </c:pt>
              </c:numCache>
            </c:numRef>
          </c:val>
        </c:ser>
        <c:ser>
          <c:idx val="1"/>
          <c:order val="1"/>
          <c:tx>
            <c:strRef>
              <c:f>'Tabela Geral 2020 e Outros'!$A$5</c:f>
              <c:strCache>
                <c:ptCount val="1"/>
                <c:pt idx="0">
                  <c:v>Categoria 1 - Produto Extremamente Tóxico</c:v>
                </c:pt>
              </c:strCache>
            </c:strRef>
          </c:tx>
          <c:spPr>
            <a:solidFill>
              <a:srgbClr val="E6352F"/>
            </a:solidFill>
            <a:ln w="0">
              <a:solidFill>
                <a:srgbClr val="000000"/>
              </a:solidFill>
            </a:ln>
          </c:spPr>
          <c:invertIfNegative val="0"/>
          <c:dLbls>
            <c:txPr>
              <a:bodyPr wrap="square"/>
              <a:lstStyle/>
              <a:p>
                <a:pPr>
                  <a:defRPr sz="1000" b="0" u="none" strike="noStrike">
                    <a:solidFill>
                      <a:srgbClr val="000000"/>
                    </a:solidFill>
                    <a:uFillTx/>
                    <a:latin typeface="Calibri"/>
                  </a:defRPr>
                </a:pPr>
              </a:p>
            </c:txPr>
            <c:dLblPos val="ctr"/>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'Tabela Geral 2020 e Outros'!$E$3:$AD$3</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'Tabela Geral 2020 e Outros'!$E$5:$AD$5</c:f>
              <c:numCache>
                <c:formatCode>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c:v>
                </c:pt>
                <c:pt idx="21">
                  <c:v>0</c:v>
                </c:pt>
                <c:pt idx="22">
                  <c:v>1</c:v>
                </c:pt>
                <c:pt idx="23">
                  <c:v>4</c:v>
                </c:pt>
                <c:pt idx="24">
                  <c:v>3</c:v>
                </c:pt>
                <c:pt idx="25">
                  <c:v>4</c:v>
                </c:pt>
              </c:numCache>
            </c:numRef>
          </c:val>
        </c:ser>
        <c:ser>
          <c:idx val="2"/>
          <c:order val="2"/>
          <c:tx>
            <c:strRef>
              <c:f>'Tabela Geral 2020 e Outros'!$A$6</c:f>
              <c:strCache>
                <c:ptCount val="1"/>
                <c:pt idx="0">
                  <c:v>Categoria 2 - Produto Altamente Tóxico</c:v>
                </c:pt>
              </c:strCache>
            </c:strRef>
          </c:tx>
          <c:spPr>
            <a:solidFill>
              <a:srgbClr val="E6352F"/>
            </a:solidFill>
            <a:ln w="0">
              <a:solidFill>
                <a:srgbClr val="000000"/>
              </a:solidFill>
            </a:ln>
          </c:spPr>
          <c:invertIfNegative val="0"/>
          <c:dLbls>
            <c:txPr>
              <a:bodyPr wrap="square"/>
              <a:lstStyle/>
              <a:p>
                <a:pPr>
                  <a:defRPr sz="1000" b="0" u="none" strike="noStrike">
                    <a:solidFill>
                      <a:srgbClr val="000000"/>
                    </a:solidFill>
                    <a:uFillTx/>
                    <a:latin typeface="Calibri"/>
                  </a:defRPr>
                </a:pPr>
              </a:p>
            </c:txPr>
            <c:dLblPos val="ctr"/>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'Tabela Geral 2020 e Outros'!$E$3:$AD$3</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'Tabela Geral 2020 e Outros'!$E$6:$AD$6</c:f>
              <c:numCache>
                <c:formatCode>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13</c:v>
                </c:pt>
                <c:pt idx="21">
                  <c:v>8</c:v>
                </c:pt>
                <c:pt idx="22">
                  <c:v>10</c:v>
                </c:pt>
                <c:pt idx="23">
                  <c:v>17</c:v>
                </c:pt>
                <c:pt idx="24">
                  <c:v>15</c:v>
                </c:pt>
                <c:pt idx="25">
                  <c:v>12</c:v>
                </c:pt>
              </c:numCache>
            </c:numRef>
          </c:val>
        </c:ser>
        <c:ser>
          <c:idx val="3"/>
          <c:order val="3"/>
          <c:tx>
            <c:strRef>
              <c:f>'Tabela Geral 2020 e Outros'!$A$7</c:f>
              <c:strCache>
                <c:ptCount val="1"/>
                <c:pt idx="0">
                  <c:v>II - Altamente tóxico</c:v>
                </c:pt>
              </c:strCache>
            </c:strRef>
          </c:tx>
          <c:spPr>
            <a:solidFill>
              <a:srgbClr val="EEEE42"/>
            </a:solidFill>
            <a:ln w="0">
              <a:solidFill>
                <a:srgbClr val="000000"/>
              </a:solidFill>
            </a:ln>
          </c:spPr>
          <c:invertIfNegative val="0"/>
          <c:dLbls>
            <c:txPr>
              <a:bodyPr wrap="square"/>
              <a:lstStyle/>
              <a:p>
                <a:pPr>
                  <a:defRPr sz="1000" b="0" u="none" strike="noStrike">
                    <a:solidFill>
                      <a:srgbClr val="000000"/>
                    </a:solidFill>
                    <a:uFillTx/>
                    <a:latin typeface="Calibri"/>
                  </a:defRPr>
                </a:pPr>
              </a:p>
            </c:txPr>
            <c:dLblPos val="ctr"/>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'Tabela Geral 2020 e Outros'!$E$3:$AD$3</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'Tabela Geral 2020 e Outros'!$E$7:$AD$7</c:f>
              <c:numCache>
                <c:formatCode>0</c:formatCode>
                <c:ptCount val="26"/>
                <c:pt idx="0">
                  <c:v>17</c:v>
                </c:pt>
                <c:pt idx="1">
                  <c:v>26</c:v>
                </c:pt>
                <c:pt idx="2">
                  <c:v>9</c:v>
                </c:pt>
                <c:pt idx="3">
                  <c:v>8</c:v>
                </c:pt>
                <c:pt idx="4">
                  <c:v>15</c:v>
                </c:pt>
                <c:pt idx="5">
                  <c:v>22</c:v>
                </c:pt>
                <c:pt idx="6">
                  <c:v>21</c:v>
                </c:pt>
                <c:pt idx="7">
                  <c:v>36</c:v>
                </c:pt>
                <c:pt idx="8">
                  <c:v>28</c:v>
                </c:pt>
                <c:pt idx="9">
                  <c:v>13</c:v>
                </c:pt>
                <c:pt idx="10">
                  <c:v>20</c:v>
                </c:pt>
                <c:pt idx="11">
                  <c:v>31</c:v>
                </c:pt>
                <c:pt idx="12">
                  <c:v>44</c:v>
                </c:pt>
                <c:pt idx="13">
                  <c:v>22</c:v>
                </c:pt>
                <c:pt idx="14">
                  <c:v>22</c:v>
                </c:pt>
                <c:pt idx="15">
                  <c:v>16</c:v>
                </c:pt>
                <c:pt idx="16">
                  <c:v>35</c:v>
                </c:pt>
                <c:pt idx="17">
                  <c:v>56</c:v>
                </c:pt>
                <c:pt idx="18">
                  <c:v>58</c:v>
                </c:pt>
                <c:pt idx="19">
                  <c:v>47</c:v>
                </c:pt>
                <c:pt idx="20">
                  <c:v>1</c:v>
                </c:pt>
                <c:pt idx="21">
                  <c:v>0</c:v>
                </c:pt>
                <c:pt idx="22">
                  <c:v>0</c:v>
                </c:pt>
                <c:pt idx="23">
                  <c:v>1</c:v>
                </c:pt>
                <c:pt idx="24">
                  <c:v>3</c:v>
                </c:pt>
                <c:pt idx="25">
                  <c:v>1</c:v>
                </c:pt>
              </c:numCache>
            </c:numRef>
          </c:val>
        </c:ser>
        <c:ser>
          <c:idx val="4"/>
          <c:order val="4"/>
          <c:tx>
            <c:strRef>
              <c:f>'Tabela Geral 2020 e Outros'!$A$8</c:f>
              <c:strCache>
                <c:ptCount val="1"/>
                <c:pt idx="0">
                  <c:v>Categoria 3 - Produto Moderadamente Tóxico</c:v>
                </c:pt>
              </c:strCache>
            </c:strRef>
          </c:tx>
          <c:spPr>
            <a:solidFill>
              <a:srgbClr val="EEEE42"/>
            </a:solidFill>
            <a:ln w="0">
              <a:solidFill>
                <a:srgbClr val="000000"/>
              </a:solidFill>
            </a:ln>
          </c:spPr>
          <c:invertIfNegative val="0"/>
          <c:dLbls>
            <c:txPr>
              <a:bodyPr wrap="square"/>
              <a:lstStyle/>
              <a:p>
                <a:pPr>
                  <a:defRPr sz="1000" b="0" u="none" strike="noStrike">
                    <a:solidFill>
                      <a:srgbClr val="000000"/>
                    </a:solidFill>
                    <a:uFillTx/>
                    <a:latin typeface="Calibri"/>
                  </a:defRPr>
                </a:pPr>
              </a:p>
            </c:txPr>
            <c:dLblPos val="ctr"/>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'Tabela Geral 2020 e Outros'!$E$3:$AD$3</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'Tabela Geral 2020 e Outros'!$E$8:$AD$8</c:f>
              <c:numCache>
                <c:formatCode>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9</c:v>
                </c:pt>
                <c:pt idx="21">
                  <c:v>28</c:v>
                </c:pt>
                <c:pt idx="22">
                  <c:v>20</c:v>
                </c:pt>
                <c:pt idx="23">
                  <c:v>11</c:v>
                </c:pt>
                <c:pt idx="24">
                  <c:v>18</c:v>
                </c:pt>
                <c:pt idx="25">
                  <c:v>17</c:v>
                </c:pt>
              </c:numCache>
            </c:numRef>
          </c:val>
        </c:ser>
        <c:ser>
          <c:idx val="5"/>
          <c:order val="5"/>
          <c:tx>
            <c:strRef>
              <c:f>'Tabela Geral 2020 e Outros'!$A$9</c:f>
              <c:strCache>
                <c:ptCount val="1"/>
                <c:pt idx="0">
                  <c:v>III - Medianamente tóxico</c:v>
                </c:pt>
              </c:strCache>
            </c:strRef>
          </c:tx>
          <c:spPr>
            <a:solidFill>
              <a:srgbClr val="17A2D5"/>
            </a:solidFill>
            <a:ln w="0">
              <a:solidFill>
                <a:srgbClr val="000000"/>
              </a:solidFill>
            </a:ln>
          </c:spPr>
          <c:invertIfNegative val="0"/>
          <c:dLbls>
            <c:txPr>
              <a:bodyPr wrap="square"/>
              <a:lstStyle/>
              <a:p>
                <a:pPr>
                  <a:defRPr sz="1000" b="0" u="none" strike="noStrike">
                    <a:solidFill>
                      <a:srgbClr val="000000"/>
                    </a:solidFill>
                    <a:uFillTx/>
                    <a:latin typeface="Calibri"/>
                  </a:defRPr>
                </a:pPr>
              </a:p>
            </c:txPr>
            <c:dLblPos val="ctr"/>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'Tabela Geral 2020 e Outros'!$E$3:$AD$3</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'Tabela Geral 2020 e Outros'!$E$9:$AD$9</c:f>
              <c:numCache>
                <c:formatCode>0</c:formatCode>
                <c:ptCount val="26"/>
                <c:pt idx="0">
                  <c:v>34</c:v>
                </c:pt>
                <c:pt idx="1">
                  <c:v>49</c:v>
                </c:pt>
                <c:pt idx="2">
                  <c:v>21</c:v>
                </c:pt>
                <c:pt idx="3">
                  <c:v>39</c:v>
                </c:pt>
                <c:pt idx="4">
                  <c:v>32</c:v>
                </c:pt>
                <c:pt idx="5">
                  <c:v>39</c:v>
                </c:pt>
                <c:pt idx="6">
                  <c:v>43</c:v>
                </c:pt>
                <c:pt idx="7">
                  <c:v>87</c:v>
                </c:pt>
                <c:pt idx="8">
                  <c:v>76</c:v>
                </c:pt>
                <c:pt idx="9">
                  <c:v>51</c:v>
                </c:pt>
                <c:pt idx="10">
                  <c:v>33</c:v>
                </c:pt>
                <c:pt idx="11">
                  <c:v>56</c:v>
                </c:pt>
                <c:pt idx="12">
                  <c:v>50</c:v>
                </c:pt>
                <c:pt idx="13">
                  <c:v>47</c:v>
                </c:pt>
                <c:pt idx="14">
                  <c:v>60</c:v>
                </c:pt>
                <c:pt idx="15">
                  <c:v>52</c:v>
                </c:pt>
                <c:pt idx="16">
                  <c:v>89</c:v>
                </c:pt>
                <c:pt idx="17">
                  <c:v>165</c:v>
                </c:pt>
                <c:pt idx="18">
                  <c:v>205</c:v>
                </c:pt>
                <c:pt idx="19">
                  <c:v>160</c:v>
                </c:pt>
                <c:pt idx="20">
                  <c:v>5</c:v>
                </c:pt>
                <c:pt idx="21">
                  <c:v>7</c:v>
                </c:pt>
                <c:pt idx="22">
                  <c:v>5</c:v>
                </c:pt>
                <c:pt idx="23">
                  <c:v>4</c:v>
                </c:pt>
                <c:pt idx="24">
                  <c:v>2</c:v>
                </c:pt>
                <c:pt idx="25">
                  <c:v>0</c:v>
                </c:pt>
              </c:numCache>
            </c:numRef>
          </c:val>
        </c:ser>
        <c:ser>
          <c:idx val="6"/>
          <c:order val="6"/>
          <c:tx>
            <c:strRef>
              <c:f>'Tabela Geral 2020 e Outros'!$A$10</c:f>
              <c:strCache>
                <c:ptCount val="1"/>
                <c:pt idx="0">
                  <c:v>Categoria 4 - Produto Pouco Tóxico</c:v>
                </c:pt>
              </c:strCache>
            </c:strRef>
          </c:tx>
          <c:spPr>
            <a:solidFill>
              <a:srgbClr val="17A2D5"/>
            </a:solidFill>
            <a:ln w="0">
              <a:solidFill>
                <a:srgbClr val="000000"/>
              </a:solidFill>
            </a:ln>
          </c:spPr>
          <c:invertIfNegative val="0"/>
          <c:dLbls>
            <c:txPr>
              <a:bodyPr wrap="square"/>
              <a:lstStyle/>
              <a:p>
                <a:pPr>
                  <a:defRPr sz="1000" b="0" u="none" strike="noStrike">
                    <a:solidFill>
                      <a:srgbClr val="000000"/>
                    </a:solidFill>
                    <a:uFillTx/>
                    <a:latin typeface="Calibri"/>
                  </a:defRPr>
                </a:pPr>
              </a:p>
            </c:txPr>
            <c:dLblPos val="ctr"/>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'Tabela Geral 2020 e Outros'!$E$3:$AD$3</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'Tabela Geral 2020 e Outros'!$E$10:$AD$10</c:f>
              <c:numCache>
                <c:formatCode>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5</c:v>
                </c:pt>
                <c:pt idx="20">
                  <c:v>74</c:v>
                </c:pt>
                <c:pt idx="21">
                  <c:v>74</c:v>
                </c:pt>
                <c:pt idx="22">
                  <c:v>81</c:v>
                </c:pt>
                <c:pt idx="23">
                  <c:v>77</c:v>
                </c:pt>
                <c:pt idx="24">
                  <c:v>100</c:v>
                </c:pt>
                <c:pt idx="25">
                  <c:v>135</c:v>
                </c:pt>
              </c:numCache>
            </c:numRef>
          </c:val>
        </c:ser>
        <c:ser>
          <c:idx val="7"/>
          <c:order val="7"/>
          <c:tx>
            <c:strRef>
              <c:f>'Tabela Geral 2020 e Outros'!$A$11</c:f>
              <c:strCache>
                <c:ptCount val="1"/>
                <c:pt idx="0">
                  <c:v>Categoria 5 - Produto Improvável de Causar Dano Agudo</c:v>
                </c:pt>
              </c:strCache>
            </c:strRef>
          </c:tx>
          <c:spPr>
            <a:solidFill>
              <a:srgbClr val="17A2D5"/>
            </a:solidFill>
            <a:ln w="0">
              <a:solidFill>
                <a:srgbClr val="000000"/>
              </a:solidFill>
            </a:ln>
          </c:spPr>
          <c:invertIfNegative val="0"/>
          <c:dLbls>
            <c:txPr>
              <a:bodyPr wrap="square"/>
              <a:lstStyle/>
              <a:p>
                <a:pPr>
                  <a:defRPr sz="1000" b="0" u="none" strike="noStrike">
                    <a:solidFill>
                      <a:srgbClr val="000000"/>
                    </a:solidFill>
                    <a:uFillTx/>
                    <a:latin typeface="Calibri"/>
                  </a:defRPr>
                </a:pPr>
              </a:p>
            </c:txPr>
            <c:dLblPos val="ctr"/>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'Tabela Geral 2020 e Outros'!$E$3:$AD$3</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'Tabela Geral 2020 e Outros'!$E$11:$AD$11</c:f>
              <c:numCache>
                <c:formatCode>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12</c:v>
                </c:pt>
                <c:pt idx="20">
                  <c:v>161</c:v>
                </c:pt>
                <c:pt idx="21">
                  <c:v>186</c:v>
                </c:pt>
                <c:pt idx="22">
                  <c:v>210</c:v>
                </c:pt>
                <c:pt idx="23">
                  <c:v>214</c:v>
                </c:pt>
                <c:pt idx="24">
                  <c:v>287</c:v>
                </c:pt>
                <c:pt idx="25">
                  <c:v>361</c:v>
                </c:pt>
              </c:numCache>
            </c:numRef>
          </c:val>
        </c:ser>
        <c:ser>
          <c:idx val="8"/>
          <c:order val="8"/>
          <c:tx>
            <c:strRef>
              <c:f>'Tabela Geral 2020 e Outros'!$A$12</c:f>
              <c:strCache>
                <c:ptCount val="1"/>
                <c:pt idx="0">
                  <c:v>IV - Pouco tóxico</c:v>
                </c:pt>
              </c:strCache>
            </c:strRef>
          </c:tx>
          <c:spPr>
            <a:solidFill>
              <a:srgbClr val="0FB85C"/>
            </a:solidFill>
            <a:ln w="0">
              <a:solidFill>
                <a:srgbClr val="000000"/>
              </a:solidFill>
            </a:ln>
          </c:spPr>
          <c:invertIfNegative val="0"/>
          <c:dLbls>
            <c:txPr>
              <a:bodyPr wrap="square"/>
              <a:lstStyle/>
              <a:p>
                <a:pPr>
                  <a:defRPr sz="1000" b="0" u="none" strike="noStrike">
                    <a:solidFill>
                      <a:srgbClr val="000000"/>
                    </a:solidFill>
                    <a:uFillTx/>
                    <a:latin typeface="Calibri"/>
                  </a:defRPr>
                </a:pPr>
              </a:p>
            </c:txPr>
            <c:dLblPos val="ctr"/>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'Tabela Geral 2020 e Outros'!$E$3:$AD$3</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'Tabela Geral 2020 e Outros'!$E$12:$AD$12</c:f>
              <c:numCache>
                <c:formatCode>0</c:formatCode>
                <c:ptCount val="26"/>
                <c:pt idx="0">
                  <c:v>22</c:v>
                </c:pt>
                <c:pt idx="1">
                  <c:v>23</c:v>
                </c:pt>
                <c:pt idx="2">
                  <c:v>12</c:v>
                </c:pt>
                <c:pt idx="3">
                  <c:v>9</c:v>
                </c:pt>
                <c:pt idx="4">
                  <c:v>23</c:v>
                </c:pt>
                <c:pt idx="5">
                  <c:v>12</c:v>
                </c:pt>
                <c:pt idx="6">
                  <c:v>13</c:v>
                </c:pt>
                <c:pt idx="7">
                  <c:v>17</c:v>
                </c:pt>
                <c:pt idx="8">
                  <c:v>15</c:v>
                </c:pt>
                <c:pt idx="9">
                  <c:v>5</c:v>
                </c:pt>
                <c:pt idx="10">
                  <c:v>3</c:v>
                </c:pt>
                <c:pt idx="11">
                  <c:v>10</c:v>
                </c:pt>
                <c:pt idx="12">
                  <c:v>6</c:v>
                </c:pt>
                <c:pt idx="13">
                  <c:v>7</c:v>
                </c:pt>
                <c:pt idx="14">
                  <c:v>2</c:v>
                </c:pt>
                <c:pt idx="15">
                  <c:v>18</c:v>
                </c:pt>
                <c:pt idx="16">
                  <c:v>44</c:v>
                </c:pt>
                <c:pt idx="17">
                  <c:v>43</c:v>
                </c:pt>
                <c:pt idx="18">
                  <c:v>55</c:v>
                </c:pt>
                <c:pt idx="19">
                  <c:v>51</c:v>
                </c:pt>
                <c:pt idx="20">
                  <c:v>5</c:v>
                </c:pt>
                <c:pt idx="21">
                  <c:v>2</c:v>
                </c:pt>
                <c:pt idx="22">
                  <c:v>0</c:v>
                </c:pt>
                <c:pt idx="23">
                  <c:v>0</c:v>
                </c:pt>
                <c:pt idx="24">
                  <c:v>1</c:v>
                </c:pt>
                <c:pt idx="25">
                  <c:v>1</c:v>
                </c:pt>
              </c:numCache>
            </c:numRef>
          </c:val>
        </c:ser>
        <c:ser>
          <c:idx val="9"/>
          <c:order val="9"/>
          <c:tx>
            <c:strRef>
              <c:f>'Tabela Geral 2020 e Outros'!$A$13</c:f>
              <c:strCache>
                <c:ptCount val="1"/>
                <c:pt idx="0">
                  <c:v>Não classificado - Produto não classificado</c:v>
                </c:pt>
              </c:strCache>
            </c:strRef>
          </c:tx>
          <c:spPr>
            <a:solidFill>
              <a:srgbClr val="0FB85C"/>
            </a:solidFill>
            <a:ln w="0">
              <a:solidFill>
                <a:srgbClr val="000000"/>
              </a:solidFill>
            </a:ln>
          </c:spPr>
          <c:invertIfNegative val="0"/>
          <c:dLbls>
            <c:txPr>
              <a:bodyPr wrap="square"/>
              <a:lstStyle/>
              <a:p>
                <a:pPr>
                  <a:defRPr sz="1000" b="0" u="none" strike="noStrike">
                    <a:solidFill>
                      <a:srgbClr val="000000"/>
                    </a:solidFill>
                    <a:uFillTx/>
                    <a:latin typeface="Calibri"/>
                  </a:defRPr>
                </a:pPr>
              </a:p>
            </c:txPr>
            <c:dLblPos val="ctr"/>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'Tabela Geral 2020 e Outros'!$E$3:$AD$3</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'Tabela Geral 2020 e Outros'!$E$13:$AD$13</c:f>
              <c:numCache>
                <c:formatCode>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5</c:v>
                </c:pt>
                <c:pt idx="20">
                  <c:v>61</c:v>
                </c:pt>
                <c:pt idx="21">
                  <c:v>61</c:v>
                </c:pt>
                <c:pt idx="22">
                  <c:v>52</c:v>
                </c:pt>
                <c:pt idx="23">
                  <c:v>48</c:v>
                </c:pt>
                <c:pt idx="24">
                  <c:v>36</c:v>
                </c:pt>
                <c:pt idx="25">
                  <c:v>68</c:v>
                </c:pt>
              </c:numCache>
            </c:numRef>
          </c:val>
        </c:ser>
        <c:ser>
          <c:idx val="10"/>
          <c:order val="10"/>
          <c:tx>
            <c:strRef>
              <c:f>'Tabela Geral 2020 e Outros'!$A$14</c:f>
              <c:strCache>
                <c:ptCount val="1"/>
                <c:pt idx="0">
                  <c:v>Não determinada devido à natureza do produto (Inimigos Naturais)</c:v>
                </c:pt>
              </c:strCache>
            </c:strRef>
          </c:tx>
          <c:spPr>
            <a:solidFill>
              <a:srgbClr val="0FB85C"/>
            </a:solidFill>
            <a:ln w="0">
              <a:solidFill>
                <a:srgbClr val="000000"/>
              </a:solidFill>
            </a:ln>
          </c:spPr>
          <c:invertIfNegative val="0"/>
          <c:dLbls>
            <c:txPr>
              <a:bodyPr wrap="square"/>
              <a:lstStyle/>
              <a:p>
                <a:pPr>
                  <a:defRPr sz="1000" b="0" u="none" strike="noStrike">
                    <a:solidFill>
                      <a:srgbClr val="000000"/>
                    </a:solidFill>
                    <a:uFillTx/>
                    <a:latin typeface="Calibri"/>
                  </a:defRPr>
                </a:pPr>
              </a:p>
            </c:txPr>
            <c:dLblPos val="ctr"/>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'Tabela Geral 2020 e Outros'!$E$3:$AD$3</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'Tabela Geral 2020 e Outros'!$E$14:$AD$14</c:f>
              <c:numCache>
                <c:formatCode>0</c:formatCode>
                <c:ptCount val="26"/>
                <c:pt idx="0">
                  <c:v>0</c:v>
                </c:pt>
                <c:pt idx="1">
                  <c:v>0</c:v>
                </c:pt>
                <c:pt idx="2">
                  <c:v>0</c:v>
                </c:pt>
                <c:pt idx="3">
                  <c:v>0</c:v>
                </c:pt>
                <c:pt idx="4">
                  <c:v>0</c:v>
                </c:pt>
                <c:pt idx="5">
                  <c:v>0</c:v>
                </c:pt>
                <c:pt idx="6">
                  <c:v>0</c:v>
                </c:pt>
                <c:pt idx="7">
                  <c:v>0</c:v>
                </c:pt>
                <c:pt idx="8">
                  <c:v>0</c:v>
                </c:pt>
                <c:pt idx="9">
                  <c:v>0</c:v>
                </c:pt>
                <c:pt idx="10">
                  <c:v>2</c:v>
                </c:pt>
                <c:pt idx="11">
                  <c:v>5</c:v>
                </c:pt>
                <c:pt idx="12">
                  <c:v>11</c:v>
                </c:pt>
                <c:pt idx="13">
                  <c:v>3</c:v>
                </c:pt>
                <c:pt idx="14">
                  <c:v>5</c:v>
                </c:pt>
                <c:pt idx="15">
                  <c:v>12</c:v>
                </c:pt>
                <c:pt idx="16">
                  <c:v>4</c:v>
                </c:pt>
                <c:pt idx="17">
                  <c:v>6</c:v>
                </c:pt>
                <c:pt idx="18">
                  <c:v>6</c:v>
                </c:pt>
                <c:pt idx="19">
                  <c:v>2</c:v>
                </c:pt>
                <c:pt idx="20">
                  <c:v>0</c:v>
                </c:pt>
                <c:pt idx="21">
                  <c:v>0</c:v>
                </c:pt>
                <c:pt idx="22">
                  <c:v>0</c:v>
                </c:pt>
                <c:pt idx="23">
                  <c:v>0</c:v>
                </c:pt>
                <c:pt idx="24">
                  <c:v>0</c:v>
                </c:pt>
                <c:pt idx="25">
                  <c:v>1</c:v>
                </c:pt>
              </c:numCache>
            </c:numRef>
          </c:val>
        </c:ser>
        <c:ser>
          <c:idx val="11"/>
          <c:order val="11"/>
          <c:tx>
            <c:strRef>
              <c:f>'Tabela Geral 2020 e Outros'!$A$15</c:f>
              <c:strCache>
                <c:ptCount val="1"/>
                <c:pt idx="0">
                  <c:v>O perfil toxicológico foi considerado equivalente ao produto técnico de referência</c:v>
                </c:pt>
              </c:strCache>
            </c:strRef>
          </c:tx>
          <c:spPr>
            <a:solidFill>
              <a:srgbClr val="B7B7B7"/>
            </a:solidFill>
            <a:ln w="0">
              <a:solidFill>
                <a:srgbClr val="000000"/>
              </a:solidFill>
            </a:ln>
          </c:spPr>
          <c:invertIfNegative val="0"/>
          <c:dPt>
            <c:idx val="21"/>
            <c:invertIfNegative val="0"/>
            <c:spPr>
              <a:solidFill>
                <a:srgbClr val="B7B7B7"/>
              </a:solidFill>
              <a:ln w="0">
                <a:solidFill>
                  <a:srgbClr val="000000"/>
                </a:solidFill>
              </a:ln>
            </c:spPr>
          </c:dPt>
          <c:dPt>
            <c:idx val="22"/>
            <c:invertIfNegative val="0"/>
            <c:spPr>
              <a:solidFill>
                <a:srgbClr val="B7B7B7"/>
              </a:solidFill>
              <a:ln w="0">
                <a:solidFill>
                  <a:srgbClr val="000000"/>
                </a:solidFill>
              </a:ln>
            </c:spPr>
          </c:dPt>
          <c:dLbls>
            <c:dLbl>
              <c:idx val="21"/>
              <c:txPr>
                <a:bodyPr wrap="square"/>
                <a:lstStyle/>
                <a:p>
                  <a:pPr>
                    <a:defRPr sz="1000" b="0" u="none" strike="noStrike">
                      <a:solidFill>
                        <a:srgbClr val="000000"/>
                      </a:solidFill>
                      <a:uFillTx/>
                      <a:latin typeface="Calibri"/>
                    </a:defRPr>
                  </a:pPr>
                </a:p>
              </c:txPr>
              <c:dLblPos val="ctr"/>
              <c:showLegendKey val="0"/>
              <c:showVal val="0"/>
              <c:showCatName val="0"/>
              <c:showSerName val="0"/>
              <c:showPercent val="0"/>
              <c:separator>; </c:separator>
            </c:dLbl>
            <c:dLbl>
              <c:idx val="22"/>
              <c:txPr>
                <a:bodyPr wrap="square"/>
                <a:lstStyle/>
                <a:p>
                  <a:pPr>
                    <a:defRPr sz="1000" b="0" u="none" strike="noStrike">
                      <a:solidFill>
                        <a:srgbClr val="000000"/>
                      </a:solidFill>
                      <a:uFillTx/>
                      <a:latin typeface="Calibri"/>
                    </a:defRPr>
                  </a:pPr>
                </a:p>
              </c:txPr>
              <c:dLblPos val="ctr"/>
              <c:showLegendKey val="0"/>
              <c:showVal val="0"/>
              <c:showCatName val="0"/>
              <c:showSerName val="0"/>
              <c:showPercent val="0"/>
              <c:separator>; </c:separator>
            </c:dLbl>
            <c:txPr>
              <a:bodyPr wrap="square"/>
              <a:lstStyle/>
              <a:p>
                <a:pPr>
                  <a:defRPr sz="1000" b="0" u="none" strike="noStrike">
                    <a:solidFill>
                      <a:srgbClr val="000000"/>
                    </a:solidFill>
                    <a:uFillTx/>
                    <a:latin typeface="Calibri"/>
                  </a:defRPr>
                </a:pPr>
              </a:p>
            </c:txPr>
            <c:dLblPos val="ctr"/>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'Tabela Geral 2020 e Outros'!$E$3:$AD$3</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'Tabela Geral 2020 e Outros'!$E$15:$AD$15</c:f>
              <c:numCache>
                <c:formatCode>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84</c:v>
                </c:pt>
                <c:pt idx="20">
                  <c:v>162</c:v>
                </c:pt>
                <c:pt idx="21">
                  <c:v>182</c:v>
                </c:pt>
                <c:pt idx="22">
                  <c:v>272</c:v>
                </c:pt>
                <c:pt idx="23">
                  <c:v>179</c:v>
                </c:pt>
                <c:pt idx="24">
                  <c:v>195</c:v>
                </c:pt>
                <c:pt idx="25">
                  <c:v>312</c:v>
                </c:pt>
              </c:numCache>
            </c:numRef>
          </c:val>
        </c:ser>
        <c:gapWidth val="150"/>
        <c:overlap val="100"/>
        <c:axId val="95121987"/>
        <c:axId val="86159658"/>
      </c:barChart>
      <c:catAx>
        <c:axId val="95121987"/>
        <c:scaling>
          <c:orientation val="minMax"/>
        </c:scaling>
        <c:delete val="0"/>
        <c:axPos val="b"/>
        <c:numFmt formatCode="General" sourceLinked="0"/>
        <c:majorTickMark val="none"/>
        <c:minorTickMark val="none"/>
        <c:tickLblPos val="nextTo"/>
        <c:spPr>
          <a:ln w="6480">
            <a:solidFill>
              <a:srgbClr val="8B8B8B"/>
            </a:solidFill>
            <a:round/>
          </a:ln>
        </c:spPr>
        <c:txPr>
          <a:bodyPr/>
          <a:lstStyle/>
          <a:p>
            <a:pPr>
              <a:defRPr sz="1000" b="1" u="none" strike="noStrike">
                <a:solidFill>
                  <a:srgbClr val="274E13"/>
                </a:solidFill>
                <a:uFillTx/>
                <a:latin typeface="Arial"/>
                <a:ea typeface="Calibri"/>
              </a:defRPr>
            </a:pPr>
          </a:p>
        </c:txPr>
        <c:crossAx val="86159658"/>
        <c:crosses val="autoZero"/>
        <c:auto val="1"/>
        <c:lblAlgn val="ctr"/>
        <c:lblOffset val="100"/>
        <c:noMultiLvlLbl val="0"/>
      </c:catAx>
      <c:valAx>
        <c:axId val="86159658"/>
        <c:scaling>
          <c:orientation val="minMax"/>
          <c:min val="0"/>
        </c:scaling>
        <c:delete val="0"/>
        <c:axPos val="l"/>
        <c:majorGridlines>
          <c:spPr>
            <a:ln w="6480">
              <a:solidFill>
                <a:srgbClr val="B7B7B7"/>
              </a:solidFill>
              <a:round/>
            </a:ln>
          </c:spPr>
        </c:majorGridlines>
        <c:title>
          <c:tx>
            <c:rich>
              <a:bodyPr rot="-5400000"/>
              <a:lstStyle/>
              <a:p>
                <a:pPr>
                  <a:defRPr sz="1300" b="0" u="none" strike="noStrike">
                    <a:uFillTx/>
                    <a:latin typeface="Arial"/>
                  </a:defRPr>
                </a:pPr>
                <a:r>
                  <a:rPr lang="pt-BR" sz="1000" b="1" u="none" strike="noStrike">
                    <a:solidFill>
                      <a:srgbClr val="274E13"/>
                    </a:solidFill>
                    <a:uFillTx/>
                    <a:latin typeface="Arial"/>
                    <a:ea typeface="Calibri"/>
                  </a:rPr>
                  <a:t>Registros Concedidos</a:t>
                </a:r>
              </a:p>
            </c:rich>
          </c:tx>
          <c:overlay val="0"/>
          <c:spPr>
            <a:noFill/>
            <a:ln w="0">
              <a:noFill/>
            </a:ln>
          </c:spPr>
        </c:title>
        <c:numFmt formatCode="0" sourceLinked="0"/>
        <c:majorTickMark val="cross"/>
        <c:minorTickMark val="cross"/>
        <c:tickLblPos val="nextTo"/>
        <c:spPr>
          <a:ln w="6480">
            <a:solidFill>
              <a:srgbClr val="8B8B8B"/>
            </a:solidFill>
            <a:round/>
          </a:ln>
        </c:spPr>
        <c:txPr>
          <a:bodyPr/>
          <a:lstStyle/>
          <a:p>
            <a:pPr>
              <a:defRPr sz="1000" b="1" u="none" strike="noStrike">
                <a:solidFill>
                  <a:srgbClr val="274E13"/>
                </a:solidFill>
                <a:uFillTx/>
                <a:latin typeface="Arial"/>
                <a:ea typeface="Calibri"/>
              </a:defRPr>
            </a:pPr>
          </a:p>
        </c:txPr>
        <c:crossAx val="95121987"/>
        <c:crosses val="autoZero"/>
        <c:crossBetween val="between"/>
      </c:valAx>
      <c:spPr>
        <a:noFill/>
        <a:ln w="0">
          <a:noFill/>
        </a:ln>
      </c:spPr>
    </c:plotArea>
    <c:legend>
      <c:legendPos val="b"/>
      <c:overlay val="0"/>
      <c:spPr>
        <a:noFill/>
        <a:ln w="0">
          <a:solidFill>
            <a:srgbClr val="4F81BD">
              <a:alpha val="93000"/>
            </a:srgbClr>
          </a:solidFill>
        </a:ln>
      </c:spPr>
      <c:txPr>
        <a:bodyPr/>
        <a:lstStyle/>
        <a:p>
          <a:pPr>
            <a:defRPr sz="1000" b="1" u="none" strike="noStrike">
              <a:solidFill>
                <a:srgbClr val="274E13"/>
              </a:solidFill>
              <a:uFillTx/>
              <a:latin typeface="Arial"/>
              <a:ea typeface="Calibri"/>
            </a:defRPr>
          </a:pPr>
        </a:p>
      </c:txPr>
    </c:legend>
    <c:plotVisOnly val="1"/>
    <c:dispBlanksAs val="zero"/>
  </c:chart>
  <c:spPr>
    <a:solidFill>
      <a:srgbClr val="FFFFFF"/>
    </a:solidFill>
    <a:ln w="9360">
      <a:solidFill>
        <a:srgbClr val="D9D9D9"/>
      </a:solidFill>
      <a:round/>
    </a:ln>
  </c:spPr>
</c:chartSpace>
</file>

<file path=xl/charts/chart7.xml><?xml version="1.0" encoding="utf-8"?>
<c:chartSpace xmlns:c="http://schemas.openxmlformats.org/drawingml/2006/chart" xmlns:a="http://schemas.openxmlformats.org/drawingml/2006/main" xmlns:r="http://schemas.openxmlformats.org/officeDocument/2006/relationships">
  <c:lang val="en-US"/>
  <c:roundedCorners val="0"/>
  <c:style val="2"/>
  <c:chart>
    <c:title>
      <c:tx>
        <c:rich>
          <a:bodyPr rot="0"/>
          <a:lstStyle/>
          <a:p>
            <a:pPr>
              <a:defRPr sz="1300" b="0" u="none" strike="noStrike">
                <a:uFillTx/>
                <a:latin typeface="Arial"/>
              </a:defRPr>
            </a:pPr>
            <a:r>
              <a:rPr lang="en-US" sz="1800" b="1" u="none" strike="noStrike">
                <a:solidFill>
                  <a:srgbClr val="274E13"/>
                </a:solidFill>
                <a:uFillTx/>
                <a:latin typeface="Arial"/>
                <a:ea typeface="Calibri"/>
              </a:rPr>
              <a:t>Classificações Ambientais para os Agrotóxicos, seus Componentes e Afins Registrados</a:t>
            </a:r>
          </a:p>
        </c:rich>
      </c:tx>
      <c:overlay val="0"/>
      <c:spPr>
        <a:noFill/>
        <a:ln w="0">
          <a:noFill/>
        </a:ln>
      </c:spPr>
    </c:title>
    <c:autoTitleDeleted val="0"/>
    <c:plotArea>
      <c:barChart>
        <c:barDir val="col"/>
        <c:grouping val="stacked"/>
        <c:varyColors val="0"/>
        <c:ser>
          <c:idx val="0"/>
          <c:order val="0"/>
          <c:tx>
            <c:strRef>
              <c:f>"Classe I - Produto Altamente Perigoso ao Meio Ambiente"</c:f>
              <c:strCache>
                <c:ptCount val="1"/>
                <c:pt idx="0">
                  <c:v>Classe I - Produto Altamente Perigoso ao Meio Ambiente</c:v>
                </c:pt>
              </c:strCache>
            </c:strRef>
          </c:tx>
          <c:spPr>
            <a:solidFill>
              <a:srgbClr val="E6352F"/>
            </a:solidFill>
            <a:ln w="0">
              <a:solidFill>
                <a:srgbClr val="000000"/>
              </a:solidFill>
            </a:ln>
          </c:spPr>
          <c:invertIfNegative val="0"/>
          <c:dLbls>
            <c:numFmt formatCode="0" sourceLinked="1"/>
            <c:txPr>
              <a:bodyPr wrap="square"/>
              <a:lstStyle/>
              <a:p>
                <a:pPr>
                  <a:defRPr sz="1000" b="1" u="none" strike="noStrike">
                    <a:solidFill>
                      <a:srgbClr val="000000"/>
                    </a:solidFill>
                    <a:uFillTx/>
                    <a:latin typeface="Calibri"/>
                  </a:defRPr>
                </a:pPr>
              </a:p>
            </c:txPr>
            <c:dLblPos val="ctr"/>
            <c:showLegendKey val="0"/>
            <c:showVal val="1"/>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multiLvlStrRef>
              <c:f>'Tabela Geral 2020 e Outros'!$E$23:$AD$23</c:f>
              <c:multiLvlStrCache>
                <c:ptCount val="1"/>
                <c:lvl>
                  <c:pt idx="0">
                    <c:v>2025</c:v>
                  </c:pt>
                </c:lvl>
                <c:lvl>
                  <c:pt idx="0">
                    <c:v>2024</c:v>
                  </c:pt>
                </c:lvl>
                <c:lvl>
                  <c:pt idx="0">
                    <c:v>2023</c:v>
                  </c:pt>
                </c:lvl>
                <c:lvl>
                  <c:pt idx="0">
                    <c:v>2022</c:v>
                  </c:pt>
                </c:lvl>
                <c:lvl>
                  <c:pt idx="0">
                    <c:v>2021</c:v>
                  </c:pt>
                </c:lvl>
                <c:lvl>
                  <c:pt idx="0">
                    <c:v>2020</c:v>
                  </c:pt>
                </c:lvl>
                <c:lvl>
                  <c:pt idx="0">
                    <c:v>2019</c:v>
                  </c:pt>
                </c:lvl>
                <c:lvl>
                  <c:pt idx="0">
                    <c:v>2018</c:v>
                  </c:pt>
                </c:lvl>
                <c:lvl>
                  <c:pt idx="0">
                    <c:v>2017</c:v>
                  </c:pt>
                </c:lvl>
                <c:lvl>
                  <c:pt idx="0">
                    <c:v>2016</c:v>
                  </c:pt>
                </c:lvl>
                <c:lvl>
                  <c:pt idx="0">
                    <c:v>2015</c:v>
                  </c:pt>
                </c:lvl>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lvl>
                  <c:pt idx="0">
                    <c:v>2004</c:v>
                  </c:pt>
                </c:lvl>
                <c:lvl>
                  <c:pt idx="0">
                    <c:v>2003</c:v>
                  </c:pt>
                </c:lvl>
                <c:lvl>
                  <c:pt idx="0">
                    <c:v>2002</c:v>
                  </c:pt>
                </c:lvl>
                <c:lvl>
                  <c:pt idx="0">
                    <c:v>2001</c:v>
                  </c:pt>
                </c:lvl>
                <c:lvl>
                  <c:pt idx="0">
                    <c:v>2000</c:v>
                  </c:pt>
                </c:lvl>
              </c:multiLvlStrCache>
            </c:multiLvlStrRef>
          </c:cat>
          <c:val>
            <c:numRef>
              <c:f>'Tabela Geral 2020 e Outros'!$E$24:$AD$24</c:f>
              <c:numCache>
                <c:formatCode>0</c:formatCode>
                <c:ptCount val="26"/>
                <c:pt idx="0">
                  <c:v>0</c:v>
                </c:pt>
                <c:pt idx="1">
                  <c:v>2</c:v>
                </c:pt>
                <c:pt idx="2">
                  <c:v>1</c:v>
                </c:pt>
                <c:pt idx="3">
                  <c:v>2</c:v>
                </c:pt>
                <c:pt idx="4">
                  <c:v>0</c:v>
                </c:pt>
                <c:pt idx="5">
                  <c:v>1</c:v>
                </c:pt>
                <c:pt idx="6">
                  <c:v>3</c:v>
                </c:pt>
                <c:pt idx="7">
                  <c:v>3</c:v>
                </c:pt>
                <c:pt idx="8">
                  <c:v>4</c:v>
                </c:pt>
                <c:pt idx="9">
                  <c:v>2</c:v>
                </c:pt>
                <c:pt idx="10">
                  <c:v>9</c:v>
                </c:pt>
                <c:pt idx="11">
                  <c:v>6</c:v>
                </c:pt>
                <c:pt idx="12">
                  <c:v>3</c:v>
                </c:pt>
                <c:pt idx="13">
                  <c:v>6</c:v>
                </c:pt>
                <c:pt idx="14">
                  <c:v>3</c:v>
                </c:pt>
                <c:pt idx="15">
                  <c:v>5</c:v>
                </c:pt>
                <c:pt idx="16">
                  <c:v>14</c:v>
                </c:pt>
                <c:pt idx="17">
                  <c:v>13</c:v>
                </c:pt>
                <c:pt idx="18">
                  <c:v>6</c:v>
                </c:pt>
                <c:pt idx="19">
                  <c:v>14</c:v>
                </c:pt>
                <c:pt idx="20">
                  <c:v>16</c:v>
                </c:pt>
                <c:pt idx="21">
                  <c:v>4</c:v>
                </c:pt>
                <c:pt idx="22">
                  <c:v>20</c:v>
                </c:pt>
                <c:pt idx="23">
                  <c:v>8</c:v>
                </c:pt>
                <c:pt idx="24">
                  <c:v>12</c:v>
                </c:pt>
                <c:pt idx="25">
                  <c:v>10</c:v>
                </c:pt>
              </c:numCache>
            </c:numRef>
          </c:val>
        </c:ser>
        <c:ser>
          <c:idx val="1"/>
          <c:order val="1"/>
          <c:tx>
            <c:strRef>
              <c:f>"Classe II - Produto Muito Perigoso ao Meio Ambiente"</c:f>
              <c:strCache>
                <c:ptCount val="1"/>
                <c:pt idx="0">
                  <c:v>Classe II - Produto Muito Perigoso ao Meio Ambiente</c:v>
                </c:pt>
              </c:strCache>
            </c:strRef>
          </c:tx>
          <c:spPr>
            <a:solidFill>
              <a:srgbClr val="EEEE42"/>
            </a:solidFill>
            <a:ln w="0">
              <a:solidFill>
                <a:srgbClr val="000000"/>
              </a:solidFill>
            </a:ln>
          </c:spPr>
          <c:invertIfNegative val="0"/>
          <c:dLbls>
            <c:numFmt formatCode="0" sourceLinked="1"/>
            <c:txPr>
              <a:bodyPr wrap="square"/>
              <a:lstStyle/>
              <a:p>
                <a:pPr>
                  <a:defRPr sz="1000" b="1" u="none" strike="noStrike">
                    <a:solidFill>
                      <a:srgbClr val="000000"/>
                    </a:solidFill>
                    <a:uFillTx/>
                    <a:latin typeface="Calibri"/>
                  </a:defRPr>
                </a:pPr>
              </a:p>
            </c:txPr>
            <c:dLblPos val="ctr"/>
            <c:showLegendKey val="0"/>
            <c:showVal val="1"/>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multiLvlStrRef>
              <c:f>'Tabela Geral 2020 e Outros'!$E$23:$AD$23</c:f>
              <c:multiLvlStrCache>
                <c:ptCount val="1"/>
                <c:lvl>
                  <c:pt idx="0">
                    <c:v>2025</c:v>
                  </c:pt>
                </c:lvl>
                <c:lvl>
                  <c:pt idx="0">
                    <c:v>2024</c:v>
                  </c:pt>
                </c:lvl>
                <c:lvl>
                  <c:pt idx="0">
                    <c:v>2023</c:v>
                  </c:pt>
                </c:lvl>
                <c:lvl>
                  <c:pt idx="0">
                    <c:v>2022</c:v>
                  </c:pt>
                </c:lvl>
                <c:lvl>
                  <c:pt idx="0">
                    <c:v>2021</c:v>
                  </c:pt>
                </c:lvl>
                <c:lvl>
                  <c:pt idx="0">
                    <c:v>2020</c:v>
                  </c:pt>
                </c:lvl>
                <c:lvl>
                  <c:pt idx="0">
                    <c:v>2019</c:v>
                  </c:pt>
                </c:lvl>
                <c:lvl>
                  <c:pt idx="0">
                    <c:v>2018</c:v>
                  </c:pt>
                </c:lvl>
                <c:lvl>
                  <c:pt idx="0">
                    <c:v>2017</c:v>
                  </c:pt>
                </c:lvl>
                <c:lvl>
                  <c:pt idx="0">
                    <c:v>2016</c:v>
                  </c:pt>
                </c:lvl>
                <c:lvl>
                  <c:pt idx="0">
                    <c:v>2015</c:v>
                  </c:pt>
                </c:lvl>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lvl>
                  <c:pt idx="0">
                    <c:v>2004</c:v>
                  </c:pt>
                </c:lvl>
                <c:lvl>
                  <c:pt idx="0">
                    <c:v>2003</c:v>
                  </c:pt>
                </c:lvl>
                <c:lvl>
                  <c:pt idx="0">
                    <c:v>2002</c:v>
                  </c:pt>
                </c:lvl>
                <c:lvl>
                  <c:pt idx="0">
                    <c:v>2001</c:v>
                  </c:pt>
                </c:lvl>
                <c:lvl>
                  <c:pt idx="0">
                    <c:v>2000</c:v>
                  </c:pt>
                </c:lvl>
              </c:multiLvlStrCache>
            </c:multiLvlStrRef>
          </c:cat>
          <c:val>
            <c:numRef>
              <c:f>'Tabela Geral 2020 e Outros'!$E$25:$AD$25</c:f>
              <c:numCache>
                <c:formatCode>0</c:formatCode>
                <c:ptCount val="26"/>
                <c:pt idx="0">
                  <c:v>33</c:v>
                </c:pt>
                <c:pt idx="1">
                  <c:v>48</c:v>
                </c:pt>
                <c:pt idx="2">
                  <c:v>21</c:v>
                </c:pt>
                <c:pt idx="3">
                  <c:v>19</c:v>
                </c:pt>
                <c:pt idx="4">
                  <c:v>33</c:v>
                </c:pt>
                <c:pt idx="5">
                  <c:v>28</c:v>
                </c:pt>
                <c:pt idx="6">
                  <c:v>49</c:v>
                </c:pt>
                <c:pt idx="7">
                  <c:v>83</c:v>
                </c:pt>
                <c:pt idx="8">
                  <c:v>95</c:v>
                </c:pt>
                <c:pt idx="9">
                  <c:v>79</c:v>
                </c:pt>
                <c:pt idx="10">
                  <c:v>41</c:v>
                </c:pt>
                <c:pt idx="11">
                  <c:v>67</c:v>
                </c:pt>
                <c:pt idx="12">
                  <c:v>89</c:v>
                </c:pt>
                <c:pt idx="13">
                  <c:v>51</c:v>
                </c:pt>
                <c:pt idx="14">
                  <c:v>65</c:v>
                </c:pt>
                <c:pt idx="15">
                  <c:v>52</c:v>
                </c:pt>
                <c:pt idx="16">
                  <c:v>122</c:v>
                </c:pt>
                <c:pt idx="17">
                  <c:v>202</c:v>
                </c:pt>
                <c:pt idx="18">
                  <c:v>228</c:v>
                </c:pt>
                <c:pt idx="19">
                  <c:v>233</c:v>
                </c:pt>
                <c:pt idx="20">
                  <c:v>235</c:v>
                </c:pt>
                <c:pt idx="21">
                  <c:v>273</c:v>
                </c:pt>
                <c:pt idx="22">
                  <c:v>254</c:v>
                </c:pt>
                <c:pt idx="23">
                  <c:v>237</c:v>
                </c:pt>
                <c:pt idx="24">
                  <c:v>278</c:v>
                </c:pt>
                <c:pt idx="25">
                  <c:v>382</c:v>
                </c:pt>
              </c:numCache>
            </c:numRef>
          </c:val>
        </c:ser>
        <c:ser>
          <c:idx val="2"/>
          <c:order val="2"/>
          <c:tx>
            <c:strRef>
              <c:f>"Classe III - Produto Perigoso ao Meio Ambiente"</c:f>
              <c:strCache>
                <c:ptCount val="1"/>
                <c:pt idx="0">
                  <c:v>Classe III - Produto Perigoso ao Meio Ambiente</c:v>
                </c:pt>
              </c:strCache>
            </c:strRef>
          </c:tx>
          <c:spPr>
            <a:solidFill>
              <a:srgbClr val="17A2D5"/>
            </a:solidFill>
            <a:ln w="0">
              <a:solidFill>
                <a:srgbClr val="000000"/>
              </a:solidFill>
            </a:ln>
          </c:spPr>
          <c:invertIfNegative val="0"/>
          <c:dLbls>
            <c:numFmt formatCode="0" sourceLinked="1"/>
            <c:txPr>
              <a:bodyPr wrap="square"/>
              <a:lstStyle/>
              <a:p>
                <a:pPr>
                  <a:defRPr sz="1000" b="1" u="none" strike="noStrike">
                    <a:solidFill>
                      <a:srgbClr val="000000"/>
                    </a:solidFill>
                    <a:uFillTx/>
                    <a:latin typeface="Calibri"/>
                  </a:defRPr>
                </a:pPr>
              </a:p>
            </c:txPr>
            <c:dLblPos val="ctr"/>
            <c:showLegendKey val="0"/>
            <c:showVal val="1"/>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multiLvlStrRef>
              <c:f>'Tabela Geral 2020 e Outros'!$E$23:$AD$23</c:f>
              <c:multiLvlStrCache>
                <c:ptCount val="1"/>
                <c:lvl>
                  <c:pt idx="0">
                    <c:v>2025</c:v>
                  </c:pt>
                </c:lvl>
                <c:lvl>
                  <c:pt idx="0">
                    <c:v>2024</c:v>
                  </c:pt>
                </c:lvl>
                <c:lvl>
                  <c:pt idx="0">
                    <c:v>2023</c:v>
                  </c:pt>
                </c:lvl>
                <c:lvl>
                  <c:pt idx="0">
                    <c:v>2022</c:v>
                  </c:pt>
                </c:lvl>
                <c:lvl>
                  <c:pt idx="0">
                    <c:v>2021</c:v>
                  </c:pt>
                </c:lvl>
                <c:lvl>
                  <c:pt idx="0">
                    <c:v>2020</c:v>
                  </c:pt>
                </c:lvl>
                <c:lvl>
                  <c:pt idx="0">
                    <c:v>2019</c:v>
                  </c:pt>
                </c:lvl>
                <c:lvl>
                  <c:pt idx="0">
                    <c:v>2018</c:v>
                  </c:pt>
                </c:lvl>
                <c:lvl>
                  <c:pt idx="0">
                    <c:v>2017</c:v>
                  </c:pt>
                </c:lvl>
                <c:lvl>
                  <c:pt idx="0">
                    <c:v>2016</c:v>
                  </c:pt>
                </c:lvl>
                <c:lvl>
                  <c:pt idx="0">
                    <c:v>2015</c:v>
                  </c:pt>
                </c:lvl>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lvl>
                  <c:pt idx="0">
                    <c:v>2004</c:v>
                  </c:pt>
                </c:lvl>
                <c:lvl>
                  <c:pt idx="0">
                    <c:v>2003</c:v>
                  </c:pt>
                </c:lvl>
                <c:lvl>
                  <c:pt idx="0">
                    <c:v>2002</c:v>
                  </c:pt>
                </c:lvl>
                <c:lvl>
                  <c:pt idx="0">
                    <c:v>2001</c:v>
                  </c:pt>
                </c:lvl>
                <c:lvl>
                  <c:pt idx="0">
                    <c:v>2000</c:v>
                  </c:pt>
                </c:lvl>
              </c:multiLvlStrCache>
            </c:multiLvlStrRef>
          </c:cat>
          <c:val>
            <c:numRef>
              <c:f>'Tabela Geral 2020 e Outros'!$E$26:$AD$26</c:f>
              <c:numCache>
                <c:formatCode>0</c:formatCode>
                <c:ptCount val="26"/>
                <c:pt idx="0">
                  <c:v>41</c:v>
                </c:pt>
                <c:pt idx="1">
                  <c:v>51</c:v>
                </c:pt>
                <c:pt idx="2">
                  <c:v>25</c:v>
                </c:pt>
                <c:pt idx="3">
                  <c:v>49</c:v>
                </c:pt>
                <c:pt idx="4">
                  <c:v>41</c:v>
                </c:pt>
                <c:pt idx="5">
                  <c:v>48</c:v>
                </c:pt>
                <c:pt idx="6">
                  <c:v>45</c:v>
                </c:pt>
                <c:pt idx="7">
                  <c:v>100</c:v>
                </c:pt>
                <c:pt idx="8">
                  <c:v>81</c:v>
                </c:pt>
                <c:pt idx="9">
                  <c:v>49</c:v>
                </c:pt>
                <c:pt idx="10">
                  <c:v>50</c:v>
                </c:pt>
                <c:pt idx="11">
                  <c:v>56</c:v>
                </c:pt>
                <c:pt idx="12">
                  <c:v>59</c:v>
                </c:pt>
                <c:pt idx="13">
                  <c:v>41</c:v>
                </c:pt>
                <c:pt idx="14">
                  <c:v>70</c:v>
                </c:pt>
                <c:pt idx="15">
                  <c:v>50</c:v>
                </c:pt>
                <c:pt idx="16">
                  <c:v>102</c:v>
                </c:pt>
                <c:pt idx="17">
                  <c:v>141</c:v>
                </c:pt>
                <c:pt idx="18">
                  <c:v>163</c:v>
                </c:pt>
                <c:pt idx="19">
                  <c:v>183</c:v>
                </c:pt>
                <c:pt idx="20">
                  <c:v>143</c:v>
                </c:pt>
                <c:pt idx="21">
                  <c:v>190</c:v>
                </c:pt>
                <c:pt idx="22">
                  <c:v>226</c:v>
                </c:pt>
                <c:pt idx="23">
                  <c:v>201</c:v>
                </c:pt>
                <c:pt idx="24">
                  <c:v>255</c:v>
                </c:pt>
                <c:pt idx="25">
                  <c:v>326</c:v>
                </c:pt>
              </c:numCache>
            </c:numRef>
          </c:val>
        </c:ser>
        <c:ser>
          <c:idx val="3"/>
          <c:order val="3"/>
          <c:tx>
            <c:strRef>
              <c:f>"Classe IV - Produto Pouco Perigoso ao Meio ambiente"</c:f>
              <c:strCache>
                <c:ptCount val="1"/>
                <c:pt idx="0">
                  <c:v>Classe IV - Produto Pouco Perigoso ao Meio ambiente</c:v>
                </c:pt>
              </c:strCache>
            </c:strRef>
          </c:tx>
          <c:spPr>
            <a:solidFill>
              <a:srgbClr val="0FB85C"/>
            </a:solidFill>
            <a:ln w="0">
              <a:solidFill>
                <a:srgbClr val="000000"/>
              </a:solidFill>
            </a:ln>
          </c:spPr>
          <c:invertIfNegative val="0"/>
          <c:dLbls>
            <c:numFmt formatCode="0" sourceLinked="1"/>
            <c:txPr>
              <a:bodyPr wrap="square"/>
              <a:lstStyle/>
              <a:p>
                <a:pPr>
                  <a:defRPr sz="1000" b="1" u="none" strike="noStrike">
                    <a:solidFill>
                      <a:srgbClr val="000000"/>
                    </a:solidFill>
                    <a:uFillTx/>
                    <a:latin typeface="Calibri"/>
                  </a:defRPr>
                </a:pPr>
              </a:p>
            </c:txPr>
            <c:dLblPos val="ctr"/>
            <c:showLegendKey val="0"/>
            <c:showVal val="1"/>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multiLvlStrRef>
              <c:f>'Tabela Geral 2020 e Outros'!$E$23:$AD$23</c:f>
              <c:multiLvlStrCache>
                <c:ptCount val="1"/>
                <c:lvl>
                  <c:pt idx="0">
                    <c:v>2025</c:v>
                  </c:pt>
                </c:lvl>
                <c:lvl>
                  <c:pt idx="0">
                    <c:v>2024</c:v>
                  </c:pt>
                </c:lvl>
                <c:lvl>
                  <c:pt idx="0">
                    <c:v>2023</c:v>
                  </c:pt>
                </c:lvl>
                <c:lvl>
                  <c:pt idx="0">
                    <c:v>2022</c:v>
                  </c:pt>
                </c:lvl>
                <c:lvl>
                  <c:pt idx="0">
                    <c:v>2021</c:v>
                  </c:pt>
                </c:lvl>
                <c:lvl>
                  <c:pt idx="0">
                    <c:v>2020</c:v>
                  </c:pt>
                </c:lvl>
                <c:lvl>
                  <c:pt idx="0">
                    <c:v>2019</c:v>
                  </c:pt>
                </c:lvl>
                <c:lvl>
                  <c:pt idx="0">
                    <c:v>2018</c:v>
                  </c:pt>
                </c:lvl>
                <c:lvl>
                  <c:pt idx="0">
                    <c:v>2017</c:v>
                  </c:pt>
                </c:lvl>
                <c:lvl>
                  <c:pt idx="0">
                    <c:v>2016</c:v>
                  </c:pt>
                </c:lvl>
                <c:lvl>
                  <c:pt idx="0">
                    <c:v>2015</c:v>
                  </c:pt>
                </c:lvl>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lvl>
                  <c:pt idx="0">
                    <c:v>2004</c:v>
                  </c:pt>
                </c:lvl>
                <c:lvl>
                  <c:pt idx="0">
                    <c:v>2003</c:v>
                  </c:pt>
                </c:lvl>
                <c:lvl>
                  <c:pt idx="0">
                    <c:v>2002</c:v>
                  </c:pt>
                </c:lvl>
                <c:lvl>
                  <c:pt idx="0">
                    <c:v>2001</c:v>
                  </c:pt>
                </c:lvl>
                <c:lvl>
                  <c:pt idx="0">
                    <c:v>2000</c:v>
                  </c:pt>
                </c:lvl>
              </c:multiLvlStrCache>
            </c:multiLvlStrRef>
          </c:cat>
          <c:val>
            <c:numRef>
              <c:f>'Tabela Geral 2020 e Outros'!$E$27:$AD$27</c:f>
              <c:numCache>
                <c:formatCode>0</c:formatCode>
                <c:ptCount val="26"/>
                <c:pt idx="0">
                  <c:v>8</c:v>
                </c:pt>
                <c:pt idx="1">
                  <c:v>14</c:v>
                </c:pt>
                <c:pt idx="2">
                  <c:v>6</c:v>
                </c:pt>
                <c:pt idx="3">
                  <c:v>7</c:v>
                </c:pt>
                <c:pt idx="4">
                  <c:v>10</c:v>
                </c:pt>
                <c:pt idx="5">
                  <c:v>12</c:v>
                </c:pt>
                <c:pt idx="6">
                  <c:v>12</c:v>
                </c:pt>
                <c:pt idx="7">
                  <c:v>16</c:v>
                </c:pt>
                <c:pt idx="8">
                  <c:v>11</c:v>
                </c:pt>
                <c:pt idx="9">
                  <c:v>7</c:v>
                </c:pt>
                <c:pt idx="10">
                  <c:v>4</c:v>
                </c:pt>
                <c:pt idx="11">
                  <c:v>17</c:v>
                </c:pt>
                <c:pt idx="12">
                  <c:v>17</c:v>
                </c:pt>
                <c:pt idx="13">
                  <c:v>12</c:v>
                </c:pt>
                <c:pt idx="14">
                  <c:v>10</c:v>
                </c:pt>
                <c:pt idx="15">
                  <c:v>32</c:v>
                </c:pt>
                <c:pt idx="16">
                  <c:v>39</c:v>
                </c:pt>
                <c:pt idx="17">
                  <c:v>48</c:v>
                </c:pt>
                <c:pt idx="18">
                  <c:v>52</c:v>
                </c:pt>
                <c:pt idx="19">
                  <c:v>45</c:v>
                </c:pt>
                <c:pt idx="20">
                  <c:v>99</c:v>
                </c:pt>
                <c:pt idx="21">
                  <c:v>95</c:v>
                </c:pt>
                <c:pt idx="22">
                  <c:v>152</c:v>
                </c:pt>
                <c:pt idx="23">
                  <c:v>109</c:v>
                </c:pt>
                <c:pt idx="24">
                  <c:v>118</c:v>
                </c:pt>
                <c:pt idx="25">
                  <c:v>194</c:v>
                </c:pt>
              </c:numCache>
            </c:numRef>
          </c:val>
        </c:ser>
        <c:gapWidth val="150"/>
        <c:overlap val="100"/>
        <c:axId val="29161898"/>
        <c:axId val="1544448"/>
      </c:barChart>
      <c:catAx>
        <c:axId val="29161898"/>
        <c:scaling>
          <c:orientation val="minMax"/>
        </c:scaling>
        <c:delete val="0"/>
        <c:axPos val="b"/>
        <c:numFmt formatCode="General" sourceLinked="0"/>
        <c:majorTickMark val="none"/>
        <c:minorTickMark val="none"/>
        <c:tickLblPos val="nextTo"/>
        <c:spPr>
          <a:ln w="6480">
            <a:solidFill>
              <a:srgbClr val="8B8B8B"/>
            </a:solidFill>
            <a:round/>
          </a:ln>
        </c:spPr>
        <c:txPr>
          <a:bodyPr/>
          <a:lstStyle/>
          <a:p>
            <a:pPr>
              <a:defRPr sz="1000" b="1" u="none" strike="noStrike">
                <a:solidFill>
                  <a:srgbClr val="274E13"/>
                </a:solidFill>
                <a:uFillTx/>
                <a:latin typeface="Arial"/>
                <a:ea typeface="Calibri"/>
              </a:defRPr>
            </a:pPr>
          </a:p>
        </c:txPr>
        <c:crossAx val="1544448"/>
        <c:crosses val="autoZero"/>
        <c:auto val="1"/>
        <c:lblAlgn val="ctr"/>
        <c:lblOffset val="100"/>
        <c:noMultiLvlLbl val="0"/>
      </c:catAx>
      <c:valAx>
        <c:axId val="1544448"/>
        <c:scaling>
          <c:orientation val="minMax"/>
        </c:scaling>
        <c:delete val="0"/>
        <c:axPos val="l"/>
        <c:majorGridlines>
          <c:spPr>
            <a:ln w="6480">
              <a:solidFill>
                <a:srgbClr val="B7B7B7"/>
              </a:solidFill>
              <a:round/>
            </a:ln>
          </c:spPr>
        </c:majorGridlines>
        <c:title>
          <c:tx>
            <c:rich>
              <a:bodyPr rot="-5400000"/>
              <a:lstStyle/>
              <a:p>
                <a:pPr>
                  <a:defRPr sz="1300" b="0" u="none" strike="noStrike">
                    <a:uFillTx/>
                    <a:latin typeface="Arial"/>
                  </a:defRPr>
                </a:pPr>
                <a:r>
                  <a:rPr lang="pt-BR" sz="1000" b="1" u="none" strike="noStrike">
                    <a:solidFill>
                      <a:srgbClr val="274E13"/>
                    </a:solidFill>
                    <a:uFillTx/>
                    <a:latin typeface="Arial"/>
                    <a:ea typeface="Calibri"/>
                  </a:rPr>
                  <a:t>Registros Aprovados</a:t>
                </a:r>
              </a:p>
            </c:rich>
          </c:tx>
          <c:overlay val="0"/>
          <c:spPr>
            <a:noFill/>
            <a:ln w="0">
              <a:noFill/>
            </a:ln>
          </c:spPr>
        </c:title>
        <c:numFmt formatCode="0" sourceLinked="0"/>
        <c:majorTickMark val="cross"/>
        <c:minorTickMark val="cross"/>
        <c:tickLblPos val="nextTo"/>
        <c:spPr>
          <a:ln w="6480">
            <a:solidFill>
              <a:srgbClr val="8B8B8B"/>
            </a:solidFill>
            <a:round/>
          </a:ln>
        </c:spPr>
        <c:txPr>
          <a:bodyPr/>
          <a:lstStyle/>
          <a:p>
            <a:pPr>
              <a:defRPr sz="1000" b="1" u="none" strike="noStrike">
                <a:solidFill>
                  <a:srgbClr val="274E13"/>
                </a:solidFill>
                <a:uFillTx/>
                <a:latin typeface="Arial"/>
                <a:ea typeface="Calibri"/>
              </a:defRPr>
            </a:pPr>
          </a:p>
        </c:txPr>
        <c:crossAx val="29161898"/>
        <c:crosses val="autoZero"/>
        <c:crossBetween val="between"/>
      </c:valAx>
      <c:spPr>
        <a:noFill/>
        <a:ln w="0">
          <a:noFill/>
        </a:ln>
      </c:spPr>
    </c:plotArea>
    <c:legend>
      <c:legendPos val="b"/>
      <c:overlay val="0"/>
      <c:spPr>
        <a:noFill/>
        <a:ln w="0">
          <a:noFill/>
        </a:ln>
      </c:spPr>
      <c:txPr>
        <a:bodyPr/>
        <a:lstStyle/>
        <a:p>
          <a:pPr>
            <a:defRPr sz="1000" b="1" u="none" strike="noStrike">
              <a:solidFill>
                <a:srgbClr val="274E13"/>
              </a:solidFill>
              <a:uFillTx/>
              <a:latin typeface="Arial"/>
              <a:ea typeface="Calibri"/>
            </a:defRPr>
          </a:pPr>
        </a:p>
      </c:txPr>
    </c:legend>
    <c:plotVisOnly val="1"/>
    <c:dispBlanksAs val="zero"/>
  </c:chart>
  <c:spPr>
    <a:solidFill>
      <a:srgbClr val="FFFFFF"/>
    </a:solidFill>
    <a:ln w="9360">
      <a:solidFill>
        <a:srgbClr val="D9D9D9"/>
      </a:solidFill>
      <a:round/>
    </a:ln>
  </c:spPr>
</c:chartSpace>
</file>

<file path=xl/charts/chart8.xml><?xml version="1.0" encoding="utf-8"?>
<c:chartSpace xmlns:c="http://schemas.openxmlformats.org/drawingml/2006/chart" xmlns:a="http://schemas.openxmlformats.org/drawingml/2006/main" xmlns:r="http://schemas.openxmlformats.org/officeDocument/2006/relationships">
  <c:lang val="en-US"/>
  <c:roundedCorners val="0"/>
  <c:style val="2"/>
  <c:chart>
    <c:title>
      <c:tx>
        <c:rich>
          <a:bodyPr rot="0"/>
          <a:lstStyle/>
          <a:p>
            <a:pPr>
              <a:defRPr sz="1300" b="0" u="none" strike="noStrike">
                <a:uFillTx/>
                <a:latin typeface="Arial"/>
              </a:defRPr>
            </a:pPr>
            <a:r>
              <a:rPr lang="en-US" sz="1800" b="1" u="none" strike="noStrike">
                <a:solidFill>
                  <a:srgbClr val="274E13"/>
                </a:solidFill>
                <a:uFillTx/>
                <a:latin typeface="Arial"/>
                <a:ea typeface="Calibri"/>
              </a:rPr>
              <a:t>Produtos Fitossanitários com Uso Aprovado para a Agricultura Orgânica </a:t>
            </a:r>
          </a:p>
        </c:rich>
      </c:tx>
      <c:overlay val="0"/>
      <c:spPr>
        <a:noFill/>
        <a:ln w="0">
          <a:noFill/>
        </a:ln>
      </c:spPr>
    </c:title>
    <c:autoTitleDeleted val="0"/>
    <c:plotArea>
      <c:barChart>
        <c:barDir val="col"/>
        <c:grouping val="clustered"/>
        <c:varyColors val="1"/>
        <c:ser>
          <c:idx val="0"/>
          <c:order val="0"/>
          <c:tx>
            <c:strRef>
              <c:f>"Bio/Org"</c:f>
              <c:strCache>
                <c:ptCount val="1"/>
                <c:pt idx="0">
                  <c:v>Bio/Org</c:v>
                </c:pt>
              </c:strCache>
            </c:strRef>
          </c:tx>
          <c:spPr>
            <a:solidFill>
              <a:srgbClr val="92D050"/>
            </a:solidFill>
            <a:ln w="0">
              <a:solidFill>
                <a:srgbClr val="000000"/>
              </a:solidFill>
            </a:ln>
          </c:spPr>
          <c:invertIfNegative val="0"/>
          <c:dPt>
            <c:idx val="0"/>
            <c:spPr>
              <a:solidFill>
                <a:srgbClr val="92D050"/>
              </a:solidFill>
              <a:ln w="0">
                <a:solidFill>
                  <a:srgbClr val="000000"/>
                </a:solidFill>
              </a:ln>
            </c:spPr>
          </c:dPt>
          <c:dPt>
            <c:idx val="1"/>
            <c:spPr>
              <a:solidFill>
                <a:srgbClr val="92D050"/>
              </a:solidFill>
              <a:ln w="0">
                <a:solidFill>
                  <a:srgbClr val="000000"/>
                </a:solidFill>
              </a:ln>
            </c:spPr>
          </c:dPt>
          <c:dPt>
            <c:idx val="2"/>
            <c:spPr>
              <a:solidFill>
                <a:srgbClr val="92D050"/>
              </a:solidFill>
              <a:ln w="0">
                <a:solidFill>
                  <a:srgbClr val="000000"/>
                </a:solidFill>
              </a:ln>
            </c:spPr>
          </c:dPt>
          <c:dPt>
            <c:idx val="3"/>
            <c:spPr>
              <a:solidFill>
                <a:srgbClr val="92D050"/>
              </a:solidFill>
              <a:ln w="0">
                <a:solidFill>
                  <a:srgbClr val="000000"/>
                </a:solidFill>
              </a:ln>
            </c:spPr>
          </c:dPt>
          <c:dPt>
            <c:idx val="4"/>
            <c:spPr>
              <a:solidFill>
                <a:srgbClr val="92D050"/>
              </a:solidFill>
              <a:ln w="0">
                <a:solidFill>
                  <a:srgbClr val="000000"/>
                </a:solidFill>
              </a:ln>
            </c:spPr>
          </c:dPt>
          <c:dPt>
            <c:idx val="5"/>
            <c:spPr>
              <a:solidFill>
                <a:srgbClr val="92D050"/>
              </a:solidFill>
              <a:ln w="0">
                <a:solidFill>
                  <a:srgbClr val="000000"/>
                </a:solidFill>
              </a:ln>
            </c:spPr>
          </c:dPt>
          <c:dPt>
            <c:idx val="6"/>
            <c:spPr>
              <a:solidFill>
                <a:srgbClr val="92D050"/>
              </a:solidFill>
              <a:ln w="0">
                <a:solidFill>
                  <a:srgbClr val="000000"/>
                </a:solidFill>
              </a:ln>
            </c:spPr>
          </c:dPt>
          <c:dPt>
            <c:idx val="7"/>
            <c:spPr>
              <a:solidFill>
                <a:srgbClr val="92D050"/>
              </a:solidFill>
              <a:ln w="0">
                <a:solidFill>
                  <a:srgbClr val="000000"/>
                </a:solidFill>
              </a:ln>
            </c:spPr>
          </c:dPt>
          <c:dPt>
            <c:idx val="8"/>
            <c:spPr>
              <a:solidFill>
                <a:srgbClr val="92D050"/>
              </a:solidFill>
              <a:ln w="0">
                <a:solidFill>
                  <a:srgbClr val="000000"/>
                </a:solidFill>
              </a:ln>
            </c:spPr>
          </c:dPt>
          <c:dPt>
            <c:idx val="9"/>
            <c:spPr>
              <a:solidFill>
                <a:srgbClr val="92D050"/>
              </a:solidFill>
              <a:ln w="0">
                <a:solidFill>
                  <a:srgbClr val="000000"/>
                </a:solidFill>
              </a:ln>
            </c:spPr>
          </c:dPt>
          <c:dPt>
            <c:idx val="10"/>
            <c:spPr>
              <a:solidFill>
                <a:srgbClr val="92D050"/>
              </a:solidFill>
              <a:ln w="0">
                <a:solidFill>
                  <a:srgbClr val="000000"/>
                </a:solidFill>
              </a:ln>
            </c:spPr>
          </c:dPt>
          <c:dPt>
            <c:idx val="11"/>
            <c:spPr>
              <a:solidFill>
                <a:srgbClr val="92D050"/>
              </a:solidFill>
              <a:ln w="0">
                <a:solidFill>
                  <a:srgbClr val="000000"/>
                </a:solidFill>
              </a:ln>
            </c:spPr>
          </c:dPt>
          <c:dPt>
            <c:idx val="12"/>
            <c:spPr>
              <a:solidFill>
                <a:srgbClr val="92D050"/>
              </a:solidFill>
              <a:ln w="0">
                <a:solidFill>
                  <a:srgbClr val="000000"/>
                </a:solidFill>
              </a:ln>
            </c:spPr>
          </c:dPt>
          <c:dPt>
            <c:idx val="13"/>
            <c:spPr>
              <a:solidFill>
                <a:srgbClr val="92D050"/>
              </a:solidFill>
              <a:ln w="0">
                <a:solidFill>
                  <a:srgbClr val="000000"/>
                </a:solidFill>
              </a:ln>
            </c:spPr>
          </c:dPt>
          <c:dPt>
            <c:idx val="14"/>
            <c:spPr>
              <a:solidFill>
                <a:srgbClr val="000000"/>
              </a:solidFill>
              <a:ln w="0">
                <a:noFill/>
              </a:ln>
            </c:spPr>
          </c:dPt>
          <c:dPt>
            <c:idx val="15"/>
            <c:spPr>
              <a:solidFill>
                <a:srgbClr val="000000"/>
              </a:solidFill>
              <a:ln w="0">
                <a:noFill/>
              </a:ln>
            </c:spPr>
          </c:dPt>
          <c:dLbls>
            <c:dLbl>
              <c:idx val="0"/>
              <c:numFmt formatCode="General" sourceLinked="0"/>
              <c:txPr>
                <a:bodyPr wrap="square"/>
                <a:lstStyle/>
                <a:p>
                  <a:pPr>
                    <a:defRPr sz="1000" b="1" u="none" strike="noStrike">
                      <a:solidFill>
                        <a:srgbClr val="FFFFFF"/>
                      </a:solidFill>
                      <a:uFillTx/>
                      <a:latin typeface="Calibri"/>
                      <a:ea typeface="Calibri"/>
                    </a:defRPr>
                  </a:pPr>
                </a:p>
              </c:txPr>
              <c:dLblPos val="ctr"/>
              <c:showLegendKey val="0"/>
              <c:showVal val="1"/>
              <c:showCatName val="0"/>
              <c:showSerName val="0"/>
              <c:showPercent val="0"/>
              <c:separator>; </c:separator>
            </c:dLbl>
            <c:dLbl>
              <c:idx val="1"/>
              <c:numFmt formatCode="General" sourceLinked="0"/>
              <c:txPr>
                <a:bodyPr wrap="square"/>
                <a:lstStyle/>
                <a:p>
                  <a:pPr>
                    <a:defRPr sz="1000" b="1" u="none" strike="noStrike">
                      <a:solidFill>
                        <a:srgbClr val="FFFFFF"/>
                      </a:solidFill>
                      <a:uFillTx/>
                      <a:latin typeface="Calibri"/>
                      <a:ea typeface="Calibri"/>
                    </a:defRPr>
                  </a:pPr>
                </a:p>
              </c:txPr>
              <c:dLblPos val="ctr"/>
              <c:showLegendKey val="0"/>
              <c:showVal val="1"/>
              <c:showCatName val="0"/>
              <c:showSerName val="0"/>
              <c:showPercent val="0"/>
              <c:separator>; </c:separator>
            </c:dLbl>
            <c:dLbl>
              <c:idx val="2"/>
              <c:numFmt formatCode="General" sourceLinked="0"/>
              <c:txPr>
                <a:bodyPr wrap="square"/>
                <a:lstStyle/>
                <a:p>
                  <a:pPr>
                    <a:defRPr sz="1000" b="1" u="none" strike="noStrike">
                      <a:solidFill>
                        <a:srgbClr val="FFFFFF"/>
                      </a:solidFill>
                      <a:uFillTx/>
                      <a:latin typeface="Calibri"/>
                      <a:ea typeface="Calibri"/>
                    </a:defRPr>
                  </a:pPr>
                </a:p>
              </c:txPr>
              <c:dLblPos val="ctr"/>
              <c:showLegendKey val="0"/>
              <c:showVal val="1"/>
              <c:showCatName val="0"/>
              <c:showSerName val="0"/>
              <c:showPercent val="0"/>
              <c:separator>; </c:separator>
            </c:dLbl>
            <c:dLbl>
              <c:idx val="3"/>
              <c:numFmt formatCode="General" sourceLinked="0"/>
              <c:txPr>
                <a:bodyPr wrap="square"/>
                <a:lstStyle/>
                <a:p>
                  <a:pPr>
                    <a:defRPr sz="1000" b="1" u="none" strike="noStrike">
                      <a:solidFill>
                        <a:srgbClr val="FFFFFF"/>
                      </a:solidFill>
                      <a:uFillTx/>
                      <a:latin typeface="Calibri"/>
                      <a:ea typeface="Calibri"/>
                    </a:defRPr>
                  </a:pPr>
                </a:p>
              </c:txPr>
              <c:dLblPos val="ctr"/>
              <c:showLegendKey val="0"/>
              <c:showVal val="1"/>
              <c:showCatName val="0"/>
              <c:showSerName val="0"/>
              <c:showPercent val="0"/>
              <c:separator>; </c:separator>
            </c:dLbl>
            <c:dLbl>
              <c:idx val="4"/>
              <c:numFmt formatCode="General" sourceLinked="0"/>
              <c:txPr>
                <a:bodyPr wrap="square"/>
                <a:lstStyle/>
                <a:p>
                  <a:pPr>
                    <a:defRPr sz="1000" b="1" u="none" strike="noStrike">
                      <a:solidFill>
                        <a:srgbClr val="FFFFFF"/>
                      </a:solidFill>
                      <a:uFillTx/>
                      <a:latin typeface="Calibri"/>
                      <a:ea typeface="Calibri"/>
                    </a:defRPr>
                  </a:pPr>
                </a:p>
              </c:txPr>
              <c:dLblPos val="ctr"/>
              <c:showLegendKey val="0"/>
              <c:showVal val="1"/>
              <c:showCatName val="0"/>
              <c:showSerName val="0"/>
              <c:showPercent val="0"/>
              <c:separator>; </c:separator>
            </c:dLbl>
            <c:dLbl>
              <c:idx val="5"/>
              <c:numFmt formatCode="General" sourceLinked="0"/>
              <c:txPr>
                <a:bodyPr wrap="square"/>
                <a:lstStyle/>
                <a:p>
                  <a:pPr>
                    <a:defRPr sz="1000" b="1" u="none" strike="noStrike">
                      <a:solidFill>
                        <a:srgbClr val="FFFFFF"/>
                      </a:solidFill>
                      <a:uFillTx/>
                      <a:latin typeface="Calibri"/>
                      <a:ea typeface="Calibri"/>
                    </a:defRPr>
                  </a:pPr>
                </a:p>
              </c:txPr>
              <c:dLblPos val="ctr"/>
              <c:showLegendKey val="0"/>
              <c:showVal val="1"/>
              <c:showCatName val="0"/>
              <c:showSerName val="0"/>
              <c:showPercent val="0"/>
              <c:separator>; </c:separator>
            </c:dLbl>
            <c:dLbl>
              <c:idx val="6"/>
              <c:numFmt formatCode="General" sourceLinked="0"/>
              <c:txPr>
                <a:bodyPr wrap="square"/>
                <a:lstStyle/>
                <a:p>
                  <a:pPr>
                    <a:defRPr sz="1000" b="1" u="none" strike="noStrike">
                      <a:solidFill>
                        <a:srgbClr val="FFFFFF"/>
                      </a:solidFill>
                      <a:uFillTx/>
                      <a:latin typeface="Calibri"/>
                      <a:ea typeface="Calibri"/>
                    </a:defRPr>
                  </a:pPr>
                </a:p>
              </c:txPr>
              <c:dLblPos val="ctr"/>
              <c:showLegendKey val="0"/>
              <c:showVal val="1"/>
              <c:showCatName val="0"/>
              <c:showSerName val="0"/>
              <c:showPercent val="0"/>
              <c:separator>; </c:separator>
            </c:dLbl>
            <c:dLbl>
              <c:idx val="7"/>
              <c:numFmt formatCode="General" sourceLinked="0"/>
              <c:txPr>
                <a:bodyPr wrap="square"/>
                <a:lstStyle/>
                <a:p>
                  <a:pPr>
                    <a:defRPr sz="1000" b="1" u="none" strike="noStrike">
                      <a:solidFill>
                        <a:srgbClr val="FFFFFF"/>
                      </a:solidFill>
                      <a:uFillTx/>
                      <a:latin typeface="Calibri"/>
                      <a:ea typeface="Calibri"/>
                    </a:defRPr>
                  </a:pPr>
                </a:p>
              </c:txPr>
              <c:dLblPos val="ctr"/>
              <c:showLegendKey val="0"/>
              <c:showVal val="1"/>
              <c:showCatName val="0"/>
              <c:showSerName val="0"/>
              <c:showPercent val="0"/>
              <c:separator>; </c:separator>
            </c:dLbl>
            <c:dLbl>
              <c:idx val="8"/>
              <c:numFmt formatCode="General" sourceLinked="0"/>
              <c:txPr>
                <a:bodyPr wrap="square"/>
                <a:lstStyle/>
                <a:p>
                  <a:pPr>
                    <a:defRPr sz="1000" b="1" u="none" strike="noStrike">
                      <a:solidFill>
                        <a:srgbClr val="FFFFFF"/>
                      </a:solidFill>
                      <a:uFillTx/>
                      <a:latin typeface="Calibri"/>
                      <a:ea typeface="Calibri"/>
                    </a:defRPr>
                  </a:pPr>
                </a:p>
              </c:txPr>
              <c:dLblPos val="ctr"/>
              <c:showLegendKey val="0"/>
              <c:showVal val="1"/>
              <c:showCatName val="0"/>
              <c:showSerName val="0"/>
              <c:showPercent val="0"/>
              <c:separator>; </c:separator>
            </c:dLbl>
            <c:dLbl>
              <c:idx val="9"/>
              <c:numFmt formatCode="General" sourceLinked="0"/>
              <c:txPr>
                <a:bodyPr wrap="square"/>
                <a:lstStyle/>
                <a:p>
                  <a:pPr>
                    <a:defRPr sz="1000" b="1" u="none" strike="noStrike">
                      <a:solidFill>
                        <a:srgbClr val="FFFFFF"/>
                      </a:solidFill>
                      <a:uFillTx/>
                      <a:latin typeface="Calibri"/>
                      <a:ea typeface="Calibri"/>
                    </a:defRPr>
                  </a:pPr>
                </a:p>
              </c:txPr>
              <c:dLblPos val="ctr"/>
              <c:showLegendKey val="0"/>
              <c:showVal val="1"/>
              <c:showCatName val="0"/>
              <c:showSerName val="0"/>
              <c:showPercent val="0"/>
              <c:separator>; </c:separator>
            </c:dLbl>
            <c:dLbl>
              <c:idx val="10"/>
              <c:numFmt formatCode="General" sourceLinked="0"/>
              <c:txPr>
                <a:bodyPr wrap="square"/>
                <a:lstStyle/>
                <a:p>
                  <a:pPr>
                    <a:defRPr sz="1000" b="1" u="none" strike="noStrike">
                      <a:solidFill>
                        <a:srgbClr val="FFFFFF"/>
                      </a:solidFill>
                      <a:uFillTx/>
                      <a:latin typeface="Calibri"/>
                      <a:ea typeface="Calibri"/>
                    </a:defRPr>
                  </a:pPr>
                </a:p>
              </c:txPr>
              <c:dLblPos val="ctr"/>
              <c:showLegendKey val="0"/>
              <c:showVal val="1"/>
              <c:showCatName val="0"/>
              <c:showSerName val="0"/>
              <c:showPercent val="0"/>
              <c:separator>; </c:separator>
            </c:dLbl>
            <c:dLbl>
              <c:idx val="11"/>
              <c:numFmt formatCode="General" sourceLinked="0"/>
              <c:txPr>
                <a:bodyPr wrap="square"/>
                <a:lstStyle/>
                <a:p>
                  <a:pPr>
                    <a:defRPr sz="1000" b="1" u="none" strike="noStrike">
                      <a:solidFill>
                        <a:srgbClr val="FFFFFF"/>
                      </a:solidFill>
                      <a:uFillTx/>
                      <a:latin typeface="Calibri"/>
                      <a:ea typeface="Calibri"/>
                    </a:defRPr>
                  </a:pPr>
                </a:p>
              </c:txPr>
              <c:dLblPos val="ctr"/>
              <c:showLegendKey val="0"/>
              <c:showVal val="1"/>
              <c:showCatName val="0"/>
              <c:showSerName val="0"/>
              <c:showPercent val="0"/>
              <c:separator>; </c:separator>
            </c:dLbl>
            <c:dLbl>
              <c:idx val="12"/>
              <c:numFmt formatCode="General" sourceLinked="0"/>
              <c:txPr>
                <a:bodyPr wrap="square"/>
                <a:lstStyle/>
                <a:p>
                  <a:pPr>
                    <a:defRPr sz="1000" b="1" u="none" strike="noStrike">
                      <a:solidFill>
                        <a:srgbClr val="FFFFFF"/>
                      </a:solidFill>
                      <a:uFillTx/>
                      <a:latin typeface="Arial"/>
                    </a:defRPr>
                  </a:pPr>
                </a:p>
              </c:txPr>
              <c:dLblPos val="ctr"/>
              <c:showLegendKey val="0"/>
              <c:showVal val="1"/>
              <c:showCatName val="0"/>
              <c:showSerName val="0"/>
              <c:showPercent val="0"/>
              <c:separator>; </c:separator>
            </c:dLbl>
            <c:dLbl>
              <c:idx val="13"/>
              <c:numFmt formatCode="General" sourceLinked="0"/>
              <c:txPr>
                <a:bodyPr wrap="square"/>
                <a:lstStyle/>
                <a:p>
                  <a:pPr>
                    <a:defRPr sz="1000" b="1" u="none" strike="noStrike">
                      <a:solidFill>
                        <a:srgbClr val="FFFFFF"/>
                      </a:solidFill>
                      <a:uFillTx/>
                      <a:latin typeface="Arial"/>
                    </a:defRPr>
                  </a:pPr>
                </a:p>
              </c:txPr>
              <c:dLblPos val="ctr"/>
              <c:showLegendKey val="0"/>
              <c:showVal val="1"/>
              <c:showCatName val="0"/>
              <c:showSerName val="0"/>
              <c:showPercent val="0"/>
              <c:separator>; </c:separator>
            </c:dLbl>
            <c:numFmt formatCode="General" sourceLinked="0"/>
            <c:txPr>
              <a:bodyPr wrap="square"/>
              <a:lstStyle/>
              <a:p>
                <a:pPr>
                  <a:defRPr sz="1000" b="1" u="none" strike="noStrike">
                    <a:solidFill>
                      <a:srgbClr val="FFFFFF"/>
                    </a:solidFill>
                    <a:uFillTx/>
                    <a:latin typeface="Arial"/>
                    <a:ea typeface="Calibri"/>
                  </a:defRPr>
                </a:pPr>
              </a:p>
            </c:txPr>
            <c:dLblPos val="ctr"/>
            <c:showLegendKey val="0"/>
            <c:showVal val="1"/>
            <c:showCatName val="0"/>
            <c:showSerName val="0"/>
            <c:showPercent val="0"/>
            <c:separator>; </c:separator>
            <c:showLeaderLines val="0"/>
            <c:extLst>
              <c:ext xmlns:c15="http://schemas.microsoft.com/office/drawing/2012/chart" uri="{CE6537A1-D6FC-4f65-9D91-7224C49458BB}">
                <c15:showLeaderLines val="0"/>
              </c:ext>
            </c:extLst>
          </c:dLbls>
          <c:cat>
            <c:multiLvlStrRef>
              <c:f>Resumo!$M$9:$AB$9</c:f>
              <c:multiLvlStrCache>
                <c:ptCount val="1"/>
                <c:lvl>
                  <c:pt idx="0">
                    <c:v>2026</c:v>
                  </c:pt>
                </c:lvl>
                <c:lvl>
                  <c:pt idx="0">
                    <c:v>2025</c:v>
                  </c:pt>
                </c:lvl>
                <c:lvl>
                  <c:pt idx="0">
                    <c:v>2024</c:v>
                  </c:pt>
                </c:lvl>
                <c:lvl>
                  <c:pt idx="0">
                    <c:v>2023</c:v>
                  </c:pt>
                </c:lvl>
                <c:lvl>
                  <c:pt idx="0">
                    <c:v>2022</c:v>
                  </c:pt>
                </c:lvl>
                <c:lvl>
                  <c:pt idx="0">
                    <c:v>2021</c:v>
                  </c:pt>
                </c:lvl>
                <c:lvl>
                  <c:pt idx="0">
                    <c:v>2020</c:v>
                  </c:pt>
                </c:lvl>
                <c:lvl>
                  <c:pt idx="0">
                    <c:v>2019</c:v>
                  </c:pt>
                </c:lvl>
                <c:lvl>
                  <c:pt idx="0">
                    <c:v>2018</c:v>
                  </c:pt>
                </c:lvl>
                <c:lvl>
                  <c:pt idx="0">
                    <c:v>2017</c:v>
                  </c:pt>
                </c:lvl>
                <c:lvl>
                  <c:pt idx="0">
                    <c:v>2016</c:v>
                  </c:pt>
                </c:lvl>
                <c:lvl>
                  <c:pt idx="0">
                    <c:v>2015</c:v>
                  </c:pt>
                </c:lvl>
                <c:lvl>
                  <c:pt idx="0">
                    <c:v>2014</c:v>
                  </c:pt>
                </c:lvl>
                <c:lvl>
                  <c:pt idx="0">
                    <c:v>2013</c:v>
                  </c:pt>
                </c:lvl>
                <c:lvl>
                  <c:pt idx="0">
                    <c:v>2012</c:v>
                  </c:pt>
                </c:lvl>
                <c:lvl>
                  <c:pt idx="0">
                    <c:v>2011</c:v>
                  </c:pt>
                </c:lvl>
              </c:multiLvlStrCache>
            </c:multiLvlStrRef>
          </c:cat>
          <c:val>
            <c:numRef>
              <c:f>Resumo!$M$19:$AB$19</c:f>
              <c:numCache>
                <c:formatCode>General</c:formatCode>
                <c:ptCount val="16"/>
                <c:pt idx="0">
                  <c:v>3</c:v>
                </c:pt>
                <c:pt idx="1">
                  <c:v>12</c:v>
                </c:pt>
                <c:pt idx="2">
                  <c:v>5</c:v>
                </c:pt>
                <c:pt idx="3">
                  <c:v>7</c:v>
                </c:pt>
                <c:pt idx="4">
                  <c:v>24</c:v>
                </c:pt>
                <c:pt idx="5">
                  <c:v>24</c:v>
                </c:pt>
                <c:pt idx="6">
                  <c:v>21</c:v>
                </c:pt>
                <c:pt idx="7">
                  <c:v>17</c:v>
                </c:pt>
                <c:pt idx="8">
                  <c:v>12</c:v>
                </c:pt>
                <c:pt idx="9">
                  <c:v>38</c:v>
                </c:pt>
                <c:pt idx="10">
                  <c:v>51</c:v>
                </c:pt>
                <c:pt idx="11">
                  <c:v>79</c:v>
                </c:pt>
                <c:pt idx="12">
                  <c:v>35</c:v>
                </c:pt>
                <c:pt idx="13">
                  <c:v>54</c:v>
                </c:pt>
                <c:pt idx="14">
                  <c:v>75</c:v>
                </c:pt>
                <c:pt idx="15">
                  <c:v>41</c:v>
                </c:pt>
              </c:numCache>
            </c:numRef>
          </c:val>
        </c:ser>
        <c:gapWidth val="150"/>
        <c:overlap val="0"/>
        <c:axId val="77765284"/>
        <c:axId val="68430100"/>
      </c:barChart>
      <c:catAx>
        <c:axId val="77765284"/>
        <c:scaling>
          <c:orientation val="minMax"/>
        </c:scaling>
        <c:delete val="0"/>
        <c:axPos val="b"/>
        <c:numFmt formatCode="General" sourceLinked="0"/>
        <c:majorTickMark val="none"/>
        <c:minorTickMark val="none"/>
        <c:tickLblPos val="nextTo"/>
        <c:spPr>
          <a:ln w="6480">
            <a:solidFill>
              <a:srgbClr val="8B8B8B"/>
            </a:solidFill>
            <a:round/>
          </a:ln>
        </c:spPr>
        <c:txPr>
          <a:bodyPr/>
          <a:lstStyle/>
          <a:p>
            <a:pPr>
              <a:defRPr sz="1000" b="1" u="none" strike="noStrike">
                <a:solidFill>
                  <a:srgbClr val="274E13"/>
                </a:solidFill>
                <a:uFillTx/>
                <a:latin typeface="Arial"/>
                <a:ea typeface="Calibri"/>
              </a:defRPr>
            </a:pPr>
          </a:p>
        </c:txPr>
        <c:crossAx val="68430100"/>
        <c:crosses val="autoZero"/>
        <c:auto val="1"/>
        <c:lblAlgn val="ctr"/>
        <c:lblOffset val="100"/>
        <c:noMultiLvlLbl val="0"/>
      </c:catAx>
      <c:valAx>
        <c:axId val="68430100"/>
        <c:scaling>
          <c:orientation val="minMax"/>
        </c:scaling>
        <c:delete val="0"/>
        <c:axPos val="l"/>
        <c:majorGridlines>
          <c:spPr>
            <a:ln w="6480">
              <a:solidFill>
                <a:srgbClr val="B7B7B7"/>
              </a:solidFill>
              <a:round/>
            </a:ln>
          </c:spPr>
        </c:majorGridlines>
        <c:title>
          <c:tx>
            <c:rich>
              <a:bodyPr rot="-5400000"/>
              <a:lstStyle/>
              <a:p>
                <a:pPr>
                  <a:defRPr sz="1300" b="0" u="none" strike="noStrike">
                    <a:uFillTx/>
                    <a:latin typeface="Arial"/>
                  </a:defRPr>
                </a:pPr>
                <a:r>
                  <a:rPr lang="pt-BR" sz="1000" b="1" u="none" strike="noStrike">
                    <a:solidFill>
                      <a:srgbClr val="274E13"/>
                    </a:solidFill>
                    <a:uFillTx/>
                    <a:latin typeface="Arial"/>
                    <a:ea typeface="Calibri"/>
                  </a:rPr>
                  <a:t>Registros Aprovados</a:t>
                </a:r>
              </a:p>
            </c:rich>
          </c:tx>
          <c:overlay val="0"/>
          <c:spPr>
            <a:noFill/>
            <a:ln w="0">
              <a:noFill/>
            </a:ln>
          </c:spPr>
        </c:title>
        <c:numFmt formatCode="General" sourceLinked="0"/>
        <c:majorTickMark val="cross"/>
        <c:minorTickMark val="cross"/>
        <c:tickLblPos val="nextTo"/>
        <c:spPr>
          <a:ln w="6480">
            <a:solidFill>
              <a:srgbClr val="8B8B8B"/>
            </a:solidFill>
            <a:round/>
          </a:ln>
        </c:spPr>
        <c:txPr>
          <a:bodyPr/>
          <a:lstStyle/>
          <a:p>
            <a:pPr>
              <a:defRPr sz="1000" b="1" u="none" strike="noStrike">
                <a:solidFill>
                  <a:srgbClr val="003300"/>
                </a:solidFill>
                <a:uFillTx/>
                <a:latin typeface="Arial"/>
                <a:ea typeface="Calibri"/>
              </a:defRPr>
            </a:pPr>
          </a:p>
        </c:txPr>
        <c:crossAx val="77765284"/>
        <c:crosses val="autoZero"/>
        <c:crossBetween val="between"/>
      </c:valAx>
      <c:spPr>
        <a:noFill/>
        <a:ln w="0">
          <a:noFill/>
        </a:ln>
      </c:spPr>
    </c:plotArea>
    <c:plotVisOnly val="1"/>
    <c:dispBlanksAs val="zero"/>
  </c:chart>
  <c:spPr>
    <a:solidFill>
      <a:srgbClr val="FFFFFF"/>
    </a:solidFill>
    <a:ln w="9360">
      <a:solidFill>
        <a:srgbClr val="D9D9D9"/>
      </a:solidFill>
      <a:round/>
    </a:ln>
  </c:spPr>
</c:chartSpace>
</file>

<file path=xl/charts/chart9.xml><?xml version="1.0" encoding="utf-8"?>
<c:chartSpace xmlns:c="http://schemas.openxmlformats.org/drawingml/2006/chart" xmlns:a="http://schemas.openxmlformats.org/drawingml/2006/main" xmlns:r="http://schemas.openxmlformats.org/officeDocument/2006/relationships">
  <c:lang val="en-US"/>
  <c:roundedCorners val="0"/>
  <c:style val="2"/>
  <c:chart>
    <c:title>
      <c:tx>
        <c:rich>
          <a:bodyPr rot="0"/>
          <a:lstStyle/>
          <a:p>
            <a:pPr>
              <a:defRPr sz="1300" b="0" u="none" strike="noStrike">
                <a:uFillTx/>
                <a:latin typeface="Arial"/>
              </a:defRPr>
            </a:pPr>
            <a:r>
              <a:rPr lang="en-US" sz="1800" b="1" u="none" strike="noStrike">
                <a:solidFill>
                  <a:srgbClr val="274E13"/>
                </a:solidFill>
                <a:uFillTx/>
                <a:latin typeface="Arial"/>
                <a:ea typeface="Calibri"/>
              </a:rPr>
              <a:t>Registro de Agrotóxicos e Afins Aprovados - Por tipo</a:t>
            </a:r>
          </a:p>
        </c:rich>
      </c:tx>
      <c:overlay val="0"/>
      <c:spPr>
        <a:noFill/>
        <a:ln w="0">
          <a:noFill/>
        </a:ln>
      </c:spPr>
    </c:title>
    <c:autoTitleDeleted val="0"/>
    <c:plotArea>
      <c:barChart>
        <c:barDir val="col"/>
        <c:grouping val="stacked"/>
        <c:varyColors val="0"/>
        <c:ser>
          <c:idx val="0"/>
          <c:order val="0"/>
          <c:tx>
            <c:strRef>
              <c:f>"Bio/Org - Produto Formulado Biológico, Microbiológico, Bioquímico, Extrato Vegetal, Regulador de Crescimento ou Semioquímico, para a Agricultura Orgânica"</c:f>
              <c:strCache>
                <c:ptCount val="1"/>
                <c:pt idx="0">
                  <c:v>Bio/Org - Produto Formulado Biológico, Microbiológico, Bioquímico, Extrato Vegetal, Regulador de Crescimento ou Semioquímico, para a Agricultura Orgânica</c:v>
                </c:pt>
              </c:strCache>
            </c:strRef>
          </c:tx>
          <c:spPr>
            <a:solidFill>
              <a:srgbClr val="B6D7A8"/>
            </a:solidFill>
            <a:ln w="0">
              <a:solidFill>
                <a:srgbClr val="000000"/>
              </a:solidFill>
            </a:ln>
          </c:spPr>
          <c:invertIfNegative val="0"/>
          <c:dLbls>
            <c:txPr>
              <a:bodyPr wrap="none"/>
              <a:lstStyle/>
              <a:p>
                <a:pPr>
                  <a:defRPr sz="1000" b="0" u="none" strike="noStrike">
                    <a:uFillTx/>
                    <a:latin typeface="Arial"/>
                  </a:defRPr>
                </a:pPr>
              </a:p>
            </c:txPr>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multiLvlStrRef>
              <c:f>Resumo!$B$9:$AB$9</c:f>
              <c:multiLvlStrCache>
                <c:ptCount val="1"/>
                <c:lvl>
                  <c:pt idx="0">
                    <c:v>2026</c:v>
                  </c:pt>
                </c:lvl>
                <c:lvl>
                  <c:pt idx="0">
                    <c:v>2025</c:v>
                  </c:pt>
                </c:lvl>
                <c:lvl>
                  <c:pt idx="0">
                    <c:v>2024</c:v>
                  </c:pt>
                </c:lvl>
                <c:lvl>
                  <c:pt idx="0">
                    <c:v>2023</c:v>
                  </c:pt>
                </c:lvl>
                <c:lvl>
                  <c:pt idx="0">
                    <c:v>2022</c:v>
                  </c:pt>
                </c:lvl>
                <c:lvl>
                  <c:pt idx="0">
                    <c:v>2021</c:v>
                  </c:pt>
                </c:lvl>
                <c:lvl>
                  <c:pt idx="0">
                    <c:v>2020</c:v>
                  </c:pt>
                </c:lvl>
                <c:lvl>
                  <c:pt idx="0">
                    <c:v>2019</c:v>
                  </c:pt>
                </c:lvl>
                <c:lvl>
                  <c:pt idx="0">
                    <c:v>2018</c:v>
                  </c:pt>
                </c:lvl>
                <c:lvl>
                  <c:pt idx="0">
                    <c:v>2017</c:v>
                  </c:pt>
                </c:lvl>
                <c:lvl>
                  <c:pt idx="0">
                    <c:v>2016</c:v>
                  </c:pt>
                </c:lvl>
                <c:lvl>
                  <c:pt idx="0">
                    <c:v>2015</c:v>
                  </c:pt>
                </c:lvl>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lvl>
                  <c:pt idx="0">
                    <c:v>2004</c:v>
                  </c:pt>
                </c:lvl>
                <c:lvl>
                  <c:pt idx="0">
                    <c:v>2003</c:v>
                  </c:pt>
                </c:lvl>
                <c:lvl>
                  <c:pt idx="0">
                    <c:v>2002</c:v>
                  </c:pt>
                </c:lvl>
                <c:lvl>
                  <c:pt idx="0">
                    <c:v>2001</c:v>
                  </c:pt>
                </c:lvl>
                <c:lvl>
                  <c:pt idx="0">
                    <c:v>2000</c:v>
                  </c:pt>
                </c:lvl>
              </c:multiLvlStrCache>
            </c:multiLvlStrRef>
          </c:cat>
          <c:val>
            <c:numRef>
              <c:f>Resumo!$A$19:$AB$19</c:f>
              <c:numCache>
                <c:formatCode>General</c:formatCode>
                <c:ptCount val="28"/>
                <c:pt idx="1">
                  <c:v>0</c:v>
                </c:pt>
                <c:pt idx="2">
                  <c:v>0</c:v>
                </c:pt>
                <c:pt idx="3">
                  <c:v>0</c:v>
                </c:pt>
                <c:pt idx="4">
                  <c:v>0</c:v>
                </c:pt>
                <c:pt idx="5">
                  <c:v>0</c:v>
                </c:pt>
                <c:pt idx="6">
                  <c:v>0</c:v>
                </c:pt>
                <c:pt idx="7">
                  <c:v>0</c:v>
                </c:pt>
                <c:pt idx="8">
                  <c:v>0</c:v>
                </c:pt>
                <c:pt idx="9">
                  <c:v>0</c:v>
                </c:pt>
                <c:pt idx="10">
                  <c:v>0</c:v>
                </c:pt>
                <c:pt idx="11">
                  <c:v>0</c:v>
                </c:pt>
                <c:pt idx="12">
                  <c:v>3</c:v>
                </c:pt>
                <c:pt idx="13">
                  <c:v>12</c:v>
                </c:pt>
                <c:pt idx="14">
                  <c:v>5</c:v>
                </c:pt>
                <c:pt idx="15">
                  <c:v>7</c:v>
                </c:pt>
                <c:pt idx="16">
                  <c:v>24</c:v>
                </c:pt>
                <c:pt idx="17">
                  <c:v>24</c:v>
                </c:pt>
                <c:pt idx="18">
                  <c:v>21</c:v>
                </c:pt>
                <c:pt idx="19">
                  <c:v>17</c:v>
                </c:pt>
                <c:pt idx="20">
                  <c:v>12</c:v>
                </c:pt>
                <c:pt idx="21">
                  <c:v>38</c:v>
                </c:pt>
                <c:pt idx="22">
                  <c:v>51</c:v>
                </c:pt>
                <c:pt idx="23">
                  <c:v>79</c:v>
                </c:pt>
                <c:pt idx="24">
                  <c:v>35</c:v>
                </c:pt>
                <c:pt idx="25">
                  <c:v>54</c:v>
                </c:pt>
                <c:pt idx="26">
                  <c:v>75</c:v>
                </c:pt>
                <c:pt idx="27">
                  <c:v>41</c:v>
                </c:pt>
              </c:numCache>
            </c:numRef>
          </c:val>
        </c:ser>
        <c:ser>
          <c:idx val="1"/>
          <c:order val="1"/>
          <c:tx>
            <c:strRef>
              <c:f>"Bio - Produto Formulado Biológico, Microbiológico, Bioquímico, Extrato Vegetal, Regulador de Crescimento ou Semioquímico; de Baixo Risco"</c:f>
              <c:strCache>
                <c:ptCount val="1"/>
                <c:pt idx="0">
                  <c:v>Bio - Produto Formulado Biológico, Microbiológico, Bioquímico, Extrato Vegetal, Regulador de Crescimento ou Semioquímico; de Baixo Risco</c:v>
                </c:pt>
              </c:strCache>
            </c:strRef>
          </c:tx>
          <c:spPr>
            <a:solidFill>
              <a:srgbClr val="F6B26B"/>
            </a:solidFill>
            <a:ln w="0">
              <a:solidFill>
                <a:srgbClr val="000000"/>
              </a:solidFill>
            </a:ln>
          </c:spPr>
          <c:invertIfNegative val="0"/>
          <c:dLbls>
            <c:txPr>
              <a:bodyPr wrap="none"/>
              <a:lstStyle/>
              <a:p>
                <a:pPr>
                  <a:defRPr sz="1000" b="0" u="none" strike="noStrike">
                    <a:uFillTx/>
                    <a:latin typeface="Arial"/>
                  </a:defRPr>
                </a:pPr>
              </a:p>
            </c:txPr>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multiLvlStrRef>
              <c:f>Resumo!$B$9:$AB$9</c:f>
              <c:multiLvlStrCache>
                <c:ptCount val="1"/>
                <c:lvl>
                  <c:pt idx="0">
                    <c:v>2026</c:v>
                  </c:pt>
                </c:lvl>
                <c:lvl>
                  <c:pt idx="0">
                    <c:v>2025</c:v>
                  </c:pt>
                </c:lvl>
                <c:lvl>
                  <c:pt idx="0">
                    <c:v>2024</c:v>
                  </c:pt>
                </c:lvl>
                <c:lvl>
                  <c:pt idx="0">
                    <c:v>2023</c:v>
                  </c:pt>
                </c:lvl>
                <c:lvl>
                  <c:pt idx="0">
                    <c:v>2022</c:v>
                  </c:pt>
                </c:lvl>
                <c:lvl>
                  <c:pt idx="0">
                    <c:v>2021</c:v>
                  </c:pt>
                </c:lvl>
                <c:lvl>
                  <c:pt idx="0">
                    <c:v>2020</c:v>
                  </c:pt>
                </c:lvl>
                <c:lvl>
                  <c:pt idx="0">
                    <c:v>2019</c:v>
                  </c:pt>
                </c:lvl>
                <c:lvl>
                  <c:pt idx="0">
                    <c:v>2018</c:v>
                  </c:pt>
                </c:lvl>
                <c:lvl>
                  <c:pt idx="0">
                    <c:v>2017</c:v>
                  </c:pt>
                </c:lvl>
                <c:lvl>
                  <c:pt idx="0">
                    <c:v>2016</c:v>
                  </c:pt>
                </c:lvl>
                <c:lvl>
                  <c:pt idx="0">
                    <c:v>2015</c:v>
                  </c:pt>
                </c:lvl>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lvl>
                  <c:pt idx="0">
                    <c:v>2004</c:v>
                  </c:pt>
                </c:lvl>
                <c:lvl>
                  <c:pt idx="0">
                    <c:v>2003</c:v>
                  </c:pt>
                </c:lvl>
                <c:lvl>
                  <c:pt idx="0">
                    <c:v>2002</c:v>
                  </c:pt>
                </c:lvl>
                <c:lvl>
                  <c:pt idx="0">
                    <c:v>2001</c:v>
                  </c:pt>
                </c:lvl>
                <c:lvl>
                  <c:pt idx="0">
                    <c:v>2000</c:v>
                  </c:pt>
                </c:lvl>
              </c:multiLvlStrCache>
            </c:multiLvlStrRef>
          </c:cat>
          <c:val>
            <c:numRef>
              <c:f>Resumo!$B$18:$AB$18</c:f>
              <c:numCache>
                <c:formatCode>General</c:formatCode>
                <c:ptCount val="27"/>
                <c:pt idx="0">
                  <c:v>2</c:v>
                </c:pt>
                <c:pt idx="1">
                  <c:v>11</c:v>
                </c:pt>
                <c:pt idx="2">
                  <c:v>6</c:v>
                </c:pt>
                <c:pt idx="3">
                  <c:v>5</c:v>
                </c:pt>
                <c:pt idx="4">
                  <c:v>6</c:v>
                </c:pt>
                <c:pt idx="5">
                  <c:v>10</c:v>
                </c:pt>
                <c:pt idx="6">
                  <c:v>7</c:v>
                </c:pt>
                <c:pt idx="7">
                  <c:v>7</c:v>
                </c:pt>
                <c:pt idx="8">
                  <c:v>3</c:v>
                </c:pt>
                <c:pt idx="9">
                  <c:v>2</c:v>
                </c:pt>
                <c:pt idx="10">
                  <c:v>4</c:v>
                </c:pt>
                <c:pt idx="11">
                  <c:v>13</c:v>
                </c:pt>
                <c:pt idx="12">
                  <c:v>5</c:v>
                </c:pt>
                <c:pt idx="13">
                  <c:v>6</c:v>
                </c:pt>
                <c:pt idx="14">
                  <c:v>1</c:v>
                </c:pt>
                <c:pt idx="15">
                  <c:v>7</c:v>
                </c:pt>
                <c:pt idx="16">
                  <c:v>15</c:v>
                </c:pt>
                <c:pt idx="17">
                  <c:v>21</c:v>
                </c:pt>
                <c:pt idx="18">
                  <c:v>35</c:v>
                </c:pt>
                <c:pt idx="19">
                  <c:v>31</c:v>
                </c:pt>
                <c:pt idx="20">
                  <c:v>57</c:v>
                </c:pt>
                <c:pt idx="21">
                  <c:v>41</c:v>
                </c:pt>
                <c:pt idx="22">
                  <c:v>57</c:v>
                </c:pt>
                <c:pt idx="23">
                  <c:v>55</c:v>
                </c:pt>
                <c:pt idx="24">
                  <c:v>52</c:v>
                </c:pt>
                <c:pt idx="25">
                  <c:v>87</c:v>
                </c:pt>
                <c:pt idx="26">
                  <c:v>18</c:v>
                </c:pt>
              </c:numCache>
            </c:numRef>
          </c:val>
        </c:ser>
        <c:ser>
          <c:idx val="2"/>
          <c:order val="2"/>
          <c:tx>
            <c:strRef>
              <c:f>"PF/PTE - Produto Formulado a base de Produto Técnico Equivalente"</c:f>
              <c:strCache>
                <c:ptCount val="1"/>
                <c:pt idx="0">
                  <c:v>PF/PTE - Produto Formulado a base de Produto Técnico Equivalente</c:v>
                </c:pt>
              </c:strCache>
            </c:strRef>
          </c:tx>
          <c:spPr>
            <a:solidFill>
              <a:srgbClr val="EA9999"/>
            </a:solidFill>
            <a:ln w="0">
              <a:solidFill>
                <a:srgbClr val="000000"/>
              </a:solidFill>
            </a:ln>
          </c:spPr>
          <c:invertIfNegative val="0"/>
          <c:dLbls>
            <c:txPr>
              <a:bodyPr wrap="none"/>
              <a:lstStyle/>
              <a:p>
                <a:pPr>
                  <a:defRPr sz="1000" b="0" u="none" strike="noStrike">
                    <a:uFillTx/>
                    <a:latin typeface="Arial"/>
                  </a:defRPr>
                </a:pPr>
              </a:p>
            </c:txPr>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multiLvlStrRef>
              <c:f>Resumo!$B$9:$AB$9</c:f>
              <c:multiLvlStrCache>
                <c:ptCount val="1"/>
                <c:lvl>
                  <c:pt idx="0">
                    <c:v>2026</c:v>
                  </c:pt>
                </c:lvl>
                <c:lvl>
                  <c:pt idx="0">
                    <c:v>2025</c:v>
                  </c:pt>
                </c:lvl>
                <c:lvl>
                  <c:pt idx="0">
                    <c:v>2024</c:v>
                  </c:pt>
                </c:lvl>
                <c:lvl>
                  <c:pt idx="0">
                    <c:v>2023</c:v>
                  </c:pt>
                </c:lvl>
                <c:lvl>
                  <c:pt idx="0">
                    <c:v>2022</c:v>
                  </c:pt>
                </c:lvl>
                <c:lvl>
                  <c:pt idx="0">
                    <c:v>2021</c:v>
                  </c:pt>
                </c:lvl>
                <c:lvl>
                  <c:pt idx="0">
                    <c:v>2020</c:v>
                  </c:pt>
                </c:lvl>
                <c:lvl>
                  <c:pt idx="0">
                    <c:v>2019</c:v>
                  </c:pt>
                </c:lvl>
                <c:lvl>
                  <c:pt idx="0">
                    <c:v>2018</c:v>
                  </c:pt>
                </c:lvl>
                <c:lvl>
                  <c:pt idx="0">
                    <c:v>2017</c:v>
                  </c:pt>
                </c:lvl>
                <c:lvl>
                  <c:pt idx="0">
                    <c:v>2016</c:v>
                  </c:pt>
                </c:lvl>
                <c:lvl>
                  <c:pt idx="0">
                    <c:v>2015</c:v>
                  </c:pt>
                </c:lvl>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lvl>
                  <c:pt idx="0">
                    <c:v>2004</c:v>
                  </c:pt>
                </c:lvl>
                <c:lvl>
                  <c:pt idx="0">
                    <c:v>2003</c:v>
                  </c:pt>
                </c:lvl>
                <c:lvl>
                  <c:pt idx="0">
                    <c:v>2002</c:v>
                  </c:pt>
                </c:lvl>
                <c:lvl>
                  <c:pt idx="0">
                    <c:v>2001</c:v>
                  </c:pt>
                </c:lvl>
                <c:lvl>
                  <c:pt idx="0">
                    <c:v>2000</c:v>
                  </c:pt>
                </c:lvl>
              </c:multiLvlStrCache>
            </c:multiLvlStrRef>
          </c:cat>
          <c:val>
            <c:numRef>
              <c:f>Resumo!$B$17:$AB$17</c:f>
              <c:numCache>
                <c:formatCode>General</c:formatCode>
                <c:ptCount val="27"/>
                <c:pt idx="0">
                  <c:v>0</c:v>
                </c:pt>
                <c:pt idx="1">
                  <c:v>0</c:v>
                </c:pt>
                <c:pt idx="2">
                  <c:v>0</c:v>
                </c:pt>
                <c:pt idx="3">
                  <c:v>0</c:v>
                </c:pt>
                <c:pt idx="4">
                  <c:v>0</c:v>
                </c:pt>
                <c:pt idx="5">
                  <c:v>0</c:v>
                </c:pt>
                <c:pt idx="6">
                  <c:v>0</c:v>
                </c:pt>
                <c:pt idx="7">
                  <c:v>79</c:v>
                </c:pt>
                <c:pt idx="8">
                  <c:v>72</c:v>
                </c:pt>
                <c:pt idx="9">
                  <c:v>62</c:v>
                </c:pt>
                <c:pt idx="10">
                  <c:v>34</c:v>
                </c:pt>
                <c:pt idx="11">
                  <c:v>36</c:v>
                </c:pt>
                <c:pt idx="12">
                  <c:v>75</c:v>
                </c:pt>
                <c:pt idx="13">
                  <c:v>30</c:v>
                </c:pt>
                <c:pt idx="14">
                  <c:v>33</c:v>
                </c:pt>
                <c:pt idx="15">
                  <c:v>47</c:v>
                </c:pt>
                <c:pt idx="16">
                  <c:v>46</c:v>
                </c:pt>
                <c:pt idx="17">
                  <c:v>131</c:v>
                </c:pt>
                <c:pt idx="18">
                  <c:v>148</c:v>
                </c:pt>
                <c:pt idx="19">
                  <c:v>104</c:v>
                </c:pt>
                <c:pt idx="20">
                  <c:v>147</c:v>
                </c:pt>
                <c:pt idx="21">
                  <c:v>207</c:v>
                </c:pt>
                <c:pt idx="22">
                  <c:v>168</c:v>
                </c:pt>
                <c:pt idx="23">
                  <c:v>215</c:v>
                </c:pt>
                <c:pt idx="24">
                  <c:v>327</c:v>
                </c:pt>
                <c:pt idx="25">
                  <c:v>371</c:v>
                </c:pt>
                <c:pt idx="26">
                  <c:v>249</c:v>
                </c:pt>
              </c:numCache>
            </c:numRef>
          </c:val>
        </c:ser>
        <c:ser>
          <c:idx val="3"/>
          <c:order val="3"/>
          <c:tx>
            <c:strRef>
              <c:f>"PFN - Produto Formulado a Base de Ingrediente Ativo Novo"</c:f>
              <c:strCache>
                <c:ptCount val="1"/>
                <c:pt idx="0">
                  <c:v>PFN - Produto Formulado a Base de Ingrediente Ativo Novo</c:v>
                </c:pt>
              </c:strCache>
            </c:strRef>
          </c:tx>
          <c:spPr>
            <a:solidFill>
              <a:srgbClr val="6D9EEB"/>
            </a:solidFill>
            <a:ln w="0">
              <a:solidFill>
                <a:srgbClr val="000000"/>
              </a:solidFill>
            </a:ln>
          </c:spPr>
          <c:invertIfNegative val="0"/>
          <c:dLbls>
            <c:txPr>
              <a:bodyPr wrap="none"/>
              <a:lstStyle/>
              <a:p>
                <a:pPr>
                  <a:defRPr sz="1000" b="0" u="none" strike="noStrike">
                    <a:uFillTx/>
                    <a:latin typeface="Arial"/>
                  </a:defRPr>
                </a:pPr>
              </a:p>
            </c:txPr>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multiLvlStrRef>
              <c:f>Resumo!$B$9:$AB$9</c:f>
              <c:multiLvlStrCache>
                <c:ptCount val="1"/>
                <c:lvl>
                  <c:pt idx="0">
                    <c:v>2026</c:v>
                  </c:pt>
                </c:lvl>
                <c:lvl>
                  <c:pt idx="0">
                    <c:v>2025</c:v>
                  </c:pt>
                </c:lvl>
                <c:lvl>
                  <c:pt idx="0">
                    <c:v>2024</c:v>
                  </c:pt>
                </c:lvl>
                <c:lvl>
                  <c:pt idx="0">
                    <c:v>2023</c:v>
                  </c:pt>
                </c:lvl>
                <c:lvl>
                  <c:pt idx="0">
                    <c:v>2022</c:v>
                  </c:pt>
                </c:lvl>
                <c:lvl>
                  <c:pt idx="0">
                    <c:v>2021</c:v>
                  </c:pt>
                </c:lvl>
                <c:lvl>
                  <c:pt idx="0">
                    <c:v>2020</c:v>
                  </c:pt>
                </c:lvl>
                <c:lvl>
                  <c:pt idx="0">
                    <c:v>2019</c:v>
                  </c:pt>
                </c:lvl>
                <c:lvl>
                  <c:pt idx="0">
                    <c:v>2018</c:v>
                  </c:pt>
                </c:lvl>
                <c:lvl>
                  <c:pt idx="0">
                    <c:v>2017</c:v>
                  </c:pt>
                </c:lvl>
                <c:lvl>
                  <c:pt idx="0">
                    <c:v>2016</c:v>
                  </c:pt>
                </c:lvl>
                <c:lvl>
                  <c:pt idx="0">
                    <c:v>2015</c:v>
                  </c:pt>
                </c:lvl>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lvl>
                  <c:pt idx="0">
                    <c:v>2004</c:v>
                  </c:pt>
                </c:lvl>
                <c:lvl>
                  <c:pt idx="0">
                    <c:v>2003</c:v>
                  </c:pt>
                </c:lvl>
                <c:lvl>
                  <c:pt idx="0">
                    <c:v>2002</c:v>
                  </c:pt>
                </c:lvl>
                <c:lvl>
                  <c:pt idx="0">
                    <c:v>2001</c:v>
                  </c:pt>
                </c:lvl>
                <c:lvl>
                  <c:pt idx="0">
                    <c:v>2000</c:v>
                  </c:pt>
                </c:lvl>
              </c:multiLvlStrCache>
            </c:multiLvlStrRef>
          </c:cat>
          <c:val>
            <c:numRef>
              <c:f>Resumo!$B$16:$AB$16</c:f>
              <c:numCache>
                <c:formatCode>General</c:formatCode>
                <c:ptCount val="27"/>
                <c:pt idx="0">
                  <c:v>13</c:v>
                </c:pt>
                <c:pt idx="1">
                  <c:v>14</c:v>
                </c:pt>
                <c:pt idx="2">
                  <c:v>6</c:v>
                </c:pt>
                <c:pt idx="3">
                  <c:v>3</c:v>
                </c:pt>
                <c:pt idx="4">
                  <c:v>7</c:v>
                </c:pt>
                <c:pt idx="5">
                  <c:v>5</c:v>
                </c:pt>
                <c:pt idx="6">
                  <c:v>7</c:v>
                </c:pt>
                <c:pt idx="7">
                  <c:v>5</c:v>
                </c:pt>
                <c:pt idx="8">
                  <c:v>5</c:v>
                </c:pt>
                <c:pt idx="9">
                  <c:v>7</c:v>
                </c:pt>
                <c:pt idx="10">
                  <c:v>1</c:v>
                </c:pt>
                <c:pt idx="11">
                  <c:v>1</c:v>
                </c:pt>
                <c:pt idx="12">
                  <c:v>1</c:v>
                </c:pt>
                <c:pt idx="13">
                  <c:v>3</c:v>
                </c:pt>
                <c:pt idx="14">
                  <c:v>7</c:v>
                </c:pt>
                <c:pt idx="15">
                  <c:v>1</c:v>
                </c:pt>
                <c:pt idx="16">
                  <c:v>10</c:v>
                </c:pt>
                <c:pt idx="17">
                  <c:v>9</c:v>
                </c:pt>
                <c:pt idx="18">
                  <c:v>4</c:v>
                </c:pt>
                <c:pt idx="19">
                  <c:v>19</c:v>
                </c:pt>
                <c:pt idx="20">
                  <c:v>9</c:v>
                </c:pt>
                <c:pt idx="21">
                  <c:v>12</c:v>
                </c:pt>
                <c:pt idx="22">
                  <c:v>35</c:v>
                </c:pt>
                <c:pt idx="23">
                  <c:v>20</c:v>
                </c:pt>
                <c:pt idx="24">
                  <c:v>12</c:v>
                </c:pt>
                <c:pt idx="25">
                  <c:v>19</c:v>
                </c:pt>
                <c:pt idx="26">
                  <c:v>10</c:v>
                </c:pt>
              </c:numCache>
            </c:numRef>
          </c:val>
        </c:ser>
        <c:ser>
          <c:idx val="4"/>
          <c:order val="4"/>
          <c:tx>
            <c:strRef>
              <c:f>"PF - Produto Formulado"</c:f>
              <c:strCache>
                <c:ptCount val="1"/>
                <c:pt idx="0">
                  <c:v>PF - Produto Formulado</c:v>
                </c:pt>
              </c:strCache>
            </c:strRef>
          </c:tx>
          <c:spPr>
            <a:solidFill>
              <a:srgbClr val="A2C4C9"/>
            </a:solidFill>
            <a:ln w="0">
              <a:solidFill>
                <a:srgbClr val="000000"/>
              </a:solidFill>
            </a:ln>
          </c:spPr>
          <c:invertIfNegative val="0"/>
          <c:dLbls>
            <c:txPr>
              <a:bodyPr wrap="none"/>
              <a:lstStyle/>
              <a:p>
                <a:pPr>
                  <a:defRPr sz="1000" b="0" u="none" strike="noStrike">
                    <a:uFillTx/>
                    <a:latin typeface="Arial"/>
                  </a:defRPr>
                </a:pPr>
              </a:p>
            </c:txPr>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multiLvlStrRef>
              <c:f>Resumo!$B$9:$AB$9</c:f>
              <c:multiLvlStrCache>
                <c:ptCount val="1"/>
                <c:lvl>
                  <c:pt idx="0">
                    <c:v>2026</c:v>
                  </c:pt>
                </c:lvl>
                <c:lvl>
                  <c:pt idx="0">
                    <c:v>2025</c:v>
                  </c:pt>
                </c:lvl>
                <c:lvl>
                  <c:pt idx="0">
                    <c:v>2024</c:v>
                  </c:pt>
                </c:lvl>
                <c:lvl>
                  <c:pt idx="0">
                    <c:v>2023</c:v>
                  </c:pt>
                </c:lvl>
                <c:lvl>
                  <c:pt idx="0">
                    <c:v>2022</c:v>
                  </c:pt>
                </c:lvl>
                <c:lvl>
                  <c:pt idx="0">
                    <c:v>2021</c:v>
                  </c:pt>
                </c:lvl>
                <c:lvl>
                  <c:pt idx="0">
                    <c:v>2020</c:v>
                  </c:pt>
                </c:lvl>
                <c:lvl>
                  <c:pt idx="0">
                    <c:v>2019</c:v>
                  </c:pt>
                </c:lvl>
                <c:lvl>
                  <c:pt idx="0">
                    <c:v>2018</c:v>
                  </c:pt>
                </c:lvl>
                <c:lvl>
                  <c:pt idx="0">
                    <c:v>2017</c:v>
                  </c:pt>
                </c:lvl>
                <c:lvl>
                  <c:pt idx="0">
                    <c:v>2016</c:v>
                  </c:pt>
                </c:lvl>
                <c:lvl>
                  <c:pt idx="0">
                    <c:v>2015</c:v>
                  </c:pt>
                </c:lvl>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lvl>
                  <c:pt idx="0">
                    <c:v>2004</c:v>
                  </c:pt>
                </c:lvl>
                <c:lvl>
                  <c:pt idx="0">
                    <c:v>2003</c:v>
                  </c:pt>
                </c:lvl>
                <c:lvl>
                  <c:pt idx="0">
                    <c:v>2002</c:v>
                  </c:pt>
                </c:lvl>
                <c:lvl>
                  <c:pt idx="0">
                    <c:v>2001</c:v>
                  </c:pt>
                </c:lvl>
                <c:lvl>
                  <c:pt idx="0">
                    <c:v>2000</c:v>
                  </c:pt>
                </c:lvl>
              </c:multiLvlStrCache>
            </c:multiLvlStrRef>
          </c:cat>
          <c:val>
            <c:numRef>
              <c:f>Resumo!$B$15:$AB$15</c:f>
              <c:numCache>
                <c:formatCode>General</c:formatCode>
                <c:ptCount val="27"/>
                <c:pt idx="0">
                  <c:v>38</c:v>
                </c:pt>
                <c:pt idx="1">
                  <c:v>54</c:v>
                </c:pt>
                <c:pt idx="2">
                  <c:v>23</c:v>
                </c:pt>
                <c:pt idx="3">
                  <c:v>40</c:v>
                </c:pt>
                <c:pt idx="4">
                  <c:v>45</c:v>
                </c:pt>
                <c:pt idx="5">
                  <c:v>45</c:v>
                </c:pt>
                <c:pt idx="6">
                  <c:v>56</c:v>
                </c:pt>
                <c:pt idx="7">
                  <c:v>57</c:v>
                </c:pt>
                <c:pt idx="8">
                  <c:v>57</c:v>
                </c:pt>
                <c:pt idx="9">
                  <c:v>30</c:v>
                </c:pt>
                <c:pt idx="10">
                  <c:v>26</c:v>
                </c:pt>
                <c:pt idx="11">
                  <c:v>32</c:v>
                </c:pt>
                <c:pt idx="12">
                  <c:v>10</c:v>
                </c:pt>
                <c:pt idx="13">
                  <c:v>18</c:v>
                </c:pt>
                <c:pt idx="14">
                  <c:v>16</c:v>
                </c:pt>
                <c:pt idx="15">
                  <c:v>12</c:v>
                </c:pt>
                <c:pt idx="16">
                  <c:v>19</c:v>
                </c:pt>
                <c:pt idx="17">
                  <c:v>36</c:v>
                </c:pt>
                <c:pt idx="18">
                  <c:v>48</c:v>
                </c:pt>
                <c:pt idx="19">
                  <c:v>36</c:v>
                </c:pt>
                <c:pt idx="20">
                  <c:v>70</c:v>
                </c:pt>
                <c:pt idx="21">
                  <c:v>60</c:v>
                </c:pt>
                <c:pt idx="22">
                  <c:v>34</c:v>
                </c:pt>
                <c:pt idx="23">
                  <c:v>40</c:v>
                </c:pt>
                <c:pt idx="24">
                  <c:v>19</c:v>
                </c:pt>
                <c:pt idx="25">
                  <c:v>37</c:v>
                </c:pt>
                <c:pt idx="26">
                  <c:v>5</c:v>
                </c:pt>
              </c:numCache>
            </c:numRef>
          </c:val>
        </c:ser>
        <c:gapWidth val="150"/>
        <c:overlap val="100"/>
        <c:axId val="40224815"/>
        <c:axId val="83433354"/>
      </c:barChart>
      <c:catAx>
        <c:axId val="40224815"/>
        <c:scaling>
          <c:orientation val="minMax"/>
        </c:scaling>
        <c:delete val="0"/>
        <c:axPos val="b"/>
        <c:numFmt formatCode="General" sourceLinked="0"/>
        <c:majorTickMark val="none"/>
        <c:minorTickMark val="none"/>
        <c:tickLblPos val="nextTo"/>
        <c:spPr>
          <a:ln w="6480">
            <a:solidFill>
              <a:srgbClr val="8B8B8B"/>
            </a:solidFill>
            <a:round/>
          </a:ln>
        </c:spPr>
        <c:txPr>
          <a:bodyPr/>
          <a:lstStyle/>
          <a:p>
            <a:pPr>
              <a:defRPr sz="1000" b="1" u="none" strike="noStrike">
                <a:solidFill>
                  <a:srgbClr val="274E13"/>
                </a:solidFill>
                <a:uFillTx/>
                <a:latin typeface="Arial"/>
                <a:ea typeface="Calibri"/>
              </a:defRPr>
            </a:pPr>
          </a:p>
        </c:txPr>
        <c:crossAx val="83433354"/>
        <c:crosses val="autoZero"/>
        <c:auto val="1"/>
        <c:lblAlgn val="ctr"/>
        <c:lblOffset val="100"/>
        <c:noMultiLvlLbl val="0"/>
      </c:catAx>
      <c:valAx>
        <c:axId val="83433354"/>
        <c:scaling>
          <c:orientation val="minMax"/>
        </c:scaling>
        <c:delete val="0"/>
        <c:axPos val="l"/>
        <c:majorGridlines>
          <c:spPr>
            <a:ln w="6480">
              <a:solidFill>
                <a:srgbClr val="B7B7B7"/>
              </a:solidFill>
              <a:round/>
            </a:ln>
          </c:spPr>
        </c:majorGridlines>
        <c:title>
          <c:tx>
            <c:rich>
              <a:bodyPr rot="-5400000"/>
              <a:lstStyle/>
              <a:p>
                <a:pPr>
                  <a:defRPr sz="1300" b="0" u="none" strike="noStrike">
                    <a:uFillTx/>
                    <a:latin typeface="Arial"/>
                  </a:defRPr>
                </a:pPr>
                <a:r>
                  <a:rPr lang="pt-BR" sz="1000" b="1" u="none" strike="noStrike">
                    <a:solidFill>
                      <a:srgbClr val="274E13"/>
                    </a:solidFill>
                    <a:uFillTx/>
                    <a:latin typeface="Arial"/>
                    <a:ea typeface="Calibri"/>
                  </a:rPr>
                  <a:t>Registros Aprovados</a:t>
                </a:r>
              </a:p>
            </c:rich>
          </c:tx>
          <c:overlay val="0"/>
          <c:spPr>
            <a:noFill/>
            <a:ln w="0">
              <a:noFill/>
            </a:ln>
          </c:spPr>
        </c:title>
        <c:numFmt formatCode="General" sourceLinked="0"/>
        <c:majorTickMark val="cross"/>
        <c:minorTickMark val="cross"/>
        <c:tickLblPos val="nextTo"/>
        <c:spPr>
          <a:ln w="6480">
            <a:solidFill>
              <a:srgbClr val="8B8B8B"/>
            </a:solidFill>
            <a:round/>
          </a:ln>
        </c:spPr>
        <c:txPr>
          <a:bodyPr/>
          <a:lstStyle/>
          <a:p>
            <a:pPr>
              <a:defRPr sz="1000" b="1" u="none" strike="noStrike">
                <a:solidFill>
                  <a:srgbClr val="274E13"/>
                </a:solidFill>
                <a:uFillTx/>
                <a:latin typeface="Arial"/>
                <a:ea typeface="Calibri"/>
              </a:defRPr>
            </a:pPr>
          </a:p>
        </c:txPr>
        <c:crossAx val="40224815"/>
        <c:crosses val="autoZero"/>
        <c:crossBetween val="between"/>
      </c:valAx>
      <c:spPr>
        <a:noFill/>
        <a:ln w="0">
          <a:noFill/>
        </a:ln>
      </c:spPr>
    </c:plotArea>
    <c:legend>
      <c:legendPos val="b"/>
      <c:overlay val="0"/>
      <c:spPr>
        <a:noFill/>
        <a:ln w="0">
          <a:noFill/>
        </a:ln>
      </c:spPr>
      <c:txPr>
        <a:bodyPr/>
        <a:lstStyle/>
        <a:p>
          <a:pPr>
            <a:defRPr sz="800" b="1" u="none" strike="noStrike">
              <a:solidFill>
                <a:srgbClr val="274E13"/>
              </a:solidFill>
              <a:uFillTx/>
              <a:latin typeface="Arial"/>
              <a:ea typeface="Calibri"/>
            </a:defRPr>
          </a:pPr>
        </a:p>
      </c:txPr>
    </c:legend>
    <c:plotVisOnly val="1"/>
    <c:dispBlanksAs val="zero"/>
  </c:chart>
  <c:spPr>
    <a:solidFill>
      <a:srgbClr val="FFFFFF"/>
    </a:solidFill>
    <a:ln w="9360">
      <a:solidFill>
        <a:srgbClr val="D9D9D9"/>
      </a:solidFill>
      <a:round/>
    </a:ln>
  </c:sp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colorStyle>
</file>

<file path=xl/charts/colors10.xml><?xml version="1.0" encoding="utf-8"?>
<cs:colorStyle xmlns:cs="http://schemas.microsoft.com/office/drawing/2012/chartStyle" xmlns:a="http://schemas.openxmlformats.org/drawingml/2006/main" meth="cycle" id="10">
  <a:schemeClr val="accent1"/>
</cs:colorStyle>
</file>

<file path=xl/charts/colors11.xml><?xml version="1.0" encoding="utf-8"?>
<cs:colorStyle xmlns:cs="http://schemas.microsoft.com/office/drawing/2012/chartStyle" xmlns:a="http://schemas.openxmlformats.org/drawingml/2006/main" meth="cycle" id="10">
  <a:schemeClr val="accent1"/>
</cs:colorStyle>
</file>

<file path=xl/charts/colors12.xml><?xml version="1.0" encoding="utf-8"?>
<cs:colorStyle xmlns:cs="http://schemas.microsoft.com/office/drawing/2012/chartStyle" xmlns:a="http://schemas.openxmlformats.org/drawingml/2006/main" meth="cycle" id="10">
  <a:schemeClr val="accent1"/>
</cs:colorStyle>
</file>

<file path=xl/charts/colors13.xml><?xml version="1.0" encoding="utf-8"?>
<cs:colorStyle xmlns:cs="http://schemas.microsoft.com/office/drawing/2012/chartStyle" xmlns:a="http://schemas.openxmlformats.org/drawingml/2006/main" meth="cycle" id="10">
  <a:schemeClr val="accent1"/>
</cs:colorStyle>
</file>

<file path=xl/charts/colors14.xml><?xml version="1.0" encoding="utf-8"?>
<cs:colorStyle xmlns:cs="http://schemas.microsoft.com/office/drawing/2012/chartStyle" xmlns:a="http://schemas.openxmlformats.org/drawingml/2006/main" meth="cycle" id="10">
  <a:schemeClr val="accent1"/>
</cs:colorStyle>
</file>

<file path=xl/charts/colors2.xml><?xml version="1.0" encoding="utf-8"?>
<cs:colorStyle xmlns:cs="http://schemas.microsoft.com/office/drawing/2012/chartStyle" xmlns:a="http://schemas.openxmlformats.org/drawingml/2006/main" meth="cycle" id="10000">
  <a:srgbClr val="637CEF"/>
  <a:srgbClr val="E3008C"/>
  <a:srgbClr val="2AA0A4"/>
  <a:srgbClr val="9373C0"/>
  <a:srgbClr val="13A10E"/>
  <a:srgbClr val="3A96DD"/>
  <a:srgbClr val="CA5010"/>
  <a:srgbClr val="57811B"/>
  <a:srgbClr val="B146C2"/>
  <a:srgbClr val="AE8C00"/>
  <a:srgbClr val="AE8C00"/>
  <a:srgbClr val="637CEF"/>
  <a:srgbClr val="EE5FB7"/>
  <a:srgbClr val="008B94"/>
  <a:srgbClr val="D77440"/>
  <a:srgbClr val="BA58C9"/>
  <a:srgbClr val="3A96DD"/>
  <a:srgbClr val="E3008C"/>
  <a:srgbClr val="C36BD1"/>
  <a:srgbClr val="D06228"/>
  <a:srgbClr val="57811B"/>
</cs:colorStyle>
</file>

<file path=xl/charts/colors3.xml><?xml version="1.0" encoding="utf-8"?>
<cs:colorStyle xmlns:cs="http://schemas.microsoft.com/office/drawing/2012/chartStyle" xmlns:a="http://schemas.openxmlformats.org/drawingml/2006/main" meth="cycle" id="10">
  <a:schemeClr val="accent1"/>
</cs:colorStyle>
</file>

<file path=xl/charts/colors4.xml><?xml version="1.0" encoding="utf-8"?>
<cs:colorStyle xmlns:cs="http://schemas.microsoft.com/office/drawing/2012/chartStyle" xmlns:a="http://schemas.openxmlformats.org/drawingml/2006/main" meth="cycle" id="10">
  <a:schemeClr val="accent1"/>
</cs:colorStyle>
</file>

<file path=xl/charts/colors5.xml><?xml version="1.0" encoding="utf-8"?>
<cs:colorStyle xmlns:cs="http://schemas.microsoft.com/office/drawing/2012/chartStyle" xmlns:a="http://schemas.openxmlformats.org/drawingml/2006/main" meth="cycle" id="10">
  <a:schemeClr val="accent1"/>
</cs:colorStyle>
</file>

<file path=xl/charts/colors6.xml><?xml version="1.0" encoding="utf-8"?>
<cs:colorStyle xmlns:cs="http://schemas.microsoft.com/office/drawing/2012/chartStyle" xmlns:a="http://schemas.openxmlformats.org/drawingml/2006/main" meth="cycle" id="10">
  <a:schemeClr val="accent1"/>
</cs:colorStyle>
</file>

<file path=xl/charts/colors7.xml><?xml version="1.0" encoding="utf-8"?>
<cs:colorStyle xmlns:cs="http://schemas.microsoft.com/office/drawing/2012/chartStyle" xmlns:a="http://schemas.openxmlformats.org/drawingml/2006/main" meth="cycle" id="10">
  <a:schemeClr val="accent1"/>
</cs:colorStyle>
</file>

<file path=xl/charts/colors8.xml><?xml version="1.0" encoding="utf-8"?>
<cs:colorStyle xmlns:cs="http://schemas.microsoft.com/office/drawing/2012/chartStyle" xmlns:a="http://schemas.openxmlformats.org/drawingml/2006/main" meth="cycle" id="10">
  <a:schemeClr val="accent1"/>
</cs:colorStyle>
</file>

<file path=xl/charts/colors9.xml><?xml version="1.0" encoding="utf-8"?>
<cs:colorStyle xmlns:cs="http://schemas.microsoft.com/office/drawing/2012/chartStyle" xmlns:a="http://schemas.openxmlformats.org/drawingml/2006/main" meth="cycle" id="10">
  <a:schemeClr val="accent1"/>
</cs:colorStyle>
</file>

<file path=xl/charts/style1.xml><?xml version="1.0" encoding="utf-8"?>
<cs:chartStyle xmlns:cs="http://schemas.microsoft.com/office/drawing/2012/chartStyle" xmlns:a="http://schemas.openxmlformats.org/drawingml/2006/main" id="419">
  <cs:axisTitle>
    <cs:lnRef idx="0"/>
    <cs:lineWidthScale>1</cs:lineWidthScale>
    <cs:fillRef idx="0"/>
    <cs:effectRef idx="0"/>
    <cs:fontRef idx="minor">
      <a:schemeClr val="dk1"/>
    </cs:fontRef>
    <a:defRPr sz="1000" b="1" u="none" strike="noStrike">
      <a:uFillTx/>
    </a:defRPr>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harts/style10.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harts/style11.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harts/style12.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harts/style13.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harts/style14.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harts/style2.xml><?xml version="1.0" encoding="utf-8"?>
<cs:chartStyle xmlns:cs="http://schemas.microsoft.com/office/drawing/2012/chartStyle" xmlns:a="http://schemas.openxmlformats.org/drawingml/2006/main" id="419">
  <cs:axisTitle>
    <cs:lnRef idx="0"/>
    <cs:lineWidthScale>1</cs:lineWidthScale>
    <cs:fillRef idx="0"/>
    <cs:effectRef idx="0"/>
    <cs:fontRef idx="minor">
      <a:schemeClr val="dk1"/>
    </cs:fontRef>
    <a:defRPr sz="1000" b="1" u="none" strike="noStrike">
      <a:uFillTx/>
    </a:defRPr>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harts/style3.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harts/style4.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harts/style5.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harts/style6.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harts/style7.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harts/style8.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charts/style9.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10.xml.rels><?xml version="1.0" encoding="UTF-8"?>
<Relationships xmlns="http://schemas.openxmlformats.org/package/2006/relationships"><Relationship Id="rId1" Type="http://schemas.openxmlformats.org/officeDocument/2006/relationships/chart" Target="../charts/chart13.xml"/>
</Relationships>
</file>

<file path=xl/drawings/_rels/drawing11.xml.rels><?xml version="1.0" encoding="UTF-8"?>
<Relationships xmlns="http://schemas.openxmlformats.org/package/2006/relationships"><Relationship Id="rId1" Type="http://schemas.openxmlformats.org/officeDocument/2006/relationships/chart" Target="../charts/chart14.xml"/>
</Relationships>
</file>

<file path=xl/drawings/_rels/drawing12.xml.rels><?xml version="1.0" encoding="UTF-8"?>
<Relationships xmlns="http://schemas.openxmlformats.org/package/2006/relationships"><Relationship Id="rId1" Type="http://schemas.openxmlformats.org/officeDocument/2006/relationships/image" Target="../media/image2.gif"/><Relationship Id="rId2" Type="http://schemas.openxmlformats.org/officeDocument/2006/relationships/image" Target="../media/image2.gif"/><Relationship Id="rId3" Type="http://schemas.openxmlformats.org/officeDocument/2006/relationships/image" Target="../media/image2.gif"/><Relationship Id="rId4" Type="http://schemas.openxmlformats.org/officeDocument/2006/relationships/image" Target="../media/image2.gif"/><Relationship Id="rId5" Type="http://schemas.openxmlformats.org/officeDocument/2006/relationships/image" Target="../media/image2.gif"/><Relationship Id="rId6" Type="http://schemas.openxmlformats.org/officeDocument/2006/relationships/image" Target="../media/image2.gif"/><Relationship Id="rId7" Type="http://schemas.openxmlformats.org/officeDocument/2006/relationships/image" Target="../media/image2.gif"/><Relationship Id="rId8" Type="http://schemas.openxmlformats.org/officeDocument/2006/relationships/image" Target="../media/image2.gif"/>
</Relationships>
</file>

<file path=xl/drawings/_rels/drawing13.xml.rels><?xml version="1.0" encoding="UTF-8"?>
<Relationships xmlns="http://schemas.openxmlformats.org/package/2006/relationships"><Relationship Id="rId1" Type="http://schemas.openxmlformats.org/officeDocument/2006/relationships/image" Target="../media/image2.gif"/><Relationship Id="rId2" Type="http://schemas.openxmlformats.org/officeDocument/2006/relationships/image" Target="../media/image2.gif"/><Relationship Id="rId3" Type="http://schemas.openxmlformats.org/officeDocument/2006/relationships/image" Target="../media/image2.gif"/><Relationship Id="rId4" Type="http://schemas.openxmlformats.org/officeDocument/2006/relationships/image" Target="../media/image2.gif"/><Relationship Id="rId5" Type="http://schemas.openxmlformats.org/officeDocument/2006/relationships/image" Target="../media/image2.gif"/><Relationship Id="rId6" Type="http://schemas.openxmlformats.org/officeDocument/2006/relationships/image" Target="../media/image2.gif"/><Relationship Id="rId7" Type="http://schemas.openxmlformats.org/officeDocument/2006/relationships/image" Target="../media/image2.gif"/><Relationship Id="rId8" Type="http://schemas.openxmlformats.org/officeDocument/2006/relationships/image" Target="../media/image2.gif"/><Relationship Id="rId9" Type="http://schemas.openxmlformats.org/officeDocument/2006/relationships/image" Target="../media/image2.gif"/><Relationship Id="rId10" Type="http://schemas.openxmlformats.org/officeDocument/2006/relationships/image" Target="../media/image2.gif"/><Relationship Id="rId11" Type="http://schemas.openxmlformats.org/officeDocument/2006/relationships/image" Target="../media/image2.gif"/><Relationship Id="rId12" Type="http://schemas.openxmlformats.org/officeDocument/2006/relationships/image" Target="../media/image2.gif"/><Relationship Id="rId13" Type="http://schemas.openxmlformats.org/officeDocument/2006/relationships/image" Target="../media/image2.gif"/><Relationship Id="rId14" Type="http://schemas.openxmlformats.org/officeDocument/2006/relationships/image" Target="../media/image2.gif"/><Relationship Id="rId15" Type="http://schemas.openxmlformats.org/officeDocument/2006/relationships/image" Target="../media/image2.gif"/><Relationship Id="rId16" Type="http://schemas.openxmlformats.org/officeDocument/2006/relationships/image" Target="../media/image2.gif"/>
</Relationships>
</file>

<file path=xl/drawings/_rels/drawing14.xml.rels><?xml version="1.0" encoding="UTF-8"?>
<Relationships xmlns="http://schemas.openxmlformats.org/package/2006/relationships"><Relationship Id="rId1" Type="http://schemas.openxmlformats.org/officeDocument/2006/relationships/image" Target="../media/image2.gif"/><Relationship Id="rId2" Type="http://schemas.openxmlformats.org/officeDocument/2006/relationships/image" Target="../media/image2.gif"/><Relationship Id="rId3" Type="http://schemas.openxmlformats.org/officeDocument/2006/relationships/image" Target="../media/image2.gif"/><Relationship Id="rId4" Type="http://schemas.openxmlformats.org/officeDocument/2006/relationships/image" Target="../media/image2.gif"/><Relationship Id="rId5" Type="http://schemas.openxmlformats.org/officeDocument/2006/relationships/image" Target="../media/image2.gif"/><Relationship Id="rId6" Type="http://schemas.openxmlformats.org/officeDocument/2006/relationships/image" Target="../media/image2.gif"/><Relationship Id="rId7" Type="http://schemas.openxmlformats.org/officeDocument/2006/relationships/image" Target="../media/image2.gif"/><Relationship Id="rId8" Type="http://schemas.openxmlformats.org/officeDocument/2006/relationships/image" Target="../media/image2.gif"/><Relationship Id="rId9" Type="http://schemas.openxmlformats.org/officeDocument/2006/relationships/image" Target="../media/image2.gif"/><Relationship Id="rId10" Type="http://schemas.openxmlformats.org/officeDocument/2006/relationships/image" Target="../media/image2.gif"/><Relationship Id="rId11" Type="http://schemas.openxmlformats.org/officeDocument/2006/relationships/image" Target="../media/image2.gif"/><Relationship Id="rId12" Type="http://schemas.openxmlformats.org/officeDocument/2006/relationships/image" Target="../media/image2.gif"/><Relationship Id="rId13" Type="http://schemas.openxmlformats.org/officeDocument/2006/relationships/image" Target="../media/image2.gif"/><Relationship Id="rId14" Type="http://schemas.openxmlformats.org/officeDocument/2006/relationships/image" Target="../media/image2.gif"/><Relationship Id="rId15" Type="http://schemas.openxmlformats.org/officeDocument/2006/relationships/image" Target="../media/image2.gif"/><Relationship Id="rId16" Type="http://schemas.openxmlformats.org/officeDocument/2006/relationships/image" Target="../media/image2.gif"/><Relationship Id="rId17" Type="http://schemas.openxmlformats.org/officeDocument/2006/relationships/image" Target="../media/image2.gif"/><Relationship Id="rId18" Type="http://schemas.openxmlformats.org/officeDocument/2006/relationships/image" Target="../media/image2.gif"/><Relationship Id="rId19" Type="http://schemas.openxmlformats.org/officeDocument/2006/relationships/image" Target="../media/image2.gif"/><Relationship Id="rId20" Type="http://schemas.openxmlformats.org/officeDocument/2006/relationships/image" Target="../media/image3.jpeg"/><Relationship Id="rId21" Type="http://schemas.openxmlformats.org/officeDocument/2006/relationships/image" Target="../media/image2.gif"/><Relationship Id="rId22" Type="http://schemas.openxmlformats.org/officeDocument/2006/relationships/image" Target="../media/image2.gif"/><Relationship Id="rId23" Type="http://schemas.openxmlformats.org/officeDocument/2006/relationships/image" Target="../media/image2.gif"/><Relationship Id="rId24" Type="http://schemas.openxmlformats.org/officeDocument/2006/relationships/image" Target="../media/image2.gif"/><Relationship Id="rId25" Type="http://schemas.openxmlformats.org/officeDocument/2006/relationships/image" Target="../media/image2.gif"/><Relationship Id="rId26" Type="http://schemas.openxmlformats.org/officeDocument/2006/relationships/image" Target="../media/image2.gif"/><Relationship Id="rId27" Type="http://schemas.openxmlformats.org/officeDocument/2006/relationships/image" Target="../media/image2.gif"/><Relationship Id="rId28" Type="http://schemas.openxmlformats.org/officeDocument/2006/relationships/image" Target="../media/image2.gif"/><Relationship Id="rId29" Type="http://schemas.openxmlformats.org/officeDocument/2006/relationships/image" Target="../media/image2.gif"/><Relationship Id="rId30" Type="http://schemas.openxmlformats.org/officeDocument/2006/relationships/image" Target="../media/image2.gif"/><Relationship Id="rId31" Type="http://schemas.openxmlformats.org/officeDocument/2006/relationships/image" Target="../media/image2.gif"/><Relationship Id="rId32" Type="http://schemas.openxmlformats.org/officeDocument/2006/relationships/image" Target="../media/image2.gif"/><Relationship Id="rId33" Type="http://schemas.openxmlformats.org/officeDocument/2006/relationships/image" Target="../media/image2.gif"/><Relationship Id="rId34" Type="http://schemas.openxmlformats.org/officeDocument/2006/relationships/image" Target="../media/image2.gif"/><Relationship Id="rId35" Type="http://schemas.openxmlformats.org/officeDocument/2006/relationships/image" Target="../media/image2.gif"/><Relationship Id="rId36" Type="http://schemas.openxmlformats.org/officeDocument/2006/relationships/image" Target="../media/image2.gif"/><Relationship Id="rId37" Type="http://schemas.openxmlformats.org/officeDocument/2006/relationships/image" Target="../media/image2.gif"/><Relationship Id="rId38" Type="http://schemas.openxmlformats.org/officeDocument/2006/relationships/image" Target="../media/image2.gif"/><Relationship Id="rId39" Type="http://schemas.openxmlformats.org/officeDocument/2006/relationships/image" Target="../media/image2.gif"/><Relationship Id="rId40" Type="http://schemas.openxmlformats.org/officeDocument/2006/relationships/image" Target="../media/image2.gif"/><Relationship Id="rId41" Type="http://schemas.openxmlformats.org/officeDocument/2006/relationships/image" Target="../media/image2.gif"/><Relationship Id="rId42" Type="http://schemas.openxmlformats.org/officeDocument/2006/relationships/image" Target="../media/image2.gif"/><Relationship Id="rId43" Type="http://schemas.openxmlformats.org/officeDocument/2006/relationships/image" Target="../media/image2.gif"/><Relationship Id="rId44" Type="http://schemas.openxmlformats.org/officeDocument/2006/relationships/image" Target="../media/image2.gif"/><Relationship Id="rId45" Type="http://schemas.openxmlformats.org/officeDocument/2006/relationships/image" Target="../media/image2.gif"/><Relationship Id="rId46" Type="http://schemas.openxmlformats.org/officeDocument/2006/relationships/image" Target="../media/image2.gif"/><Relationship Id="rId47" Type="http://schemas.openxmlformats.org/officeDocument/2006/relationships/image" Target="../media/image2.gif"/><Relationship Id="rId48" Type="http://schemas.openxmlformats.org/officeDocument/2006/relationships/image" Target="../media/image2.gif"/><Relationship Id="rId49" Type="http://schemas.openxmlformats.org/officeDocument/2006/relationships/image" Target="../media/image2.gif"/><Relationship Id="rId50" Type="http://schemas.openxmlformats.org/officeDocument/2006/relationships/image" Target="../media/image2.gif"/><Relationship Id="rId51" Type="http://schemas.openxmlformats.org/officeDocument/2006/relationships/image" Target="../media/image2.gif"/><Relationship Id="rId52" Type="http://schemas.openxmlformats.org/officeDocument/2006/relationships/image" Target="../media/image2.gif"/><Relationship Id="rId53" Type="http://schemas.openxmlformats.org/officeDocument/2006/relationships/image" Target="../media/image2.gif"/><Relationship Id="rId54" Type="http://schemas.openxmlformats.org/officeDocument/2006/relationships/image" Target="../media/image2.gif"/><Relationship Id="rId55" Type="http://schemas.openxmlformats.org/officeDocument/2006/relationships/image" Target="../media/image2.gif"/><Relationship Id="rId56" Type="http://schemas.openxmlformats.org/officeDocument/2006/relationships/image" Target="../media/image2.gif"/><Relationship Id="rId57" Type="http://schemas.openxmlformats.org/officeDocument/2006/relationships/image" Target="../media/image2.gif"/><Relationship Id="rId58" Type="http://schemas.openxmlformats.org/officeDocument/2006/relationships/image" Target="../media/image2.gif"/><Relationship Id="rId59" Type="http://schemas.openxmlformats.org/officeDocument/2006/relationships/image" Target="../media/image2.gif"/><Relationship Id="rId60" Type="http://schemas.openxmlformats.org/officeDocument/2006/relationships/image" Target="../media/image2.gif"/><Relationship Id="rId61" Type="http://schemas.openxmlformats.org/officeDocument/2006/relationships/image" Target="../media/image2.gif"/><Relationship Id="rId62" Type="http://schemas.openxmlformats.org/officeDocument/2006/relationships/image" Target="../media/image2.gif"/><Relationship Id="rId63" Type="http://schemas.openxmlformats.org/officeDocument/2006/relationships/image" Target="../media/image2.gif"/><Relationship Id="rId64" Type="http://schemas.openxmlformats.org/officeDocument/2006/relationships/image" Target="../media/image2.gif"/><Relationship Id="rId65" Type="http://schemas.openxmlformats.org/officeDocument/2006/relationships/image" Target="../media/image2.gif"/><Relationship Id="rId66" Type="http://schemas.openxmlformats.org/officeDocument/2006/relationships/image" Target="../media/image2.gif"/><Relationship Id="rId67" Type="http://schemas.openxmlformats.org/officeDocument/2006/relationships/image" Target="../media/image2.gif"/><Relationship Id="rId68" Type="http://schemas.openxmlformats.org/officeDocument/2006/relationships/image" Target="../media/image2.gif"/><Relationship Id="rId69" Type="http://schemas.openxmlformats.org/officeDocument/2006/relationships/image" Target="../media/image2.gif"/><Relationship Id="rId70" Type="http://schemas.openxmlformats.org/officeDocument/2006/relationships/image" Target="../media/image2.gif"/><Relationship Id="rId71" Type="http://schemas.openxmlformats.org/officeDocument/2006/relationships/image" Target="../media/image2.gif"/><Relationship Id="rId72" Type="http://schemas.openxmlformats.org/officeDocument/2006/relationships/image" Target="../media/image2.gif"/><Relationship Id="rId73" Type="http://schemas.openxmlformats.org/officeDocument/2006/relationships/image" Target="../media/image2.gif"/><Relationship Id="rId74" Type="http://schemas.openxmlformats.org/officeDocument/2006/relationships/image" Target="../media/image2.gif"/><Relationship Id="rId75" Type="http://schemas.openxmlformats.org/officeDocument/2006/relationships/image" Target="../media/image2.gif"/><Relationship Id="rId76" Type="http://schemas.openxmlformats.org/officeDocument/2006/relationships/image" Target="../media/image2.gif"/><Relationship Id="rId77" Type="http://schemas.openxmlformats.org/officeDocument/2006/relationships/image" Target="../media/image2.gif"/><Relationship Id="rId78" Type="http://schemas.openxmlformats.org/officeDocument/2006/relationships/image" Target="../media/image2.gif"/><Relationship Id="rId79" Type="http://schemas.openxmlformats.org/officeDocument/2006/relationships/image" Target="../media/image2.gif"/><Relationship Id="rId80" Type="http://schemas.openxmlformats.org/officeDocument/2006/relationships/image" Target="../media/image2.gif"/><Relationship Id="rId81" Type="http://schemas.openxmlformats.org/officeDocument/2006/relationships/image" Target="../media/image2.gif"/><Relationship Id="rId82" Type="http://schemas.openxmlformats.org/officeDocument/2006/relationships/image" Target="../media/image2.gif"/><Relationship Id="rId83" Type="http://schemas.openxmlformats.org/officeDocument/2006/relationships/image" Target="../media/image2.gif"/><Relationship Id="rId84" Type="http://schemas.openxmlformats.org/officeDocument/2006/relationships/image" Target="../media/image2.gif"/><Relationship Id="rId85" Type="http://schemas.openxmlformats.org/officeDocument/2006/relationships/image" Target="../media/image2.gif"/><Relationship Id="rId86" Type="http://schemas.openxmlformats.org/officeDocument/2006/relationships/image" Target="../media/image2.gif"/><Relationship Id="rId87" Type="http://schemas.openxmlformats.org/officeDocument/2006/relationships/image" Target="../media/image2.gif"/><Relationship Id="rId88" Type="http://schemas.openxmlformats.org/officeDocument/2006/relationships/image" Target="../media/image2.gif"/><Relationship Id="rId89" Type="http://schemas.openxmlformats.org/officeDocument/2006/relationships/image" Target="../media/image2.gif"/><Relationship Id="rId90" Type="http://schemas.openxmlformats.org/officeDocument/2006/relationships/image" Target="../media/image2.gif"/><Relationship Id="rId91" Type="http://schemas.openxmlformats.org/officeDocument/2006/relationships/image" Target="../media/image2.gif"/><Relationship Id="rId92" Type="http://schemas.openxmlformats.org/officeDocument/2006/relationships/image" Target="../media/image2.gif"/><Relationship Id="rId93" Type="http://schemas.openxmlformats.org/officeDocument/2006/relationships/image" Target="../media/image2.gif"/><Relationship Id="rId94" Type="http://schemas.openxmlformats.org/officeDocument/2006/relationships/image" Target="../media/image2.gif"/><Relationship Id="rId95" Type="http://schemas.openxmlformats.org/officeDocument/2006/relationships/image" Target="../media/image2.gif"/><Relationship Id="rId96" Type="http://schemas.openxmlformats.org/officeDocument/2006/relationships/image" Target="../media/image2.gif"/><Relationship Id="rId97" Type="http://schemas.openxmlformats.org/officeDocument/2006/relationships/image" Target="../media/image2.gif"/><Relationship Id="rId98" Type="http://schemas.openxmlformats.org/officeDocument/2006/relationships/image" Target="../media/image2.gif"/><Relationship Id="rId99" Type="http://schemas.openxmlformats.org/officeDocument/2006/relationships/image" Target="../media/image2.gif"/><Relationship Id="rId100" Type="http://schemas.openxmlformats.org/officeDocument/2006/relationships/image" Target="../media/image2.gif"/><Relationship Id="rId101" Type="http://schemas.openxmlformats.org/officeDocument/2006/relationships/image" Target="../media/image2.gif"/><Relationship Id="rId102" Type="http://schemas.openxmlformats.org/officeDocument/2006/relationships/image" Target="../media/image2.gif"/><Relationship Id="rId103" Type="http://schemas.openxmlformats.org/officeDocument/2006/relationships/image" Target="../media/image2.gif"/><Relationship Id="rId104" Type="http://schemas.openxmlformats.org/officeDocument/2006/relationships/image" Target="../media/image2.gif"/><Relationship Id="rId105" Type="http://schemas.openxmlformats.org/officeDocument/2006/relationships/image" Target="../media/image2.gif"/><Relationship Id="rId106" Type="http://schemas.openxmlformats.org/officeDocument/2006/relationships/image" Target="../media/image2.gif"/><Relationship Id="rId107" Type="http://schemas.openxmlformats.org/officeDocument/2006/relationships/image" Target="../media/image2.gif"/><Relationship Id="rId108" Type="http://schemas.openxmlformats.org/officeDocument/2006/relationships/image" Target="../media/image2.gif"/><Relationship Id="rId109" Type="http://schemas.openxmlformats.org/officeDocument/2006/relationships/image" Target="../media/image2.gif"/><Relationship Id="rId110" Type="http://schemas.openxmlformats.org/officeDocument/2006/relationships/image" Target="../media/image2.gif"/><Relationship Id="rId111" Type="http://schemas.openxmlformats.org/officeDocument/2006/relationships/image" Target="../media/image2.gif"/><Relationship Id="rId112" Type="http://schemas.openxmlformats.org/officeDocument/2006/relationships/image" Target="../media/image2.gif"/><Relationship Id="rId113" Type="http://schemas.openxmlformats.org/officeDocument/2006/relationships/image" Target="../media/image2.gif"/><Relationship Id="rId114" Type="http://schemas.openxmlformats.org/officeDocument/2006/relationships/image" Target="../media/image2.gif"/><Relationship Id="rId115" Type="http://schemas.openxmlformats.org/officeDocument/2006/relationships/image" Target="../media/image2.gif"/><Relationship Id="rId116" Type="http://schemas.openxmlformats.org/officeDocument/2006/relationships/image" Target="../media/image2.gif"/><Relationship Id="rId117" Type="http://schemas.openxmlformats.org/officeDocument/2006/relationships/image" Target="../media/image2.gif"/><Relationship Id="rId118" Type="http://schemas.openxmlformats.org/officeDocument/2006/relationships/image" Target="../media/image2.gif"/><Relationship Id="rId119" Type="http://schemas.openxmlformats.org/officeDocument/2006/relationships/image" Target="../media/image2.gif"/><Relationship Id="rId120" Type="http://schemas.openxmlformats.org/officeDocument/2006/relationships/image" Target="../media/image2.gif"/><Relationship Id="rId121" Type="http://schemas.openxmlformats.org/officeDocument/2006/relationships/image" Target="../media/image2.gif"/><Relationship Id="rId122" Type="http://schemas.openxmlformats.org/officeDocument/2006/relationships/image" Target="../media/image2.gif"/><Relationship Id="rId123" Type="http://schemas.openxmlformats.org/officeDocument/2006/relationships/image" Target="../media/image2.gif"/><Relationship Id="rId124" Type="http://schemas.openxmlformats.org/officeDocument/2006/relationships/image" Target="../media/image2.gif"/><Relationship Id="rId125" Type="http://schemas.openxmlformats.org/officeDocument/2006/relationships/image" Target="../media/image2.gif"/><Relationship Id="rId126" Type="http://schemas.openxmlformats.org/officeDocument/2006/relationships/image" Target="../media/image2.gif"/><Relationship Id="rId127" Type="http://schemas.openxmlformats.org/officeDocument/2006/relationships/image" Target="../media/image2.gif"/><Relationship Id="rId128" Type="http://schemas.openxmlformats.org/officeDocument/2006/relationships/image" Target="../media/image2.gif"/><Relationship Id="rId129" Type="http://schemas.openxmlformats.org/officeDocument/2006/relationships/image" Target="../media/image2.gif"/><Relationship Id="rId130" Type="http://schemas.openxmlformats.org/officeDocument/2006/relationships/image" Target="../media/image2.gif"/><Relationship Id="rId131" Type="http://schemas.openxmlformats.org/officeDocument/2006/relationships/image" Target="../media/image2.gif"/><Relationship Id="rId132" Type="http://schemas.openxmlformats.org/officeDocument/2006/relationships/image" Target="../media/image2.gif"/><Relationship Id="rId133" Type="http://schemas.openxmlformats.org/officeDocument/2006/relationships/image" Target="../media/image2.gif"/><Relationship Id="rId134" Type="http://schemas.openxmlformats.org/officeDocument/2006/relationships/image" Target="../media/image2.gif"/><Relationship Id="rId135" Type="http://schemas.openxmlformats.org/officeDocument/2006/relationships/image" Target="../media/image2.gif"/><Relationship Id="rId136" Type="http://schemas.openxmlformats.org/officeDocument/2006/relationships/image" Target="../media/image2.gif"/><Relationship Id="rId137" Type="http://schemas.openxmlformats.org/officeDocument/2006/relationships/image" Target="../media/image2.gif"/><Relationship Id="rId138" Type="http://schemas.openxmlformats.org/officeDocument/2006/relationships/image" Target="../media/image2.gif"/><Relationship Id="rId139" Type="http://schemas.openxmlformats.org/officeDocument/2006/relationships/image" Target="../media/image2.gif"/><Relationship Id="rId140" Type="http://schemas.openxmlformats.org/officeDocument/2006/relationships/image" Target="../media/image2.gif"/><Relationship Id="rId141" Type="http://schemas.openxmlformats.org/officeDocument/2006/relationships/image" Target="../media/image2.gif"/><Relationship Id="rId142" Type="http://schemas.openxmlformats.org/officeDocument/2006/relationships/image" Target="../media/image2.gif"/><Relationship Id="rId143" Type="http://schemas.openxmlformats.org/officeDocument/2006/relationships/image" Target="../media/image2.gif"/><Relationship Id="rId144" Type="http://schemas.openxmlformats.org/officeDocument/2006/relationships/image" Target="../media/image2.gif"/><Relationship Id="rId145" Type="http://schemas.openxmlformats.org/officeDocument/2006/relationships/image" Target="../media/image2.gif"/><Relationship Id="rId146" Type="http://schemas.openxmlformats.org/officeDocument/2006/relationships/image" Target="../media/image2.gif"/><Relationship Id="rId147" Type="http://schemas.openxmlformats.org/officeDocument/2006/relationships/image" Target="../media/image2.gif"/><Relationship Id="rId148" Type="http://schemas.openxmlformats.org/officeDocument/2006/relationships/image" Target="../media/image2.gif"/><Relationship Id="rId149" Type="http://schemas.openxmlformats.org/officeDocument/2006/relationships/image" Target="../media/image2.gif"/><Relationship Id="rId150" Type="http://schemas.openxmlformats.org/officeDocument/2006/relationships/image" Target="../media/image2.gif"/><Relationship Id="rId151" Type="http://schemas.openxmlformats.org/officeDocument/2006/relationships/image" Target="../media/image2.gif"/><Relationship Id="rId152" Type="http://schemas.openxmlformats.org/officeDocument/2006/relationships/image" Target="../media/image2.gif"/><Relationship Id="rId153" Type="http://schemas.openxmlformats.org/officeDocument/2006/relationships/image" Target="../media/image2.gif"/><Relationship Id="rId154" Type="http://schemas.openxmlformats.org/officeDocument/2006/relationships/image" Target="../media/image2.gif"/><Relationship Id="rId155" Type="http://schemas.openxmlformats.org/officeDocument/2006/relationships/image" Target="../media/image2.gif"/><Relationship Id="rId156" Type="http://schemas.openxmlformats.org/officeDocument/2006/relationships/image" Target="../media/image2.gif"/><Relationship Id="rId157" Type="http://schemas.openxmlformats.org/officeDocument/2006/relationships/image" Target="../media/image2.gif"/><Relationship Id="rId158" Type="http://schemas.openxmlformats.org/officeDocument/2006/relationships/image" Target="../media/image2.gif"/><Relationship Id="rId159" Type="http://schemas.openxmlformats.org/officeDocument/2006/relationships/image" Target="../media/image2.gif"/><Relationship Id="rId160" Type="http://schemas.openxmlformats.org/officeDocument/2006/relationships/image" Target="../media/image2.gif"/><Relationship Id="rId161" Type="http://schemas.openxmlformats.org/officeDocument/2006/relationships/image" Target="../media/image2.gif"/><Relationship Id="rId162" Type="http://schemas.openxmlformats.org/officeDocument/2006/relationships/image" Target="../media/image2.gif"/><Relationship Id="rId163" Type="http://schemas.openxmlformats.org/officeDocument/2006/relationships/image" Target="../media/image2.gif"/><Relationship Id="rId164" Type="http://schemas.openxmlformats.org/officeDocument/2006/relationships/image" Target="../media/image2.gif"/><Relationship Id="rId165" Type="http://schemas.openxmlformats.org/officeDocument/2006/relationships/image" Target="../media/image2.gif"/><Relationship Id="rId166" Type="http://schemas.openxmlformats.org/officeDocument/2006/relationships/image" Target="../media/image2.gif"/><Relationship Id="rId167" Type="http://schemas.openxmlformats.org/officeDocument/2006/relationships/image" Target="../media/image2.gif"/><Relationship Id="rId168" Type="http://schemas.openxmlformats.org/officeDocument/2006/relationships/image" Target="../media/image2.gif"/><Relationship Id="rId169" Type="http://schemas.openxmlformats.org/officeDocument/2006/relationships/image" Target="../media/image2.gif"/><Relationship Id="rId170" Type="http://schemas.openxmlformats.org/officeDocument/2006/relationships/image" Target="../media/image2.gif"/><Relationship Id="rId171" Type="http://schemas.openxmlformats.org/officeDocument/2006/relationships/image" Target="../media/image2.gif"/><Relationship Id="rId172" Type="http://schemas.openxmlformats.org/officeDocument/2006/relationships/image" Target="../media/image2.gif"/><Relationship Id="rId173" Type="http://schemas.openxmlformats.org/officeDocument/2006/relationships/image" Target="../media/image2.gif"/><Relationship Id="rId174" Type="http://schemas.openxmlformats.org/officeDocument/2006/relationships/image" Target="../media/image2.gif"/><Relationship Id="rId175" Type="http://schemas.openxmlformats.org/officeDocument/2006/relationships/image" Target="../media/image2.gif"/><Relationship Id="rId176" Type="http://schemas.openxmlformats.org/officeDocument/2006/relationships/image" Target="../media/image2.gif"/><Relationship Id="rId177" Type="http://schemas.openxmlformats.org/officeDocument/2006/relationships/image" Target="../media/image2.gif"/><Relationship Id="rId178" Type="http://schemas.openxmlformats.org/officeDocument/2006/relationships/image" Target="../media/image2.gif"/><Relationship Id="rId179" Type="http://schemas.openxmlformats.org/officeDocument/2006/relationships/image" Target="../media/image2.gif"/><Relationship Id="rId180" Type="http://schemas.openxmlformats.org/officeDocument/2006/relationships/image" Target="../media/image2.gif"/><Relationship Id="rId181" Type="http://schemas.openxmlformats.org/officeDocument/2006/relationships/image" Target="../media/image2.gif"/><Relationship Id="rId182" Type="http://schemas.openxmlformats.org/officeDocument/2006/relationships/image" Target="../media/image2.gif"/><Relationship Id="rId183" Type="http://schemas.openxmlformats.org/officeDocument/2006/relationships/image" Target="../media/image2.gif"/><Relationship Id="rId184" Type="http://schemas.openxmlformats.org/officeDocument/2006/relationships/image" Target="../media/image2.gif"/><Relationship Id="rId185" Type="http://schemas.openxmlformats.org/officeDocument/2006/relationships/image" Target="../media/image2.gif"/><Relationship Id="rId186" Type="http://schemas.openxmlformats.org/officeDocument/2006/relationships/image" Target="../media/image2.gif"/><Relationship Id="rId187" Type="http://schemas.openxmlformats.org/officeDocument/2006/relationships/image" Target="../media/image2.gif"/><Relationship Id="rId188" Type="http://schemas.openxmlformats.org/officeDocument/2006/relationships/image" Target="../media/image2.gif"/><Relationship Id="rId189" Type="http://schemas.openxmlformats.org/officeDocument/2006/relationships/image" Target="../media/image2.gif"/><Relationship Id="rId190" Type="http://schemas.openxmlformats.org/officeDocument/2006/relationships/image" Target="../media/image2.gif"/><Relationship Id="rId191" Type="http://schemas.openxmlformats.org/officeDocument/2006/relationships/image" Target="../media/image2.gif"/><Relationship Id="rId192" Type="http://schemas.openxmlformats.org/officeDocument/2006/relationships/image" Target="../media/image2.gif"/><Relationship Id="rId193" Type="http://schemas.openxmlformats.org/officeDocument/2006/relationships/image" Target="../media/image2.gif"/><Relationship Id="rId194" Type="http://schemas.openxmlformats.org/officeDocument/2006/relationships/image" Target="../media/image2.gif"/><Relationship Id="rId195" Type="http://schemas.openxmlformats.org/officeDocument/2006/relationships/image" Target="../media/image2.gif"/><Relationship Id="rId196" Type="http://schemas.openxmlformats.org/officeDocument/2006/relationships/image" Target="../media/image2.gif"/>
</Relationships>
</file>

<file path=xl/drawings/_rels/drawing15.xml.rels><?xml version="1.0" encoding="UTF-8"?>
<Relationships xmlns="http://schemas.openxmlformats.org/package/2006/relationships"><Relationship Id="rId1" Type="http://schemas.openxmlformats.org/officeDocument/2006/relationships/image" Target="../media/image2.gif"/><Relationship Id="rId2" Type="http://schemas.openxmlformats.org/officeDocument/2006/relationships/image" Target="../media/image2.gif"/><Relationship Id="rId3" Type="http://schemas.openxmlformats.org/officeDocument/2006/relationships/image" Target="../media/image2.gif"/><Relationship Id="rId4" Type="http://schemas.openxmlformats.org/officeDocument/2006/relationships/image" Target="../media/image2.gif"/><Relationship Id="rId5" Type="http://schemas.openxmlformats.org/officeDocument/2006/relationships/image" Target="../media/image2.gif"/><Relationship Id="rId6" Type="http://schemas.openxmlformats.org/officeDocument/2006/relationships/image" Target="../media/image2.gif"/><Relationship Id="rId7" Type="http://schemas.openxmlformats.org/officeDocument/2006/relationships/image" Target="../media/image2.gif"/><Relationship Id="rId8" Type="http://schemas.openxmlformats.org/officeDocument/2006/relationships/image" Target="../media/image2.gif"/><Relationship Id="rId9" Type="http://schemas.openxmlformats.org/officeDocument/2006/relationships/image" Target="../media/image2.gif"/><Relationship Id="rId10" Type="http://schemas.openxmlformats.org/officeDocument/2006/relationships/image" Target="../media/image2.gif"/><Relationship Id="rId11" Type="http://schemas.openxmlformats.org/officeDocument/2006/relationships/image" Target="../media/image2.gif"/><Relationship Id="rId12" Type="http://schemas.openxmlformats.org/officeDocument/2006/relationships/image" Target="../media/image2.gif"/><Relationship Id="rId13" Type="http://schemas.openxmlformats.org/officeDocument/2006/relationships/image" Target="../media/image2.gif"/><Relationship Id="rId14" Type="http://schemas.openxmlformats.org/officeDocument/2006/relationships/image" Target="../media/image2.gif"/><Relationship Id="rId15" Type="http://schemas.openxmlformats.org/officeDocument/2006/relationships/image" Target="../media/image2.gif"/><Relationship Id="rId16" Type="http://schemas.openxmlformats.org/officeDocument/2006/relationships/image" Target="../media/image2.gif"/><Relationship Id="rId17" Type="http://schemas.openxmlformats.org/officeDocument/2006/relationships/image" Target="../media/image2.gif"/><Relationship Id="rId18" Type="http://schemas.openxmlformats.org/officeDocument/2006/relationships/image" Target="../media/image2.gif"/><Relationship Id="rId19" Type="http://schemas.openxmlformats.org/officeDocument/2006/relationships/image" Target="../media/image2.gif"/><Relationship Id="rId20" Type="http://schemas.openxmlformats.org/officeDocument/2006/relationships/image" Target="../media/image3.jpeg"/><Relationship Id="rId21" Type="http://schemas.openxmlformats.org/officeDocument/2006/relationships/image" Target="../media/image2.gif"/><Relationship Id="rId22" Type="http://schemas.openxmlformats.org/officeDocument/2006/relationships/image" Target="../media/image2.gif"/><Relationship Id="rId23" Type="http://schemas.openxmlformats.org/officeDocument/2006/relationships/image" Target="../media/image2.gif"/><Relationship Id="rId24" Type="http://schemas.openxmlformats.org/officeDocument/2006/relationships/image" Target="../media/image2.gif"/><Relationship Id="rId25" Type="http://schemas.openxmlformats.org/officeDocument/2006/relationships/image" Target="../media/image2.gif"/><Relationship Id="rId26" Type="http://schemas.openxmlformats.org/officeDocument/2006/relationships/image" Target="../media/image2.gif"/><Relationship Id="rId27" Type="http://schemas.openxmlformats.org/officeDocument/2006/relationships/image" Target="../media/image2.gif"/><Relationship Id="rId28" Type="http://schemas.openxmlformats.org/officeDocument/2006/relationships/image" Target="../media/image2.gif"/><Relationship Id="rId29" Type="http://schemas.openxmlformats.org/officeDocument/2006/relationships/image" Target="../media/image2.gif"/><Relationship Id="rId30" Type="http://schemas.openxmlformats.org/officeDocument/2006/relationships/image" Target="../media/image2.gif"/><Relationship Id="rId31" Type="http://schemas.openxmlformats.org/officeDocument/2006/relationships/image" Target="../media/image2.gif"/><Relationship Id="rId32" Type="http://schemas.openxmlformats.org/officeDocument/2006/relationships/image" Target="../media/image2.gif"/><Relationship Id="rId33" Type="http://schemas.openxmlformats.org/officeDocument/2006/relationships/image" Target="../media/image2.gif"/><Relationship Id="rId34" Type="http://schemas.openxmlformats.org/officeDocument/2006/relationships/image" Target="../media/image2.gif"/><Relationship Id="rId35" Type="http://schemas.openxmlformats.org/officeDocument/2006/relationships/image" Target="../media/image2.gif"/><Relationship Id="rId36" Type="http://schemas.openxmlformats.org/officeDocument/2006/relationships/image" Target="../media/image2.gif"/><Relationship Id="rId37" Type="http://schemas.openxmlformats.org/officeDocument/2006/relationships/image" Target="../media/image2.gif"/><Relationship Id="rId38" Type="http://schemas.openxmlformats.org/officeDocument/2006/relationships/image" Target="../media/image2.gif"/><Relationship Id="rId39" Type="http://schemas.openxmlformats.org/officeDocument/2006/relationships/image" Target="../media/image2.gif"/><Relationship Id="rId40" Type="http://schemas.openxmlformats.org/officeDocument/2006/relationships/image" Target="../media/image2.gif"/><Relationship Id="rId41" Type="http://schemas.openxmlformats.org/officeDocument/2006/relationships/image" Target="../media/image2.gif"/><Relationship Id="rId42" Type="http://schemas.openxmlformats.org/officeDocument/2006/relationships/image" Target="../media/image2.gif"/><Relationship Id="rId43" Type="http://schemas.openxmlformats.org/officeDocument/2006/relationships/image" Target="../media/image2.gif"/><Relationship Id="rId44" Type="http://schemas.openxmlformats.org/officeDocument/2006/relationships/image" Target="../media/image2.gif"/><Relationship Id="rId45" Type="http://schemas.openxmlformats.org/officeDocument/2006/relationships/image" Target="../media/image2.gif"/><Relationship Id="rId46" Type="http://schemas.openxmlformats.org/officeDocument/2006/relationships/image" Target="../media/image2.gif"/><Relationship Id="rId47" Type="http://schemas.openxmlformats.org/officeDocument/2006/relationships/image" Target="../media/image2.gif"/><Relationship Id="rId48" Type="http://schemas.openxmlformats.org/officeDocument/2006/relationships/image" Target="../media/image2.gif"/><Relationship Id="rId49" Type="http://schemas.openxmlformats.org/officeDocument/2006/relationships/image" Target="../media/image2.gif"/><Relationship Id="rId50" Type="http://schemas.openxmlformats.org/officeDocument/2006/relationships/image" Target="../media/image2.gif"/><Relationship Id="rId51" Type="http://schemas.openxmlformats.org/officeDocument/2006/relationships/image" Target="../media/image2.gif"/><Relationship Id="rId52" Type="http://schemas.openxmlformats.org/officeDocument/2006/relationships/image" Target="../media/image2.gif"/><Relationship Id="rId53" Type="http://schemas.openxmlformats.org/officeDocument/2006/relationships/image" Target="../media/image2.gif"/><Relationship Id="rId54" Type="http://schemas.openxmlformats.org/officeDocument/2006/relationships/image" Target="../media/image2.gif"/><Relationship Id="rId55" Type="http://schemas.openxmlformats.org/officeDocument/2006/relationships/image" Target="../media/image2.gif"/><Relationship Id="rId56" Type="http://schemas.openxmlformats.org/officeDocument/2006/relationships/image" Target="../media/image2.gif"/><Relationship Id="rId57" Type="http://schemas.openxmlformats.org/officeDocument/2006/relationships/image" Target="../media/image2.gif"/><Relationship Id="rId58" Type="http://schemas.openxmlformats.org/officeDocument/2006/relationships/image" Target="../media/image2.gif"/><Relationship Id="rId59" Type="http://schemas.openxmlformats.org/officeDocument/2006/relationships/image" Target="../media/image2.gif"/><Relationship Id="rId60" Type="http://schemas.openxmlformats.org/officeDocument/2006/relationships/image" Target="../media/image2.gif"/><Relationship Id="rId61" Type="http://schemas.openxmlformats.org/officeDocument/2006/relationships/image" Target="../media/image2.gif"/><Relationship Id="rId62" Type="http://schemas.openxmlformats.org/officeDocument/2006/relationships/image" Target="../media/image2.gif"/><Relationship Id="rId63" Type="http://schemas.openxmlformats.org/officeDocument/2006/relationships/image" Target="../media/image2.gif"/><Relationship Id="rId64" Type="http://schemas.openxmlformats.org/officeDocument/2006/relationships/image" Target="../media/image2.gif"/><Relationship Id="rId65" Type="http://schemas.openxmlformats.org/officeDocument/2006/relationships/image" Target="../media/image2.gif"/><Relationship Id="rId66" Type="http://schemas.openxmlformats.org/officeDocument/2006/relationships/image" Target="../media/image2.gif"/><Relationship Id="rId67" Type="http://schemas.openxmlformats.org/officeDocument/2006/relationships/image" Target="../media/image2.gif"/><Relationship Id="rId68" Type="http://schemas.openxmlformats.org/officeDocument/2006/relationships/image" Target="../media/image2.gif"/><Relationship Id="rId69" Type="http://schemas.openxmlformats.org/officeDocument/2006/relationships/image" Target="../media/image2.gif"/><Relationship Id="rId70" Type="http://schemas.openxmlformats.org/officeDocument/2006/relationships/image" Target="../media/image2.gif"/><Relationship Id="rId71" Type="http://schemas.openxmlformats.org/officeDocument/2006/relationships/image" Target="../media/image2.gif"/><Relationship Id="rId72" Type="http://schemas.openxmlformats.org/officeDocument/2006/relationships/image" Target="../media/image2.gif"/><Relationship Id="rId73" Type="http://schemas.openxmlformats.org/officeDocument/2006/relationships/image" Target="../media/image2.gif"/><Relationship Id="rId74" Type="http://schemas.openxmlformats.org/officeDocument/2006/relationships/image" Target="../media/image2.gif"/><Relationship Id="rId75" Type="http://schemas.openxmlformats.org/officeDocument/2006/relationships/image" Target="../media/image2.gif"/><Relationship Id="rId76" Type="http://schemas.openxmlformats.org/officeDocument/2006/relationships/image" Target="../media/image2.gif"/><Relationship Id="rId77" Type="http://schemas.openxmlformats.org/officeDocument/2006/relationships/image" Target="../media/image2.gif"/><Relationship Id="rId78" Type="http://schemas.openxmlformats.org/officeDocument/2006/relationships/image" Target="../media/image2.gif"/><Relationship Id="rId79" Type="http://schemas.openxmlformats.org/officeDocument/2006/relationships/image" Target="../media/image2.gif"/><Relationship Id="rId80" Type="http://schemas.openxmlformats.org/officeDocument/2006/relationships/image" Target="../media/image2.gif"/><Relationship Id="rId81" Type="http://schemas.openxmlformats.org/officeDocument/2006/relationships/image" Target="../media/image2.gif"/><Relationship Id="rId82" Type="http://schemas.openxmlformats.org/officeDocument/2006/relationships/image" Target="../media/image2.gif"/><Relationship Id="rId83" Type="http://schemas.openxmlformats.org/officeDocument/2006/relationships/image" Target="../media/image2.gif"/><Relationship Id="rId84" Type="http://schemas.openxmlformats.org/officeDocument/2006/relationships/image" Target="../media/image2.gif"/><Relationship Id="rId85" Type="http://schemas.openxmlformats.org/officeDocument/2006/relationships/image" Target="../media/image2.gif"/><Relationship Id="rId86" Type="http://schemas.openxmlformats.org/officeDocument/2006/relationships/image" Target="../media/image2.gif"/><Relationship Id="rId87" Type="http://schemas.openxmlformats.org/officeDocument/2006/relationships/image" Target="../media/image2.gif"/><Relationship Id="rId88" Type="http://schemas.openxmlformats.org/officeDocument/2006/relationships/image" Target="../media/image2.gif"/><Relationship Id="rId89" Type="http://schemas.openxmlformats.org/officeDocument/2006/relationships/image" Target="../media/image2.gif"/><Relationship Id="rId90" Type="http://schemas.openxmlformats.org/officeDocument/2006/relationships/image" Target="../media/image2.gif"/><Relationship Id="rId91" Type="http://schemas.openxmlformats.org/officeDocument/2006/relationships/image" Target="../media/image2.gif"/><Relationship Id="rId92" Type="http://schemas.openxmlformats.org/officeDocument/2006/relationships/image" Target="../media/image2.gif"/><Relationship Id="rId93" Type="http://schemas.openxmlformats.org/officeDocument/2006/relationships/image" Target="../media/image2.gif"/><Relationship Id="rId94" Type="http://schemas.openxmlformats.org/officeDocument/2006/relationships/image" Target="../media/image2.gif"/><Relationship Id="rId95" Type="http://schemas.openxmlformats.org/officeDocument/2006/relationships/image" Target="../media/image2.gif"/><Relationship Id="rId96" Type="http://schemas.openxmlformats.org/officeDocument/2006/relationships/image" Target="../media/image2.gif"/><Relationship Id="rId97" Type="http://schemas.openxmlformats.org/officeDocument/2006/relationships/image" Target="../media/image2.gif"/><Relationship Id="rId98" Type="http://schemas.openxmlformats.org/officeDocument/2006/relationships/image" Target="../media/image2.gif"/><Relationship Id="rId99" Type="http://schemas.openxmlformats.org/officeDocument/2006/relationships/image" Target="../media/image2.gif"/><Relationship Id="rId100" Type="http://schemas.openxmlformats.org/officeDocument/2006/relationships/image" Target="../media/image2.gif"/><Relationship Id="rId101" Type="http://schemas.openxmlformats.org/officeDocument/2006/relationships/image" Target="../media/image2.gif"/><Relationship Id="rId102" Type="http://schemas.openxmlformats.org/officeDocument/2006/relationships/image" Target="../media/image2.gif"/><Relationship Id="rId103" Type="http://schemas.openxmlformats.org/officeDocument/2006/relationships/image" Target="../media/image2.gif"/><Relationship Id="rId104" Type="http://schemas.openxmlformats.org/officeDocument/2006/relationships/image" Target="../media/image2.gif"/><Relationship Id="rId105" Type="http://schemas.openxmlformats.org/officeDocument/2006/relationships/image" Target="../media/image2.gif"/><Relationship Id="rId106" Type="http://schemas.openxmlformats.org/officeDocument/2006/relationships/image" Target="../media/image2.gif"/><Relationship Id="rId107" Type="http://schemas.openxmlformats.org/officeDocument/2006/relationships/image" Target="../media/image2.gif"/><Relationship Id="rId108" Type="http://schemas.openxmlformats.org/officeDocument/2006/relationships/image" Target="../media/image2.gif"/><Relationship Id="rId109" Type="http://schemas.openxmlformats.org/officeDocument/2006/relationships/image" Target="../media/image2.gif"/><Relationship Id="rId110" Type="http://schemas.openxmlformats.org/officeDocument/2006/relationships/image" Target="../media/image2.gif"/><Relationship Id="rId111" Type="http://schemas.openxmlformats.org/officeDocument/2006/relationships/image" Target="../media/image2.gif"/><Relationship Id="rId112" Type="http://schemas.openxmlformats.org/officeDocument/2006/relationships/image" Target="../media/image2.gif"/><Relationship Id="rId113" Type="http://schemas.openxmlformats.org/officeDocument/2006/relationships/image" Target="../media/image2.gif"/><Relationship Id="rId114" Type="http://schemas.openxmlformats.org/officeDocument/2006/relationships/image" Target="../media/image2.gif"/><Relationship Id="rId115" Type="http://schemas.openxmlformats.org/officeDocument/2006/relationships/image" Target="../media/image2.gif"/><Relationship Id="rId116" Type="http://schemas.openxmlformats.org/officeDocument/2006/relationships/image" Target="../media/image2.gif"/><Relationship Id="rId117" Type="http://schemas.openxmlformats.org/officeDocument/2006/relationships/image" Target="../media/image2.gif"/><Relationship Id="rId118" Type="http://schemas.openxmlformats.org/officeDocument/2006/relationships/image" Target="../media/image2.gif"/><Relationship Id="rId119" Type="http://schemas.openxmlformats.org/officeDocument/2006/relationships/image" Target="../media/image2.gif"/><Relationship Id="rId120" Type="http://schemas.openxmlformats.org/officeDocument/2006/relationships/image" Target="../media/image2.gif"/><Relationship Id="rId121" Type="http://schemas.openxmlformats.org/officeDocument/2006/relationships/image" Target="../media/image2.gif"/><Relationship Id="rId122" Type="http://schemas.openxmlformats.org/officeDocument/2006/relationships/image" Target="../media/image2.gif"/><Relationship Id="rId123" Type="http://schemas.openxmlformats.org/officeDocument/2006/relationships/image" Target="../media/image2.gif"/><Relationship Id="rId124" Type="http://schemas.openxmlformats.org/officeDocument/2006/relationships/image" Target="../media/image2.gif"/><Relationship Id="rId125" Type="http://schemas.openxmlformats.org/officeDocument/2006/relationships/image" Target="../media/image2.gif"/><Relationship Id="rId126" Type="http://schemas.openxmlformats.org/officeDocument/2006/relationships/image" Target="../media/image2.gif"/><Relationship Id="rId127" Type="http://schemas.openxmlformats.org/officeDocument/2006/relationships/image" Target="../media/image2.gif"/><Relationship Id="rId128" Type="http://schemas.openxmlformats.org/officeDocument/2006/relationships/image" Target="../media/image2.gif"/><Relationship Id="rId129" Type="http://schemas.openxmlformats.org/officeDocument/2006/relationships/image" Target="../media/image2.gif"/><Relationship Id="rId130" Type="http://schemas.openxmlformats.org/officeDocument/2006/relationships/image" Target="../media/image2.gif"/><Relationship Id="rId131" Type="http://schemas.openxmlformats.org/officeDocument/2006/relationships/image" Target="../media/image2.gif"/><Relationship Id="rId132" Type="http://schemas.openxmlformats.org/officeDocument/2006/relationships/image" Target="../media/image2.gif"/><Relationship Id="rId133" Type="http://schemas.openxmlformats.org/officeDocument/2006/relationships/image" Target="../media/image2.gif"/><Relationship Id="rId134" Type="http://schemas.openxmlformats.org/officeDocument/2006/relationships/image" Target="../media/image2.gif"/><Relationship Id="rId135" Type="http://schemas.openxmlformats.org/officeDocument/2006/relationships/image" Target="../media/image2.gif"/><Relationship Id="rId136" Type="http://schemas.openxmlformats.org/officeDocument/2006/relationships/image" Target="../media/image2.gif"/><Relationship Id="rId137" Type="http://schemas.openxmlformats.org/officeDocument/2006/relationships/image" Target="../media/image2.gif"/><Relationship Id="rId138" Type="http://schemas.openxmlformats.org/officeDocument/2006/relationships/image" Target="../media/image2.gif"/><Relationship Id="rId139" Type="http://schemas.openxmlformats.org/officeDocument/2006/relationships/image" Target="../media/image2.gif"/><Relationship Id="rId140" Type="http://schemas.openxmlformats.org/officeDocument/2006/relationships/image" Target="../media/image2.gif"/><Relationship Id="rId141" Type="http://schemas.openxmlformats.org/officeDocument/2006/relationships/image" Target="../media/image2.gif"/><Relationship Id="rId142" Type="http://schemas.openxmlformats.org/officeDocument/2006/relationships/image" Target="../media/image2.gif"/><Relationship Id="rId143" Type="http://schemas.openxmlformats.org/officeDocument/2006/relationships/image" Target="../media/image2.gif"/><Relationship Id="rId144" Type="http://schemas.openxmlformats.org/officeDocument/2006/relationships/image" Target="../media/image2.gif"/><Relationship Id="rId145" Type="http://schemas.openxmlformats.org/officeDocument/2006/relationships/image" Target="../media/image2.gif"/><Relationship Id="rId146" Type="http://schemas.openxmlformats.org/officeDocument/2006/relationships/image" Target="../media/image2.gif"/><Relationship Id="rId147" Type="http://schemas.openxmlformats.org/officeDocument/2006/relationships/image" Target="../media/image2.gif"/><Relationship Id="rId148" Type="http://schemas.openxmlformats.org/officeDocument/2006/relationships/image" Target="../media/image2.gif"/><Relationship Id="rId149" Type="http://schemas.openxmlformats.org/officeDocument/2006/relationships/image" Target="../media/image2.gif"/><Relationship Id="rId150" Type="http://schemas.openxmlformats.org/officeDocument/2006/relationships/image" Target="../media/image2.gif"/><Relationship Id="rId151" Type="http://schemas.openxmlformats.org/officeDocument/2006/relationships/image" Target="../media/image2.gif"/><Relationship Id="rId152" Type="http://schemas.openxmlformats.org/officeDocument/2006/relationships/image" Target="../media/image2.gif"/><Relationship Id="rId153" Type="http://schemas.openxmlformats.org/officeDocument/2006/relationships/image" Target="../media/image2.gif"/><Relationship Id="rId154" Type="http://schemas.openxmlformats.org/officeDocument/2006/relationships/image" Target="../media/image2.gif"/><Relationship Id="rId155" Type="http://schemas.openxmlformats.org/officeDocument/2006/relationships/image" Target="../media/image2.gif"/><Relationship Id="rId156" Type="http://schemas.openxmlformats.org/officeDocument/2006/relationships/image" Target="../media/image2.gif"/><Relationship Id="rId157" Type="http://schemas.openxmlformats.org/officeDocument/2006/relationships/image" Target="../media/image2.gif"/><Relationship Id="rId158" Type="http://schemas.openxmlformats.org/officeDocument/2006/relationships/image" Target="../media/image2.gif"/><Relationship Id="rId159" Type="http://schemas.openxmlformats.org/officeDocument/2006/relationships/image" Target="../media/image2.gif"/><Relationship Id="rId160" Type="http://schemas.openxmlformats.org/officeDocument/2006/relationships/image" Target="../media/image2.gif"/><Relationship Id="rId161" Type="http://schemas.openxmlformats.org/officeDocument/2006/relationships/image" Target="../media/image2.gif"/><Relationship Id="rId162" Type="http://schemas.openxmlformats.org/officeDocument/2006/relationships/image" Target="../media/image2.gif"/><Relationship Id="rId163" Type="http://schemas.openxmlformats.org/officeDocument/2006/relationships/image" Target="../media/image2.gif"/><Relationship Id="rId164" Type="http://schemas.openxmlformats.org/officeDocument/2006/relationships/image" Target="../media/image2.gif"/><Relationship Id="rId165" Type="http://schemas.openxmlformats.org/officeDocument/2006/relationships/image" Target="../media/image2.gif"/><Relationship Id="rId166" Type="http://schemas.openxmlformats.org/officeDocument/2006/relationships/image" Target="../media/image2.gif"/><Relationship Id="rId167" Type="http://schemas.openxmlformats.org/officeDocument/2006/relationships/image" Target="../media/image2.gif"/><Relationship Id="rId168" Type="http://schemas.openxmlformats.org/officeDocument/2006/relationships/image" Target="../media/image2.gif"/><Relationship Id="rId169" Type="http://schemas.openxmlformats.org/officeDocument/2006/relationships/image" Target="../media/image2.gif"/><Relationship Id="rId170" Type="http://schemas.openxmlformats.org/officeDocument/2006/relationships/image" Target="../media/image2.gif"/><Relationship Id="rId171" Type="http://schemas.openxmlformats.org/officeDocument/2006/relationships/image" Target="../media/image2.gif"/><Relationship Id="rId172" Type="http://schemas.openxmlformats.org/officeDocument/2006/relationships/image" Target="../media/image2.gif"/><Relationship Id="rId173" Type="http://schemas.openxmlformats.org/officeDocument/2006/relationships/image" Target="../media/image2.gif"/><Relationship Id="rId174" Type="http://schemas.openxmlformats.org/officeDocument/2006/relationships/image" Target="../media/image2.gif"/><Relationship Id="rId175" Type="http://schemas.openxmlformats.org/officeDocument/2006/relationships/image" Target="../media/image2.gif"/><Relationship Id="rId176" Type="http://schemas.openxmlformats.org/officeDocument/2006/relationships/image" Target="../media/image2.gif"/><Relationship Id="rId177" Type="http://schemas.openxmlformats.org/officeDocument/2006/relationships/image" Target="../media/image2.gif"/><Relationship Id="rId178" Type="http://schemas.openxmlformats.org/officeDocument/2006/relationships/image" Target="../media/image2.gif"/><Relationship Id="rId179" Type="http://schemas.openxmlformats.org/officeDocument/2006/relationships/image" Target="../media/image2.gif"/><Relationship Id="rId180" Type="http://schemas.openxmlformats.org/officeDocument/2006/relationships/image" Target="../media/image2.gif"/><Relationship Id="rId181" Type="http://schemas.openxmlformats.org/officeDocument/2006/relationships/image" Target="../media/image2.gif"/><Relationship Id="rId182" Type="http://schemas.openxmlformats.org/officeDocument/2006/relationships/image" Target="../media/image2.gif"/><Relationship Id="rId183" Type="http://schemas.openxmlformats.org/officeDocument/2006/relationships/image" Target="../media/image2.gif"/><Relationship Id="rId184" Type="http://schemas.openxmlformats.org/officeDocument/2006/relationships/image" Target="../media/image2.gif"/><Relationship Id="rId185" Type="http://schemas.openxmlformats.org/officeDocument/2006/relationships/image" Target="../media/image2.gif"/><Relationship Id="rId186" Type="http://schemas.openxmlformats.org/officeDocument/2006/relationships/image" Target="../media/image2.gif"/><Relationship Id="rId187" Type="http://schemas.openxmlformats.org/officeDocument/2006/relationships/image" Target="../media/image2.gif"/><Relationship Id="rId188" Type="http://schemas.openxmlformats.org/officeDocument/2006/relationships/image" Target="../media/image2.gif"/><Relationship Id="rId189" Type="http://schemas.openxmlformats.org/officeDocument/2006/relationships/image" Target="../media/image2.gif"/><Relationship Id="rId190" Type="http://schemas.openxmlformats.org/officeDocument/2006/relationships/image" Target="../media/image2.gif"/><Relationship Id="rId191" Type="http://schemas.openxmlformats.org/officeDocument/2006/relationships/image" Target="../media/image2.gif"/><Relationship Id="rId192" Type="http://schemas.openxmlformats.org/officeDocument/2006/relationships/image" Target="../media/image2.gif"/><Relationship Id="rId193" Type="http://schemas.openxmlformats.org/officeDocument/2006/relationships/image" Target="../media/image2.gif"/><Relationship Id="rId194" Type="http://schemas.openxmlformats.org/officeDocument/2006/relationships/image" Target="../media/image2.gif"/><Relationship Id="rId195" Type="http://schemas.openxmlformats.org/officeDocument/2006/relationships/image" Target="../media/image2.gif"/><Relationship Id="rId196" Type="http://schemas.openxmlformats.org/officeDocument/2006/relationships/image" Target="../media/image2.gif"/>
</Relationships>
</file>

<file path=xl/drawings/_rels/drawing16.xml.rels><?xml version="1.0" encoding="UTF-8"?>
<Relationships xmlns="http://schemas.openxmlformats.org/package/2006/relationships"><Relationship Id="rId1" Type="http://schemas.openxmlformats.org/officeDocument/2006/relationships/image" Target="../media/image2.gif"/><Relationship Id="rId2" Type="http://schemas.openxmlformats.org/officeDocument/2006/relationships/image" Target="../media/image2.gif"/><Relationship Id="rId3" Type="http://schemas.openxmlformats.org/officeDocument/2006/relationships/image" Target="../media/image2.gif"/><Relationship Id="rId4" Type="http://schemas.openxmlformats.org/officeDocument/2006/relationships/image" Target="../media/image2.gif"/><Relationship Id="rId5" Type="http://schemas.openxmlformats.org/officeDocument/2006/relationships/image" Target="../media/image2.gif"/><Relationship Id="rId6" Type="http://schemas.openxmlformats.org/officeDocument/2006/relationships/image" Target="../media/image2.gif"/><Relationship Id="rId7" Type="http://schemas.openxmlformats.org/officeDocument/2006/relationships/image" Target="../media/image2.gif"/><Relationship Id="rId8" Type="http://schemas.openxmlformats.org/officeDocument/2006/relationships/image" Target="../media/image2.gif"/><Relationship Id="rId9" Type="http://schemas.openxmlformats.org/officeDocument/2006/relationships/image" Target="../media/image2.gif"/><Relationship Id="rId10" Type="http://schemas.openxmlformats.org/officeDocument/2006/relationships/image" Target="../media/image2.gif"/><Relationship Id="rId11" Type="http://schemas.openxmlformats.org/officeDocument/2006/relationships/image" Target="../media/image2.gif"/><Relationship Id="rId12" Type="http://schemas.openxmlformats.org/officeDocument/2006/relationships/image" Target="../media/image2.gif"/><Relationship Id="rId13" Type="http://schemas.openxmlformats.org/officeDocument/2006/relationships/image" Target="../media/image2.gif"/><Relationship Id="rId14" Type="http://schemas.openxmlformats.org/officeDocument/2006/relationships/image" Target="../media/image2.gif"/><Relationship Id="rId15" Type="http://schemas.openxmlformats.org/officeDocument/2006/relationships/image" Target="../media/image2.gif"/><Relationship Id="rId16" Type="http://schemas.openxmlformats.org/officeDocument/2006/relationships/image" Target="../media/image2.gif"/><Relationship Id="rId17" Type="http://schemas.openxmlformats.org/officeDocument/2006/relationships/image" Target="../media/image2.gif"/><Relationship Id="rId18" Type="http://schemas.openxmlformats.org/officeDocument/2006/relationships/image" Target="../media/image2.gif"/><Relationship Id="rId19" Type="http://schemas.openxmlformats.org/officeDocument/2006/relationships/image" Target="../media/image2.gif"/><Relationship Id="rId20" Type="http://schemas.openxmlformats.org/officeDocument/2006/relationships/image" Target="../media/image3.jpeg"/><Relationship Id="rId21" Type="http://schemas.openxmlformats.org/officeDocument/2006/relationships/image" Target="../media/image2.gif"/><Relationship Id="rId22" Type="http://schemas.openxmlformats.org/officeDocument/2006/relationships/image" Target="../media/image2.gif"/><Relationship Id="rId23" Type="http://schemas.openxmlformats.org/officeDocument/2006/relationships/image" Target="../media/image2.gif"/><Relationship Id="rId24" Type="http://schemas.openxmlformats.org/officeDocument/2006/relationships/image" Target="../media/image2.gif"/><Relationship Id="rId25" Type="http://schemas.openxmlformats.org/officeDocument/2006/relationships/image" Target="../media/image2.gif"/><Relationship Id="rId26" Type="http://schemas.openxmlformats.org/officeDocument/2006/relationships/image" Target="../media/image2.gif"/><Relationship Id="rId27" Type="http://schemas.openxmlformats.org/officeDocument/2006/relationships/image" Target="../media/image2.gif"/><Relationship Id="rId28" Type="http://schemas.openxmlformats.org/officeDocument/2006/relationships/image" Target="../media/image2.gif"/><Relationship Id="rId29" Type="http://schemas.openxmlformats.org/officeDocument/2006/relationships/image" Target="../media/image2.gif"/><Relationship Id="rId30" Type="http://schemas.openxmlformats.org/officeDocument/2006/relationships/image" Target="../media/image2.gif"/><Relationship Id="rId31" Type="http://schemas.openxmlformats.org/officeDocument/2006/relationships/image" Target="../media/image2.gif"/><Relationship Id="rId32" Type="http://schemas.openxmlformats.org/officeDocument/2006/relationships/image" Target="../media/image2.gif"/><Relationship Id="rId33" Type="http://schemas.openxmlformats.org/officeDocument/2006/relationships/image" Target="../media/image2.gif"/><Relationship Id="rId34" Type="http://schemas.openxmlformats.org/officeDocument/2006/relationships/image" Target="../media/image2.gif"/><Relationship Id="rId35" Type="http://schemas.openxmlformats.org/officeDocument/2006/relationships/image" Target="../media/image2.gif"/><Relationship Id="rId36" Type="http://schemas.openxmlformats.org/officeDocument/2006/relationships/image" Target="../media/image2.gif"/><Relationship Id="rId37" Type="http://schemas.openxmlformats.org/officeDocument/2006/relationships/image" Target="../media/image2.gif"/><Relationship Id="rId38" Type="http://schemas.openxmlformats.org/officeDocument/2006/relationships/image" Target="../media/image2.gif"/><Relationship Id="rId39" Type="http://schemas.openxmlformats.org/officeDocument/2006/relationships/image" Target="../media/image2.gif"/><Relationship Id="rId40" Type="http://schemas.openxmlformats.org/officeDocument/2006/relationships/image" Target="../media/image2.gif"/><Relationship Id="rId41" Type="http://schemas.openxmlformats.org/officeDocument/2006/relationships/image" Target="../media/image2.gif"/><Relationship Id="rId42" Type="http://schemas.openxmlformats.org/officeDocument/2006/relationships/image" Target="../media/image2.gif"/><Relationship Id="rId43" Type="http://schemas.openxmlformats.org/officeDocument/2006/relationships/image" Target="../media/image2.gif"/><Relationship Id="rId44" Type="http://schemas.openxmlformats.org/officeDocument/2006/relationships/image" Target="../media/image2.gif"/><Relationship Id="rId45" Type="http://schemas.openxmlformats.org/officeDocument/2006/relationships/image" Target="../media/image2.gif"/><Relationship Id="rId46" Type="http://schemas.openxmlformats.org/officeDocument/2006/relationships/image" Target="../media/image2.gif"/><Relationship Id="rId47" Type="http://schemas.openxmlformats.org/officeDocument/2006/relationships/image" Target="../media/image2.gif"/><Relationship Id="rId48" Type="http://schemas.openxmlformats.org/officeDocument/2006/relationships/image" Target="../media/image2.gif"/><Relationship Id="rId49" Type="http://schemas.openxmlformats.org/officeDocument/2006/relationships/image" Target="../media/image2.gif"/><Relationship Id="rId50" Type="http://schemas.openxmlformats.org/officeDocument/2006/relationships/image" Target="../media/image2.gif"/><Relationship Id="rId51" Type="http://schemas.openxmlformats.org/officeDocument/2006/relationships/image" Target="../media/image2.gif"/><Relationship Id="rId52" Type="http://schemas.openxmlformats.org/officeDocument/2006/relationships/image" Target="../media/image2.gif"/><Relationship Id="rId53" Type="http://schemas.openxmlformats.org/officeDocument/2006/relationships/image" Target="../media/image2.gif"/><Relationship Id="rId54" Type="http://schemas.openxmlformats.org/officeDocument/2006/relationships/image" Target="../media/image2.gif"/><Relationship Id="rId55" Type="http://schemas.openxmlformats.org/officeDocument/2006/relationships/image" Target="../media/image2.gif"/><Relationship Id="rId56" Type="http://schemas.openxmlformats.org/officeDocument/2006/relationships/image" Target="../media/image2.gif"/><Relationship Id="rId57" Type="http://schemas.openxmlformats.org/officeDocument/2006/relationships/image" Target="../media/image2.gif"/><Relationship Id="rId58" Type="http://schemas.openxmlformats.org/officeDocument/2006/relationships/image" Target="../media/image2.gif"/><Relationship Id="rId59" Type="http://schemas.openxmlformats.org/officeDocument/2006/relationships/image" Target="../media/image2.gif"/><Relationship Id="rId60" Type="http://schemas.openxmlformats.org/officeDocument/2006/relationships/image" Target="../media/image2.gif"/><Relationship Id="rId61" Type="http://schemas.openxmlformats.org/officeDocument/2006/relationships/image" Target="../media/image2.gif"/><Relationship Id="rId62" Type="http://schemas.openxmlformats.org/officeDocument/2006/relationships/image" Target="../media/image2.gif"/>
</Relationships>
</file>

<file path=xl/drawings/_rels/drawing17.xml.rels><?xml version="1.0" encoding="UTF-8"?>
<Relationships xmlns="http://schemas.openxmlformats.org/package/2006/relationships"><Relationship Id="rId1" Type="http://schemas.openxmlformats.org/officeDocument/2006/relationships/image" Target="../media/image2.gif"/><Relationship Id="rId2" Type="http://schemas.openxmlformats.org/officeDocument/2006/relationships/image" Target="../media/image2.gif"/><Relationship Id="rId3" Type="http://schemas.openxmlformats.org/officeDocument/2006/relationships/image" Target="../media/image2.gif"/><Relationship Id="rId4" Type="http://schemas.openxmlformats.org/officeDocument/2006/relationships/image" Target="../media/image2.gif"/><Relationship Id="rId5" Type="http://schemas.openxmlformats.org/officeDocument/2006/relationships/image" Target="../media/image2.gif"/><Relationship Id="rId6" Type="http://schemas.openxmlformats.org/officeDocument/2006/relationships/image" Target="../media/image2.gif"/><Relationship Id="rId7" Type="http://schemas.openxmlformats.org/officeDocument/2006/relationships/image" Target="../media/image2.gif"/><Relationship Id="rId8" Type="http://schemas.openxmlformats.org/officeDocument/2006/relationships/image" Target="../media/image2.gif"/><Relationship Id="rId9" Type="http://schemas.openxmlformats.org/officeDocument/2006/relationships/image" Target="../media/image2.gif"/><Relationship Id="rId10" Type="http://schemas.openxmlformats.org/officeDocument/2006/relationships/image" Target="../media/image2.gif"/><Relationship Id="rId11" Type="http://schemas.openxmlformats.org/officeDocument/2006/relationships/image" Target="../media/image2.gif"/><Relationship Id="rId12" Type="http://schemas.openxmlformats.org/officeDocument/2006/relationships/image" Target="../media/image2.gif"/><Relationship Id="rId13" Type="http://schemas.openxmlformats.org/officeDocument/2006/relationships/image" Target="../media/image2.gif"/><Relationship Id="rId14" Type="http://schemas.openxmlformats.org/officeDocument/2006/relationships/image" Target="../media/image2.gif"/><Relationship Id="rId15" Type="http://schemas.openxmlformats.org/officeDocument/2006/relationships/image" Target="../media/image2.gif"/><Relationship Id="rId16" Type="http://schemas.openxmlformats.org/officeDocument/2006/relationships/image" Target="../media/image2.gif"/><Relationship Id="rId17" Type="http://schemas.openxmlformats.org/officeDocument/2006/relationships/image" Target="../media/image2.gif"/><Relationship Id="rId18" Type="http://schemas.openxmlformats.org/officeDocument/2006/relationships/image" Target="../media/image2.gif"/><Relationship Id="rId19" Type="http://schemas.openxmlformats.org/officeDocument/2006/relationships/image" Target="../media/image2.gif"/><Relationship Id="rId20" Type="http://schemas.openxmlformats.org/officeDocument/2006/relationships/image" Target="../media/image3.jpeg"/>
</Relationships>
</file>

<file path=xl/drawings/_rels/drawing18.xml.rels><?xml version="1.0" encoding="UTF-8"?>
<Relationships xmlns="http://schemas.openxmlformats.org/package/2006/relationships"><Relationship Id="rId1" Type="http://schemas.openxmlformats.org/officeDocument/2006/relationships/image" Target="../media/image2.gif"/><Relationship Id="rId2" Type="http://schemas.openxmlformats.org/officeDocument/2006/relationships/image" Target="../media/image2.gif"/><Relationship Id="rId3" Type="http://schemas.openxmlformats.org/officeDocument/2006/relationships/image" Target="../media/image2.gif"/><Relationship Id="rId4" Type="http://schemas.openxmlformats.org/officeDocument/2006/relationships/image" Target="../media/image2.gif"/><Relationship Id="rId5" Type="http://schemas.openxmlformats.org/officeDocument/2006/relationships/image" Target="../media/image2.gif"/><Relationship Id="rId6" Type="http://schemas.openxmlformats.org/officeDocument/2006/relationships/image" Target="../media/image2.gif"/><Relationship Id="rId7" Type="http://schemas.openxmlformats.org/officeDocument/2006/relationships/image" Target="../media/image2.gif"/><Relationship Id="rId8" Type="http://schemas.openxmlformats.org/officeDocument/2006/relationships/image" Target="../media/image2.gif"/><Relationship Id="rId9" Type="http://schemas.openxmlformats.org/officeDocument/2006/relationships/image" Target="../media/image2.gif"/><Relationship Id="rId10" Type="http://schemas.openxmlformats.org/officeDocument/2006/relationships/image" Target="../media/image2.gif"/><Relationship Id="rId11" Type="http://schemas.openxmlformats.org/officeDocument/2006/relationships/image" Target="../media/image2.gif"/><Relationship Id="rId12" Type="http://schemas.openxmlformats.org/officeDocument/2006/relationships/image" Target="../media/image2.gif"/><Relationship Id="rId13" Type="http://schemas.openxmlformats.org/officeDocument/2006/relationships/image" Target="../media/image2.gif"/><Relationship Id="rId14" Type="http://schemas.openxmlformats.org/officeDocument/2006/relationships/image" Target="../media/image2.gif"/><Relationship Id="rId15" Type="http://schemas.openxmlformats.org/officeDocument/2006/relationships/image" Target="../media/image2.gif"/><Relationship Id="rId16" Type="http://schemas.openxmlformats.org/officeDocument/2006/relationships/image" Target="../media/image2.gif"/><Relationship Id="rId17" Type="http://schemas.openxmlformats.org/officeDocument/2006/relationships/image" Target="../media/image2.gif"/><Relationship Id="rId18" Type="http://schemas.openxmlformats.org/officeDocument/2006/relationships/image" Target="../media/image2.gif"/><Relationship Id="rId19" Type="http://schemas.openxmlformats.org/officeDocument/2006/relationships/image" Target="../media/image2.gif"/><Relationship Id="rId20" Type="http://schemas.openxmlformats.org/officeDocument/2006/relationships/image" Target="../media/image3.jpeg"/>
</Relationships>
</file>

<file path=xl/drawings/_rels/drawing19.xml.rels><?xml version="1.0" encoding="UTF-8"?>
<Relationships xmlns="http://schemas.openxmlformats.org/package/2006/relationships"><Relationship Id="rId1" Type="http://schemas.openxmlformats.org/officeDocument/2006/relationships/image" Target="../media/image2.gif"/><Relationship Id="rId2" Type="http://schemas.openxmlformats.org/officeDocument/2006/relationships/image" Target="../media/image2.gif"/><Relationship Id="rId3" Type="http://schemas.openxmlformats.org/officeDocument/2006/relationships/image" Target="../media/image2.gif"/><Relationship Id="rId4" Type="http://schemas.openxmlformats.org/officeDocument/2006/relationships/image" Target="../media/image2.gif"/><Relationship Id="rId5" Type="http://schemas.openxmlformats.org/officeDocument/2006/relationships/image" Target="../media/image2.gif"/><Relationship Id="rId6" Type="http://schemas.openxmlformats.org/officeDocument/2006/relationships/image" Target="../media/image2.gif"/><Relationship Id="rId7" Type="http://schemas.openxmlformats.org/officeDocument/2006/relationships/image" Target="../media/image2.gif"/><Relationship Id="rId8" Type="http://schemas.openxmlformats.org/officeDocument/2006/relationships/image" Target="../media/image2.gif"/><Relationship Id="rId9" Type="http://schemas.openxmlformats.org/officeDocument/2006/relationships/image" Target="../media/image2.gif"/><Relationship Id="rId10" Type="http://schemas.openxmlformats.org/officeDocument/2006/relationships/image" Target="../media/image2.gif"/><Relationship Id="rId11" Type="http://schemas.openxmlformats.org/officeDocument/2006/relationships/image" Target="../media/image2.gif"/><Relationship Id="rId12" Type="http://schemas.openxmlformats.org/officeDocument/2006/relationships/image" Target="../media/image2.gif"/><Relationship Id="rId13" Type="http://schemas.openxmlformats.org/officeDocument/2006/relationships/image" Target="../media/image3.jpeg"/>
</Relationships>
</file>

<file path=xl/drawings/_rels/drawing2.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
</Relationships>
</file>

<file path=xl/drawings/_rels/drawing20.xml.rels><?xml version="1.0" encoding="UTF-8"?>
<Relationships xmlns="http://schemas.openxmlformats.org/package/2006/relationships"><Relationship Id="rId1" Type="http://schemas.openxmlformats.org/officeDocument/2006/relationships/image" Target="../media/image2.gif"/><Relationship Id="rId2" Type="http://schemas.openxmlformats.org/officeDocument/2006/relationships/image" Target="../media/image2.gif"/><Relationship Id="rId3" Type="http://schemas.openxmlformats.org/officeDocument/2006/relationships/image" Target="../media/image2.gif"/><Relationship Id="rId4" Type="http://schemas.openxmlformats.org/officeDocument/2006/relationships/image" Target="../media/image2.gif"/><Relationship Id="rId5" Type="http://schemas.openxmlformats.org/officeDocument/2006/relationships/image" Target="../media/image2.gif"/><Relationship Id="rId6" Type="http://schemas.openxmlformats.org/officeDocument/2006/relationships/image" Target="../media/image3.jpeg"/>
</Relationships>
</file>

<file path=xl/drawings/_rels/drawing21.xml.rels><?xml version="1.0" encoding="UTF-8"?>
<Relationships xmlns="http://schemas.openxmlformats.org/package/2006/relationships"><Relationship Id="rId1" Type="http://schemas.openxmlformats.org/officeDocument/2006/relationships/image" Target="../media/image2.gif"/><Relationship Id="rId2" Type="http://schemas.openxmlformats.org/officeDocument/2006/relationships/image" Target="../media/image2.gif"/><Relationship Id="rId3" Type="http://schemas.openxmlformats.org/officeDocument/2006/relationships/image" Target="../media/image2.gif"/><Relationship Id="rId4" Type="http://schemas.openxmlformats.org/officeDocument/2006/relationships/image" Target="../media/image2.gif"/><Relationship Id="rId5" Type="http://schemas.openxmlformats.org/officeDocument/2006/relationships/image" Target="../media/image2.gif"/><Relationship Id="rId6" Type="http://schemas.openxmlformats.org/officeDocument/2006/relationships/image" Target="../media/image3.jpeg"/>
</Relationships>
</file>

<file path=xl/drawings/_rels/drawing22.xml.rels><?xml version="1.0" encoding="UTF-8"?>
<Relationships xmlns="http://schemas.openxmlformats.org/package/2006/relationships"><Relationship Id="rId1" Type="http://schemas.openxmlformats.org/officeDocument/2006/relationships/image" Target="../media/image3.jpeg"/>
</Relationships>
</file>

<file path=xl/drawings/_rels/drawing23.xml.rels><?xml version="1.0" encoding="UTF-8"?>
<Relationships xmlns="http://schemas.openxmlformats.org/package/2006/relationships"><Relationship Id="rId1" Type="http://schemas.openxmlformats.org/officeDocument/2006/relationships/image" Target="../media/image3.jpeg"/>
</Relationships>
</file>

<file path=xl/drawings/_rels/drawing24.xml.rels><?xml version="1.0" encoding="UTF-8"?>
<Relationships xmlns="http://schemas.openxmlformats.org/package/2006/relationships"><Relationship Id="rId1" Type="http://schemas.openxmlformats.org/officeDocument/2006/relationships/image" Target="../media/image3.jpeg"/>
</Relationships>
</file>

<file path=xl/drawings/_rels/drawing25.xml.rels><?xml version="1.0" encoding="UTF-8"?>
<Relationships xmlns="http://schemas.openxmlformats.org/package/2006/relationships"><Relationship Id="rId1" Type="http://schemas.openxmlformats.org/officeDocument/2006/relationships/image" Target="../media/image4.png"/>
</Relationships>
</file>

<file path=xl/drawings/_rels/drawing26.xml.rels><?xml version="1.0" encoding="UTF-8"?>
<Relationships xmlns="http://schemas.openxmlformats.org/package/2006/relationships"><Relationship Id="rId1" Type="http://schemas.openxmlformats.org/officeDocument/2006/relationships/image" Target="../media/image4.png"/>
</Relationships>
</file>

<file path=xl/drawings/_rels/drawing27.xml.rels><?xml version="1.0" encoding="UTF-8"?>
<Relationships xmlns="http://schemas.openxmlformats.org/package/2006/relationships"><Relationship Id="rId1" Type="http://schemas.openxmlformats.org/officeDocument/2006/relationships/image" Target="../media/image4.png"/>
</Relationships>
</file>

<file path=xl/drawings/_rels/drawing28.xml.rels><?xml version="1.0" encoding="UTF-8"?>
<Relationships xmlns="http://schemas.openxmlformats.org/package/2006/relationships"><Relationship Id="rId1" Type="http://schemas.openxmlformats.org/officeDocument/2006/relationships/image" Target="../media/image4.png"/>
</Relationships>
</file>

<file path=xl/drawings/_rels/drawing29.xml.rels><?xml version="1.0" encoding="UTF-8"?>
<Relationships xmlns="http://schemas.openxmlformats.org/package/2006/relationships"><Relationship Id="rId1" Type="http://schemas.openxmlformats.org/officeDocument/2006/relationships/image" Target="../media/image4.png"/>
</Relationships>
</file>

<file path=xl/drawings/_rels/drawing3.xml.rels><?xml version="1.0" encoding="UTF-8"?>
<Relationships xmlns="http://schemas.openxmlformats.org/package/2006/relationships"><Relationship Id="rId1" Type="http://schemas.openxmlformats.org/officeDocument/2006/relationships/chart" Target="../charts/chart3.xml"/>
</Relationships>
</file>

<file path=xl/drawings/_rels/drawing30.xml.rels><?xml version="1.0" encoding="UTF-8"?>
<Relationships xmlns="http://schemas.openxmlformats.org/package/2006/relationships"><Relationship Id="rId1" Type="http://schemas.openxmlformats.org/officeDocument/2006/relationships/image" Target="../media/image4.png"/>
</Relationships>
</file>

<file path=xl/drawings/_rels/drawing31.xml.rels><?xml version="1.0" encoding="UTF-8"?>
<Relationships xmlns="http://schemas.openxmlformats.org/package/2006/relationships"><Relationship Id="rId1" Type="http://schemas.openxmlformats.org/officeDocument/2006/relationships/image" Target="../media/image4.png"/>
</Relationships>
</file>

<file path=xl/drawings/_rels/drawing32.xml.rels><?xml version="1.0" encoding="UTF-8"?>
<Relationships xmlns="http://schemas.openxmlformats.org/package/2006/relationships"><Relationship Id="rId1" Type="http://schemas.openxmlformats.org/officeDocument/2006/relationships/image" Target="../media/image4.png"/>
</Relationships>
</file>

<file path=xl/drawings/_rels/drawing33.xml.rels><?xml version="1.0" encoding="UTF-8"?>
<Relationships xmlns="http://schemas.openxmlformats.org/package/2006/relationships"><Relationship Id="rId1" Type="http://schemas.openxmlformats.org/officeDocument/2006/relationships/image" Target="../media/image4.png"/>
</Relationships>
</file>

<file path=xl/drawings/_rels/drawing34.xml.rels><?xml version="1.0" encoding="UTF-8"?>
<Relationships xmlns="http://schemas.openxmlformats.org/package/2006/relationships"><Relationship Id="rId1" Type="http://schemas.openxmlformats.org/officeDocument/2006/relationships/image" Target="../media/image4.png"/>
</Relationships>
</file>

<file path=xl/drawings/_rels/drawing35.xml.rels><?xml version="1.0" encoding="UTF-8"?>
<Relationships xmlns="http://schemas.openxmlformats.org/package/2006/relationships"><Relationship Id="rId1" Type="http://schemas.openxmlformats.org/officeDocument/2006/relationships/image" Target="../media/image4.png"/>
</Relationships>
</file>

<file path=xl/drawings/_rels/drawing36.xml.rels><?xml version="1.0" encoding="UTF-8"?>
<Relationships xmlns="http://schemas.openxmlformats.org/package/2006/relationships"><Relationship Id="rId1" Type="http://schemas.openxmlformats.org/officeDocument/2006/relationships/image" Target="../media/image4.png"/>
</Relationships>
</file>

<file path=xl/drawings/_rels/drawing37.xml.rels><?xml version="1.0" encoding="UTF-8"?>
<Relationships xmlns="http://schemas.openxmlformats.org/package/2006/relationships"><Relationship Id="rId1" Type="http://schemas.openxmlformats.org/officeDocument/2006/relationships/image" Target="../media/image4.png"/>
</Relationships>
</file>

<file path=xl/drawings/_rels/drawing38.xml.rels><?xml version="1.0" encoding="UTF-8"?>
<Relationships xmlns="http://schemas.openxmlformats.org/package/2006/relationships"><Relationship Id="rId1" Type="http://schemas.openxmlformats.org/officeDocument/2006/relationships/image" Target="../media/image4.png"/>
</Relationships>
</file>

<file path=xl/drawings/_rels/drawing39.xml.rels><?xml version="1.0" encoding="UTF-8"?>
<Relationships xmlns="http://schemas.openxmlformats.org/package/2006/relationships"><Relationship Id="rId1" Type="http://schemas.openxmlformats.org/officeDocument/2006/relationships/image" Target="../media/image4.png"/>
</Relationships>
</file>

<file path=xl/drawings/_rels/drawing4.xml.rels><?xml version="1.0" encoding="UTF-8"?>
<Relationships xmlns="http://schemas.openxmlformats.org/package/2006/relationships"><Relationship Id="rId1" Type="http://schemas.openxmlformats.org/officeDocument/2006/relationships/chart" Target="../charts/chart4.xml"/><Relationship Id="rId2" Type="http://schemas.openxmlformats.org/officeDocument/2006/relationships/chart" Target="../charts/chart5.xml"/>
</Relationships>
</file>

<file path=xl/drawings/_rels/drawing5.xml.rels><?xml version="1.0" encoding="UTF-8"?>
<Relationships xmlns="http://schemas.openxmlformats.org/package/2006/relationships"><Relationship Id="rId1" Type="http://schemas.openxmlformats.org/officeDocument/2006/relationships/chart" Target="../charts/chart6.xml"/>
</Relationships>
</file>

<file path=xl/drawings/_rels/drawing6.xml.rels><?xml version="1.0" encoding="UTF-8"?>
<Relationships xmlns="http://schemas.openxmlformats.org/package/2006/relationships"><Relationship Id="rId1" Type="http://schemas.openxmlformats.org/officeDocument/2006/relationships/chart" Target="../charts/chart7.xml"/>
</Relationships>
</file>

<file path=xl/drawings/_rels/drawing7.xml.rels><?xml version="1.0" encoding="UTF-8"?>
<Relationships xmlns="http://schemas.openxmlformats.org/package/2006/relationships"><Relationship Id="rId1" Type="http://schemas.openxmlformats.org/officeDocument/2006/relationships/chart" Target="../charts/chart8.xml"/>
</Relationships>
</file>

<file path=xl/drawings/_rels/drawing8.xml.rels><?xml version="1.0" encoding="UTF-8"?>
<Relationships xmlns="http://schemas.openxmlformats.org/package/2006/relationships"><Relationship Id="rId1" Type="http://schemas.openxmlformats.org/officeDocument/2006/relationships/chart" Target="../charts/chart9.xml"/>
</Relationships>
</file>

<file path=xl/drawings/_rels/drawing9.xml.rels><?xml version="1.0" encoding="UTF-8"?>
<Relationships xmlns="http://schemas.openxmlformats.org/package/2006/relationships"><Relationship Id="rId1" Type="http://schemas.openxmlformats.org/officeDocument/2006/relationships/chart" Target="../charts/chart10.xml"/><Relationship Id="rId2" Type="http://schemas.openxmlformats.org/officeDocument/2006/relationships/chart" Target="../charts/chart11.xml"/><Relationship Id="rId3" Type="http://schemas.openxmlformats.org/officeDocument/2006/relationships/chart" Target="../charts/chart12.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1552680</xdr:colOff>
      <xdr:row>0</xdr:row>
      <xdr:rowOff>95400</xdr:rowOff>
    </xdr:from>
    <xdr:to>
      <xdr:col>0</xdr:col>
      <xdr:colOff>3637800</xdr:colOff>
      <xdr:row>8</xdr:row>
      <xdr:rowOff>9000</xdr:rowOff>
    </xdr:to>
    <xdr:pic>
      <xdr:nvPicPr>
        <xdr:cNvPr id="1" name="image3.png"/>
        <xdr:cNvPicPr/>
      </xdr:nvPicPr>
      <xdr:blipFill>
        <a:blip r:embed="rId1"/>
        <a:stretch/>
      </xdr:blipFill>
      <xdr:spPr>
        <a:xfrm>
          <a:off x="1552680" y="95400"/>
          <a:ext cx="2085120" cy="2075760"/>
        </a:xfrm>
        <a:prstGeom prst="rect">
          <a:avLst/>
        </a:prstGeom>
        <a:noFill/>
        <a:ln w="0">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17</xdr:col>
      <xdr:colOff>371160</xdr:colOff>
      <xdr:row>36</xdr:row>
      <xdr:rowOff>145080</xdr:rowOff>
    </xdr:to>
    <xdr:graphicFrame>
      <xdr:nvGraphicFramePr>
        <xdr:cNvPr id="14" name="Chart 9"/>
        <xdr:cNvGraphicFramePr/>
      </xdr:nvGraphicFramePr>
      <xdr:xfrm>
        <a:off x="0" y="0"/>
        <a:ext cx="9557640" cy="59745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17</xdr:col>
      <xdr:colOff>369000</xdr:colOff>
      <xdr:row>42</xdr:row>
      <xdr:rowOff>56880</xdr:rowOff>
    </xdr:to>
    <xdr:graphicFrame>
      <xdr:nvGraphicFramePr>
        <xdr:cNvPr id="15" name="Chart 10"/>
        <xdr:cNvGraphicFramePr/>
      </xdr:nvGraphicFramePr>
      <xdr:xfrm>
        <a:off x="0" y="0"/>
        <a:ext cx="9555480" cy="6857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201</xdr:row>
      <xdr:rowOff>0</xdr:rowOff>
    </xdr:from>
    <xdr:to>
      <xdr:col>1</xdr:col>
      <xdr:colOff>46800</xdr:colOff>
      <xdr:row>202</xdr:row>
      <xdr:rowOff>1800</xdr:rowOff>
    </xdr:to>
    <xdr:pic>
      <xdr:nvPicPr>
        <xdr:cNvPr id="16" name="image1.gif"/>
        <xdr:cNvPicPr/>
      </xdr:nvPicPr>
      <xdr:blipFill>
        <a:blip r:embed="rId1"/>
        <a:stretch/>
      </xdr:blipFill>
      <xdr:spPr>
        <a:xfrm>
          <a:off x="1419840" y="39098880"/>
          <a:ext cx="46800" cy="192240"/>
        </a:xfrm>
        <a:prstGeom prst="rect">
          <a:avLst/>
        </a:prstGeom>
        <a:noFill/>
        <a:ln w="0">
          <a:noFill/>
        </a:ln>
      </xdr:spPr>
    </xdr:pic>
    <xdr:clientData/>
  </xdr:twoCellAnchor>
  <xdr:twoCellAnchor editAs="oneCell">
    <xdr:from>
      <xdr:col>1</xdr:col>
      <xdr:colOff>0</xdr:colOff>
      <xdr:row>206</xdr:row>
      <xdr:rowOff>0</xdr:rowOff>
    </xdr:from>
    <xdr:to>
      <xdr:col>1</xdr:col>
      <xdr:colOff>46800</xdr:colOff>
      <xdr:row>207</xdr:row>
      <xdr:rowOff>1800</xdr:rowOff>
    </xdr:to>
    <xdr:pic>
      <xdr:nvPicPr>
        <xdr:cNvPr id="17" name="image1.gif"/>
        <xdr:cNvPicPr/>
      </xdr:nvPicPr>
      <xdr:blipFill>
        <a:blip r:embed="rId2"/>
        <a:stretch/>
      </xdr:blipFill>
      <xdr:spPr>
        <a:xfrm>
          <a:off x="1419840" y="40051440"/>
          <a:ext cx="46800" cy="192240"/>
        </a:xfrm>
        <a:prstGeom prst="rect">
          <a:avLst/>
        </a:prstGeom>
        <a:noFill/>
        <a:ln w="0">
          <a:noFill/>
        </a:ln>
      </xdr:spPr>
    </xdr:pic>
    <xdr:clientData/>
  </xdr:twoCellAnchor>
  <xdr:twoCellAnchor editAs="oneCell">
    <xdr:from>
      <xdr:col>1</xdr:col>
      <xdr:colOff>0</xdr:colOff>
      <xdr:row>209</xdr:row>
      <xdr:rowOff>0</xdr:rowOff>
    </xdr:from>
    <xdr:to>
      <xdr:col>1</xdr:col>
      <xdr:colOff>46800</xdr:colOff>
      <xdr:row>210</xdr:row>
      <xdr:rowOff>1800</xdr:rowOff>
    </xdr:to>
    <xdr:pic>
      <xdr:nvPicPr>
        <xdr:cNvPr id="18" name="image1.gif"/>
        <xdr:cNvPicPr/>
      </xdr:nvPicPr>
      <xdr:blipFill>
        <a:blip r:embed="rId3"/>
        <a:stretch/>
      </xdr:blipFill>
      <xdr:spPr>
        <a:xfrm>
          <a:off x="1419840" y="40622760"/>
          <a:ext cx="46800" cy="192240"/>
        </a:xfrm>
        <a:prstGeom prst="rect">
          <a:avLst/>
        </a:prstGeom>
        <a:noFill/>
        <a:ln w="0">
          <a:noFill/>
        </a:ln>
      </xdr:spPr>
    </xdr:pic>
    <xdr:clientData/>
  </xdr:twoCellAnchor>
  <xdr:twoCellAnchor editAs="oneCell">
    <xdr:from>
      <xdr:col>1</xdr:col>
      <xdr:colOff>0</xdr:colOff>
      <xdr:row>221</xdr:row>
      <xdr:rowOff>0</xdr:rowOff>
    </xdr:from>
    <xdr:to>
      <xdr:col>1</xdr:col>
      <xdr:colOff>46800</xdr:colOff>
      <xdr:row>222</xdr:row>
      <xdr:rowOff>1800</xdr:rowOff>
    </xdr:to>
    <xdr:pic>
      <xdr:nvPicPr>
        <xdr:cNvPr id="19" name="image1.gif"/>
        <xdr:cNvPicPr/>
      </xdr:nvPicPr>
      <xdr:blipFill>
        <a:blip r:embed="rId4"/>
        <a:stretch/>
      </xdr:blipFill>
      <xdr:spPr>
        <a:xfrm>
          <a:off x="1419840" y="42908760"/>
          <a:ext cx="46800" cy="192240"/>
        </a:xfrm>
        <a:prstGeom prst="rect">
          <a:avLst/>
        </a:prstGeom>
        <a:noFill/>
        <a:ln w="0">
          <a:noFill/>
        </a:ln>
      </xdr:spPr>
    </xdr:pic>
    <xdr:clientData/>
  </xdr:twoCellAnchor>
  <xdr:twoCellAnchor editAs="oneCell">
    <xdr:from>
      <xdr:col>1</xdr:col>
      <xdr:colOff>0</xdr:colOff>
      <xdr:row>200</xdr:row>
      <xdr:rowOff>0</xdr:rowOff>
    </xdr:from>
    <xdr:to>
      <xdr:col>1</xdr:col>
      <xdr:colOff>46800</xdr:colOff>
      <xdr:row>201</xdr:row>
      <xdr:rowOff>5040</xdr:rowOff>
    </xdr:to>
    <xdr:pic>
      <xdr:nvPicPr>
        <xdr:cNvPr id="20" name="image1.gif"/>
        <xdr:cNvPicPr/>
      </xdr:nvPicPr>
      <xdr:blipFill>
        <a:blip r:embed="rId5"/>
        <a:stretch/>
      </xdr:blipFill>
      <xdr:spPr>
        <a:xfrm>
          <a:off x="1419840" y="38908440"/>
          <a:ext cx="46800" cy="195480"/>
        </a:xfrm>
        <a:prstGeom prst="rect">
          <a:avLst/>
        </a:prstGeom>
        <a:noFill/>
        <a:ln w="0">
          <a:noFill/>
        </a:ln>
      </xdr:spPr>
    </xdr:pic>
    <xdr:clientData/>
  </xdr:twoCellAnchor>
  <xdr:twoCellAnchor editAs="oneCell">
    <xdr:from>
      <xdr:col>1</xdr:col>
      <xdr:colOff>0</xdr:colOff>
      <xdr:row>205</xdr:row>
      <xdr:rowOff>0</xdr:rowOff>
    </xdr:from>
    <xdr:to>
      <xdr:col>1</xdr:col>
      <xdr:colOff>46800</xdr:colOff>
      <xdr:row>206</xdr:row>
      <xdr:rowOff>5040</xdr:rowOff>
    </xdr:to>
    <xdr:pic>
      <xdr:nvPicPr>
        <xdr:cNvPr id="21" name="image1.gif"/>
        <xdr:cNvPicPr/>
      </xdr:nvPicPr>
      <xdr:blipFill>
        <a:blip r:embed="rId6"/>
        <a:stretch/>
      </xdr:blipFill>
      <xdr:spPr>
        <a:xfrm>
          <a:off x="1419840" y="39861000"/>
          <a:ext cx="46800" cy="195480"/>
        </a:xfrm>
        <a:prstGeom prst="rect">
          <a:avLst/>
        </a:prstGeom>
        <a:noFill/>
        <a:ln w="0">
          <a:noFill/>
        </a:ln>
      </xdr:spPr>
    </xdr:pic>
    <xdr:clientData/>
  </xdr:twoCellAnchor>
  <xdr:twoCellAnchor editAs="oneCell">
    <xdr:from>
      <xdr:col>1</xdr:col>
      <xdr:colOff>0</xdr:colOff>
      <xdr:row>208</xdr:row>
      <xdr:rowOff>0</xdr:rowOff>
    </xdr:from>
    <xdr:to>
      <xdr:col>1</xdr:col>
      <xdr:colOff>46800</xdr:colOff>
      <xdr:row>209</xdr:row>
      <xdr:rowOff>5040</xdr:rowOff>
    </xdr:to>
    <xdr:pic>
      <xdr:nvPicPr>
        <xdr:cNvPr id="22" name="image1.gif"/>
        <xdr:cNvPicPr/>
      </xdr:nvPicPr>
      <xdr:blipFill>
        <a:blip r:embed="rId7"/>
        <a:stretch/>
      </xdr:blipFill>
      <xdr:spPr>
        <a:xfrm>
          <a:off x="1419840" y="40432320"/>
          <a:ext cx="46800" cy="195480"/>
        </a:xfrm>
        <a:prstGeom prst="rect">
          <a:avLst/>
        </a:prstGeom>
        <a:noFill/>
        <a:ln w="0">
          <a:noFill/>
        </a:ln>
      </xdr:spPr>
    </xdr:pic>
    <xdr:clientData/>
  </xdr:twoCellAnchor>
  <xdr:twoCellAnchor editAs="oneCell">
    <xdr:from>
      <xdr:col>1</xdr:col>
      <xdr:colOff>0</xdr:colOff>
      <xdr:row>220</xdr:row>
      <xdr:rowOff>0</xdr:rowOff>
    </xdr:from>
    <xdr:to>
      <xdr:col>1</xdr:col>
      <xdr:colOff>46800</xdr:colOff>
      <xdr:row>221</xdr:row>
      <xdr:rowOff>5040</xdr:rowOff>
    </xdr:to>
    <xdr:pic>
      <xdr:nvPicPr>
        <xdr:cNvPr id="23" name="image1.gif"/>
        <xdr:cNvPicPr/>
      </xdr:nvPicPr>
      <xdr:blipFill>
        <a:blip r:embed="rId8"/>
        <a:stretch/>
      </xdr:blipFill>
      <xdr:spPr>
        <a:xfrm>
          <a:off x="1419840" y="42718320"/>
          <a:ext cx="46800" cy="195480"/>
        </a:xfrm>
        <a:prstGeom prst="rect">
          <a:avLst/>
        </a:prstGeom>
        <a:noFill/>
        <a:ln w="0">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200</xdr:row>
      <xdr:rowOff>0</xdr:rowOff>
    </xdr:from>
    <xdr:to>
      <xdr:col>1</xdr:col>
      <xdr:colOff>46800</xdr:colOff>
      <xdr:row>200</xdr:row>
      <xdr:rowOff>189720</xdr:rowOff>
    </xdr:to>
    <xdr:pic>
      <xdr:nvPicPr>
        <xdr:cNvPr id="24" name="image1.gif"/>
        <xdr:cNvPicPr/>
      </xdr:nvPicPr>
      <xdr:blipFill>
        <a:blip r:embed="rId1"/>
        <a:stretch/>
      </xdr:blipFill>
      <xdr:spPr>
        <a:xfrm>
          <a:off x="1035000" y="39732480"/>
          <a:ext cx="46800" cy="189720"/>
        </a:xfrm>
        <a:prstGeom prst="rect">
          <a:avLst/>
        </a:prstGeom>
        <a:noFill/>
        <a:ln w="0">
          <a:noFill/>
        </a:ln>
      </xdr:spPr>
    </xdr:pic>
    <xdr:clientData/>
  </xdr:twoCellAnchor>
  <xdr:twoCellAnchor editAs="oneCell">
    <xdr:from>
      <xdr:col>1</xdr:col>
      <xdr:colOff>0</xdr:colOff>
      <xdr:row>201</xdr:row>
      <xdr:rowOff>0</xdr:rowOff>
    </xdr:from>
    <xdr:to>
      <xdr:col>1</xdr:col>
      <xdr:colOff>46800</xdr:colOff>
      <xdr:row>201</xdr:row>
      <xdr:rowOff>189720</xdr:rowOff>
    </xdr:to>
    <xdr:pic>
      <xdr:nvPicPr>
        <xdr:cNvPr id="25" name="image1.gif"/>
        <xdr:cNvPicPr/>
      </xdr:nvPicPr>
      <xdr:blipFill>
        <a:blip r:embed="rId2"/>
        <a:stretch/>
      </xdr:blipFill>
      <xdr:spPr>
        <a:xfrm>
          <a:off x="1035000" y="39922920"/>
          <a:ext cx="46800" cy="189720"/>
        </a:xfrm>
        <a:prstGeom prst="rect">
          <a:avLst/>
        </a:prstGeom>
        <a:noFill/>
        <a:ln w="0">
          <a:noFill/>
        </a:ln>
      </xdr:spPr>
    </xdr:pic>
    <xdr:clientData/>
  </xdr:twoCellAnchor>
  <xdr:twoCellAnchor editAs="oneCell">
    <xdr:from>
      <xdr:col>1</xdr:col>
      <xdr:colOff>0</xdr:colOff>
      <xdr:row>205</xdr:row>
      <xdr:rowOff>0</xdr:rowOff>
    </xdr:from>
    <xdr:to>
      <xdr:col>1</xdr:col>
      <xdr:colOff>46800</xdr:colOff>
      <xdr:row>205</xdr:row>
      <xdr:rowOff>189720</xdr:rowOff>
    </xdr:to>
    <xdr:pic>
      <xdr:nvPicPr>
        <xdr:cNvPr id="26" name="image1.gif"/>
        <xdr:cNvPicPr/>
      </xdr:nvPicPr>
      <xdr:blipFill>
        <a:blip r:embed="rId3"/>
        <a:stretch/>
      </xdr:blipFill>
      <xdr:spPr>
        <a:xfrm>
          <a:off x="1035000" y="40685040"/>
          <a:ext cx="46800" cy="189720"/>
        </a:xfrm>
        <a:prstGeom prst="rect">
          <a:avLst/>
        </a:prstGeom>
        <a:noFill/>
        <a:ln w="0">
          <a:noFill/>
        </a:ln>
      </xdr:spPr>
    </xdr:pic>
    <xdr:clientData/>
  </xdr:twoCellAnchor>
  <xdr:twoCellAnchor editAs="oneCell">
    <xdr:from>
      <xdr:col>1</xdr:col>
      <xdr:colOff>0</xdr:colOff>
      <xdr:row>206</xdr:row>
      <xdr:rowOff>0</xdr:rowOff>
    </xdr:from>
    <xdr:to>
      <xdr:col>1</xdr:col>
      <xdr:colOff>46800</xdr:colOff>
      <xdr:row>206</xdr:row>
      <xdr:rowOff>189720</xdr:rowOff>
    </xdr:to>
    <xdr:pic>
      <xdr:nvPicPr>
        <xdr:cNvPr id="27" name="image1.gif"/>
        <xdr:cNvPicPr/>
      </xdr:nvPicPr>
      <xdr:blipFill>
        <a:blip r:embed="rId4"/>
        <a:stretch/>
      </xdr:blipFill>
      <xdr:spPr>
        <a:xfrm>
          <a:off x="1035000" y="40875480"/>
          <a:ext cx="46800" cy="189720"/>
        </a:xfrm>
        <a:prstGeom prst="rect">
          <a:avLst/>
        </a:prstGeom>
        <a:noFill/>
        <a:ln w="0">
          <a:noFill/>
        </a:ln>
      </xdr:spPr>
    </xdr:pic>
    <xdr:clientData/>
  </xdr:twoCellAnchor>
  <xdr:twoCellAnchor editAs="oneCell">
    <xdr:from>
      <xdr:col>1</xdr:col>
      <xdr:colOff>0</xdr:colOff>
      <xdr:row>208</xdr:row>
      <xdr:rowOff>0</xdr:rowOff>
    </xdr:from>
    <xdr:to>
      <xdr:col>1</xdr:col>
      <xdr:colOff>46800</xdr:colOff>
      <xdr:row>208</xdr:row>
      <xdr:rowOff>189720</xdr:rowOff>
    </xdr:to>
    <xdr:pic>
      <xdr:nvPicPr>
        <xdr:cNvPr id="28" name="image1.gif"/>
        <xdr:cNvPicPr/>
      </xdr:nvPicPr>
      <xdr:blipFill>
        <a:blip r:embed="rId5"/>
        <a:stretch/>
      </xdr:blipFill>
      <xdr:spPr>
        <a:xfrm>
          <a:off x="1035000" y="41256720"/>
          <a:ext cx="46800" cy="189720"/>
        </a:xfrm>
        <a:prstGeom prst="rect">
          <a:avLst/>
        </a:prstGeom>
        <a:noFill/>
        <a:ln w="0">
          <a:noFill/>
        </a:ln>
      </xdr:spPr>
    </xdr:pic>
    <xdr:clientData/>
  </xdr:twoCellAnchor>
  <xdr:twoCellAnchor editAs="oneCell">
    <xdr:from>
      <xdr:col>1</xdr:col>
      <xdr:colOff>0</xdr:colOff>
      <xdr:row>209</xdr:row>
      <xdr:rowOff>0</xdr:rowOff>
    </xdr:from>
    <xdr:to>
      <xdr:col>1</xdr:col>
      <xdr:colOff>46800</xdr:colOff>
      <xdr:row>209</xdr:row>
      <xdr:rowOff>189720</xdr:rowOff>
    </xdr:to>
    <xdr:pic>
      <xdr:nvPicPr>
        <xdr:cNvPr id="29" name="image1.gif"/>
        <xdr:cNvPicPr/>
      </xdr:nvPicPr>
      <xdr:blipFill>
        <a:blip r:embed="rId6"/>
        <a:stretch/>
      </xdr:blipFill>
      <xdr:spPr>
        <a:xfrm>
          <a:off x="1035000" y="41447160"/>
          <a:ext cx="46800" cy="189720"/>
        </a:xfrm>
        <a:prstGeom prst="rect">
          <a:avLst/>
        </a:prstGeom>
        <a:noFill/>
        <a:ln w="0">
          <a:noFill/>
        </a:ln>
      </xdr:spPr>
    </xdr:pic>
    <xdr:clientData/>
  </xdr:twoCellAnchor>
  <xdr:twoCellAnchor editAs="oneCell">
    <xdr:from>
      <xdr:col>1</xdr:col>
      <xdr:colOff>0</xdr:colOff>
      <xdr:row>214</xdr:row>
      <xdr:rowOff>0</xdr:rowOff>
    </xdr:from>
    <xdr:to>
      <xdr:col>1</xdr:col>
      <xdr:colOff>46800</xdr:colOff>
      <xdr:row>214</xdr:row>
      <xdr:rowOff>189720</xdr:rowOff>
    </xdr:to>
    <xdr:pic>
      <xdr:nvPicPr>
        <xdr:cNvPr id="30" name="image1.gif"/>
        <xdr:cNvPicPr/>
      </xdr:nvPicPr>
      <xdr:blipFill>
        <a:blip r:embed="rId7"/>
        <a:stretch/>
      </xdr:blipFill>
      <xdr:spPr>
        <a:xfrm>
          <a:off x="1035000" y="42399720"/>
          <a:ext cx="46800" cy="189720"/>
        </a:xfrm>
        <a:prstGeom prst="rect">
          <a:avLst/>
        </a:prstGeom>
        <a:noFill/>
        <a:ln w="0">
          <a:noFill/>
        </a:ln>
      </xdr:spPr>
    </xdr:pic>
    <xdr:clientData/>
  </xdr:twoCellAnchor>
  <xdr:twoCellAnchor editAs="oneCell">
    <xdr:from>
      <xdr:col>1</xdr:col>
      <xdr:colOff>0</xdr:colOff>
      <xdr:row>215</xdr:row>
      <xdr:rowOff>0</xdr:rowOff>
    </xdr:from>
    <xdr:to>
      <xdr:col>1</xdr:col>
      <xdr:colOff>46800</xdr:colOff>
      <xdr:row>215</xdr:row>
      <xdr:rowOff>189720</xdr:rowOff>
    </xdr:to>
    <xdr:pic>
      <xdr:nvPicPr>
        <xdr:cNvPr id="31" name="image1.gif"/>
        <xdr:cNvPicPr/>
      </xdr:nvPicPr>
      <xdr:blipFill>
        <a:blip r:embed="rId8"/>
        <a:stretch/>
      </xdr:blipFill>
      <xdr:spPr>
        <a:xfrm>
          <a:off x="1035000" y="42590160"/>
          <a:ext cx="46800" cy="189720"/>
        </a:xfrm>
        <a:prstGeom prst="rect">
          <a:avLst/>
        </a:prstGeom>
        <a:noFill/>
        <a:ln w="0">
          <a:noFill/>
        </a:ln>
      </xdr:spPr>
    </xdr:pic>
    <xdr:clientData/>
  </xdr:twoCellAnchor>
  <xdr:twoCellAnchor editAs="oneCell">
    <xdr:from>
      <xdr:col>1</xdr:col>
      <xdr:colOff>0</xdr:colOff>
      <xdr:row>199</xdr:row>
      <xdr:rowOff>0</xdr:rowOff>
    </xdr:from>
    <xdr:to>
      <xdr:col>1</xdr:col>
      <xdr:colOff>46800</xdr:colOff>
      <xdr:row>199</xdr:row>
      <xdr:rowOff>189720</xdr:rowOff>
    </xdr:to>
    <xdr:pic>
      <xdr:nvPicPr>
        <xdr:cNvPr id="32" name="image1.gif"/>
        <xdr:cNvPicPr/>
      </xdr:nvPicPr>
      <xdr:blipFill>
        <a:blip r:embed="rId9"/>
        <a:stretch/>
      </xdr:blipFill>
      <xdr:spPr>
        <a:xfrm>
          <a:off x="1035000" y="39542040"/>
          <a:ext cx="46800" cy="189720"/>
        </a:xfrm>
        <a:prstGeom prst="rect">
          <a:avLst/>
        </a:prstGeom>
        <a:noFill/>
        <a:ln w="0">
          <a:noFill/>
        </a:ln>
      </xdr:spPr>
    </xdr:pic>
    <xdr:clientData/>
  </xdr:twoCellAnchor>
  <xdr:twoCellAnchor editAs="oneCell">
    <xdr:from>
      <xdr:col>1</xdr:col>
      <xdr:colOff>0</xdr:colOff>
      <xdr:row>200</xdr:row>
      <xdr:rowOff>0</xdr:rowOff>
    </xdr:from>
    <xdr:to>
      <xdr:col>1</xdr:col>
      <xdr:colOff>46800</xdr:colOff>
      <xdr:row>200</xdr:row>
      <xdr:rowOff>189720</xdr:rowOff>
    </xdr:to>
    <xdr:pic>
      <xdr:nvPicPr>
        <xdr:cNvPr id="33" name="image1.gif"/>
        <xdr:cNvPicPr/>
      </xdr:nvPicPr>
      <xdr:blipFill>
        <a:blip r:embed="rId10"/>
        <a:stretch/>
      </xdr:blipFill>
      <xdr:spPr>
        <a:xfrm>
          <a:off x="1035000" y="39732480"/>
          <a:ext cx="46800" cy="189720"/>
        </a:xfrm>
        <a:prstGeom prst="rect">
          <a:avLst/>
        </a:prstGeom>
        <a:noFill/>
        <a:ln w="0">
          <a:noFill/>
        </a:ln>
      </xdr:spPr>
    </xdr:pic>
    <xdr:clientData/>
  </xdr:twoCellAnchor>
  <xdr:twoCellAnchor editAs="oneCell">
    <xdr:from>
      <xdr:col>1</xdr:col>
      <xdr:colOff>0</xdr:colOff>
      <xdr:row>204</xdr:row>
      <xdr:rowOff>0</xdr:rowOff>
    </xdr:from>
    <xdr:to>
      <xdr:col>1</xdr:col>
      <xdr:colOff>46800</xdr:colOff>
      <xdr:row>204</xdr:row>
      <xdr:rowOff>189720</xdr:rowOff>
    </xdr:to>
    <xdr:pic>
      <xdr:nvPicPr>
        <xdr:cNvPr id="34" name="image1.gif"/>
        <xdr:cNvPicPr/>
      </xdr:nvPicPr>
      <xdr:blipFill>
        <a:blip r:embed="rId11"/>
        <a:stretch/>
      </xdr:blipFill>
      <xdr:spPr>
        <a:xfrm>
          <a:off x="1035000" y="40494600"/>
          <a:ext cx="46800" cy="189720"/>
        </a:xfrm>
        <a:prstGeom prst="rect">
          <a:avLst/>
        </a:prstGeom>
        <a:noFill/>
        <a:ln w="0">
          <a:noFill/>
        </a:ln>
      </xdr:spPr>
    </xdr:pic>
    <xdr:clientData/>
  </xdr:twoCellAnchor>
  <xdr:twoCellAnchor editAs="oneCell">
    <xdr:from>
      <xdr:col>1</xdr:col>
      <xdr:colOff>0</xdr:colOff>
      <xdr:row>205</xdr:row>
      <xdr:rowOff>0</xdr:rowOff>
    </xdr:from>
    <xdr:to>
      <xdr:col>1</xdr:col>
      <xdr:colOff>46800</xdr:colOff>
      <xdr:row>205</xdr:row>
      <xdr:rowOff>189720</xdr:rowOff>
    </xdr:to>
    <xdr:pic>
      <xdr:nvPicPr>
        <xdr:cNvPr id="35" name="image1.gif"/>
        <xdr:cNvPicPr/>
      </xdr:nvPicPr>
      <xdr:blipFill>
        <a:blip r:embed="rId12"/>
        <a:stretch/>
      </xdr:blipFill>
      <xdr:spPr>
        <a:xfrm>
          <a:off x="1035000" y="40685040"/>
          <a:ext cx="46800" cy="189720"/>
        </a:xfrm>
        <a:prstGeom prst="rect">
          <a:avLst/>
        </a:prstGeom>
        <a:noFill/>
        <a:ln w="0">
          <a:noFill/>
        </a:ln>
      </xdr:spPr>
    </xdr:pic>
    <xdr:clientData/>
  </xdr:twoCellAnchor>
  <xdr:twoCellAnchor editAs="oneCell">
    <xdr:from>
      <xdr:col>1</xdr:col>
      <xdr:colOff>0</xdr:colOff>
      <xdr:row>207</xdr:row>
      <xdr:rowOff>0</xdr:rowOff>
    </xdr:from>
    <xdr:to>
      <xdr:col>1</xdr:col>
      <xdr:colOff>46800</xdr:colOff>
      <xdr:row>207</xdr:row>
      <xdr:rowOff>189720</xdr:rowOff>
    </xdr:to>
    <xdr:pic>
      <xdr:nvPicPr>
        <xdr:cNvPr id="36" name="image1.gif"/>
        <xdr:cNvPicPr/>
      </xdr:nvPicPr>
      <xdr:blipFill>
        <a:blip r:embed="rId13"/>
        <a:stretch/>
      </xdr:blipFill>
      <xdr:spPr>
        <a:xfrm>
          <a:off x="1035000" y="41065920"/>
          <a:ext cx="46800" cy="189720"/>
        </a:xfrm>
        <a:prstGeom prst="rect">
          <a:avLst/>
        </a:prstGeom>
        <a:noFill/>
        <a:ln w="0">
          <a:noFill/>
        </a:ln>
      </xdr:spPr>
    </xdr:pic>
    <xdr:clientData/>
  </xdr:twoCellAnchor>
  <xdr:twoCellAnchor editAs="oneCell">
    <xdr:from>
      <xdr:col>1</xdr:col>
      <xdr:colOff>0</xdr:colOff>
      <xdr:row>208</xdr:row>
      <xdr:rowOff>0</xdr:rowOff>
    </xdr:from>
    <xdr:to>
      <xdr:col>1</xdr:col>
      <xdr:colOff>46800</xdr:colOff>
      <xdr:row>208</xdr:row>
      <xdr:rowOff>189720</xdr:rowOff>
    </xdr:to>
    <xdr:pic>
      <xdr:nvPicPr>
        <xdr:cNvPr id="37" name="image1.gif"/>
        <xdr:cNvPicPr/>
      </xdr:nvPicPr>
      <xdr:blipFill>
        <a:blip r:embed="rId14"/>
        <a:stretch/>
      </xdr:blipFill>
      <xdr:spPr>
        <a:xfrm>
          <a:off x="1035000" y="41256720"/>
          <a:ext cx="46800" cy="189720"/>
        </a:xfrm>
        <a:prstGeom prst="rect">
          <a:avLst/>
        </a:prstGeom>
        <a:noFill/>
        <a:ln w="0">
          <a:noFill/>
        </a:ln>
      </xdr:spPr>
    </xdr:pic>
    <xdr:clientData/>
  </xdr:twoCellAnchor>
  <xdr:twoCellAnchor editAs="oneCell">
    <xdr:from>
      <xdr:col>1</xdr:col>
      <xdr:colOff>0</xdr:colOff>
      <xdr:row>213</xdr:row>
      <xdr:rowOff>0</xdr:rowOff>
    </xdr:from>
    <xdr:to>
      <xdr:col>1</xdr:col>
      <xdr:colOff>46800</xdr:colOff>
      <xdr:row>213</xdr:row>
      <xdr:rowOff>189720</xdr:rowOff>
    </xdr:to>
    <xdr:pic>
      <xdr:nvPicPr>
        <xdr:cNvPr id="38" name="image1.gif"/>
        <xdr:cNvPicPr/>
      </xdr:nvPicPr>
      <xdr:blipFill>
        <a:blip r:embed="rId15"/>
        <a:stretch/>
      </xdr:blipFill>
      <xdr:spPr>
        <a:xfrm>
          <a:off x="1035000" y="42208920"/>
          <a:ext cx="46800" cy="189720"/>
        </a:xfrm>
        <a:prstGeom prst="rect">
          <a:avLst/>
        </a:prstGeom>
        <a:noFill/>
        <a:ln w="0">
          <a:noFill/>
        </a:ln>
      </xdr:spPr>
    </xdr:pic>
    <xdr:clientData/>
  </xdr:twoCellAnchor>
  <xdr:twoCellAnchor editAs="oneCell">
    <xdr:from>
      <xdr:col>1</xdr:col>
      <xdr:colOff>0</xdr:colOff>
      <xdr:row>214</xdr:row>
      <xdr:rowOff>0</xdr:rowOff>
    </xdr:from>
    <xdr:to>
      <xdr:col>1</xdr:col>
      <xdr:colOff>46800</xdr:colOff>
      <xdr:row>214</xdr:row>
      <xdr:rowOff>189720</xdr:rowOff>
    </xdr:to>
    <xdr:pic>
      <xdr:nvPicPr>
        <xdr:cNvPr id="39" name="image1.gif"/>
        <xdr:cNvPicPr/>
      </xdr:nvPicPr>
      <xdr:blipFill>
        <a:blip r:embed="rId16"/>
        <a:stretch/>
      </xdr:blipFill>
      <xdr:spPr>
        <a:xfrm>
          <a:off x="1035000" y="42399720"/>
          <a:ext cx="46800" cy="189720"/>
        </a:xfrm>
        <a:prstGeom prst="rect">
          <a:avLst/>
        </a:prstGeom>
        <a:noFill/>
        <a:ln w="0">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1</xdr:col>
      <xdr:colOff>37440</xdr:colOff>
      <xdr:row>1</xdr:row>
      <xdr:rowOff>151560</xdr:rowOff>
    </xdr:to>
    <xdr:pic>
      <xdr:nvPicPr>
        <xdr:cNvPr id="40" name="image1.gif" descr="http://sistemas.agricultura.gov.br/infra_css/imagens/espaco.gif"/>
        <xdr:cNvPicPr/>
      </xdr:nvPicPr>
      <xdr:blipFill>
        <a:blip r:embed="rId1"/>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41" name="image1.gif" descr="http://sistemas.agricultura.gov.br/infra_css/imagens/espaco.gif"/>
        <xdr:cNvPicPr/>
      </xdr:nvPicPr>
      <xdr:blipFill>
        <a:blip r:embed="rId2"/>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42" name="image1.gif" descr="http://sistemas.agricultura.gov.br/infra_css/imagens/espaco.gif"/>
        <xdr:cNvPicPr/>
      </xdr:nvPicPr>
      <xdr:blipFill>
        <a:blip r:embed="rId3"/>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43" name="image1.gif" descr="http://sistemas.agricultura.gov.br/infra_css/imagens/espaco.gif"/>
        <xdr:cNvPicPr/>
      </xdr:nvPicPr>
      <xdr:blipFill>
        <a:blip r:embed="rId4"/>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44" name="image1.gif" descr="http://sistemas.agricultura.gov.br/infra_css/imagens/espaco.gif"/>
        <xdr:cNvPicPr/>
      </xdr:nvPicPr>
      <xdr:blipFill>
        <a:blip r:embed="rId5"/>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45" name="image1.gif" descr="http://sistemas.agricultura.gov.br/infra_css/imagens/espaco.gif"/>
        <xdr:cNvPicPr/>
      </xdr:nvPicPr>
      <xdr:blipFill>
        <a:blip r:embed="rId6"/>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46" name="image1.gif" descr="http://sistemas.agricultura.gov.br/infra_css/imagens/espaco.gif"/>
        <xdr:cNvPicPr/>
      </xdr:nvPicPr>
      <xdr:blipFill>
        <a:blip r:embed="rId7"/>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47" name="image1.gif" descr="http://sistemas.agricultura.gov.br/infra_css/imagens/espaco.gif"/>
        <xdr:cNvPicPr/>
      </xdr:nvPicPr>
      <xdr:blipFill>
        <a:blip r:embed="rId8"/>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48" name="image1.gif" descr="http://sistemas.agricultura.gov.br/infra_css/imagens/espaco.gif"/>
        <xdr:cNvPicPr/>
      </xdr:nvPicPr>
      <xdr:blipFill>
        <a:blip r:embed="rId9"/>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49" name="image1.gif" descr="http://sistemas.agricultura.gov.br/infra_css/imagens/espaco.gif"/>
        <xdr:cNvPicPr/>
      </xdr:nvPicPr>
      <xdr:blipFill>
        <a:blip r:embed="rId10"/>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50" name="image1.gif" descr="http://sistemas.agricultura.gov.br/infra_css/imagens/espaco.gif"/>
        <xdr:cNvPicPr/>
      </xdr:nvPicPr>
      <xdr:blipFill>
        <a:blip r:embed="rId11"/>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51" name="image1.gif" descr="http://sistemas.agricultura.gov.br/infra_css/imagens/espaco.gif"/>
        <xdr:cNvPicPr/>
      </xdr:nvPicPr>
      <xdr:blipFill>
        <a:blip r:embed="rId12"/>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52" name="image1.gif" descr="http://sistemas.agricultura.gov.br/infra_css/imagens/espaco.gif"/>
        <xdr:cNvPicPr/>
      </xdr:nvPicPr>
      <xdr:blipFill>
        <a:blip r:embed="rId13"/>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53" name="image1.gif" descr="http://sistemas.agricultura.gov.br/infra_css/imagens/espaco.gif"/>
        <xdr:cNvPicPr/>
      </xdr:nvPicPr>
      <xdr:blipFill>
        <a:blip r:embed="rId14"/>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54" name="image1.gif" descr="http://sistemas.agricultura.gov.br/infra_css/imagens/espaco.gif"/>
        <xdr:cNvPicPr/>
      </xdr:nvPicPr>
      <xdr:blipFill>
        <a:blip r:embed="rId15"/>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55" name="image1.gif" descr="http://sistemas.agricultura.gov.br/infra_css/imagens/espaco.gif"/>
        <xdr:cNvPicPr/>
      </xdr:nvPicPr>
      <xdr:blipFill>
        <a:blip r:embed="rId16"/>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56" name="image1.gif" descr="http://sistemas.agricultura.gov.br/infra_css/imagens/espaco.gif"/>
        <xdr:cNvPicPr/>
      </xdr:nvPicPr>
      <xdr:blipFill>
        <a:blip r:embed="rId17"/>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57" name="image1.gif" descr="http://sistemas.agricultura.gov.br/infra_css/imagens/espaco.gif"/>
        <xdr:cNvPicPr/>
      </xdr:nvPicPr>
      <xdr:blipFill>
        <a:blip r:embed="rId18"/>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58" name="image1.gif" descr="http://sistemas.agricultura.gov.br/infra_css/imagens/espaco.gif"/>
        <xdr:cNvPicPr/>
      </xdr:nvPicPr>
      <xdr:blipFill>
        <a:blip r:embed="rId19"/>
        <a:stretch/>
      </xdr:blipFill>
      <xdr:spPr>
        <a:xfrm>
          <a:off x="1181880" y="162000"/>
          <a:ext cx="37440" cy="151560"/>
        </a:xfrm>
        <a:prstGeom prst="rect">
          <a:avLst/>
        </a:prstGeom>
        <a:noFill/>
        <a:ln w="0">
          <a:noFill/>
        </a:ln>
      </xdr:spPr>
    </xdr:pic>
    <xdr:clientData/>
  </xdr:twoCellAnchor>
  <xdr:twoCellAnchor editAs="oneCell">
    <xdr:from>
      <xdr:col>17</xdr:col>
      <xdr:colOff>9360</xdr:colOff>
      <xdr:row>1</xdr:row>
      <xdr:rowOff>171360</xdr:rowOff>
    </xdr:from>
    <xdr:to>
      <xdr:col>18</xdr:col>
      <xdr:colOff>189360</xdr:colOff>
      <xdr:row>8</xdr:row>
      <xdr:rowOff>37440</xdr:rowOff>
    </xdr:to>
    <xdr:pic>
      <xdr:nvPicPr>
        <xdr:cNvPr id="59" name="image2.jpg"/>
        <xdr:cNvPicPr/>
      </xdr:nvPicPr>
      <xdr:blipFill>
        <a:blip r:embed="rId20"/>
        <a:stretch/>
      </xdr:blipFill>
      <xdr:spPr>
        <a:xfrm>
          <a:off x="32927040" y="333360"/>
          <a:ext cx="2681280" cy="119952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60" name="image1.gif" descr="http://sistemas.agricultura.gov.br/infra_css/imagens/espaco.gif"/>
        <xdr:cNvPicPr/>
      </xdr:nvPicPr>
      <xdr:blipFill>
        <a:blip r:embed="rId21"/>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61" name="image1.gif" descr="http://sistemas.agricultura.gov.br/infra_css/imagens/espaco.gif"/>
        <xdr:cNvPicPr/>
      </xdr:nvPicPr>
      <xdr:blipFill>
        <a:blip r:embed="rId22"/>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62" name="image1.gif" descr="http://sistemas.agricultura.gov.br/infra_css/imagens/espaco.gif"/>
        <xdr:cNvPicPr/>
      </xdr:nvPicPr>
      <xdr:blipFill>
        <a:blip r:embed="rId23"/>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63" name="image1.gif" descr="http://sistemas.agricultura.gov.br/infra_css/imagens/espaco.gif"/>
        <xdr:cNvPicPr/>
      </xdr:nvPicPr>
      <xdr:blipFill>
        <a:blip r:embed="rId24"/>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64" name="image1.gif" descr="http://sistemas.agricultura.gov.br/infra_css/imagens/espaco.gif"/>
        <xdr:cNvPicPr/>
      </xdr:nvPicPr>
      <xdr:blipFill>
        <a:blip r:embed="rId25"/>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65" name="image1.gif" descr="http://sistemas.agricultura.gov.br/infra_css/imagens/espaco.gif"/>
        <xdr:cNvPicPr/>
      </xdr:nvPicPr>
      <xdr:blipFill>
        <a:blip r:embed="rId26"/>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66" name="image1.gif" descr="http://sistemas.agricultura.gov.br/infra_css/imagens/espaco.gif"/>
        <xdr:cNvPicPr/>
      </xdr:nvPicPr>
      <xdr:blipFill>
        <a:blip r:embed="rId27"/>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67" name="image1.gif" descr="http://sistemas.agricultura.gov.br/infra_css/imagens/espaco.gif"/>
        <xdr:cNvPicPr/>
      </xdr:nvPicPr>
      <xdr:blipFill>
        <a:blip r:embed="rId28"/>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68" name="image1.gif" descr="http://sistemas.agricultura.gov.br/infra_css/imagens/espaco.gif"/>
        <xdr:cNvPicPr/>
      </xdr:nvPicPr>
      <xdr:blipFill>
        <a:blip r:embed="rId29"/>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69" name="image1.gif" descr="http://sistemas.agricultura.gov.br/infra_css/imagens/espaco.gif"/>
        <xdr:cNvPicPr/>
      </xdr:nvPicPr>
      <xdr:blipFill>
        <a:blip r:embed="rId30"/>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70" name="image1.gif" descr="http://sistemas.agricultura.gov.br/infra_css/imagens/espaco.gif"/>
        <xdr:cNvPicPr/>
      </xdr:nvPicPr>
      <xdr:blipFill>
        <a:blip r:embed="rId31"/>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71" name="image1.gif" descr="http://sistemas.agricultura.gov.br/infra_css/imagens/espaco.gif"/>
        <xdr:cNvPicPr/>
      </xdr:nvPicPr>
      <xdr:blipFill>
        <a:blip r:embed="rId32"/>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72" name="image1.gif" descr="http://sistemas.agricultura.gov.br/infra_css/imagens/espaco.gif"/>
        <xdr:cNvPicPr/>
      </xdr:nvPicPr>
      <xdr:blipFill>
        <a:blip r:embed="rId33"/>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73" name="image1.gif" descr="http://sistemas.agricultura.gov.br/infra_css/imagens/espaco.gif"/>
        <xdr:cNvPicPr/>
      </xdr:nvPicPr>
      <xdr:blipFill>
        <a:blip r:embed="rId34"/>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74" name="image1.gif" descr="http://sistemas.agricultura.gov.br/infra_css/imagens/espaco.gif"/>
        <xdr:cNvPicPr/>
      </xdr:nvPicPr>
      <xdr:blipFill>
        <a:blip r:embed="rId35"/>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75" name="image1.gif" descr="http://sistemas.agricultura.gov.br/infra_css/imagens/espaco.gif"/>
        <xdr:cNvPicPr/>
      </xdr:nvPicPr>
      <xdr:blipFill>
        <a:blip r:embed="rId36"/>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76" name="image1.gif" descr="http://sistemas.agricultura.gov.br/infra_css/imagens/espaco.gif"/>
        <xdr:cNvPicPr/>
      </xdr:nvPicPr>
      <xdr:blipFill>
        <a:blip r:embed="rId37"/>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77" name="image1.gif" descr="http://sistemas.agricultura.gov.br/infra_css/imagens/espaco.gif"/>
        <xdr:cNvPicPr/>
      </xdr:nvPicPr>
      <xdr:blipFill>
        <a:blip r:embed="rId38"/>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78" name="image1.gif" descr="http://sistemas.agricultura.gov.br/infra_css/imagens/espaco.gif"/>
        <xdr:cNvPicPr/>
      </xdr:nvPicPr>
      <xdr:blipFill>
        <a:blip r:embed="rId39"/>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79" name="image1.gif" descr="http://sistemas.agricultura.gov.br/infra_css/imagens/espaco.gif"/>
        <xdr:cNvPicPr/>
      </xdr:nvPicPr>
      <xdr:blipFill>
        <a:blip r:embed="rId40"/>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80" name="image1.gif" descr="http://sistemas.agricultura.gov.br/infra_css/imagens/espaco.gif"/>
        <xdr:cNvPicPr/>
      </xdr:nvPicPr>
      <xdr:blipFill>
        <a:blip r:embed="rId41"/>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81" name="image1.gif" descr="http://sistemas.agricultura.gov.br/infra_css/imagens/espaco.gif"/>
        <xdr:cNvPicPr/>
      </xdr:nvPicPr>
      <xdr:blipFill>
        <a:blip r:embed="rId42"/>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82" name="image1.gif" descr="http://sistemas.agricultura.gov.br/infra_css/imagens/espaco.gif"/>
        <xdr:cNvPicPr/>
      </xdr:nvPicPr>
      <xdr:blipFill>
        <a:blip r:embed="rId43"/>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83" name="image1.gif" descr="http://sistemas.agricultura.gov.br/infra_css/imagens/espaco.gif"/>
        <xdr:cNvPicPr/>
      </xdr:nvPicPr>
      <xdr:blipFill>
        <a:blip r:embed="rId44"/>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84" name="image1.gif" descr="http://sistemas.agricultura.gov.br/infra_css/imagens/espaco.gif"/>
        <xdr:cNvPicPr/>
      </xdr:nvPicPr>
      <xdr:blipFill>
        <a:blip r:embed="rId45"/>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85" name="image1.gif" descr="http://sistemas.agricultura.gov.br/infra_css/imagens/espaco.gif"/>
        <xdr:cNvPicPr/>
      </xdr:nvPicPr>
      <xdr:blipFill>
        <a:blip r:embed="rId46"/>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86" name="image1.gif" descr="http://sistemas.agricultura.gov.br/infra_css/imagens/espaco.gif"/>
        <xdr:cNvPicPr/>
      </xdr:nvPicPr>
      <xdr:blipFill>
        <a:blip r:embed="rId47"/>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87" name="image1.gif" descr="http://sistemas.agricultura.gov.br/infra_css/imagens/espaco.gif"/>
        <xdr:cNvPicPr/>
      </xdr:nvPicPr>
      <xdr:blipFill>
        <a:blip r:embed="rId48"/>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88" name="image1.gif" descr="http://sistemas.agricultura.gov.br/infra_css/imagens/espaco.gif"/>
        <xdr:cNvPicPr/>
      </xdr:nvPicPr>
      <xdr:blipFill>
        <a:blip r:embed="rId49"/>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89" name="image1.gif" descr="http://sistemas.agricultura.gov.br/infra_css/imagens/espaco.gif"/>
        <xdr:cNvPicPr/>
      </xdr:nvPicPr>
      <xdr:blipFill>
        <a:blip r:embed="rId50"/>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90" name="image1.gif" descr="http://sistemas.agricultura.gov.br/infra_css/imagens/espaco.gif"/>
        <xdr:cNvPicPr/>
      </xdr:nvPicPr>
      <xdr:blipFill>
        <a:blip r:embed="rId51"/>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91" name="image1.gif" descr="http://sistemas.agricultura.gov.br/infra_css/imagens/espaco.gif"/>
        <xdr:cNvPicPr/>
      </xdr:nvPicPr>
      <xdr:blipFill>
        <a:blip r:embed="rId52"/>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92" name="image1.gif" descr="http://sistemas.agricultura.gov.br/infra_css/imagens/espaco.gif"/>
        <xdr:cNvPicPr/>
      </xdr:nvPicPr>
      <xdr:blipFill>
        <a:blip r:embed="rId53"/>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93" name="image1.gif" descr="http://sistemas.agricultura.gov.br/infra_css/imagens/espaco.gif"/>
        <xdr:cNvPicPr/>
      </xdr:nvPicPr>
      <xdr:blipFill>
        <a:blip r:embed="rId54"/>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94" name="image1.gif" descr="http://sistemas.agricultura.gov.br/infra_css/imagens/espaco.gif"/>
        <xdr:cNvPicPr/>
      </xdr:nvPicPr>
      <xdr:blipFill>
        <a:blip r:embed="rId55"/>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95" name="image1.gif" descr="http://sistemas.agricultura.gov.br/infra_css/imagens/espaco.gif"/>
        <xdr:cNvPicPr/>
      </xdr:nvPicPr>
      <xdr:blipFill>
        <a:blip r:embed="rId56"/>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96" name="image1.gif" descr="http://sistemas.agricultura.gov.br/infra_css/imagens/espaco.gif"/>
        <xdr:cNvPicPr/>
      </xdr:nvPicPr>
      <xdr:blipFill>
        <a:blip r:embed="rId57"/>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97" name="image1.gif" descr="http://sistemas.agricultura.gov.br/infra_css/imagens/espaco.gif"/>
        <xdr:cNvPicPr/>
      </xdr:nvPicPr>
      <xdr:blipFill>
        <a:blip r:embed="rId58"/>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46800</xdr:colOff>
      <xdr:row>1</xdr:row>
      <xdr:rowOff>189720</xdr:rowOff>
    </xdr:to>
    <xdr:pic>
      <xdr:nvPicPr>
        <xdr:cNvPr id="98" name="image1.gif"/>
        <xdr:cNvPicPr/>
      </xdr:nvPicPr>
      <xdr:blipFill>
        <a:blip r:embed="rId59"/>
        <a:stretch/>
      </xdr:blipFill>
      <xdr:spPr>
        <a:xfrm>
          <a:off x="1181880" y="162000"/>
          <a:ext cx="46800" cy="189720"/>
        </a:xfrm>
        <a:prstGeom prst="rect">
          <a:avLst/>
        </a:prstGeom>
        <a:noFill/>
        <a:ln w="0">
          <a:noFill/>
        </a:ln>
      </xdr:spPr>
    </xdr:pic>
    <xdr:clientData/>
  </xdr:twoCellAnchor>
  <xdr:twoCellAnchor editAs="oneCell">
    <xdr:from>
      <xdr:col>1</xdr:col>
      <xdr:colOff>0</xdr:colOff>
      <xdr:row>1</xdr:row>
      <xdr:rowOff>0</xdr:rowOff>
    </xdr:from>
    <xdr:to>
      <xdr:col>1</xdr:col>
      <xdr:colOff>46800</xdr:colOff>
      <xdr:row>1</xdr:row>
      <xdr:rowOff>189720</xdr:rowOff>
    </xdr:to>
    <xdr:pic>
      <xdr:nvPicPr>
        <xdr:cNvPr id="99" name="image1.gif"/>
        <xdr:cNvPicPr/>
      </xdr:nvPicPr>
      <xdr:blipFill>
        <a:blip r:embed="rId60"/>
        <a:stretch/>
      </xdr:blipFill>
      <xdr:spPr>
        <a:xfrm>
          <a:off x="1181880" y="162000"/>
          <a:ext cx="46800" cy="189720"/>
        </a:xfrm>
        <a:prstGeom prst="rect">
          <a:avLst/>
        </a:prstGeom>
        <a:noFill/>
        <a:ln w="0">
          <a:noFill/>
        </a:ln>
      </xdr:spPr>
    </xdr:pic>
    <xdr:clientData/>
  </xdr:twoCellAnchor>
  <xdr:twoCellAnchor editAs="oneCell">
    <xdr:from>
      <xdr:col>1</xdr:col>
      <xdr:colOff>0</xdr:colOff>
      <xdr:row>1</xdr:row>
      <xdr:rowOff>0</xdr:rowOff>
    </xdr:from>
    <xdr:to>
      <xdr:col>1</xdr:col>
      <xdr:colOff>46800</xdr:colOff>
      <xdr:row>1</xdr:row>
      <xdr:rowOff>189720</xdr:rowOff>
    </xdr:to>
    <xdr:pic>
      <xdr:nvPicPr>
        <xdr:cNvPr id="100" name="image1.gif"/>
        <xdr:cNvPicPr/>
      </xdr:nvPicPr>
      <xdr:blipFill>
        <a:blip r:embed="rId61"/>
        <a:stretch/>
      </xdr:blipFill>
      <xdr:spPr>
        <a:xfrm>
          <a:off x="1181880" y="162000"/>
          <a:ext cx="46800" cy="189720"/>
        </a:xfrm>
        <a:prstGeom prst="rect">
          <a:avLst/>
        </a:prstGeom>
        <a:noFill/>
        <a:ln w="0">
          <a:noFill/>
        </a:ln>
      </xdr:spPr>
    </xdr:pic>
    <xdr:clientData/>
  </xdr:twoCellAnchor>
  <xdr:twoCellAnchor editAs="oneCell">
    <xdr:from>
      <xdr:col>1</xdr:col>
      <xdr:colOff>0</xdr:colOff>
      <xdr:row>1</xdr:row>
      <xdr:rowOff>0</xdr:rowOff>
    </xdr:from>
    <xdr:to>
      <xdr:col>1</xdr:col>
      <xdr:colOff>46800</xdr:colOff>
      <xdr:row>1</xdr:row>
      <xdr:rowOff>189720</xdr:rowOff>
    </xdr:to>
    <xdr:pic>
      <xdr:nvPicPr>
        <xdr:cNvPr id="101" name="image1.gif"/>
        <xdr:cNvPicPr/>
      </xdr:nvPicPr>
      <xdr:blipFill>
        <a:blip r:embed="rId62"/>
        <a:stretch/>
      </xdr:blipFill>
      <xdr:spPr>
        <a:xfrm>
          <a:off x="1181880" y="162000"/>
          <a:ext cx="46800" cy="18972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02" name="image1.gif" descr="http://sistemas.agricultura.gov.br/infra_css/imagens/espaco.gif"/>
        <xdr:cNvPicPr/>
      </xdr:nvPicPr>
      <xdr:blipFill>
        <a:blip r:embed="rId63"/>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03" name="image1.gif" descr="http://sistemas.agricultura.gov.br/infra_css/imagens/espaco.gif"/>
        <xdr:cNvPicPr/>
      </xdr:nvPicPr>
      <xdr:blipFill>
        <a:blip r:embed="rId64"/>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04" name="image1.gif" descr="http://sistemas.agricultura.gov.br/infra_css/imagens/espaco.gif"/>
        <xdr:cNvPicPr/>
      </xdr:nvPicPr>
      <xdr:blipFill>
        <a:blip r:embed="rId65"/>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05" name="image1.gif" descr="http://sistemas.agricultura.gov.br/infra_css/imagens/espaco.gif"/>
        <xdr:cNvPicPr/>
      </xdr:nvPicPr>
      <xdr:blipFill>
        <a:blip r:embed="rId66"/>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06" name="image1.gif" descr="http://sistemas.agricultura.gov.br/infra_css/imagens/espaco.gif"/>
        <xdr:cNvPicPr/>
      </xdr:nvPicPr>
      <xdr:blipFill>
        <a:blip r:embed="rId67"/>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07" name="image1.gif" descr="http://sistemas.agricultura.gov.br/infra_css/imagens/espaco.gif"/>
        <xdr:cNvPicPr/>
      </xdr:nvPicPr>
      <xdr:blipFill>
        <a:blip r:embed="rId68"/>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08" name="image1.gif" descr="http://sistemas.agricultura.gov.br/infra_css/imagens/espaco.gif"/>
        <xdr:cNvPicPr/>
      </xdr:nvPicPr>
      <xdr:blipFill>
        <a:blip r:embed="rId69"/>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09" name="image1.gif" descr="http://sistemas.agricultura.gov.br/infra_css/imagens/espaco.gif"/>
        <xdr:cNvPicPr/>
      </xdr:nvPicPr>
      <xdr:blipFill>
        <a:blip r:embed="rId70"/>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10" name="image1.gif" descr="http://sistemas.agricultura.gov.br/infra_css/imagens/espaco.gif"/>
        <xdr:cNvPicPr/>
      </xdr:nvPicPr>
      <xdr:blipFill>
        <a:blip r:embed="rId71"/>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11" name="image1.gif" descr="http://sistemas.agricultura.gov.br/infra_css/imagens/espaco.gif"/>
        <xdr:cNvPicPr/>
      </xdr:nvPicPr>
      <xdr:blipFill>
        <a:blip r:embed="rId72"/>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12" name="image1.gif" descr="http://sistemas.agricultura.gov.br/infra_css/imagens/espaco.gif"/>
        <xdr:cNvPicPr/>
      </xdr:nvPicPr>
      <xdr:blipFill>
        <a:blip r:embed="rId73"/>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13" name="image1.gif" descr="http://sistemas.agricultura.gov.br/infra_css/imagens/espaco.gif"/>
        <xdr:cNvPicPr/>
      </xdr:nvPicPr>
      <xdr:blipFill>
        <a:blip r:embed="rId74"/>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14" name="image1.gif" descr="http://sistemas.agricultura.gov.br/infra_css/imagens/espaco.gif"/>
        <xdr:cNvPicPr/>
      </xdr:nvPicPr>
      <xdr:blipFill>
        <a:blip r:embed="rId75"/>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15" name="image1.gif" descr="http://sistemas.agricultura.gov.br/infra_css/imagens/espaco.gif"/>
        <xdr:cNvPicPr/>
      </xdr:nvPicPr>
      <xdr:blipFill>
        <a:blip r:embed="rId76"/>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16" name="image1.gif" descr="http://sistemas.agricultura.gov.br/infra_css/imagens/espaco.gif"/>
        <xdr:cNvPicPr/>
      </xdr:nvPicPr>
      <xdr:blipFill>
        <a:blip r:embed="rId77"/>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17" name="image1.gif" descr="http://sistemas.agricultura.gov.br/infra_css/imagens/espaco.gif"/>
        <xdr:cNvPicPr/>
      </xdr:nvPicPr>
      <xdr:blipFill>
        <a:blip r:embed="rId78"/>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18" name="image1.gif" descr="http://sistemas.agricultura.gov.br/infra_css/imagens/espaco.gif"/>
        <xdr:cNvPicPr/>
      </xdr:nvPicPr>
      <xdr:blipFill>
        <a:blip r:embed="rId79"/>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19" name="image1.gif" descr="http://sistemas.agricultura.gov.br/infra_css/imagens/espaco.gif"/>
        <xdr:cNvPicPr/>
      </xdr:nvPicPr>
      <xdr:blipFill>
        <a:blip r:embed="rId80"/>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20" name="image1.gif" descr="http://sistemas.agricultura.gov.br/infra_css/imagens/espaco.gif"/>
        <xdr:cNvPicPr/>
      </xdr:nvPicPr>
      <xdr:blipFill>
        <a:blip r:embed="rId81"/>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21" name="image1.gif" descr="http://sistemas.agricultura.gov.br/infra_css/imagens/espaco.gif"/>
        <xdr:cNvPicPr/>
      </xdr:nvPicPr>
      <xdr:blipFill>
        <a:blip r:embed="rId82"/>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22" name="image1.gif" descr="http://sistemas.agricultura.gov.br/infra_css/imagens/espaco.gif"/>
        <xdr:cNvPicPr/>
      </xdr:nvPicPr>
      <xdr:blipFill>
        <a:blip r:embed="rId83"/>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23" name="image1.gif" descr="http://sistemas.agricultura.gov.br/infra_css/imagens/espaco.gif"/>
        <xdr:cNvPicPr/>
      </xdr:nvPicPr>
      <xdr:blipFill>
        <a:blip r:embed="rId84"/>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24" name="image1.gif" descr="http://sistemas.agricultura.gov.br/infra_css/imagens/espaco.gif"/>
        <xdr:cNvPicPr/>
      </xdr:nvPicPr>
      <xdr:blipFill>
        <a:blip r:embed="rId85"/>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25" name="image1.gif" descr="http://sistemas.agricultura.gov.br/infra_css/imagens/espaco.gif"/>
        <xdr:cNvPicPr/>
      </xdr:nvPicPr>
      <xdr:blipFill>
        <a:blip r:embed="rId86"/>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26" name="image1.gif" descr="http://sistemas.agricultura.gov.br/infra_css/imagens/espaco.gif"/>
        <xdr:cNvPicPr/>
      </xdr:nvPicPr>
      <xdr:blipFill>
        <a:blip r:embed="rId87"/>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27" name="image1.gif" descr="http://sistemas.agricultura.gov.br/infra_css/imagens/espaco.gif"/>
        <xdr:cNvPicPr/>
      </xdr:nvPicPr>
      <xdr:blipFill>
        <a:blip r:embed="rId88"/>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28" name="image1.gif" descr="http://sistemas.agricultura.gov.br/infra_css/imagens/espaco.gif"/>
        <xdr:cNvPicPr/>
      </xdr:nvPicPr>
      <xdr:blipFill>
        <a:blip r:embed="rId89"/>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29" name="image1.gif" descr="http://sistemas.agricultura.gov.br/infra_css/imagens/espaco.gif"/>
        <xdr:cNvPicPr/>
      </xdr:nvPicPr>
      <xdr:blipFill>
        <a:blip r:embed="rId90"/>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30" name="image1.gif" descr="http://sistemas.agricultura.gov.br/infra_css/imagens/espaco.gif"/>
        <xdr:cNvPicPr/>
      </xdr:nvPicPr>
      <xdr:blipFill>
        <a:blip r:embed="rId91"/>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31" name="image1.gif" descr="http://sistemas.agricultura.gov.br/infra_css/imagens/espaco.gif"/>
        <xdr:cNvPicPr/>
      </xdr:nvPicPr>
      <xdr:blipFill>
        <a:blip r:embed="rId92"/>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32" name="image1.gif" descr="http://sistemas.agricultura.gov.br/infra_css/imagens/espaco.gif"/>
        <xdr:cNvPicPr/>
      </xdr:nvPicPr>
      <xdr:blipFill>
        <a:blip r:embed="rId93"/>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33" name="image1.gif" descr="http://sistemas.agricultura.gov.br/infra_css/imagens/espaco.gif"/>
        <xdr:cNvPicPr/>
      </xdr:nvPicPr>
      <xdr:blipFill>
        <a:blip r:embed="rId94"/>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34" name="image1.gif" descr="http://sistemas.agricultura.gov.br/infra_css/imagens/espaco.gif"/>
        <xdr:cNvPicPr/>
      </xdr:nvPicPr>
      <xdr:blipFill>
        <a:blip r:embed="rId95"/>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35" name="image1.gif" descr="http://sistemas.agricultura.gov.br/infra_css/imagens/espaco.gif"/>
        <xdr:cNvPicPr/>
      </xdr:nvPicPr>
      <xdr:blipFill>
        <a:blip r:embed="rId96"/>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36" name="image1.gif" descr="http://sistemas.agricultura.gov.br/infra_css/imagens/espaco.gif"/>
        <xdr:cNvPicPr/>
      </xdr:nvPicPr>
      <xdr:blipFill>
        <a:blip r:embed="rId97"/>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37" name="image1.gif" descr="http://sistemas.agricultura.gov.br/infra_css/imagens/espaco.gif"/>
        <xdr:cNvPicPr/>
      </xdr:nvPicPr>
      <xdr:blipFill>
        <a:blip r:embed="rId98"/>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38" name="image1.gif" descr="http://sistemas.agricultura.gov.br/infra_css/imagens/espaco.gif"/>
        <xdr:cNvPicPr/>
      </xdr:nvPicPr>
      <xdr:blipFill>
        <a:blip r:embed="rId99"/>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39" name="image1.gif" descr="http://sistemas.agricultura.gov.br/infra_css/imagens/espaco.gif"/>
        <xdr:cNvPicPr/>
      </xdr:nvPicPr>
      <xdr:blipFill>
        <a:blip r:embed="rId100"/>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46800</xdr:colOff>
      <xdr:row>1</xdr:row>
      <xdr:rowOff>184680</xdr:rowOff>
    </xdr:to>
    <xdr:pic>
      <xdr:nvPicPr>
        <xdr:cNvPr id="140" name="image1.gif"/>
        <xdr:cNvPicPr/>
      </xdr:nvPicPr>
      <xdr:blipFill>
        <a:blip r:embed="rId101"/>
        <a:stretch/>
      </xdr:blipFill>
      <xdr:spPr>
        <a:xfrm>
          <a:off x="1181880" y="162000"/>
          <a:ext cx="46800" cy="184680"/>
        </a:xfrm>
        <a:prstGeom prst="rect">
          <a:avLst/>
        </a:prstGeom>
        <a:noFill/>
        <a:ln w="0">
          <a:noFill/>
        </a:ln>
      </xdr:spPr>
    </xdr:pic>
    <xdr:clientData/>
  </xdr:twoCellAnchor>
  <xdr:twoCellAnchor editAs="oneCell">
    <xdr:from>
      <xdr:col>1</xdr:col>
      <xdr:colOff>0</xdr:colOff>
      <xdr:row>1</xdr:row>
      <xdr:rowOff>0</xdr:rowOff>
    </xdr:from>
    <xdr:to>
      <xdr:col>1</xdr:col>
      <xdr:colOff>46800</xdr:colOff>
      <xdr:row>1</xdr:row>
      <xdr:rowOff>184680</xdr:rowOff>
    </xdr:to>
    <xdr:pic>
      <xdr:nvPicPr>
        <xdr:cNvPr id="141" name="image1.gif"/>
        <xdr:cNvPicPr/>
      </xdr:nvPicPr>
      <xdr:blipFill>
        <a:blip r:embed="rId102"/>
        <a:stretch/>
      </xdr:blipFill>
      <xdr:spPr>
        <a:xfrm>
          <a:off x="1181880" y="162000"/>
          <a:ext cx="46800" cy="184680"/>
        </a:xfrm>
        <a:prstGeom prst="rect">
          <a:avLst/>
        </a:prstGeom>
        <a:noFill/>
        <a:ln w="0">
          <a:noFill/>
        </a:ln>
      </xdr:spPr>
    </xdr:pic>
    <xdr:clientData/>
  </xdr:twoCellAnchor>
  <xdr:twoCellAnchor editAs="oneCell">
    <xdr:from>
      <xdr:col>1</xdr:col>
      <xdr:colOff>0</xdr:colOff>
      <xdr:row>1</xdr:row>
      <xdr:rowOff>0</xdr:rowOff>
    </xdr:from>
    <xdr:to>
      <xdr:col>1</xdr:col>
      <xdr:colOff>46800</xdr:colOff>
      <xdr:row>1</xdr:row>
      <xdr:rowOff>184680</xdr:rowOff>
    </xdr:to>
    <xdr:pic>
      <xdr:nvPicPr>
        <xdr:cNvPr id="142" name="image1.gif"/>
        <xdr:cNvPicPr/>
      </xdr:nvPicPr>
      <xdr:blipFill>
        <a:blip r:embed="rId103"/>
        <a:stretch/>
      </xdr:blipFill>
      <xdr:spPr>
        <a:xfrm>
          <a:off x="1181880" y="162000"/>
          <a:ext cx="46800" cy="184680"/>
        </a:xfrm>
        <a:prstGeom prst="rect">
          <a:avLst/>
        </a:prstGeom>
        <a:noFill/>
        <a:ln w="0">
          <a:noFill/>
        </a:ln>
      </xdr:spPr>
    </xdr:pic>
    <xdr:clientData/>
  </xdr:twoCellAnchor>
  <xdr:twoCellAnchor editAs="oneCell">
    <xdr:from>
      <xdr:col>1</xdr:col>
      <xdr:colOff>0</xdr:colOff>
      <xdr:row>1</xdr:row>
      <xdr:rowOff>0</xdr:rowOff>
    </xdr:from>
    <xdr:to>
      <xdr:col>1</xdr:col>
      <xdr:colOff>46800</xdr:colOff>
      <xdr:row>1</xdr:row>
      <xdr:rowOff>184680</xdr:rowOff>
    </xdr:to>
    <xdr:pic>
      <xdr:nvPicPr>
        <xdr:cNvPr id="143" name="image1.gif"/>
        <xdr:cNvPicPr/>
      </xdr:nvPicPr>
      <xdr:blipFill>
        <a:blip r:embed="rId104"/>
        <a:stretch/>
      </xdr:blipFill>
      <xdr:spPr>
        <a:xfrm>
          <a:off x="1181880" y="162000"/>
          <a:ext cx="46800" cy="18468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44" name="image1.gif" descr="http://sistemas.agricultura.gov.br/infra_css/imagens/espaco.gif"/>
        <xdr:cNvPicPr/>
      </xdr:nvPicPr>
      <xdr:blipFill>
        <a:blip r:embed="rId105"/>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45" name="image1.gif" descr="http://sistemas.agricultura.gov.br/infra_css/imagens/espaco.gif"/>
        <xdr:cNvPicPr/>
      </xdr:nvPicPr>
      <xdr:blipFill>
        <a:blip r:embed="rId106"/>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46" name="image1.gif" descr="http://sistemas.agricultura.gov.br/infra_css/imagens/espaco.gif"/>
        <xdr:cNvPicPr/>
      </xdr:nvPicPr>
      <xdr:blipFill>
        <a:blip r:embed="rId107"/>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47" name="image1.gif" descr="http://sistemas.agricultura.gov.br/infra_css/imagens/espaco.gif"/>
        <xdr:cNvPicPr/>
      </xdr:nvPicPr>
      <xdr:blipFill>
        <a:blip r:embed="rId108"/>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48" name="image1.gif" descr="http://sistemas.agricultura.gov.br/infra_css/imagens/espaco.gif"/>
        <xdr:cNvPicPr/>
      </xdr:nvPicPr>
      <xdr:blipFill>
        <a:blip r:embed="rId109"/>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49" name="image1.gif" descr="http://sistemas.agricultura.gov.br/infra_css/imagens/espaco.gif"/>
        <xdr:cNvPicPr/>
      </xdr:nvPicPr>
      <xdr:blipFill>
        <a:blip r:embed="rId110"/>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50" name="image1.gif" descr="http://sistemas.agricultura.gov.br/infra_css/imagens/espaco.gif"/>
        <xdr:cNvPicPr/>
      </xdr:nvPicPr>
      <xdr:blipFill>
        <a:blip r:embed="rId111"/>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51" name="image1.gif" descr="http://sistemas.agricultura.gov.br/infra_css/imagens/espaco.gif"/>
        <xdr:cNvPicPr/>
      </xdr:nvPicPr>
      <xdr:blipFill>
        <a:blip r:embed="rId112"/>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52" name="image1.gif" descr="http://sistemas.agricultura.gov.br/infra_css/imagens/espaco.gif"/>
        <xdr:cNvPicPr/>
      </xdr:nvPicPr>
      <xdr:blipFill>
        <a:blip r:embed="rId113"/>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53" name="image1.gif" descr="http://sistemas.agricultura.gov.br/infra_css/imagens/espaco.gif"/>
        <xdr:cNvPicPr/>
      </xdr:nvPicPr>
      <xdr:blipFill>
        <a:blip r:embed="rId114"/>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54" name="image1.gif" descr="http://sistemas.agricultura.gov.br/infra_css/imagens/espaco.gif"/>
        <xdr:cNvPicPr/>
      </xdr:nvPicPr>
      <xdr:blipFill>
        <a:blip r:embed="rId115"/>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55" name="image1.gif" descr="http://sistemas.agricultura.gov.br/infra_css/imagens/espaco.gif"/>
        <xdr:cNvPicPr/>
      </xdr:nvPicPr>
      <xdr:blipFill>
        <a:blip r:embed="rId116"/>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56" name="image1.gif" descr="http://sistemas.agricultura.gov.br/infra_css/imagens/espaco.gif"/>
        <xdr:cNvPicPr/>
      </xdr:nvPicPr>
      <xdr:blipFill>
        <a:blip r:embed="rId117"/>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57" name="image1.gif" descr="http://sistemas.agricultura.gov.br/infra_css/imagens/espaco.gif"/>
        <xdr:cNvPicPr/>
      </xdr:nvPicPr>
      <xdr:blipFill>
        <a:blip r:embed="rId118"/>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58" name="image1.gif" descr="http://sistemas.agricultura.gov.br/infra_css/imagens/espaco.gif"/>
        <xdr:cNvPicPr/>
      </xdr:nvPicPr>
      <xdr:blipFill>
        <a:blip r:embed="rId119"/>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59" name="image1.gif" descr="http://sistemas.agricultura.gov.br/infra_css/imagens/espaco.gif"/>
        <xdr:cNvPicPr/>
      </xdr:nvPicPr>
      <xdr:blipFill>
        <a:blip r:embed="rId120"/>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60" name="image1.gif" descr="http://sistemas.agricultura.gov.br/infra_css/imagens/espaco.gif"/>
        <xdr:cNvPicPr/>
      </xdr:nvPicPr>
      <xdr:blipFill>
        <a:blip r:embed="rId121"/>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61" name="image1.gif" descr="http://sistemas.agricultura.gov.br/infra_css/imagens/espaco.gif"/>
        <xdr:cNvPicPr/>
      </xdr:nvPicPr>
      <xdr:blipFill>
        <a:blip r:embed="rId122"/>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62" name="image1.gif" descr="http://sistemas.agricultura.gov.br/infra_css/imagens/espaco.gif"/>
        <xdr:cNvPicPr/>
      </xdr:nvPicPr>
      <xdr:blipFill>
        <a:blip r:embed="rId123"/>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63" name="image1.gif" descr="http://sistemas.agricultura.gov.br/infra_css/imagens/espaco.gif"/>
        <xdr:cNvPicPr/>
      </xdr:nvPicPr>
      <xdr:blipFill>
        <a:blip r:embed="rId124"/>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64" name="image1.gif" descr="http://sistemas.agricultura.gov.br/infra_css/imagens/espaco.gif"/>
        <xdr:cNvPicPr/>
      </xdr:nvPicPr>
      <xdr:blipFill>
        <a:blip r:embed="rId125"/>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65" name="image1.gif" descr="http://sistemas.agricultura.gov.br/infra_css/imagens/espaco.gif"/>
        <xdr:cNvPicPr/>
      </xdr:nvPicPr>
      <xdr:blipFill>
        <a:blip r:embed="rId126"/>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66" name="image1.gif" descr="http://sistemas.agricultura.gov.br/infra_css/imagens/espaco.gif"/>
        <xdr:cNvPicPr/>
      </xdr:nvPicPr>
      <xdr:blipFill>
        <a:blip r:embed="rId127"/>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67" name="image1.gif" descr="http://sistemas.agricultura.gov.br/infra_css/imagens/espaco.gif"/>
        <xdr:cNvPicPr/>
      </xdr:nvPicPr>
      <xdr:blipFill>
        <a:blip r:embed="rId128"/>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68" name="image1.gif" descr="http://sistemas.agricultura.gov.br/infra_css/imagens/espaco.gif"/>
        <xdr:cNvPicPr/>
      </xdr:nvPicPr>
      <xdr:blipFill>
        <a:blip r:embed="rId129"/>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69" name="image1.gif" descr="http://sistemas.agricultura.gov.br/infra_css/imagens/espaco.gif"/>
        <xdr:cNvPicPr/>
      </xdr:nvPicPr>
      <xdr:blipFill>
        <a:blip r:embed="rId130"/>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70" name="image1.gif" descr="http://sistemas.agricultura.gov.br/infra_css/imagens/espaco.gif"/>
        <xdr:cNvPicPr/>
      </xdr:nvPicPr>
      <xdr:blipFill>
        <a:blip r:embed="rId131"/>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71" name="image1.gif" descr="http://sistemas.agricultura.gov.br/infra_css/imagens/espaco.gif"/>
        <xdr:cNvPicPr/>
      </xdr:nvPicPr>
      <xdr:blipFill>
        <a:blip r:embed="rId132"/>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72" name="image1.gif" descr="http://sistemas.agricultura.gov.br/infra_css/imagens/espaco.gif"/>
        <xdr:cNvPicPr/>
      </xdr:nvPicPr>
      <xdr:blipFill>
        <a:blip r:embed="rId133"/>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73" name="image1.gif" descr="http://sistemas.agricultura.gov.br/infra_css/imagens/espaco.gif"/>
        <xdr:cNvPicPr/>
      </xdr:nvPicPr>
      <xdr:blipFill>
        <a:blip r:embed="rId134"/>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74" name="image1.gif" descr="http://sistemas.agricultura.gov.br/infra_css/imagens/espaco.gif"/>
        <xdr:cNvPicPr/>
      </xdr:nvPicPr>
      <xdr:blipFill>
        <a:blip r:embed="rId135"/>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75" name="image1.gif" descr="http://sistemas.agricultura.gov.br/infra_css/imagens/espaco.gif"/>
        <xdr:cNvPicPr/>
      </xdr:nvPicPr>
      <xdr:blipFill>
        <a:blip r:embed="rId136"/>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76" name="image1.gif" descr="http://sistemas.agricultura.gov.br/infra_css/imagens/espaco.gif"/>
        <xdr:cNvPicPr/>
      </xdr:nvPicPr>
      <xdr:blipFill>
        <a:blip r:embed="rId137"/>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77" name="image1.gif" descr="http://sistemas.agricultura.gov.br/infra_css/imagens/espaco.gif"/>
        <xdr:cNvPicPr/>
      </xdr:nvPicPr>
      <xdr:blipFill>
        <a:blip r:embed="rId138"/>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78" name="image1.gif" descr="http://sistemas.agricultura.gov.br/infra_css/imagens/espaco.gif"/>
        <xdr:cNvPicPr/>
      </xdr:nvPicPr>
      <xdr:blipFill>
        <a:blip r:embed="rId139"/>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79" name="image1.gif" descr="http://sistemas.agricultura.gov.br/infra_css/imagens/espaco.gif"/>
        <xdr:cNvPicPr/>
      </xdr:nvPicPr>
      <xdr:blipFill>
        <a:blip r:embed="rId140"/>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80" name="image1.gif" descr="http://sistemas.agricultura.gov.br/infra_css/imagens/espaco.gif"/>
        <xdr:cNvPicPr/>
      </xdr:nvPicPr>
      <xdr:blipFill>
        <a:blip r:embed="rId141"/>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81" name="image1.gif" descr="http://sistemas.agricultura.gov.br/infra_css/imagens/espaco.gif"/>
        <xdr:cNvPicPr/>
      </xdr:nvPicPr>
      <xdr:blipFill>
        <a:blip r:embed="rId142"/>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82" name="image1.gif" descr="http://sistemas.agricultura.gov.br/infra_css/imagens/espaco.gif"/>
        <xdr:cNvPicPr/>
      </xdr:nvPicPr>
      <xdr:blipFill>
        <a:blip r:embed="rId143"/>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83" name="image1.gif" descr="http://sistemas.agricultura.gov.br/infra_css/imagens/espaco.gif"/>
        <xdr:cNvPicPr/>
      </xdr:nvPicPr>
      <xdr:blipFill>
        <a:blip r:embed="rId144"/>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84" name="image1.gif" descr="http://sistemas.agricultura.gov.br/infra_css/imagens/espaco.gif"/>
        <xdr:cNvPicPr/>
      </xdr:nvPicPr>
      <xdr:blipFill>
        <a:blip r:embed="rId145"/>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85" name="image1.gif" descr="http://sistemas.agricultura.gov.br/infra_css/imagens/espaco.gif"/>
        <xdr:cNvPicPr/>
      </xdr:nvPicPr>
      <xdr:blipFill>
        <a:blip r:embed="rId146"/>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86" name="image1.gif" descr="http://sistemas.agricultura.gov.br/infra_css/imagens/espaco.gif"/>
        <xdr:cNvPicPr/>
      </xdr:nvPicPr>
      <xdr:blipFill>
        <a:blip r:embed="rId147"/>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87" name="image1.gif" descr="http://sistemas.agricultura.gov.br/infra_css/imagens/espaco.gif"/>
        <xdr:cNvPicPr/>
      </xdr:nvPicPr>
      <xdr:blipFill>
        <a:blip r:embed="rId148"/>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88" name="image1.gif" descr="http://sistemas.agricultura.gov.br/infra_css/imagens/espaco.gif"/>
        <xdr:cNvPicPr/>
      </xdr:nvPicPr>
      <xdr:blipFill>
        <a:blip r:embed="rId149"/>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89" name="image1.gif" descr="http://sistemas.agricultura.gov.br/infra_css/imagens/espaco.gif"/>
        <xdr:cNvPicPr/>
      </xdr:nvPicPr>
      <xdr:blipFill>
        <a:blip r:embed="rId150"/>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90" name="image1.gif" descr="http://sistemas.agricultura.gov.br/infra_css/imagens/espaco.gif"/>
        <xdr:cNvPicPr/>
      </xdr:nvPicPr>
      <xdr:blipFill>
        <a:blip r:embed="rId151"/>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91" name="image1.gif" descr="http://sistemas.agricultura.gov.br/infra_css/imagens/espaco.gif"/>
        <xdr:cNvPicPr/>
      </xdr:nvPicPr>
      <xdr:blipFill>
        <a:blip r:embed="rId152"/>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92" name="image1.gif" descr="http://sistemas.agricultura.gov.br/infra_css/imagens/espaco.gif"/>
        <xdr:cNvPicPr/>
      </xdr:nvPicPr>
      <xdr:blipFill>
        <a:blip r:embed="rId153"/>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93" name="image1.gif" descr="http://sistemas.agricultura.gov.br/infra_css/imagens/espaco.gif"/>
        <xdr:cNvPicPr/>
      </xdr:nvPicPr>
      <xdr:blipFill>
        <a:blip r:embed="rId154"/>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94" name="image1.gif" descr="http://sistemas.agricultura.gov.br/infra_css/imagens/espaco.gif"/>
        <xdr:cNvPicPr/>
      </xdr:nvPicPr>
      <xdr:blipFill>
        <a:blip r:embed="rId155"/>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95" name="image1.gif" descr="http://sistemas.agricultura.gov.br/infra_css/imagens/espaco.gif"/>
        <xdr:cNvPicPr/>
      </xdr:nvPicPr>
      <xdr:blipFill>
        <a:blip r:embed="rId156"/>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96" name="image1.gif" descr="http://sistemas.agricultura.gov.br/infra_css/imagens/espaco.gif"/>
        <xdr:cNvPicPr/>
      </xdr:nvPicPr>
      <xdr:blipFill>
        <a:blip r:embed="rId157"/>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97" name="image1.gif" descr="http://sistemas.agricultura.gov.br/infra_css/imagens/espaco.gif"/>
        <xdr:cNvPicPr/>
      </xdr:nvPicPr>
      <xdr:blipFill>
        <a:blip r:embed="rId158"/>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98" name="image1.gif" descr="http://sistemas.agricultura.gov.br/infra_css/imagens/espaco.gif"/>
        <xdr:cNvPicPr/>
      </xdr:nvPicPr>
      <xdr:blipFill>
        <a:blip r:embed="rId159"/>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199" name="image1.gif" descr="http://sistemas.agricultura.gov.br/infra_css/imagens/espaco.gif"/>
        <xdr:cNvPicPr/>
      </xdr:nvPicPr>
      <xdr:blipFill>
        <a:blip r:embed="rId160"/>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00" name="image1.gif" descr="http://sistemas.agricultura.gov.br/infra_css/imagens/espaco.gif"/>
        <xdr:cNvPicPr/>
      </xdr:nvPicPr>
      <xdr:blipFill>
        <a:blip r:embed="rId161"/>
        <a:stretch/>
      </xdr:blipFill>
      <xdr:spPr>
        <a:xfrm>
          <a:off x="11818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46800</xdr:colOff>
      <xdr:row>1</xdr:row>
      <xdr:rowOff>189720</xdr:rowOff>
    </xdr:to>
    <xdr:pic>
      <xdr:nvPicPr>
        <xdr:cNvPr id="201" name="image1.gif"/>
        <xdr:cNvPicPr/>
      </xdr:nvPicPr>
      <xdr:blipFill>
        <a:blip r:embed="rId162"/>
        <a:stretch/>
      </xdr:blipFill>
      <xdr:spPr>
        <a:xfrm>
          <a:off x="1181880" y="162000"/>
          <a:ext cx="46800" cy="189720"/>
        </a:xfrm>
        <a:prstGeom prst="rect">
          <a:avLst/>
        </a:prstGeom>
        <a:noFill/>
        <a:ln w="0">
          <a:noFill/>
        </a:ln>
      </xdr:spPr>
    </xdr:pic>
    <xdr:clientData/>
  </xdr:twoCellAnchor>
  <xdr:twoCellAnchor editAs="oneCell">
    <xdr:from>
      <xdr:col>1</xdr:col>
      <xdr:colOff>0</xdr:colOff>
      <xdr:row>1</xdr:row>
      <xdr:rowOff>0</xdr:rowOff>
    </xdr:from>
    <xdr:to>
      <xdr:col>1</xdr:col>
      <xdr:colOff>46800</xdr:colOff>
      <xdr:row>1</xdr:row>
      <xdr:rowOff>189720</xdr:rowOff>
    </xdr:to>
    <xdr:pic>
      <xdr:nvPicPr>
        <xdr:cNvPr id="202" name="image1.gif"/>
        <xdr:cNvPicPr/>
      </xdr:nvPicPr>
      <xdr:blipFill>
        <a:blip r:embed="rId163"/>
        <a:stretch/>
      </xdr:blipFill>
      <xdr:spPr>
        <a:xfrm>
          <a:off x="1181880" y="162000"/>
          <a:ext cx="46800" cy="189720"/>
        </a:xfrm>
        <a:prstGeom prst="rect">
          <a:avLst/>
        </a:prstGeom>
        <a:noFill/>
        <a:ln w="0">
          <a:noFill/>
        </a:ln>
      </xdr:spPr>
    </xdr:pic>
    <xdr:clientData/>
  </xdr:twoCellAnchor>
  <xdr:twoCellAnchor editAs="oneCell">
    <xdr:from>
      <xdr:col>1</xdr:col>
      <xdr:colOff>0</xdr:colOff>
      <xdr:row>1</xdr:row>
      <xdr:rowOff>0</xdr:rowOff>
    </xdr:from>
    <xdr:to>
      <xdr:col>1</xdr:col>
      <xdr:colOff>46800</xdr:colOff>
      <xdr:row>1</xdr:row>
      <xdr:rowOff>189720</xdr:rowOff>
    </xdr:to>
    <xdr:pic>
      <xdr:nvPicPr>
        <xdr:cNvPr id="203" name="image1.gif"/>
        <xdr:cNvPicPr/>
      </xdr:nvPicPr>
      <xdr:blipFill>
        <a:blip r:embed="rId164"/>
        <a:stretch/>
      </xdr:blipFill>
      <xdr:spPr>
        <a:xfrm>
          <a:off x="1181880" y="162000"/>
          <a:ext cx="46800" cy="189720"/>
        </a:xfrm>
        <a:prstGeom prst="rect">
          <a:avLst/>
        </a:prstGeom>
        <a:noFill/>
        <a:ln w="0">
          <a:noFill/>
        </a:ln>
      </xdr:spPr>
    </xdr:pic>
    <xdr:clientData/>
  </xdr:twoCellAnchor>
  <xdr:twoCellAnchor editAs="oneCell">
    <xdr:from>
      <xdr:col>1</xdr:col>
      <xdr:colOff>0</xdr:colOff>
      <xdr:row>1</xdr:row>
      <xdr:rowOff>0</xdr:rowOff>
    </xdr:from>
    <xdr:to>
      <xdr:col>1</xdr:col>
      <xdr:colOff>46800</xdr:colOff>
      <xdr:row>1</xdr:row>
      <xdr:rowOff>189720</xdr:rowOff>
    </xdr:to>
    <xdr:pic>
      <xdr:nvPicPr>
        <xdr:cNvPr id="204" name="image1.gif"/>
        <xdr:cNvPicPr/>
      </xdr:nvPicPr>
      <xdr:blipFill>
        <a:blip r:embed="rId165"/>
        <a:stretch/>
      </xdr:blipFill>
      <xdr:spPr>
        <a:xfrm>
          <a:off x="1181880" y="162000"/>
          <a:ext cx="46800" cy="189720"/>
        </a:xfrm>
        <a:prstGeom prst="rect">
          <a:avLst/>
        </a:prstGeom>
        <a:noFill/>
        <a:ln w="0">
          <a:noFill/>
        </a:ln>
      </xdr:spPr>
    </xdr:pic>
    <xdr:clientData/>
  </xdr:twoCellAnchor>
  <xdr:twoCellAnchor editAs="oneCell">
    <xdr:from>
      <xdr:col>1</xdr:col>
      <xdr:colOff>0</xdr:colOff>
      <xdr:row>199</xdr:row>
      <xdr:rowOff>0</xdr:rowOff>
    </xdr:from>
    <xdr:to>
      <xdr:col>1</xdr:col>
      <xdr:colOff>46800</xdr:colOff>
      <xdr:row>200</xdr:row>
      <xdr:rowOff>27720</xdr:rowOff>
    </xdr:to>
    <xdr:pic>
      <xdr:nvPicPr>
        <xdr:cNvPr id="205" name="image1.gif"/>
        <xdr:cNvPicPr/>
      </xdr:nvPicPr>
      <xdr:blipFill>
        <a:blip r:embed="rId166"/>
        <a:stretch/>
      </xdr:blipFill>
      <xdr:spPr>
        <a:xfrm>
          <a:off x="1181880" y="37299960"/>
          <a:ext cx="46800" cy="189720"/>
        </a:xfrm>
        <a:prstGeom prst="rect">
          <a:avLst/>
        </a:prstGeom>
        <a:noFill/>
        <a:ln w="0">
          <a:noFill/>
        </a:ln>
      </xdr:spPr>
    </xdr:pic>
    <xdr:clientData/>
  </xdr:twoCellAnchor>
  <xdr:twoCellAnchor editAs="oneCell">
    <xdr:from>
      <xdr:col>1</xdr:col>
      <xdr:colOff>0</xdr:colOff>
      <xdr:row>200</xdr:row>
      <xdr:rowOff>0</xdr:rowOff>
    </xdr:from>
    <xdr:to>
      <xdr:col>1</xdr:col>
      <xdr:colOff>46800</xdr:colOff>
      <xdr:row>200</xdr:row>
      <xdr:rowOff>189720</xdr:rowOff>
    </xdr:to>
    <xdr:pic>
      <xdr:nvPicPr>
        <xdr:cNvPr id="206" name="image1.gif"/>
        <xdr:cNvPicPr/>
      </xdr:nvPicPr>
      <xdr:blipFill>
        <a:blip r:embed="rId167"/>
        <a:stretch/>
      </xdr:blipFill>
      <xdr:spPr>
        <a:xfrm>
          <a:off x="1181880" y="37461960"/>
          <a:ext cx="46800" cy="189720"/>
        </a:xfrm>
        <a:prstGeom prst="rect">
          <a:avLst/>
        </a:prstGeom>
        <a:noFill/>
        <a:ln w="0">
          <a:noFill/>
        </a:ln>
      </xdr:spPr>
    </xdr:pic>
    <xdr:clientData/>
  </xdr:twoCellAnchor>
  <xdr:twoCellAnchor editAs="oneCell">
    <xdr:from>
      <xdr:col>1</xdr:col>
      <xdr:colOff>0</xdr:colOff>
      <xdr:row>200</xdr:row>
      <xdr:rowOff>0</xdr:rowOff>
    </xdr:from>
    <xdr:to>
      <xdr:col>1</xdr:col>
      <xdr:colOff>46800</xdr:colOff>
      <xdr:row>200</xdr:row>
      <xdr:rowOff>184680</xdr:rowOff>
    </xdr:to>
    <xdr:pic>
      <xdr:nvPicPr>
        <xdr:cNvPr id="207" name="image1.gif"/>
        <xdr:cNvPicPr/>
      </xdr:nvPicPr>
      <xdr:blipFill>
        <a:blip r:embed="rId168"/>
        <a:stretch/>
      </xdr:blipFill>
      <xdr:spPr>
        <a:xfrm>
          <a:off x="1181880" y="37461960"/>
          <a:ext cx="46800" cy="184680"/>
        </a:xfrm>
        <a:prstGeom prst="rect">
          <a:avLst/>
        </a:prstGeom>
        <a:noFill/>
        <a:ln w="0">
          <a:noFill/>
        </a:ln>
      </xdr:spPr>
    </xdr:pic>
    <xdr:clientData/>
  </xdr:twoCellAnchor>
  <xdr:twoCellAnchor editAs="oneCell">
    <xdr:from>
      <xdr:col>1</xdr:col>
      <xdr:colOff>0</xdr:colOff>
      <xdr:row>200</xdr:row>
      <xdr:rowOff>0</xdr:rowOff>
    </xdr:from>
    <xdr:to>
      <xdr:col>1</xdr:col>
      <xdr:colOff>46800</xdr:colOff>
      <xdr:row>200</xdr:row>
      <xdr:rowOff>184680</xdr:rowOff>
    </xdr:to>
    <xdr:pic>
      <xdr:nvPicPr>
        <xdr:cNvPr id="208" name="image1.gif"/>
        <xdr:cNvPicPr/>
      </xdr:nvPicPr>
      <xdr:blipFill>
        <a:blip r:embed="rId169"/>
        <a:stretch/>
      </xdr:blipFill>
      <xdr:spPr>
        <a:xfrm>
          <a:off x="1181880" y="37461960"/>
          <a:ext cx="46800" cy="184680"/>
        </a:xfrm>
        <a:prstGeom prst="rect">
          <a:avLst/>
        </a:prstGeom>
        <a:noFill/>
        <a:ln w="0">
          <a:noFill/>
        </a:ln>
      </xdr:spPr>
    </xdr:pic>
    <xdr:clientData/>
  </xdr:twoCellAnchor>
  <xdr:twoCellAnchor editAs="oneCell">
    <xdr:from>
      <xdr:col>1</xdr:col>
      <xdr:colOff>0</xdr:colOff>
      <xdr:row>200</xdr:row>
      <xdr:rowOff>0</xdr:rowOff>
    </xdr:from>
    <xdr:to>
      <xdr:col>1</xdr:col>
      <xdr:colOff>46800</xdr:colOff>
      <xdr:row>200</xdr:row>
      <xdr:rowOff>184680</xdr:rowOff>
    </xdr:to>
    <xdr:pic>
      <xdr:nvPicPr>
        <xdr:cNvPr id="209" name="image1.gif"/>
        <xdr:cNvPicPr/>
      </xdr:nvPicPr>
      <xdr:blipFill>
        <a:blip r:embed="rId170"/>
        <a:stretch/>
      </xdr:blipFill>
      <xdr:spPr>
        <a:xfrm>
          <a:off x="1181880" y="37461960"/>
          <a:ext cx="46800" cy="184680"/>
        </a:xfrm>
        <a:prstGeom prst="rect">
          <a:avLst/>
        </a:prstGeom>
        <a:noFill/>
        <a:ln w="0">
          <a:noFill/>
        </a:ln>
      </xdr:spPr>
    </xdr:pic>
    <xdr:clientData/>
  </xdr:twoCellAnchor>
  <xdr:twoCellAnchor editAs="oneCell">
    <xdr:from>
      <xdr:col>1</xdr:col>
      <xdr:colOff>0</xdr:colOff>
      <xdr:row>200</xdr:row>
      <xdr:rowOff>0</xdr:rowOff>
    </xdr:from>
    <xdr:to>
      <xdr:col>1</xdr:col>
      <xdr:colOff>46800</xdr:colOff>
      <xdr:row>200</xdr:row>
      <xdr:rowOff>184680</xdr:rowOff>
    </xdr:to>
    <xdr:pic>
      <xdr:nvPicPr>
        <xdr:cNvPr id="210" name="image1.gif"/>
        <xdr:cNvPicPr/>
      </xdr:nvPicPr>
      <xdr:blipFill>
        <a:blip r:embed="rId171"/>
        <a:stretch/>
      </xdr:blipFill>
      <xdr:spPr>
        <a:xfrm>
          <a:off x="1181880" y="37461960"/>
          <a:ext cx="46800" cy="184680"/>
        </a:xfrm>
        <a:prstGeom prst="rect">
          <a:avLst/>
        </a:prstGeom>
        <a:noFill/>
        <a:ln w="0">
          <a:noFill/>
        </a:ln>
      </xdr:spPr>
    </xdr:pic>
    <xdr:clientData/>
  </xdr:twoCellAnchor>
  <xdr:twoCellAnchor editAs="oneCell">
    <xdr:from>
      <xdr:col>1</xdr:col>
      <xdr:colOff>0</xdr:colOff>
      <xdr:row>400</xdr:row>
      <xdr:rowOff>0</xdr:rowOff>
    </xdr:from>
    <xdr:to>
      <xdr:col>1</xdr:col>
      <xdr:colOff>46800</xdr:colOff>
      <xdr:row>401</xdr:row>
      <xdr:rowOff>27720</xdr:rowOff>
    </xdr:to>
    <xdr:pic>
      <xdr:nvPicPr>
        <xdr:cNvPr id="211" name="image1.gif"/>
        <xdr:cNvPicPr/>
      </xdr:nvPicPr>
      <xdr:blipFill>
        <a:blip r:embed="rId172"/>
        <a:stretch/>
      </xdr:blipFill>
      <xdr:spPr>
        <a:xfrm>
          <a:off x="1181880" y="70418160"/>
          <a:ext cx="46800" cy="189720"/>
        </a:xfrm>
        <a:prstGeom prst="rect">
          <a:avLst/>
        </a:prstGeom>
        <a:noFill/>
        <a:ln w="0">
          <a:noFill/>
        </a:ln>
      </xdr:spPr>
    </xdr:pic>
    <xdr:clientData/>
  </xdr:twoCellAnchor>
  <xdr:twoCellAnchor editAs="oneCell">
    <xdr:from>
      <xdr:col>1</xdr:col>
      <xdr:colOff>0</xdr:colOff>
      <xdr:row>405</xdr:row>
      <xdr:rowOff>0</xdr:rowOff>
    </xdr:from>
    <xdr:to>
      <xdr:col>1</xdr:col>
      <xdr:colOff>46800</xdr:colOff>
      <xdr:row>406</xdr:row>
      <xdr:rowOff>27720</xdr:rowOff>
    </xdr:to>
    <xdr:pic>
      <xdr:nvPicPr>
        <xdr:cNvPr id="212" name="image1.gif"/>
        <xdr:cNvPicPr/>
      </xdr:nvPicPr>
      <xdr:blipFill>
        <a:blip r:embed="rId173"/>
        <a:stretch/>
      </xdr:blipFill>
      <xdr:spPr>
        <a:xfrm>
          <a:off x="1181880" y="71227800"/>
          <a:ext cx="46800" cy="189720"/>
        </a:xfrm>
        <a:prstGeom prst="rect">
          <a:avLst/>
        </a:prstGeom>
        <a:noFill/>
        <a:ln w="0">
          <a:noFill/>
        </a:ln>
      </xdr:spPr>
    </xdr:pic>
    <xdr:clientData/>
  </xdr:twoCellAnchor>
  <xdr:twoCellAnchor editAs="oneCell">
    <xdr:from>
      <xdr:col>1</xdr:col>
      <xdr:colOff>0</xdr:colOff>
      <xdr:row>408</xdr:row>
      <xdr:rowOff>0</xdr:rowOff>
    </xdr:from>
    <xdr:to>
      <xdr:col>1</xdr:col>
      <xdr:colOff>46800</xdr:colOff>
      <xdr:row>408</xdr:row>
      <xdr:rowOff>189720</xdr:rowOff>
    </xdr:to>
    <xdr:pic>
      <xdr:nvPicPr>
        <xdr:cNvPr id="213" name="image1.gif"/>
        <xdr:cNvPicPr/>
      </xdr:nvPicPr>
      <xdr:blipFill>
        <a:blip r:embed="rId174"/>
        <a:stretch/>
      </xdr:blipFill>
      <xdr:spPr>
        <a:xfrm>
          <a:off x="1181880" y="71771040"/>
          <a:ext cx="46800" cy="189720"/>
        </a:xfrm>
        <a:prstGeom prst="rect">
          <a:avLst/>
        </a:prstGeom>
        <a:noFill/>
        <a:ln w="0">
          <a:noFill/>
        </a:ln>
      </xdr:spPr>
    </xdr:pic>
    <xdr:clientData/>
  </xdr:twoCellAnchor>
  <xdr:twoCellAnchor editAs="oneCell">
    <xdr:from>
      <xdr:col>1</xdr:col>
      <xdr:colOff>0</xdr:colOff>
      <xdr:row>420</xdr:row>
      <xdr:rowOff>0</xdr:rowOff>
    </xdr:from>
    <xdr:to>
      <xdr:col>1</xdr:col>
      <xdr:colOff>46800</xdr:colOff>
      <xdr:row>421</xdr:row>
      <xdr:rowOff>27720</xdr:rowOff>
    </xdr:to>
    <xdr:pic>
      <xdr:nvPicPr>
        <xdr:cNvPr id="214" name="image1.gif"/>
        <xdr:cNvPicPr/>
      </xdr:nvPicPr>
      <xdr:blipFill>
        <a:blip r:embed="rId175"/>
        <a:stretch/>
      </xdr:blipFill>
      <xdr:spPr>
        <a:xfrm>
          <a:off x="1181880" y="73771200"/>
          <a:ext cx="46800" cy="189720"/>
        </a:xfrm>
        <a:prstGeom prst="rect">
          <a:avLst/>
        </a:prstGeom>
        <a:noFill/>
        <a:ln w="0">
          <a:noFill/>
        </a:ln>
      </xdr:spPr>
    </xdr:pic>
    <xdr:clientData/>
  </xdr:twoCellAnchor>
  <xdr:twoCellAnchor editAs="oneCell">
    <xdr:from>
      <xdr:col>1</xdr:col>
      <xdr:colOff>0</xdr:colOff>
      <xdr:row>402</xdr:row>
      <xdr:rowOff>0</xdr:rowOff>
    </xdr:from>
    <xdr:to>
      <xdr:col>1</xdr:col>
      <xdr:colOff>46800</xdr:colOff>
      <xdr:row>403</xdr:row>
      <xdr:rowOff>27720</xdr:rowOff>
    </xdr:to>
    <xdr:pic>
      <xdr:nvPicPr>
        <xdr:cNvPr id="215" name="image1.gif"/>
        <xdr:cNvPicPr/>
      </xdr:nvPicPr>
      <xdr:blipFill>
        <a:blip r:embed="rId176"/>
        <a:stretch/>
      </xdr:blipFill>
      <xdr:spPr>
        <a:xfrm>
          <a:off x="1181880" y="70742160"/>
          <a:ext cx="46800" cy="189720"/>
        </a:xfrm>
        <a:prstGeom prst="rect">
          <a:avLst/>
        </a:prstGeom>
        <a:noFill/>
        <a:ln w="0">
          <a:noFill/>
        </a:ln>
      </xdr:spPr>
    </xdr:pic>
    <xdr:clientData/>
  </xdr:twoCellAnchor>
  <xdr:twoCellAnchor editAs="oneCell">
    <xdr:from>
      <xdr:col>1</xdr:col>
      <xdr:colOff>0</xdr:colOff>
      <xdr:row>404</xdr:row>
      <xdr:rowOff>0</xdr:rowOff>
    </xdr:from>
    <xdr:to>
      <xdr:col>1</xdr:col>
      <xdr:colOff>46800</xdr:colOff>
      <xdr:row>405</xdr:row>
      <xdr:rowOff>28080</xdr:rowOff>
    </xdr:to>
    <xdr:pic>
      <xdr:nvPicPr>
        <xdr:cNvPr id="216" name="image1.gif"/>
        <xdr:cNvPicPr/>
      </xdr:nvPicPr>
      <xdr:blipFill>
        <a:blip r:embed="rId177"/>
        <a:stretch/>
      </xdr:blipFill>
      <xdr:spPr>
        <a:xfrm>
          <a:off x="1181880" y="71066160"/>
          <a:ext cx="46800" cy="189720"/>
        </a:xfrm>
        <a:prstGeom prst="rect">
          <a:avLst/>
        </a:prstGeom>
        <a:noFill/>
        <a:ln w="0">
          <a:noFill/>
        </a:ln>
      </xdr:spPr>
    </xdr:pic>
    <xdr:clientData/>
  </xdr:twoCellAnchor>
  <xdr:twoCellAnchor editAs="oneCell">
    <xdr:from>
      <xdr:col>1</xdr:col>
      <xdr:colOff>0</xdr:colOff>
      <xdr:row>407</xdr:row>
      <xdr:rowOff>0</xdr:rowOff>
    </xdr:from>
    <xdr:to>
      <xdr:col>1</xdr:col>
      <xdr:colOff>46800</xdr:colOff>
      <xdr:row>407</xdr:row>
      <xdr:rowOff>189720</xdr:rowOff>
    </xdr:to>
    <xdr:pic>
      <xdr:nvPicPr>
        <xdr:cNvPr id="217" name="image1.gif"/>
        <xdr:cNvPicPr/>
      </xdr:nvPicPr>
      <xdr:blipFill>
        <a:blip r:embed="rId178"/>
        <a:stretch/>
      </xdr:blipFill>
      <xdr:spPr>
        <a:xfrm>
          <a:off x="1181880" y="71580240"/>
          <a:ext cx="46800" cy="189720"/>
        </a:xfrm>
        <a:prstGeom prst="rect">
          <a:avLst/>
        </a:prstGeom>
        <a:noFill/>
        <a:ln w="0">
          <a:noFill/>
        </a:ln>
      </xdr:spPr>
    </xdr:pic>
    <xdr:clientData/>
  </xdr:twoCellAnchor>
  <xdr:twoCellAnchor editAs="oneCell">
    <xdr:from>
      <xdr:col>1</xdr:col>
      <xdr:colOff>0</xdr:colOff>
      <xdr:row>409</xdr:row>
      <xdr:rowOff>0</xdr:rowOff>
    </xdr:from>
    <xdr:to>
      <xdr:col>1</xdr:col>
      <xdr:colOff>46800</xdr:colOff>
      <xdr:row>409</xdr:row>
      <xdr:rowOff>189720</xdr:rowOff>
    </xdr:to>
    <xdr:pic>
      <xdr:nvPicPr>
        <xdr:cNvPr id="218" name="image1.gif"/>
        <xdr:cNvPicPr/>
      </xdr:nvPicPr>
      <xdr:blipFill>
        <a:blip r:embed="rId179"/>
        <a:stretch/>
      </xdr:blipFill>
      <xdr:spPr>
        <a:xfrm>
          <a:off x="1181880" y="71961480"/>
          <a:ext cx="46800" cy="189720"/>
        </a:xfrm>
        <a:prstGeom prst="rect">
          <a:avLst/>
        </a:prstGeom>
        <a:noFill/>
        <a:ln w="0">
          <a:noFill/>
        </a:ln>
      </xdr:spPr>
    </xdr:pic>
    <xdr:clientData/>
  </xdr:twoCellAnchor>
  <xdr:twoCellAnchor editAs="oneCell">
    <xdr:from>
      <xdr:col>1</xdr:col>
      <xdr:colOff>0</xdr:colOff>
      <xdr:row>411</xdr:row>
      <xdr:rowOff>0</xdr:rowOff>
    </xdr:from>
    <xdr:to>
      <xdr:col>1</xdr:col>
      <xdr:colOff>46800</xdr:colOff>
      <xdr:row>412</xdr:row>
      <xdr:rowOff>28080</xdr:rowOff>
    </xdr:to>
    <xdr:pic>
      <xdr:nvPicPr>
        <xdr:cNvPr id="219" name="image1.gif"/>
        <xdr:cNvPicPr/>
      </xdr:nvPicPr>
      <xdr:blipFill>
        <a:blip r:embed="rId180"/>
        <a:stretch/>
      </xdr:blipFill>
      <xdr:spPr>
        <a:xfrm>
          <a:off x="1181880" y="72313920"/>
          <a:ext cx="46800" cy="189720"/>
        </a:xfrm>
        <a:prstGeom prst="rect">
          <a:avLst/>
        </a:prstGeom>
        <a:noFill/>
        <a:ln w="0">
          <a:noFill/>
        </a:ln>
      </xdr:spPr>
    </xdr:pic>
    <xdr:clientData/>
  </xdr:twoCellAnchor>
  <xdr:twoCellAnchor editAs="oneCell">
    <xdr:from>
      <xdr:col>1</xdr:col>
      <xdr:colOff>0</xdr:colOff>
      <xdr:row>413</xdr:row>
      <xdr:rowOff>0</xdr:rowOff>
    </xdr:from>
    <xdr:to>
      <xdr:col>1</xdr:col>
      <xdr:colOff>46800</xdr:colOff>
      <xdr:row>414</xdr:row>
      <xdr:rowOff>27720</xdr:rowOff>
    </xdr:to>
    <xdr:pic>
      <xdr:nvPicPr>
        <xdr:cNvPr id="220" name="image1.gif"/>
        <xdr:cNvPicPr/>
      </xdr:nvPicPr>
      <xdr:blipFill>
        <a:blip r:embed="rId181"/>
        <a:stretch/>
      </xdr:blipFill>
      <xdr:spPr>
        <a:xfrm>
          <a:off x="1181880" y="72637560"/>
          <a:ext cx="46800" cy="189720"/>
        </a:xfrm>
        <a:prstGeom prst="rect">
          <a:avLst/>
        </a:prstGeom>
        <a:noFill/>
        <a:ln w="0">
          <a:noFill/>
        </a:ln>
      </xdr:spPr>
    </xdr:pic>
    <xdr:clientData/>
  </xdr:twoCellAnchor>
  <xdr:twoCellAnchor editAs="oneCell">
    <xdr:from>
      <xdr:col>1</xdr:col>
      <xdr:colOff>0</xdr:colOff>
      <xdr:row>415</xdr:row>
      <xdr:rowOff>0</xdr:rowOff>
    </xdr:from>
    <xdr:to>
      <xdr:col>1</xdr:col>
      <xdr:colOff>46800</xdr:colOff>
      <xdr:row>416</xdr:row>
      <xdr:rowOff>27720</xdr:rowOff>
    </xdr:to>
    <xdr:pic>
      <xdr:nvPicPr>
        <xdr:cNvPr id="221" name="image1.gif"/>
        <xdr:cNvPicPr/>
      </xdr:nvPicPr>
      <xdr:blipFill>
        <a:blip r:embed="rId182"/>
        <a:stretch/>
      </xdr:blipFill>
      <xdr:spPr>
        <a:xfrm>
          <a:off x="1181880" y="72961560"/>
          <a:ext cx="46800" cy="189720"/>
        </a:xfrm>
        <a:prstGeom prst="rect">
          <a:avLst/>
        </a:prstGeom>
        <a:noFill/>
        <a:ln w="0">
          <a:noFill/>
        </a:ln>
      </xdr:spPr>
    </xdr:pic>
    <xdr:clientData/>
  </xdr:twoCellAnchor>
  <xdr:twoCellAnchor editAs="oneCell">
    <xdr:from>
      <xdr:col>1</xdr:col>
      <xdr:colOff>0</xdr:colOff>
      <xdr:row>417</xdr:row>
      <xdr:rowOff>0</xdr:rowOff>
    </xdr:from>
    <xdr:to>
      <xdr:col>1</xdr:col>
      <xdr:colOff>46800</xdr:colOff>
      <xdr:row>418</xdr:row>
      <xdr:rowOff>27720</xdr:rowOff>
    </xdr:to>
    <xdr:pic>
      <xdr:nvPicPr>
        <xdr:cNvPr id="222" name="image1.gif"/>
        <xdr:cNvPicPr/>
      </xdr:nvPicPr>
      <xdr:blipFill>
        <a:blip r:embed="rId183"/>
        <a:stretch/>
      </xdr:blipFill>
      <xdr:spPr>
        <a:xfrm>
          <a:off x="1181880" y="73285200"/>
          <a:ext cx="46800" cy="189720"/>
        </a:xfrm>
        <a:prstGeom prst="rect">
          <a:avLst/>
        </a:prstGeom>
        <a:noFill/>
        <a:ln w="0">
          <a:noFill/>
        </a:ln>
      </xdr:spPr>
    </xdr:pic>
    <xdr:clientData/>
  </xdr:twoCellAnchor>
  <xdr:twoCellAnchor editAs="oneCell">
    <xdr:from>
      <xdr:col>1</xdr:col>
      <xdr:colOff>0</xdr:colOff>
      <xdr:row>417</xdr:row>
      <xdr:rowOff>0</xdr:rowOff>
    </xdr:from>
    <xdr:to>
      <xdr:col>1</xdr:col>
      <xdr:colOff>46800</xdr:colOff>
      <xdr:row>418</xdr:row>
      <xdr:rowOff>27720</xdr:rowOff>
    </xdr:to>
    <xdr:pic>
      <xdr:nvPicPr>
        <xdr:cNvPr id="223" name="image1.gif"/>
        <xdr:cNvPicPr/>
      </xdr:nvPicPr>
      <xdr:blipFill>
        <a:blip r:embed="rId184"/>
        <a:stretch/>
      </xdr:blipFill>
      <xdr:spPr>
        <a:xfrm>
          <a:off x="1181880" y="73285200"/>
          <a:ext cx="46800" cy="189720"/>
        </a:xfrm>
        <a:prstGeom prst="rect">
          <a:avLst/>
        </a:prstGeom>
        <a:noFill/>
        <a:ln w="0">
          <a:noFill/>
        </a:ln>
      </xdr:spPr>
    </xdr:pic>
    <xdr:clientData/>
  </xdr:twoCellAnchor>
  <xdr:twoCellAnchor editAs="oneCell">
    <xdr:from>
      <xdr:col>1</xdr:col>
      <xdr:colOff>0</xdr:colOff>
      <xdr:row>406</xdr:row>
      <xdr:rowOff>0</xdr:rowOff>
    </xdr:from>
    <xdr:to>
      <xdr:col>1</xdr:col>
      <xdr:colOff>46800</xdr:colOff>
      <xdr:row>406</xdr:row>
      <xdr:rowOff>189720</xdr:rowOff>
    </xdr:to>
    <xdr:pic>
      <xdr:nvPicPr>
        <xdr:cNvPr id="224" name="image1.gif"/>
        <xdr:cNvPicPr/>
      </xdr:nvPicPr>
      <xdr:blipFill>
        <a:blip r:embed="rId185"/>
        <a:stretch/>
      </xdr:blipFill>
      <xdr:spPr>
        <a:xfrm>
          <a:off x="1181880" y="71389800"/>
          <a:ext cx="46800" cy="189720"/>
        </a:xfrm>
        <a:prstGeom prst="rect">
          <a:avLst/>
        </a:prstGeom>
        <a:noFill/>
        <a:ln w="0">
          <a:noFill/>
        </a:ln>
      </xdr:spPr>
    </xdr:pic>
    <xdr:clientData/>
  </xdr:twoCellAnchor>
  <xdr:twoCellAnchor editAs="oneCell">
    <xdr:from>
      <xdr:col>1</xdr:col>
      <xdr:colOff>0</xdr:colOff>
      <xdr:row>408</xdr:row>
      <xdr:rowOff>0</xdr:rowOff>
    </xdr:from>
    <xdr:to>
      <xdr:col>1</xdr:col>
      <xdr:colOff>46800</xdr:colOff>
      <xdr:row>408</xdr:row>
      <xdr:rowOff>189720</xdr:rowOff>
    </xdr:to>
    <xdr:pic>
      <xdr:nvPicPr>
        <xdr:cNvPr id="225" name="image1.gif"/>
        <xdr:cNvPicPr/>
      </xdr:nvPicPr>
      <xdr:blipFill>
        <a:blip r:embed="rId186"/>
        <a:stretch/>
      </xdr:blipFill>
      <xdr:spPr>
        <a:xfrm>
          <a:off x="1181880" y="71771040"/>
          <a:ext cx="46800" cy="189720"/>
        </a:xfrm>
        <a:prstGeom prst="rect">
          <a:avLst/>
        </a:prstGeom>
        <a:noFill/>
        <a:ln w="0">
          <a:noFill/>
        </a:ln>
      </xdr:spPr>
    </xdr:pic>
    <xdr:clientData/>
  </xdr:twoCellAnchor>
  <xdr:twoCellAnchor editAs="oneCell">
    <xdr:from>
      <xdr:col>1</xdr:col>
      <xdr:colOff>0</xdr:colOff>
      <xdr:row>410</xdr:row>
      <xdr:rowOff>0</xdr:rowOff>
    </xdr:from>
    <xdr:to>
      <xdr:col>1</xdr:col>
      <xdr:colOff>46800</xdr:colOff>
      <xdr:row>411</xdr:row>
      <xdr:rowOff>27720</xdr:rowOff>
    </xdr:to>
    <xdr:pic>
      <xdr:nvPicPr>
        <xdr:cNvPr id="226" name="image1.gif"/>
        <xdr:cNvPicPr/>
      </xdr:nvPicPr>
      <xdr:blipFill>
        <a:blip r:embed="rId187"/>
        <a:stretch/>
      </xdr:blipFill>
      <xdr:spPr>
        <a:xfrm>
          <a:off x="1181880" y="72151920"/>
          <a:ext cx="46800" cy="189720"/>
        </a:xfrm>
        <a:prstGeom prst="rect">
          <a:avLst/>
        </a:prstGeom>
        <a:noFill/>
        <a:ln w="0">
          <a:noFill/>
        </a:ln>
      </xdr:spPr>
    </xdr:pic>
    <xdr:clientData/>
  </xdr:twoCellAnchor>
  <xdr:twoCellAnchor editAs="oneCell">
    <xdr:from>
      <xdr:col>1</xdr:col>
      <xdr:colOff>0</xdr:colOff>
      <xdr:row>410</xdr:row>
      <xdr:rowOff>0</xdr:rowOff>
    </xdr:from>
    <xdr:to>
      <xdr:col>1</xdr:col>
      <xdr:colOff>46800</xdr:colOff>
      <xdr:row>411</xdr:row>
      <xdr:rowOff>27720</xdr:rowOff>
    </xdr:to>
    <xdr:pic>
      <xdr:nvPicPr>
        <xdr:cNvPr id="227" name="image1.gif"/>
        <xdr:cNvPicPr/>
      </xdr:nvPicPr>
      <xdr:blipFill>
        <a:blip r:embed="rId188"/>
        <a:stretch/>
      </xdr:blipFill>
      <xdr:spPr>
        <a:xfrm>
          <a:off x="1181880" y="72151920"/>
          <a:ext cx="46800" cy="189720"/>
        </a:xfrm>
        <a:prstGeom prst="rect">
          <a:avLst/>
        </a:prstGeom>
        <a:noFill/>
        <a:ln w="0">
          <a:noFill/>
        </a:ln>
      </xdr:spPr>
    </xdr:pic>
    <xdr:clientData/>
  </xdr:twoCellAnchor>
  <xdr:twoCellAnchor editAs="oneCell">
    <xdr:from>
      <xdr:col>1</xdr:col>
      <xdr:colOff>0</xdr:colOff>
      <xdr:row>412</xdr:row>
      <xdr:rowOff>0</xdr:rowOff>
    </xdr:from>
    <xdr:to>
      <xdr:col>1</xdr:col>
      <xdr:colOff>46800</xdr:colOff>
      <xdr:row>413</xdr:row>
      <xdr:rowOff>27720</xdr:rowOff>
    </xdr:to>
    <xdr:pic>
      <xdr:nvPicPr>
        <xdr:cNvPr id="228" name="image1.gif"/>
        <xdr:cNvPicPr/>
      </xdr:nvPicPr>
      <xdr:blipFill>
        <a:blip r:embed="rId189"/>
        <a:stretch/>
      </xdr:blipFill>
      <xdr:spPr>
        <a:xfrm>
          <a:off x="1181880" y="72475560"/>
          <a:ext cx="46800" cy="189720"/>
        </a:xfrm>
        <a:prstGeom prst="rect">
          <a:avLst/>
        </a:prstGeom>
        <a:noFill/>
        <a:ln w="0">
          <a:noFill/>
        </a:ln>
      </xdr:spPr>
    </xdr:pic>
    <xdr:clientData/>
  </xdr:twoCellAnchor>
  <xdr:twoCellAnchor editAs="oneCell">
    <xdr:from>
      <xdr:col>1</xdr:col>
      <xdr:colOff>0</xdr:colOff>
      <xdr:row>412</xdr:row>
      <xdr:rowOff>0</xdr:rowOff>
    </xdr:from>
    <xdr:to>
      <xdr:col>1</xdr:col>
      <xdr:colOff>46800</xdr:colOff>
      <xdr:row>413</xdr:row>
      <xdr:rowOff>27720</xdr:rowOff>
    </xdr:to>
    <xdr:pic>
      <xdr:nvPicPr>
        <xdr:cNvPr id="229" name="image1.gif"/>
        <xdr:cNvPicPr/>
      </xdr:nvPicPr>
      <xdr:blipFill>
        <a:blip r:embed="rId190"/>
        <a:stretch/>
      </xdr:blipFill>
      <xdr:spPr>
        <a:xfrm>
          <a:off x="1181880" y="72475560"/>
          <a:ext cx="46800" cy="189720"/>
        </a:xfrm>
        <a:prstGeom prst="rect">
          <a:avLst/>
        </a:prstGeom>
        <a:noFill/>
        <a:ln w="0">
          <a:noFill/>
        </a:ln>
      </xdr:spPr>
    </xdr:pic>
    <xdr:clientData/>
  </xdr:twoCellAnchor>
  <xdr:twoCellAnchor editAs="oneCell">
    <xdr:from>
      <xdr:col>1</xdr:col>
      <xdr:colOff>0</xdr:colOff>
      <xdr:row>414</xdr:row>
      <xdr:rowOff>0</xdr:rowOff>
    </xdr:from>
    <xdr:to>
      <xdr:col>1</xdr:col>
      <xdr:colOff>46800</xdr:colOff>
      <xdr:row>415</xdr:row>
      <xdr:rowOff>27720</xdr:rowOff>
    </xdr:to>
    <xdr:pic>
      <xdr:nvPicPr>
        <xdr:cNvPr id="230" name="image1.gif"/>
        <xdr:cNvPicPr/>
      </xdr:nvPicPr>
      <xdr:blipFill>
        <a:blip r:embed="rId191"/>
        <a:stretch/>
      </xdr:blipFill>
      <xdr:spPr>
        <a:xfrm>
          <a:off x="1181880" y="72799560"/>
          <a:ext cx="46800" cy="189720"/>
        </a:xfrm>
        <a:prstGeom prst="rect">
          <a:avLst/>
        </a:prstGeom>
        <a:noFill/>
        <a:ln w="0">
          <a:noFill/>
        </a:ln>
      </xdr:spPr>
    </xdr:pic>
    <xdr:clientData/>
  </xdr:twoCellAnchor>
  <xdr:twoCellAnchor editAs="oneCell">
    <xdr:from>
      <xdr:col>1</xdr:col>
      <xdr:colOff>0</xdr:colOff>
      <xdr:row>414</xdr:row>
      <xdr:rowOff>0</xdr:rowOff>
    </xdr:from>
    <xdr:to>
      <xdr:col>1</xdr:col>
      <xdr:colOff>46800</xdr:colOff>
      <xdr:row>415</xdr:row>
      <xdr:rowOff>27720</xdr:rowOff>
    </xdr:to>
    <xdr:pic>
      <xdr:nvPicPr>
        <xdr:cNvPr id="231" name="image1.gif"/>
        <xdr:cNvPicPr/>
      </xdr:nvPicPr>
      <xdr:blipFill>
        <a:blip r:embed="rId192"/>
        <a:stretch/>
      </xdr:blipFill>
      <xdr:spPr>
        <a:xfrm>
          <a:off x="1181880" y="72799560"/>
          <a:ext cx="46800" cy="189720"/>
        </a:xfrm>
        <a:prstGeom prst="rect">
          <a:avLst/>
        </a:prstGeom>
        <a:noFill/>
        <a:ln w="0">
          <a:noFill/>
        </a:ln>
      </xdr:spPr>
    </xdr:pic>
    <xdr:clientData/>
  </xdr:twoCellAnchor>
  <xdr:twoCellAnchor editAs="oneCell">
    <xdr:from>
      <xdr:col>1</xdr:col>
      <xdr:colOff>0</xdr:colOff>
      <xdr:row>416</xdr:row>
      <xdr:rowOff>0</xdr:rowOff>
    </xdr:from>
    <xdr:to>
      <xdr:col>1</xdr:col>
      <xdr:colOff>46800</xdr:colOff>
      <xdr:row>417</xdr:row>
      <xdr:rowOff>28080</xdr:rowOff>
    </xdr:to>
    <xdr:pic>
      <xdr:nvPicPr>
        <xdr:cNvPr id="232" name="image1.gif"/>
        <xdr:cNvPicPr/>
      </xdr:nvPicPr>
      <xdr:blipFill>
        <a:blip r:embed="rId193"/>
        <a:stretch/>
      </xdr:blipFill>
      <xdr:spPr>
        <a:xfrm>
          <a:off x="1181880" y="73123560"/>
          <a:ext cx="46800" cy="189720"/>
        </a:xfrm>
        <a:prstGeom prst="rect">
          <a:avLst/>
        </a:prstGeom>
        <a:noFill/>
        <a:ln w="0">
          <a:noFill/>
        </a:ln>
      </xdr:spPr>
    </xdr:pic>
    <xdr:clientData/>
  </xdr:twoCellAnchor>
  <xdr:twoCellAnchor editAs="oneCell">
    <xdr:from>
      <xdr:col>1</xdr:col>
      <xdr:colOff>0</xdr:colOff>
      <xdr:row>416</xdr:row>
      <xdr:rowOff>0</xdr:rowOff>
    </xdr:from>
    <xdr:to>
      <xdr:col>1</xdr:col>
      <xdr:colOff>46800</xdr:colOff>
      <xdr:row>417</xdr:row>
      <xdr:rowOff>28080</xdr:rowOff>
    </xdr:to>
    <xdr:pic>
      <xdr:nvPicPr>
        <xdr:cNvPr id="233" name="image1.gif"/>
        <xdr:cNvPicPr/>
      </xdr:nvPicPr>
      <xdr:blipFill>
        <a:blip r:embed="rId194"/>
        <a:stretch/>
      </xdr:blipFill>
      <xdr:spPr>
        <a:xfrm>
          <a:off x="1181880" y="73123560"/>
          <a:ext cx="46800" cy="189720"/>
        </a:xfrm>
        <a:prstGeom prst="rect">
          <a:avLst/>
        </a:prstGeom>
        <a:noFill/>
        <a:ln w="0">
          <a:noFill/>
        </a:ln>
      </xdr:spPr>
    </xdr:pic>
    <xdr:clientData/>
  </xdr:twoCellAnchor>
  <xdr:twoCellAnchor editAs="oneCell">
    <xdr:from>
      <xdr:col>1</xdr:col>
      <xdr:colOff>0</xdr:colOff>
      <xdr:row>418</xdr:row>
      <xdr:rowOff>0</xdr:rowOff>
    </xdr:from>
    <xdr:to>
      <xdr:col>1</xdr:col>
      <xdr:colOff>46800</xdr:colOff>
      <xdr:row>419</xdr:row>
      <xdr:rowOff>27720</xdr:rowOff>
    </xdr:to>
    <xdr:pic>
      <xdr:nvPicPr>
        <xdr:cNvPr id="234" name="image1.gif"/>
        <xdr:cNvPicPr/>
      </xdr:nvPicPr>
      <xdr:blipFill>
        <a:blip r:embed="rId195"/>
        <a:stretch/>
      </xdr:blipFill>
      <xdr:spPr>
        <a:xfrm>
          <a:off x="1181880" y="73447200"/>
          <a:ext cx="46800" cy="189720"/>
        </a:xfrm>
        <a:prstGeom prst="rect">
          <a:avLst/>
        </a:prstGeom>
        <a:noFill/>
        <a:ln w="0">
          <a:noFill/>
        </a:ln>
      </xdr:spPr>
    </xdr:pic>
    <xdr:clientData/>
  </xdr:twoCellAnchor>
  <xdr:twoCellAnchor editAs="oneCell">
    <xdr:from>
      <xdr:col>1</xdr:col>
      <xdr:colOff>0</xdr:colOff>
      <xdr:row>418</xdr:row>
      <xdr:rowOff>0</xdr:rowOff>
    </xdr:from>
    <xdr:to>
      <xdr:col>1</xdr:col>
      <xdr:colOff>46800</xdr:colOff>
      <xdr:row>419</xdr:row>
      <xdr:rowOff>27720</xdr:rowOff>
    </xdr:to>
    <xdr:pic>
      <xdr:nvPicPr>
        <xdr:cNvPr id="235" name="image1.gif"/>
        <xdr:cNvPicPr/>
      </xdr:nvPicPr>
      <xdr:blipFill>
        <a:blip r:embed="rId196"/>
        <a:stretch/>
      </xdr:blipFill>
      <xdr:spPr>
        <a:xfrm>
          <a:off x="1181880" y="73447200"/>
          <a:ext cx="46800" cy="189720"/>
        </a:xfrm>
        <a:prstGeom prst="rect">
          <a:avLst/>
        </a:prstGeom>
        <a:noFill/>
        <a:ln w="0">
          <a:noFill/>
        </a:ln>
      </xdr:spPr>
    </xdr:pic>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1</xdr:col>
      <xdr:colOff>37440</xdr:colOff>
      <xdr:row>1</xdr:row>
      <xdr:rowOff>151560</xdr:rowOff>
    </xdr:to>
    <xdr:pic>
      <xdr:nvPicPr>
        <xdr:cNvPr id="236" name="image1.gif" descr="http://sistemas.agricultura.gov.br/infra_css/imagens/espaco.gif"/>
        <xdr:cNvPicPr/>
      </xdr:nvPicPr>
      <xdr:blipFill>
        <a:blip r:embed="rId1"/>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37" name="image1.gif" descr="http://sistemas.agricultura.gov.br/infra_css/imagens/espaco.gif"/>
        <xdr:cNvPicPr/>
      </xdr:nvPicPr>
      <xdr:blipFill>
        <a:blip r:embed="rId2"/>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38" name="image1.gif" descr="http://sistemas.agricultura.gov.br/infra_css/imagens/espaco.gif"/>
        <xdr:cNvPicPr/>
      </xdr:nvPicPr>
      <xdr:blipFill>
        <a:blip r:embed="rId3"/>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39" name="image1.gif" descr="http://sistemas.agricultura.gov.br/infra_css/imagens/espaco.gif"/>
        <xdr:cNvPicPr/>
      </xdr:nvPicPr>
      <xdr:blipFill>
        <a:blip r:embed="rId4"/>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40" name="image1.gif" descr="http://sistemas.agricultura.gov.br/infra_css/imagens/espaco.gif"/>
        <xdr:cNvPicPr/>
      </xdr:nvPicPr>
      <xdr:blipFill>
        <a:blip r:embed="rId5"/>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41" name="image1.gif" descr="http://sistemas.agricultura.gov.br/infra_css/imagens/espaco.gif"/>
        <xdr:cNvPicPr/>
      </xdr:nvPicPr>
      <xdr:blipFill>
        <a:blip r:embed="rId6"/>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42" name="image1.gif" descr="http://sistemas.agricultura.gov.br/infra_css/imagens/espaco.gif"/>
        <xdr:cNvPicPr/>
      </xdr:nvPicPr>
      <xdr:blipFill>
        <a:blip r:embed="rId7"/>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43" name="image1.gif" descr="http://sistemas.agricultura.gov.br/infra_css/imagens/espaco.gif"/>
        <xdr:cNvPicPr/>
      </xdr:nvPicPr>
      <xdr:blipFill>
        <a:blip r:embed="rId8"/>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44" name="image1.gif" descr="http://sistemas.agricultura.gov.br/infra_css/imagens/espaco.gif"/>
        <xdr:cNvPicPr/>
      </xdr:nvPicPr>
      <xdr:blipFill>
        <a:blip r:embed="rId9"/>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45" name="image1.gif" descr="http://sistemas.agricultura.gov.br/infra_css/imagens/espaco.gif"/>
        <xdr:cNvPicPr/>
      </xdr:nvPicPr>
      <xdr:blipFill>
        <a:blip r:embed="rId10"/>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46" name="image1.gif" descr="http://sistemas.agricultura.gov.br/infra_css/imagens/espaco.gif"/>
        <xdr:cNvPicPr/>
      </xdr:nvPicPr>
      <xdr:blipFill>
        <a:blip r:embed="rId11"/>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47" name="image1.gif" descr="http://sistemas.agricultura.gov.br/infra_css/imagens/espaco.gif"/>
        <xdr:cNvPicPr/>
      </xdr:nvPicPr>
      <xdr:blipFill>
        <a:blip r:embed="rId12"/>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48" name="image1.gif" descr="http://sistemas.agricultura.gov.br/infra_css/imagens/espaco.gif"/>
        <xdr:cNvPicPr/>
      </xdr:nvPicPr>
      <xdr:blipFill>
        <a:blip r:embed="rId13"/>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49" name="image1.gif" descr="http://sistemas.agricultura.gov.br/infra_css/imagens/espaco.gif"/>
        <xdr:cNvPicPr/>
      </xdr:nvPicPr>
      <xdr:blipFill>
        <a:blip r:embed="rId14"/>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50" name="image1.gif" descr="http://sistemas.agricultura.gov.br/infra_css/imagens/espaco.gif"/>
        <xdr:cNvPicPr/>
      </xdr:nvPicPr>
      <xdr:blipFill>
        <a:blip r:embed="rId15"/>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51" name="image1.gif" descr="http://sistemas.agricultura.gov.br/infra_css/imagens/espaco.gif"/>
        <xdr:cNvPicPr/>
      </xdr:nvPicPr>
      <xdr:blipFill>
        <a:blip r:embed="rId16"/>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52" name="image1.gif" descr="http://sistemas.agricultura.gov.br/infra_css/imagens/espaco.gif"/>
        <xdr:cNvPicPr/>
      </xdr:nvPicPr>
      <xdr:blipFill>
        <a:blip r:embed="rId17"/>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53" name="image1.gif" descr="http://sistemas.agricultura.gov.br/infra_css/imagens/espaco.gif"/>
        <xdr:cNvPicPr/>
      </xdr:nvPicPr>
      <xdr:blipFill>
        <a:blip r:embed="rId18"/>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54" name="image1.gif" descr="http://sistemas.agricultura.gov.br/infra_css/imagens/espaco.gif"/>
        <xdr:cNvPicPr/>
      </xdr:nvPicPr>
      <xdr:blipFill>
        <a:blip r:embed="rId19"/>
        <a:stretch/>
      </xdr:blipFill>
      <xdr:spPr>
        <a:xfrm>
          <a:off x="1282680" y="162000"/>
          <a:ext cx="37440" cy="151560"/>
        </a:xfrm>
        <a:prstGeom prst="rect">
          <a:avLst/>
        </a:prstGeom>
        <a:noFill/>
        <a:ln w="0">
          <a:noFill/>
        </a:ln>
      </xdr:spPr>
    </xdr:pic>
    <xdr:clientData/>
  </xdr:twoCellAnchor>
  <xdr:twoCellAnchor editAs="oneCell">
    <xdr:from>
      <xdr:col>17</xdr:col>
      <xdr:colOff>9360</xdr:colOff>
      <xdr:row>1</xdr:row>
      <xdr:rowOff>171360</xdr:rowOff>
    </xdr:from>
    <xdr:to>
      <xdr:col>18</xdr:col>
      <xdr:colOff>189360</xdr:colOff>
      <xdr:row>8</xdr:row>
      <xdr:rowOff>37440</xdr:rowOff>
    </xdr:to>
    <xdr:pic>
      <xdr:nvPicPr>
        <xdr:cNvPr id="255" name="image2.jpg"/>
        <xdr:cNvPicPr/>
      </xdr:nvPicPr>
      <xdr:blipFill>
        <a:blip r:embed="rId20"/>
        <a:stretch/>
      </xdr:blipFill>
      <xdr:spPr>
        <a:xfrm>
          <a:off x="36159840" y="333360"/>
          <a:ext cx="2681280" cy="119952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56" name="image1.gif" descr="http://sistemas.agricultura.gov.br/infra_css/imagens/espaco.gif"/>
        <xdr:cNvPicPr/>
      </xdr:nvPicPr>
      <xdr:blipFill>
        <a:blip r:embed="rId21"/>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57" name="image1.gif" descr="http://sistemas.agricultura.gov.br/infra_css/imagens/espaco.gif"/>
        <xdr:cNvPicPr/>
      </xdr:nvPicPr>
      <xdr:blipFill>
        <a:blip r:embed="rId22"/>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58" name="image1.gif" descr="http://sistemas.agricultura.gov.br/infra_css/imagens/espaco.gif"/>
        <xdr:cNvPicPr/>
      </xdr:nvPicPr>
      <xdr:blipFill>
        <a:blip r:embed="rId23"/>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59" name="image1.gif" descr="http://sistemas.agricultura.gov.br/infra_css/imagens/espaco.gif"/>
        <xdr:cNvPicPr/>
      </xdr:nvPicPr>
      <xdr:blipFill>
        <a:blip r:embed="rId24"/>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60" name="image1.gif" descr="http://sistemas.agricultura.gov.br/infra_css/imagens/espaco.gif"/>
        <xdr:cNvPicPr/>
      </xdr:nvPicPr>
      <xdr:blipFill>
        <a:blip r:embed="rId25"/>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61" name="image1.gif" descr="http://sistemas.agricultura.gov.br/infra_css/imagens/espaco.gif"/>
        <xdr:cNvPicPr/>
      </xdr:nvPicPr>
      <xdr:blipFill>
        <a:blip r:embed="rId26"/>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62" name="image1.gif" descr="http://sistemas.agricultura.gov.br/infra_css/imagens/espaco.gif"/>
        <xdr:cNvPicPr/>
      </xdr:nvPicPr>
      <xdr:blipFill>
        <a:blip r:embed="rId27"/>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63" name="image1.gif" descr="http://sistemas.agricultura.gov.br/infra_css/imagens/espaco.gif"/>
        <xdr:cNvPicPr/>
      </xdr:nvPicPr>
      <xdr:blipFill>
        <a:blip r:embed="rId28"/>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64" name="image1.gif" descr="http://sistemas.agricultura.gov.br/infra_css/imagens/espaco.gif"/>
        <xdr:cNvPicPr/>
      </xdr:nvPicPr>
      <xdr:blipFill>
        <a:blip r:embed="rId29"/>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65" name="image1.gif" descr="http://sistemas.agricultura.gov.br/infra_css/imagens/espaco.gif"/>
        <xdr:cNvPicPr/>
      </xdr:nvPicPr>
      <xdr:blipFill>
        <a:blip r:embed="rId30"/>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66" name="image1.gif" descr="http://sistemas.agricultura.gov.br/infra_css/imagens/espaco.gif"/>
        <xdr:cNvPicPr/>
      </xdr:nvPicPr>
      <xdr:blipFill>
        <a:blip r:embed="rId31"/>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67" name="image1.gif" descr="http://sistemas.agricultura.gov.br/infra_css/imagens/espaco.gif"/>
        <xdr:cNvPicPr/>
      </xdr:nvPicPr>
      <xdr:blipFill>
        <a:blip r:embed="rId32"/>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68" name="image1.gif" descr="http://sistemas.agricultura.gov.br/infra_css/imagens/espaco.gif"/>
        <xdr:cNvPicPr/>
      </xdr:nvPicPr>
      <xdr:blipFill>
        <a:blip r:embed="rId33"/>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69" name="image1.gif" descr="http://sistemas.agricultura.gov.br/infra_css/imagens/espaco.gif"/>
        <xdr:cNvPicPr/>
      </xdr:nvPicPr>
      <xdr:blipFill>
        <a:blip r:embed="rId34"/>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70" name="image1.gif" descr="http://sistemas.agricultura.gov.br/infra_css/imagens/espaco.gif"/>
        <xdr:cNvPicPr/>
      </xdr:nvPicPr>
      <xdr:blipFill>
        <a:blip r:embed="rId35"/>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71" name="image1.gif" descr="http://sistemas.agricultura.gov.br/infra_css/imagens/espaco.gif"/>
        <xdr:cNvPicPr/>
      </xdr:nvPicPr>
      <xdr:blipFill>
        <a:blip r:embed="rId36"/>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72" name="image1.gif" descr="http://sistemas.agricultura.gov.br/infra_css/imagens/espaco.gif"/>
        <xdr:cNvPicPr/>
      </xdr:nvPicPr>
      <xdr:blipFill>
        <a:blip r:embed="rId37"/>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73" name="image1.gif" descr="http://sistemas.agricultura.gov.br/infra_css/imagens/espaco.gif"/>
        <xdr:cNvPicPr/>
      </xdr:nvPicPr>
      <xdr:blipFill>
        <a:blip r:embed="rId38"/>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74" name="image1.gif" descr="http://sistemas.agricultura.gov.br/infra_css/imagens/espaco.gif"/>
        <xdr:cNvPicPr/>
      </xdr:nvPicPr>
      <xdr:blipFill>
        <a:blip r:embed="rId39"/>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75" name="image1.gif" descr="http://sistemas.agricultura.gov.br/infra_css/imagens/espaco.gif"/>
        <xdr:cNvPicPr/>
      </xdr:nvPicPr>
      <xdr:blipFill>
        <a:blip r:embed="rId40"/>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76" name="image1.gif" descr="http://sistemas.agricultura.gov.br/infra_css/imagens/espaco.gif"/>
        <xdr:cNvPicPr/>
      </xdr:nvPicPr>
      <xdr:blipFill>
        <a:blip r:embed="rId41"/>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77" name="image1.gif" descr="http://sistemas.agricultura.gov.br/infra_css/imagens/espaco.gif"/>
        <xdr:cNvPicPr/>
      </xdr:nvPicPr>
      <xdr:blipFill>
        <a:blip r:embed="rId42"/>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78" name="image1.gif" descr="http://sistemas.agricultura.gov.br/infra_css/imagens/espaco.gif"/>
        <xdr:cNvPicPr/>
      </xdr:nvPicPr>
      <xdr:blipFill>
        <a:blip r:embed="rId43"/>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79" name="image1.gif" descr="http://sistemas.agricultura.gov.br/infra_css/imagens/espaco.gif"/>
        <xdr:cNvPicPr/>
      </xdr:nvPicPr>
      <xdr:blipFill>
        <a:blip r:embed="rId44"/>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80" name="image1.gif" descr="http://sistemas.agricultura.gov.br/infra_css/imagens/espaco.gif"/>
        <xdr:cNvPicPr/>
      </xdr:nvPicPr>
      <xdr:blipFill>
        <a:blip r:embed="rId45"/>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81" name="image1.gif" descr="http://sistemas.agricultura.gov.br/infra_css/imagens/espaco.gif"/>
        <xdr:cNvPicPr/>
      </xdr:nvPicPr>
      <xdr:blipFill>
        <a:blip r:embed="rId46"/>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82" name="image1.gif" descr="http://sistemas.agricultura.gov.br/infra_css/imagens/espaco.gif"/>
        <xdr:cNvPicPr/>
      </xdr:nvPicPr>
      <xdr:blipFill>
        <a:blip r:embed="rId47"/>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83" name="image1.gif" descr="http://sistemas.agricultura.gov.br/infra_css/imagens/espaco.gif"/>
        <xdr:cNvPicPr/>
      </xdr:nvPicPr>
      <xdr:blipFill>
        <a:blip r:embed="rId48"/>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84" name="image1.gif" descr="http://sistemas.agricultura.gov.br/infra_css/imagens/espaco.gif"/>
        <xdr:cNvPicPr/>
      </xdr:nvPicPr>
      <xdr:blipFill>
        <a:blip r:embed="rId49"/>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85" name="image1.gif" descr="http://sistemas.agricultura.gov.br/infra_css/imagens/espaco.gif"/>
        <xdr:cNvPicPr/>
      </xdr:nvPicPr>
      <xdr:blipFill>
        <a:blip r:embed="rId50"/>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86" name="image1.gif" descr="http://sistemas.agricultura.gov.br/infra_css/imagens/espaco.gif"/>
        <xdr:cNvPicPr/>
      </xdr:nvPicPr>
      <xdr:blipFill>
        <a:blip r:embed="rId51"/>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87" name="image1.gif" descr="http://sistemas.agricultura.gov.br/infra_css/imagens/espaco.gif"/>
        <xdr:cNvPicPr/>
      </xdr:nvPicPr>
      <xdr:blipFill>
        <a:blip r:embed="rId52"/>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88" name="image1.gif" descr="http://sistemas.agricultura.gov.br/infra_css/imagens/espaco.gif"/>
        <xdr:cNvPicPr/>
      </xdr:nvPicPr>
      <xdr:blipFill>
        <a:blip r:embed="rId53"/>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89" name="image1.gif" descr="http://sistemas.agricultura.gov.br/infra_css/imagens/espaco.gif"/>
        <xdr:cNvPicPr/>
      </xdr:nvPicPr>
      <xdr:blipFill>
        <a:blip r:embed="rId54"/>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90" name="image1.gif" descr="http://sistemas.agricultura.gov.br/infra_css/imagens/espaco.gif"/>
        <xdr:cNvPicPr/>
      </xdr:nvPicPr>
      <xdr:blipFill>
        <a:blip r:embed="rId55"/>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91" name="image1.gif" descr="http://sistemas.agricultura.gov.br/infra_css/imagens/espaco.gif"/>
        <xdr:cNvPicPr/>
      </xdr:nvPicPr>
      <xdr:blipFill>
        <a:blip r:embed="rId56"/>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92" name="image1.gif" descr="http://sistemas.agricultura.gov.br/infra_css/imagens/espaco.gif"/>
        <xdr:cNvPicPr/>
      </xdr:nvPicPr>
      <xdr:blipFill>
        <a:blip r:embed="rId57"/>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93" name="image1.gif" descr="http://sistemas.agricultura.gov.br/infra_css/imagens/espaco.gif"/>
        <xdr:cNvPicPr/>
      </xdr:nvPicPr>
      <xdr:blipFill>
        <a:blip r:embed="rId58"/>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46800</xdr:colOff>
      <xdr:row>1</xdr:row>
      <xdr:rowOff>189720</xdr:rowOff>
    </xdr:to>
    <xdr:pic>
      <xdr:nvPicPr>
        <xdr:cNvPr id="294" name="image1.gif"/>
        <xdr:cNvPicPr/>
      </xdr:nvPicPr>
      <xdr:blipFill>
        <a:blip r:embed="rId59"/>
        <a:stretch/>
      </xdr:blipFill>
      <xdr:spPr>
        <a:xfrm>
          <a:off x="1282680" y="162000"/>
          <a:ext cx="46800" cy="189720"/>
        </a:xfrm>
        <a:prstGeom prst="rect">
          <a:avLst/>
        </a:prstGeom>
        <a:noFill/>
        <a:ln w="0">
          <a:noFill/>
        </a:ln>
      </xdr:spPr>
    </xdr:pic>
    <xdr:clientData/>
  </xdr:twoCellAnchor>
  <xdr:twoCellAnchor editAs="oneCell">
    <xdr:from>
      <xdr:col>1</xdr:col>
      <xdr:colOff>0</xdr:colOff>
      <xdr:row>1</xdr:row>
      <xdr:rowOff>0</xdr:rowOff>
    </xdr:from>
    <xdr:to>
      <xdr:col>1</xdr:col>
      <xdr:colOff>46800</xdr:colOff>
      <xdr:row>1</xdr:row>
      <xdr:rowOff>189720</xdr:rowOff>
    </xdr:to>
    <xdr:pic>
      <xdr:nvPicPr>
        <xdr:cNvPr id="295" name="image1.gif"/>
        <xdr:cNvPicPr/>
      </xdr:nvPicPr>
      <xdr:blipFill>
        <a:blip r:embed="rId60"/>
        <a:stretch/>
      </xdr:blipFill>
      <xdr:spPr>
        <a:xfrm>
          <a:off x="1282680" y="162000"/>
          <a:ext cx="46800" cy="189720"/>
        </a:xfrm>
        <a:prstGeom prst="rect">
          <a:avLst/>
        </a:prstGeom>
        <a:noFill/>
        <a:ln w="0">
          <a:noFill/>
        </a:ln>
      </xdr:spPr>
    </xdr:pic>
    <xdr:clientData/>
  </xdr:twoCellAnchor>
  <xdr:twoCellAnchor editAs="oneCell">
    <xdr:from>
      <xdr:col>1</xdr:col>
      <xdr:colOff>0</xdr:colOff>
      <xdr:row>1</xdr:row>
      <xdr:rowOff>0</xdr:rowOff>
    </xdr:from>
    <xdr:to>
      <xdr:col>1</xdr:col>
      <xdr:colOff>46800</xdr:colOff>
      <xdr:row>1</xdr:row>
      <xdr:rowOff>189720</xdr:rowOff>
    </xdr:to>
    <xdr:pic>
      <xdr:nvPicPr>
        <xdr:cNvPr id="296" name="image1.gif"/>
        <xdr:cNvPicPr/>
      </xdr:nvPicPr>
      <xdr:blipFill>
        <a:blip r:embed="rId61"/>
        <a:stretch/>
      </xdr:blipFill>
      <xdr:spPr>
        <a:xfrm>
          <a:off x="1282680" y="162000"/>
          <a:ext cx="46800" cy="189720"/>
        </a:xfrm>
        <a:prstGeom prst="rect">
          <a:avLst/>
        </a:prstGeom>
        <a:noFill/>
        <a:ln w="0">
          <a:noFill/>
        </a:ln>
      </xdr:spPr>
    </xdr:pic>
    <xdr:clientData/>
  </xdr:twoCellAnchor>
  <xdr:twoCellAnchor editAs="oneCell">
    <xdr:from>
      <xdr:col>1</xdr:col>
      <xdr:colOff>0</xdr:colOff>
      <xdr:row>1</xdr:row>
      <xdr:rowOff>0</xdr:rowOff>
    </xdr:from>
    <xdr:to>
      <xdr:col>1</xdr:col>
      <xdr:colOff>46800</xdr:colOff>
      <xdr:row>1</xdr:row>
      <xdr:rowOff>189720</xdr:rowOff>
    </xdr:to>
    <xdr:pic>
      <xdr:nvPicPr>
        <xdr:cNvPr id="297" name="image1.gif"/>
        <xdr:cNvPicPr/>
      </xdr:nvPicPr>
      <xdr:blipFill>
        <a:blip r:embed="rId62"/>
        <a:stretch/>
      </xdr:blipFill>
      <xdr:spPr>
        <a:xfrm>
          <a:off x="1282680" y="162000"/>
          <a:ext cx="46800" cy="18972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98" name="image1.gif" descr="http://sistemas.agricultura.gov.br/infra_css/imagens/espaco.gif"/>
        <xdr:cNvPicPr/>
      </xdr:nvPicPr>
      <xdr:blipFill>
        <a:blip r:embed="rId63"/>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299" name="image1.gif" descr="http://sistemas.agricultura.gov.br/infra_css/imagens/espaco.gif"/>
        <xdr:cNvPicPr/>
      </xdr:nvPicPr>
      <xdr:blipFill>
        <a:blip r:embed="rId64"/>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00" name="image1.gif" descr="http://sistemas.agricultura.gov.br/infra_css/imagens/espaco.gif"/>
        <xdr:cNvPicPr/>
      </xdr:nvPicPr>
      <xdr:blipFill>
        <a:blip r:embed="rId65"/>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01" name="image1.gif" descr="http://sistemas.agricultura.gov.br/infra_css/imagens/espaco.gif"/>
        <xdr:cNvPicPr/>
      </xdr:nvPicPr>
      <xdr:blipFill>
        <a:blip r:embed="rId66"/>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02" name="image1.gif" descr="http://sistemas.agricultura.gov.br/infra_css/imagens/espaco.gif"/>
        <xdr:cNvPicPr/>
      </xdr:nvPicPr>
      <xdr:blipFill>
        <a:blip r:embed="rId67"/>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03" name="image1.gif" descr="http://sistemas.agricultura.gov.br/infra_css/imagens/espaco.gif"/>
        <xdr:cNvPicPr/>
      </xdr:nvPicPr>
      <xdr:blipFill>
        <a:blip r:embed="rId68"/>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04" name="image1.gif" descr="http://sistemas.agricultura.gov.br/infra_css/imagens/espaco.gif"/>
        <xdr:cNvPicPr/>
      </xdr:nvPicPr>
      <xdr:blipFill>
        <a:blip r:embed="rId69"/>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05" name="image1.gif" descr="http://sistemas.agricultura.gov.br/infra_css/imagens/espaco.gif"/>
        <xdr:cNvPicPr/>
      </xdr:nvPicPr>
      <xdr:blipFill>
        <a:blip r:embed="rId70"/>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06" name="image1.gif" descr="http://sistemas.agricultura.gov.br/infra_css/imagens/espaco.gif"/>
        <xdr:cNvPicPr/>
      </xdr:nvPicPr>
      <xdr:blipFill>
        <a:blip r:embed="rId71"/>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07" name="image1.gif" descr="http://sistemas.agricultura.gov.br/infra_css/imagens/espaco.gif"/>
        <xdr:cNvPicPr/>
      </xdr:nvPicPr>
      <xdr:blipFill>
        <a:blip r:embed="rId72"/>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08" name="image1.gif" descr="http://sistemas.agricultura.gov.br/infra_css/imagens/espaco.gif"/>
        <xdr:cNvPicPr/>
      </xdr:nvPicPr>
      <xdr:blipFill>
        <a:blip r:embed="rId73"/>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09" name="image1.gif" descr="http://sistemas.agricultura.gov.br/infra_css/imagens/espaco.gif"/>
        <xdr:cNvPicPr/>
      </xdr:nvPicPr>
      <xdr:blipFill>
        <a:blip r:embed="rId74"/>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10" name="image1.gif" descr="http://sistemas.agricultura.gov.br/infra_css/imagens/espaco.gif"/>
        <xdr:cNvPicPr/>
      </xdr:nvPicPr>
      <xdr:blipFill>
        <a:blip r:embed="rId75"/>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11" name="image1.gif" descr="http://sistemas.agricultura.gov.br/infra_css/imagens/espaco.gif"/>
        <xdr:cNvPicPr/>
      </xdr:nvPicPr>
      <xdr:blipFill>
        <a:blip r:embed="rId76"/>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12" name="image1.gif" descr="http://sistemas.agricultura.gov.br/infra_css/imagens/espaco.gif"/>
        <xdr:cNvPicPr/>
      </xdr:nvPicPr>
      <xdr:blipFill>
        <a:blip r:embed="rId77"/>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13" name="image1.gif" descr="http://sistemas.agricultura.gov.br/infra_css/imagens/espaco.gif"/>
        <xdr:cNvPicPr/>
      </xdr:nvPicPr>
      <xdr:blipFill>
        <a:blip r:embed="rId78"/>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14" name="image1.gif" descr="http://sistemas.agricultura.gov.br/infra_css/imagens/espaco.gif"/>
        <xdr:cNvPicPr/>
      </xdr:nvPicPr>
      <xdr:blipFill>
        <a:blip r:embed="rId79"/>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15" name="image1.gif" descr="http://sistemas.agricultura.gov.br/infra_css/imagens/espaco.gif"/>
        <xdr:cNvPicPr/>
      </xdr:nvPicPr>
      <xdr:blipFill>
        <a:blip r:embed="rId80"/>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16" name="image1.gif" descr="http://sistemas.agricultura.gov.br/infra_css/imagens/espaco.gif"/>
        <xdr:cNvPicPr/>
      </xdr:nvPicPr>
      <xdr:blipFill>
        <a:blip r:embed="rId81"/>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17" name="image1.gif" descr="http://sistemas.agricultura.gov.br/infra_css/imagens/espaco.gif"/>
        <xdr:cNvPicPr/>
      </xdr:nvPicPr>
      <xdr:blipFill>
        <a:blip r:embed="rId82"/>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18" name="image1.gif" descr="http://sistemas.agricultura.gov.br/infra_css/imagens/espaco.gif"/>
        <xdr:cNvPicPr/>
      </xdr:nvPicPr>
      <xdr:blipFill>
        <a:blip r:embed="rId83"/>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19" name="image1.gif" descr="http://sistemas.agricultura.gov.br/infra_css/imagens/espaco.gif"/>
        <xdr:cNvPicPr/>
      </xdr:nvPicPr>
      <xdr:blipFill>
        <a:blip r:embed="rId84"/>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20" name="image1.gif" descr="http://sistemas.agricultura.gov.br/infra_css/imagens/espaco.gif"/>
        <xdr:cNvPicPr/>
      </xdr:nvPicPr>
      <xdr:blipFill>
        <a:blip r:embed="rId85"/>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21" name="image1.gif" descr="http://sistemas.agricultura.gov.br/infra_css/imagens/espaco.gif"/>
        <xdr:cNvPicPr/>
      </xdr:nvPicPr>
      <xdr:blipFill>
        <a:blip r:embed="rId86"/>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22" name="image1.gif" descr="http://sistemas.agricultura.gov.br/infra_css/imagens/espaco.gif"/>
        <xdr:cNvPicPr/>
      </xdr:nvPicPr>
      <xdr:blipFill>
        <a:blip r:embed="rId87"/>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23" name="image1.gif" descr="http://sistemas.agricultura.gov.br/infra_css/imagens/espaco.gif"/>
        <xdr:cNvPicPr/>
      </xdr:nvPicPr>
      <xdr:blipFill>
        <a:blip r:embed="rId88"/>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24" name="image1.gif" descr="http://sistemas.agricultura.gov.br/infra_css/imagens/espaco.gif"/>
        <xdr:cNvPicPr/>
      </xdr:nvPicPr>
      <xdr:blipFill>
        <a:blip r:embed="rId89"/>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25" name="image1.gif" descr="http://sistemas.agricultura.gov.br/infra_css/imagens/espaco.gif"/>
        <xdr:cNvPicPr/>
      </xdr:nvPicPr>
      <xdr:blipFill>
        <a:blip r:embed="rId90"/>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26" name="image1.gif" descr="http://sistemas.agricultura.gov.br/infra_css/imagens/espaco.gif"/>
        <xdr:cNvPicPr/>
      </xdr:nvPicPr>
      <xdr:blipFill>
        <a:blip r:embed="rId91"/>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27" name="image1.gif" descr="http://sistemas.agricultura.gov.br/infra_css/imagens/espaco.gif"/>
        <xdr:cNvPicPr/>
      </xdr:nvPicPr>
      <xdr:blipFill>
        <a:blip r:embed="rId92"/>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28" name="image1.gif" descr="http://sistemas.agricultura.gov.br/infra_css/imagens/espaco.gif"/>
        <xdr:cNvPicPr/>
      </xdr:nvPicPr>
      <xdr:blipFill>
        <a:blip r:embed="rId93"/>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29" name="image1.gif" descr="http://sistemas.agricultura.gov.br/infra_css/imagens/espaco.gif"/>
        <xdr:cNvPicPr/>
      </xdr:nvPicPr>
      <xdr:blipFill>
        <a:blip r:embed="rId94"/>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30" name="image1.gif" descr="http://sistemas.agricultura.gov.br/infra_css/imagens/espaco.gif"/>
        <xdr:cNvPicPr/>
      </xdr:nvPicPr>
      <xdr:blipFill>
        <a:blip r:embed="rId95"/>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31" name="image1.gif" descr="http://sistemas.agricultura.gov.br/infra_css/imagens/espaco.gif"/>
        <xdr:cNvPicPr/>
      </xdr:nvPicPr>
      <xdr:blipFill>
        <a:blip r:embed="rId96"/>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32" name="image1.gif" descr="http://sistemas.agricultura.gov.br/infra_css/imagens/espaco.gif"/>
        <xdr:cNvPicPr/>
      </xdr:nvPicPr>
      <xdr:blipFill>
        <a:blip r:embed="rId97"/>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33" name="image1.gif" descr="http://sistemas.agricultura.gov.br/infra_css/imagens/espaco.gif"/>
        <xdr:cNvPicPr/>
      </xdr:nvPicPr>
      <xdr:blipFill>
        <a:blip r:embed="rId98"/>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34" name="image1.gif" descr="http://sistemas.agricultura.gov.br/infra_css/imagens/espaco.gif"/>
        <xdr:cNvPicPr/>
      </xdr:nvPicPr>
      <xdr:blipFill>
        <a:blip r:embed="rId99"/>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35" name="image1.gif" descr="http://sistemas.agricultura.gov.br/infra_css/imagens/espaco.gif"/>
        <xdr:cNvPicPr/>
      </xdr:nvPicPr>
      <xdr:blipFill>
        <a:blip r:embed="rId100"/>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46800</xdr:colOff>
      <xdr:row>1</xdr:row>
      <xdr:rowOff>184680</xdr:rowOff>
    </xdr:to>
    <xdr:pic>
      <xdr:nvPicPr>
        <xdr:cNvPr id="336" name="image1.gif"/>
        <xdr:cNvPicPr/>
      </xdr:nvPicPr>
      <xdr:blipFill>
        <a:blip r:embed="rId101"/>
        <a:stretch/>
      </xdr:blipFill>
      <xdr:spPr>
        <a:xfrm>
          <a:off x="1282680" y="162000"/>
          <a:ext cx="46800" cy="184680"/>
        </a:xfrm>
        <a:prstGeom prst="rect">
          <a:avLst/>
        </a:prstGeom>
        <a:noFill/>
        <a:ln w="0">
          <a:noFill/>
        </a:ln>
      </xdr:spPr>
    </xdr:pic>
    <xdr:clientData/>
  </xdr:twoCellAnchor>
  <xdr:twoCellAnchor editAs="oneCell">
    <xdr:from>
      <xdr:col>1</xdr:col>
      <xdr:colOff>0</xdr:colOff>
      <xdr:row>1</xdr:row>
      <xdr:rowOff>0</xdr:rowOff>
    </xdr:from>
    <xdr:to>
      <xdr:col>1</xdr:col>
      <xdr:colOff>46800</xdr:colOff>
      <xdr:row>1</xdr:row>
      <xdr:rowOff>184680</xdr:rowOff>
    </xdr:to>
    <xdr:pic>
      <xdr:nvPicPr>
        <xdr:cNvPr id="337" name="image1.gif"/>
        <xdr:cNvPicPr/>
      </xdr:nvPicPr>
      <xdr:blipFill>
        <a:blip r:embed="rId102"/>
        <a:stretch/>
      </xdr:blipFill>
      <xdr:spPr>
        <a:xfrm>
          <a:off x="1282680" y="162000"/>
          <a:ext cx="46800" cy="184680"/>
        </a:xfrm>
        <a:prstGeom prst="rect">
          <a:avLst/>
        </a:prstGeom>
        <a:noFill/>
        <a:ln w="0">
          <a:noFill/>
        </a:ln>
      </xdr:spPr>
    </xdr:pic>
    <xdr:clientData/>
  </xdr:twoCellAnchor>
  <xdr:twoCellAnchor editAs="oneCell">
    <xdr:from>
      <xdr:col>1</xdr:col>
      <xdr:colOff>0</xdr:colOff>
      <xdr:row>1</xdr:row>
      <xdr:rowOff>0</xdr:rowOff>
    </xdr:from>
    <xdr:to>
      <xdr:col>1</xdr:col>
      <xdr:colOff>46800</xdr:colOff>
      <xdr:row>1</xdr:row>
      <xdr:rowOff>184680</xdr:rowOff>
    </xdr:to>
    <xdr:pic>
      <xdr:nvPicPr>
        <xdr:cNvPr id="338" name="image1.gif"/>
        <xdr:cNvPicPr/>
      </xdr:nvPicPr>
      <xdr:blipFill>
        <a:blip r:embed="rId103"/>
        <a:stretch/>
      </xdr:blipFill>
      <xdr:spPr>
        <a:xfrm>
          <a:off x="1282680" y="162000"/>
          <a:ext cx="46800" cy="184680"/>
        </a:xfrm>
        <a:prstGeom prst="rect">
          <a:avLst/>
        </a:prstGeom>
        <a:noFill/>
        <a:ln w="0">
          <a:noFill/>
        </a:ln>
      </xdr:spPr>
    </xdr:pic>
    <xdr:clientData/>
  </xdr:twoCellAnchor>
  <xdr:twoCellAnchor editAs="oneCell">
    <xdr:from>
      <xdr:col>1</xdr:col>
      <xdr:colOff>0</xdr:colOff>
      <xdr:row>1</xdr:row>
      <xdr:rowOff>0</xdr:rowOff>
    </xdr:from>
    <xdr:to>
      <xdr:col>1</xdr:col>
      <xdr:colOff>46800</xdr:colOff>
      <xdr:row>1</xdr:row>
      <xdr:rowOff>184680</xdr:rowOff>
    </xdr:to>
    <xdr:pic>
      <xdr:nvPicPr>
        <xdr:cNvPr id="339" name="image1.gif"/>
        <xdr:cNvPicPr/>
      </xdr:nvPicPr>
      <xdr:blipFill>
        <a:blip r:embed="rId104"/>
        <a:stretch/>
      </xdr:blipFill>
      <xdr:spPr>
        <a:xfrm>
          <a:off x="1282680" y="162000"/>
          <a:ext cx="46800" cy="18468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40" name="image1.gif" descr="http://sistemas.agricultura.gov.br/infra_css/imagens/espaco.gif"/>
        <xdr:cNvPicPr/>
      </xdr:nvPicPr>
      <xdr:blipFill>
        <a:blip r:embed="rId105"/>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41" name="image1.gif" descr="http://sistemas.agricultura.gov.br/infra_css/imagens/espaco.gif"/>
        <xdr:cNvPicPr/>
      </xdr:nvPicPr>
      <xdr:blipFill>
        <a:blip r:embed="rId106"/>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42" name="image1.gif" descr="http://sistemas.agricultura.gov.br/infra_css/imagens/espaco.gif"/>
        <xdr:cNvPicPr/>
      </xdr:nvPicPr>
      <xdr:blipFill>
        <a:blip r:embed="rId107"/>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43" name="image1.gif" descr="http://sistemas.agricultura.gov.br/infra_css/imagens/espaco.gif"/>
        <xdr:cNvPicPr/>
      </xdr:nvPicPr>
      <xdr:blipFill>
        <a:blip r:embed="rId108"/>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44" name="image1.gif" descr="http://sistemas.agricultura.gov.br/infra_css/imagens/espaco.gif"/>
        <xdr:cNvPicPr/>
      </xdr:nvPicPr>
      <xdr:blipFill>
        <a:blip r:embed="rId109"/>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45" name="image1.gif" descr="http://sistemas.agricultura.gov.br/infra_css/imagens/espaco.gif"/>
        <xdr:cNvPicPr/>
      </xdr:nvPicPr>
      <xdr:blipFill>
        <a:blip r:embed="rId110"/>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46" name="image1.gif" descr="http://sistemas.agricultura.gov.br/infra_css/imagens/espaco.gif"/>
        <xdr:cNvPicPr/>
      </xdr:nvPicPr>
      <xdr:blipFill>
        <a:blip r:embed="rId111"/>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47" name="image1.gif" descr="http://sistemas.agricultura.gov.br/infra_css/imagens/espaco.gif"/>
        <xdr:cNvPicPr/>
      </xdr:nvPicPr>
      <xdr:blipFill>
        <a:blip r:embed="rId112"/>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48" name="image1.gif" descr="http://sistemas.agricultura.gov.br/infra_css/imagens/espaco.gif"/>
        <xdr:cNvPicPr/>
      </xdr:nvPicPr>
      <xdr:blipFill>
        <a:blip r:embed="rId113"/>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49" name="image1.gif" descr="http://sistemas.agricultura.gov.br/infra_css/imagens/espaco.gif"/>
        <xdr:cNvPicPr/>
      </xdr:nvPicPr>
      <xdr:blipFill>
        <a:blip r:embed="rId114"/>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50" name="image1.gif" descr="http://sistemas.agricultura.gov.br/infra_css/imagens/espaco.gif"/>
        <xdr:cNvPicPr/>
      </xdr:nvPicPr>
      <xdr:blipFill>
        <a:blip r:embed="rId115"/>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51" name="image1.gif" descr="http://sistemas.agricultura.gov.br/infra_css/imagens/espaco.gif"/>
        <xdr:cNvPicPr/>
      </xdr:nvPicPr>
      <xdr:blipFill>
        <a:blip r:embed="rId116"/>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52" name="image1.gif" descr="http://sistemas.agricultura.gov.br/infra_css/imagens/espaco.gif"/>
        <xdr:cNvPicPr/>
      </xdr:nvPicPr>
      <xdr:blipFill>
        <a:blip r:embed="rId117"/>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53" name="image1.gif" descr="http://sistemas.agricultura.gov.br/infra_css/imagens/espaco.gif"/>
        <xdr:cNvPicPr/>
      </xdr:nvPicPr>
      <xdr:blipFill>
        <a:blip r:embed="rId118"/>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54" name="image1.gif" descr="http://sistemas.agricultura.gov.br/infra_css/imagens/espaco.gif"/>
        <xdr:cNvPicPr/>
      </xdr:nvPicPr>
      <xdr:blipFill>
        <a:blip r:embed="rId119"/>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55" name="image1.gif" descr="http://sistemas.agricultura.gov.br/infra_css/imagens/espaco.gif"/>
        <xdr:cNvPicPr/>
      </xdr:nvPicPr>
      <xdr:blipFill>
        <a:blip r:embed="rId120"/>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56" name="image1.gif" descr="http://sistemas.agricultura.gov.br/infra_css/imagens/espaco.gif"/>
        <xdr:cNvPicPr/>
      </xdr:nvPicPr>
      <xdr:blipFill>
        <a:blip r:embed="rId121"/>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57" name="image1.gif" descr="http://sistemas.agricultura.gov.br/infra_css/imagens/espaco.gif"/>
        <xdr:cNvPicPr/>
      </xdr:nvPicPr>
      <xdr:blipFill>
        <a:blip r:embed="rId122"/>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58" name="image1.gif" descr="http://sistemas.agricultura.gov.br/infra_css/imagens/espaco.gif"/>
        <xdr:cNvPicPr/>
      </xdr:nvPicPr>
      <xdr:blipFill>
        <a:blip r:embed="rId123"/>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59" name="image1.gif" descr="http://sistemas.agricultura.gov.br/infra_css/imagens/espaco.gif"/>
        <xdr:cNvPicPr/>
      </xdr:nvPicPr>
      <xdr:blipFill>
        <a:blip r:embed="rId124"/>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60" name="image1.gif" descr="http://sistemas.agricultura.gov.br/infra_css/imagens/espaco.gif"/>
        <xdr:cNvPicPr/>
      </xdr:nvPicPr>
      <xdr:blipFill>
        <a:blip r:embed="rId125"/>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61" name="image1.gif" descr="http://sistemas.agricultura.gov.br/infra_css/imagens/espaco.gif"/>
        <xdr:cNvPicPr/>
      </xdr:nvPicPr>
      <xdr:blipFill>
        <a:blip r:embed="rId126"/>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62" name="image1.gif" descr="http://sistemas.agricultura.gov.br/infra_css/imagens/espaco.gif"/>
        <xdr:cNvPicPr/>
      </xdr:nvPicPr>
      <xdr:blipFill>
        <a:blip r:embed="rId127"/>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63" name="image1.gif" descr="http://sistemas.agricultura.gov.br/infra_css/imagens/espaco.gif"/>
        <xdr:cNvPicPr/>
      </xdr:nvPicPr>
      <xdr:blipFill>
        <a:blip r:embed="rId128"/>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64" name="image1.gif" descr="http://sistemas.agricultura.gov.br/infra_css/imagens/espaco.gif"/>
        <xdr:cNvPicPr/>
      </xdr:nvPicPr>
      <xdr:blipFill>
        <a:blip r:embed="rId129"/>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65" name="image1.gif" descr="http://sistemas.agricultura.gov.br/infra_css/imagens/espaco.gif"/>
        <xdr:cNvPicPr/>
      </xdr:nvPicPr>
      <xdr:blipFill>
        <a:blip r:embed="rId130"/>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66" name="image1.gif" descr="http://sistemas.agricultura.gov.br/infra_css/imagens/espaco.gif"/>
        <xdr:cNvPicPr/>
      </xdr:nvPicPr>
      <xdr:blipFill>
        <a:blip r:embed="rId131"/>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67" name="image1.gif" descr="http://sistemas.agricultura.gov.br/infra_css/imagens/espaco.gif"/>
        <xdr:cNvPicPr/>
      </xdr:nvPicPr>
      <xdr:blipFill>
        <a:blip r:embed="rId132"/>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68" name="image1.gif" descr="http://sistemas.agricultura.gov.br/infra_css/imagens/espaco.gif"/>
        <xdr:cNvPicPr/>
      </xdr:nvPicPr>
      <xdr:blipFill>
        <a:blip r:embed="rId133"/>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69" name="image1.gif" descr="http://sistemas.agricultura.gov.br/infra_css/imagens/espaco.gif"/>
        <xdr:cNvPicPr/>
      </xdr:nvPicPr>
      <xdr:blipFill>
        <a:blip r:embed="rId134"/>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70" name="image1.gif" descr="http://sistemas.agricultura.gov.br/infra_css/imagens/espaco.gif"/>
        <xdr:cNvPicPr/>
      </xdr:nvPicPr>
      <xdr:blipFill>
        <a:blip r:embed="rId135"/>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71" name="image1.gif" descr="http://sistemas.agricultura.gov.br/infra_css/imagens/espaco.gif"/>
        <xdr:cNvPicPr/>
      </xdr:nvPicPr>
      <xdr:blipFill>
        <a:blip r:embed="rId136"/>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72" name="image1.gif" descr="http://sistemas.agricultura.gov.br/infra_css/imagens/espaco.gif"/>
        <xdr:cNvPicPr/>
      </xdr:nvPicPr>
      <xdr:blipFill>
        <a:blip r:embed="rId137"/>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73" name="image1.gif" descr="http://sistemas.agricultura.gov.br/infra_css/imagens/espaco.gif"/>
        <xdr:cNvPicPr/>
      </xdr:nvPicPr>
      <xdr:blipFill>
        <a:blip r:embed="rId138"/>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74" name="image1.gif" descr="http://sistemas.agricultura.gov.br/infra_css/imagens/espaco.gif"/>
        <xdr:cNvPicPr/>
      </xdr:nvPicPr>
      <xdr:blipFill>
        <a:blip r:embed="rId139"/>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75" name="image1.gif" descr="http://sistemas.agricultura.gov.br/infra_css/imagens/espaco.gif"/>
        <xdr:cNvPicPr/>
      </xdr:nvPicPr>
      <xdr:blipFill>
        <a:blip r:embed="rId140"/>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76" name="image1.gif" descr="http://sistemas.agricultura.gov.br/infra_css/imagens/espaco.gif"/>
        <xdr:cNvPicPr/>
      </xdr:nvPicPr>
      <xdr:blipFill>
        <a:blip r:embed="rId141"/>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77" name="image1.gif" descr="http://sistemas.agricultura.gov.br/infra_css/imagens/espaco.gif"/>
        <xdr:cNvPicPr/>
      </xdr:nvPicPr>
      <xdr:blipFill>
        <a:blip r:embed="rId142"/>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78" name="image1.gif" descr="http://sistemas.agricultura.gov.br/infra_css/imagens/espaco.gif"/>
        <xdr:cNvPicPr/>
      </xdr:nvPicPr>
      <xdr:blipFill>
        <a:blip r:embed="rId143"/>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79" name="image1.gif" descr="http://sistemas.agricultura.gov.br/infra_css/imagens/espaco.gif"/>
        <xdr:cNvPicPr/>
      </xdr:nvPicPr>
      <xdr:blipFill>
        <a:blip r:embed="rId144"/>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80" name="image1.gif" descr="http://sistemas.agricultura.gov.br/infra_css/imagens/espaco.gif"/>
        <xdr:cNvPicPr/>
      </xdr:nvPicPr>
      <xdr:blipFill>
        <a:blip r:embed="rId145"/>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81" name="image1.gif" descr="http://sistemas.agricultura.gov.br/infra_css/imagens/espaco.gif"/>
        <xdr:cNvPicPr/>
      </xdr:nvPicPr>
      <xdr:blipFill>
        <a:blip r:embed="rId146"/>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82" name="image1.gif" descr="http://sistemas.agricultura.gov.br/infra_css/imagens/espaco.gif"/>
        <xdr:cNvPicPr/>
      </xdr:nvPicPr>
      <xdr:blipFill>
        <a:blip r:embed="rId147"/>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83" name="image1.gif" descr="http://sistemas.agricultura.gov.br/infra_css/imagens/espaco.gif"/>
        <xdr:cNvPicPr/>
      </xdr:nvPicPr>
      <xdr:blipFill>
        <a:blip r:embed="rId148"/>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84" name="image1.gif" descr="http://sistemas.agricultura.gov.br/infra_css/imagens/espaco.gif"/>
        <xdr:cNvPicPr/>
      </xdr:nvPicPr>
      <xdr:blipFill>
        <a:blip r:embed="rId149"/>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85" name="image1.gif" descr="http://sistemas.agricultura.gov.br/infra_css/imagens/espaco.gif"/>
        <xdr:cNvPicPr/>
      </xdr:nvPicPr>
      <xdr:blipFill>
        <a:blip r:embed="rId150"/>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86" name="image1.gif" descr="http://sistemas.agricultura.gov.br/infra_css/imagens/espaco.gif"/>
        <xdr:cNvPicPr/>
      </xdr:nvPicPr>
      <xdr:blipFill>
        <a:blip r:embed="rId151"/>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87" name="image1.gif" descr="http://sistemas.agricultura.gov.br/infra_css/imagens/espaco.gif"/>
        <xdr:cNvPicPr/>
      </xdr:nvPicPr>
      <xdr:blipFill>
        <a:blip r:embed="rId152"/>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88" name="image1.gif" descr="http://sistemas.agricultura.gov.br/infra_css/imagens/espaco.gif"/>
        <xdr:cNvPicPr/>
      </xdr:nvPicPr>
      <xdr:blipFill>
        <a:blip r:embed="rId153"/>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89" name="image1.gif" descr="http://sistemas.agricultura.gov.br/infra_css/imagens/espaco.gif"/>
        <xdr:cNvPicPr/>
      </xdr:nvPicPr>
      <xdr:blipFill>
        <a:blip r:embed="rId154"/>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90" name="image1.gif" descr="http://sistemas.agricultura.gov.br/infra_css/imagens/espaco.gif"/>
        <xdr:cNvPicPr/>
      </xdr:nvPicPr>
      <xdr:blipFill>
        <a:blip r:embed="rId155"/>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91" name="image1.gif" descr="http://sistemas.agricultura.gov.br/infra_css/imagens/espaco.gif"/>
        <xdr:cNvPicPr/>
      </xdr:nvPicPr>
      <xdr:blipFill>
        <a:blip r:embed="rId156"/>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92" name="image1.gif" descr="http://sistemas.agricultura.gov.br/infra_css/imagens/espaco.gif"/>
        <xdr:cNvPicPr/>
      </xdr:nvPicPr>
      <xdr:blipFill>
        <a:blip r:embed="rId157"/>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93" name="image1.gif" descr="http://sistemas.agricultura.gov.br/infra_css/imagens/espaco.gif"/>
        <xdr:cNvPicPr/>
      </xdr:nvPicPr>
      <xdr:blipFill>
        <a:blip r:embed="rId158"/>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94" name="image1.gif" descr="http://sistemas.agricultura.gov.br/infra_css/imagens/espaco.gif"/>
        <xdr:cNvPicPr/>
      </xdr:nvPicPr>
      <xdr:blipFill>
        <a:blip r:embed="rId159"/>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95" name="image1.gif" descr="http://sistemas.agricultura.gov.br/infra_css/imagens/espaco.gif"/>
        <xdr:cNvPicPr/>
      </xdr:nvPicPr>
      <xdr:blipFill>
        <a:blip r:embed="rId160"/>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396" name="image1.gif" descr="http://sistemas.agricultura.gov.br/infra_css/imagens/espaco.gif"/>
        <xdr:cNvPicPr/>
      </xdr:nvPicPr>
      <xdr:blipFill>
        <a:blip r:embed="rId161"/>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46800</xdr:colOff>
      <xdr:row>1</xdr:row>
      <xdr:rowOff>189720</xdr:rowOff>
    </xdr:to>
    <xdr:pic>
      <xdr:nvPicPr>
        <xdr:cNvPr id="397" name="image1.gif"/>
        <xdr:cNvPicPr/>
      </xdr:nvPicPr>
      <xdr:blipFill>
        <a:blip r:embed="rId162"/>
        <a:stretch/>
      </xdr:blipFill>
      <xdr:spPr>
        <a:xfrm>
          <a:off x="1282680" y="162000"/>
          <a:ext cx="46800" cy="189720"/>
        </a:xfrm>
        <a:prstGeom prst="rect">
          <a:avLst/>
        </a:prstGeom>
        <a:noFill/>
        <a:ln w="0">
          <a:noFill/>
        </a:ln>
      </xdr:spPr>
    </xdr:pic>
    <xdr:clientData/>
  </xdr:twoCellAnchor>
  <xdr:twoCellAnchor editAs="oneCell">
    <xdr:from>
      <xdr:col>1</xdr:col>
      <xdr:colOff>0</xdr:colOff>
      <xdr:row>1</xdr:row>
      <xdr:rowOff>0</xdr:rowOff>
    </xdr:from>
    <xdr:to>
      <xdr:col>1</xdr:col>
      <xdr:colOff>46800</xdr:colOff>
      <xdr:row>1</xdr:row>
      <xdr:rowOff>189720</xdr:rowOff>
    </xdr:to>
    <xdr:pic>
      <xdr:nvPicPr>
        <xdr:cNvPr id="398" name="image1.gif"/>
        <xdr:cNvPicPr/>
      </xdr:nvPicPr>
      <xdr:blipFill>
        <a:blip r:embed="rId163"/>
        <a:stretch/>
      </xdr:blipFill>
      <xdr:spPr>
        <a:xfrm>
          <a:off x="1282680" y="162000"/>
          <a:ext cx="46800" cy="189720"/>
        </a:xfrm>
        <a:prstGeom prst="rect">
          <a:avLst/>
        </a:prstGeom>
        <a:noFill/>
        <a:ln w="0">
          <a:noFill/>
        </a:ln>
      </xdr:spPr>
    </xdr:pic>
    <xdr:clientData/>
  </xdr:twoCellAnchor>
  <xdr:twoCellAnchor editAs="oneCell">
    <xdr:from>
      <xdr:col>1</xdr:col>
      <xdr:colOff>0</xdr:colOff>
      <xdr:row>1</xdr:row>
      <xdr:rowOff>0</xdr:rowOff>
    </xdr:from>
    <xdr:to>
      <xdr:col>1</xdr:col>
      <xdr:colOff>46800</xdr:colOff>
      <xdr:row>1</xdr:row>
      <xdr:rowOff>189720</xdr:rowOff>
    </xdr:to>
    <xdr:pic>
      <xdr:nvPicPr>
        <xdr:cNvPr id="399" name="image1.gif"/>
        <xdr:cNvPicPr/>
      </xdr:nvPicPr>
      <xdr:blipFill>
        <a:blip r:embed="rId164"/>
        <a:stretch/>
      </xdr:blipFill>
      <xdr:spPr>
        <a:xfrm>
          <a:off x="1282680" y="162000"/>
          <a:ext cx="46800" cy="189720"/>
        </a:xfrm>
        <a:prstGeom prst="rect">
          <a:avLst/>
        </a:prstGeom>
        <a:noFill/>
        <a:ln w="0">
          <a:noFill/>
        </a:ln>
      </xdr:spPr>
    </xdr:pic>
    <xdr:clientData/>
  </xdr:twoCellAnchor>
  <xdr:twoCellAnchor editAs="oneCell">
    <xdr:from>
      <xdr:col>1</xdr:col>
      <xdr:colOff>0</xdr:colOff>
      <xdr:row>1</xdr:row>
      <xdr:rowOff>0</xdr:rowOff>
    </xdr:from>
    <xdr:to>
      <xdr:col>1</xdr:col>
      <xdr:colOff>46800</xdr:colOff>
      <xdr:row>1</xdr:row>
      <xdr:rowOff>189720</xdr:rowOff>
    </xdr:to>
    <xdr:pic>
      <xdr:nvPicPr>
        <xdr:cNvPr id="400" name="image1.gif"/>
        <xdr:cNvPicPr/>
      </xdr:nvPicPr>
      <xdr:blipFill>
        <a:blip r:embed="rId165"/>
        <a:stretch/>
      </xdr:blipFill>
      <xdr:spPr>
        <a:xfrm>
          <a:off x="1282680" y="162000"/>
          <a:ext cx="46800" cy="189720"/>
        </a:xfrm>
        <a:prstGeom prst="rect">
          <a:avLst/>
        </a:prstGeom>
        <a:noFill/>
        <a:ln w="0">
          <a:noFill/>
        </a:ln>
      </xdr:spPr>
    </xdr:pic>
    <xdr:clientData/>
  </xdr:twoCellAnchor>
  <xdr:twoCellAnchor editAs="oneCell">
    <xdr:from>
      <xdr:col>1</xdr:col>
      <xdr:colOff>0</xdr:colOff>
      <xdr:row>199</xdr:row>
      <xdr:rowOff>0</xdr:rowOff>
    </xdr:from>
    <xdr:to>
      <xdr:col>1</xdr:col>
      <xdr:colOff>46800</xdr:colOff>
      <xdr:row>200</xdr:row>
      <xdr:rowOff>27720</xdr:rowOff>
    </xdr:to>
    <xdr:pic>
      <xdr:nvPicPr>
        <xdr:cNvPr id="401" name="image1.gif"/>
        <xdr:cNvPicPr/>
      </xdr:nvPicPr>
      <xdr:blipFill>
        <a:blip r:embed="rId166"/>
        <a:stretch/>
      </xdr:blipFill>
      <xdr:spPr>
        <a:xfrm>
          <a:off x="1282680" y="37299960"/>
          <a:ext cx="46800" cy="189720"/>
        </a:xfrm>
        <a:prstGeom prst="rect">
          <a:avLst/>
        </a:prstGeom>
        <a:noFill/>
        <a:ln w="0">
          <a:noFill/>
        </a:ln>
      </xdr:spPr>
    </xdr:pic>
    <xdr:clientData/>
  </xdr:twoCellAnchor>
  <xdr:twoCellAnchor editAs="oneCell">
    <xdr:from>
      <xdr:col>1</xdr:col>
      <xdr:colOff>0</xdr:colOff>
      <xdr:row>200</xdr:row>
      <xdr:rowOff>0</xdr:rowOff>
    </xdr:from>
    <xdr:to>
      <xdr:col>1</xdr:col>
      <xdr:colOff>46800</xdr:colOff>
      <xdr:row>200</xdr:row>
      <xdr:rowOff>189720</xdr:rowOff>
    </xdr:to>
    <xdr:pic>
      <xdr:nvPicPr>
        <xdr:cNvPr id="402" name="image1.gif"/>
        <xdr:cNvPicPr/>
      </xdr:nvPicPr>
      <xdr:blipFill>
        <a:blip r:embed="rId167"/>
        <a:stretch/>
      </xdr:blipFill>
      <xdr:spPr>
        <a:xfrm>
          <a:off x="1282680" y="37461960"/>
          <a:ext cx="46800" cy="189720"/>
        </a:xfrm>
        <a:prstGeom prst="rect">
          <a:avLst/>
        </a:prstGeom>
        <a:noFill/>
        <a:ln w="0">
          <a:noFill/>
        </a:ln>
      </xdr:spPr>
    </xdr:pic>
    <xdr:clientData/>
  </xdr:twoCellAnchor>
  <xdr:twoCellAnchor editAs="oneCell">
    <xdr:from>
      <xdr:col>1</xdr:col>
      <xdr:colOff>0</xdr:colOff>
      <xdr:row>200</xdr:row>
      <xdr:rowOff>0</xdr:rowOff>
    </xdr:from>
    <xdr:to>
      <xdr:col>1</xdr:col>
      <xdr:colOff>46800</xdr:colOff>
      <xdr:row>200</xdr:row>
      <xdr:rowOff>184680</xdr:rowOff>
    </xdr:to>
    <xdr:pic>
      <xdr:nvPicPr>
        <xdr:cNvPr id="403" name="image1.gif"/>
        <xdr:cNvPicPr/>
      </xdr:nvPicPr>
      <xdr:blipFill>
        <a:blip r:embed="rId168"/>
        <a:stretch/>
      </xdr:blipFill>
      <xdr:spPr>
        <a:xfrm>
          <a:off x="1282680" y="37461960"/>
          <a:ext cx="46800" cy="184680"/>
        </a:xfrm>
        <a:prstGeom prst="rect">
          <a:avLst/>
        </a:prstGeom>
        <a:noFill/>
        <a:ln w="0">
          <a:noFill/>
        </a:ln>
      </xdr:spPr>
    </xdr:pic>
    <xdr:clientData/>
  </xdr:twoCellAnchor>
  <xdr:twoCellAnchor editAs="oneCell">
    <xdr:from>
      <xdr:col>1</xdr:col>
      <xdr:colOff>0</xdr:colOff>
      <xdr:row>200</xdr:row>
      <xdr:rowOff>0</xdr:rowOff>
    </xdr:from>
    <xdr:to>
      <xdr:col>1</xdr:col>
      <xdr:colOff>46800</xdr:colOff>
      <xdr:row>200</xdr:row>
      <xdr:rowOff>184680</xdr:rowOff>
    </xdr:to>
    <xdr:pic>
      <xdr:nvPicPr>
        <xdr:cNvPr id="404" name="image1.gif"/>
        <xdr:cNvPicPr/>
      </xdr:nvPicPr>
      <xdr:blipFill>
        <a:blip r:embed="rId169"/>
        <a:stretch/>
      </xdr:blipFill>
      <xdr:spPr>
        <a:xfrm>
          <a:off x="1282680" y="37461960"/>
          <a:ext cx="46800" cy="184680"/>
        </a:xfrm>
        <a:prstGeom prst="rect">
          <a:avLst/>
        </a:prstGeom>
        <a:noFill/>
        <a:ln w="0">
          <a:noFill/>
        </a:ln>
      </xdr:spPr>
    </xdr:pic>
    <xdr:clientData/>
  </xdr:twoCellAnchor>
  <xdr:twoCellAnchor editAs="oneCell">
    <xdr:from>
      <xdr:col>1</xdr:col>
      <xdr:colOff>0</xdr:colOff>
      <xdr:row>200</xdr:row>
      <xdr:rowOff>0</xdr:rowOff>
    </xdr:from>
    <xdr:to>
      <xdr:col>1</xdr:col>
      <xdr:colOff>46800</xdr:colOff>
      <xdr:row>200</xdr:row>
      <xdr:rowOff>184680</xdr:rowOff>
    </xdr:to>
    <xdr:pic>
      <xdr:nvPicPr>
        <xdr:cNvPr id="405" name="image1.gif"/>
        <xdr:cNvPicPr/>
      </xdr:nvPicPr>
      <xdr:blipFill>
        <a:blip r:embed="rId170"/>
        <a:stretch/>
      </xdr:blipFill>
      <xdr:spPr>
        <a:xfrm>
          <a:off x="1282680" y="37461960"/>
          <a:ext cx="46800" cy="184680"/>
        </a:xfrm>
        <a:prstGeom prst="rect">
          <a:avLst/>
        </a:prstGeom>
        <a:noFill/>
        <a:ln w="0">
          <a:noFill/>
        </a:ln>
      </xdr:spPr>
    </xdr:pic>
    <xdr:clientData/>
  </xdr:twoCellAnchor>
  <xdr:twoCellAnchor editAs="oneCell">
    <xdr:from>
      <xdr:col>1</xdr:col>
      <xdr:colOff>0</xdr:colOff>
      <xdr:row>200</xdr:row>
      <xdr:rowOff>0</xdr:rowOff>
    </xdr:from>
    <xdr:to>
      <xdr:col>1</xdr:col>
      <xdr:colOff>46800</xdr:colOff>
      <xdr:row>200</xdr:row>
      <xdr:rowOff>184680</xdr:rowOff>
    </xdr:to>
    <xdr:pic>
      <xdr:nvPicPr>
        <xdr:cNvPr id="406" name="image1.gif"/>
        <xdr:cNvPicPr/>
      </xdr:nvPicPr>
      <xdr:blipFill>
        <a:blip r:embed="rId171"/>
        <a:stretch/>
      </xdr:blipFill>
      <xdr:spPr>
        <a:xfrm>
          <a:off x="1282680" y="37461960"/>
          <a:ext cx="46800" cy="184680"/>
        </a:xfrm>
        <a:prstGeom prst="rect">
          <a:avLst/>
        </a:prstGeom>
        <a:noFill/>
        <a:ln w="0">
          <a:noFill/>
        </a:ln>
      </xdr:spPr>
    </xdr:pic>
    <xdr:clientData/>
  </xdr:twoCellAnchor>
  <xdr:twoCellAnchor editAs="oneCell">
    <xdr:from>
      <xdr:col>1</xdr:col>
      <xdr:colOff>0</xdr:colOff>
      <xdr:row>400</xdr:row>
      <xdr:rowOff>0</xdr:rowOff>
    </xdr:from>
    <xdr:to>
      <xdr:col>1</xdr:col>
      <xdr:colOff>46800</xdr:colOff>
      <xdr:row>401</xdr:row>
      <xdr:rowOff>27720</xdr:rowOff>
    </xdr:to>
    <xdr:pic>
      <xdr:nvPicPr>
        <xdr:cNvPr id="407" name="image1.gif"/>
        <xdr:cNvPicPr/>
      </xdr:nvPicPr>
      <xdr:blipFill>
        <a:blip r:embed="rId172"/>
        <a:stretch/>
      </xdr:blipFill>
      <xdr:spPr>
        <a:xfrm>
          <a:off x="1282680" y="70418160"/>
          <a:ext cx="46800" cy="189720"/>
        </a:xfrm>
        <a:prstGeom prst="rect">
          <a:avLst/>
        </a:prstGeom>
        <a:noFill/>
        <a:ln w="0">
          <a:noFill/>
        </a:ln>
      </xdr:spPr>
    </xdr:pic>
    <xdr:clientData/>
  </xdr:twoCellAnchor>
  <xdr:twoCellAnchor editAs="oneCell">
    <xdr:from>
      <xdr:col>1</xdr:col>
      <xdr:colOff>0</xdr:colOff>
      <xdr:row>405</xdr:row>
      <xdr:rowOff>0</xdr:rowOff>
    </xdr:from>
    <xdr:to>
      <xdr:col>1</xdr:col>
      <xdr:colOff>46800</xdr:colOff>
      <xdr:row>406</xdr:row>
      <xdr:rowOff>27720</xdr:rowOff>
    </xdr:to>
    <xdr:pic>
      <xdr:nvPicPr>
        <xdr:cNvPr id="408" name="image1.gif"/>
        <xdr:cNvPicPr/>
      </xdr:nvPicPr>
      <xdr:blipFill>
        <a:blip r:embed="rId173"/>
        <a:stretch/>
      </xdr:blipFill>
      <xdr:spPr>
        <a:xfrm>
          <a:off x="1282680" y="71227800"/>
          <a:ext cx="46800" cy="189720"/>
        </a:xfrm>
        <a:prstGeom prst="rect">
          <a:avLst/>
        </a:prstGeom>
        <a:noFill/>
        <a:ln w="0">
          <a:noFill/>
        </a:ln>
      </xdr:spPr>
    </xdr:pic>
    <xdr:clientData/>
  </xdr:twoCellAnchor>
  <xdr:twoCellAnchor editAs="oneCell">
    <xdr:from>
      <xdr:col>1</xdr:col>
      <xdr:colOff>0</xdr:colOff>
      <xdr:row>408</xdr:row>
      <xdr:rowOff>0</xdr:rowOff>
    </xdr:from>
    <xdr:to>
      <xdr:col>1</xdr:col>
      <xdr:colOff>46800</xdr:colOff>
      <xdr:row>408</xdr:row>
      <xdr:rowOff>189720</xdr:rowOff>
    </xdr:to>
    <xdr:pic>
      <xdr:nvPicPr>
        <xdr:cNvPr id="409" name="image1.gif"/>
        <xdr:cNvPicPr/>
      </xdr:nvPicPr>
      <xdr:blipFill>
        <a:blip r:embed="rId174"/>
        <a:stretch/>
      </xdr:blipFill>
      <xdr:spPr>
        <a:xfrm>
          <a:off x="1282680" y="71771040"/>
          <a:ext cx="46800" cy="189720"/>
        </a:xfrm>
        <a:prstGeom prst="rect">
          <a:avLst/>
        </a:prstGeom>
        <a:noFill/>
        <a:ln w="0">
          <a:noFill/>
        </a:ln>
      </xdr:spPr>
    </xdr:pic>
    <xdr:clientData/>
  </xdr:twoCellAnchor>
  <xdr:twoCellAnchor editAs="oneCell">
    <xdr:from>
      <xdr:col>1</xdr:col>
      <xdr:colOff>0</xdr:colOff>
      <xdr:row>420</xdr:row>
      <xdr:rowOff>0</xdr:rowOff>
    </xdr:from>
    <xdr:to>
      <xdr:col>1</xdr:col>
      <xdr:colOff>46800</xdr:colOff>
      <xdr:row>421</xdr:row>
      <xdr:rowOff>27720</xdr:rowOff>
    </xdr:to>
    <xdr:pic>
      <xdr:nvPicPr>
        <xdr:cNvPr id="410" name="image1.gif"/>
        <xdr:cNvPicPr/>
      </xdr:nvPicPr>
      <xdr:blipFill>
        <a:blip r:embed="rId175"/>
        <a:stretch/>
      </xdr:blipFill>
      <xdr:spPr>
        <a:xfrm>
          <a:off x="1282680" y="73771200"/>
          <a:ext cx="46800" cy="189720"/>
        </a:xfrm>
        <a:prstGeom prst="rect">
          <a:avLst/>
        </a:prstGeom>
        <a:noFill/>
        <a:ln w="0">
          <a:noFill/>
        </a:ln>
      </xdr:spPr>
    </xdr:pic>
    <xdr:clientData/>
  </xdr:twoCellAnchor>
  <xdr:twoCellAnchor editAs="oneCell">
    <xdr:from>
      <xdr:col>1</xdr:col>
      <xdr:colOff>0</xdr:colOff>
      <xdr:row>402</xdr:row>
      <xdr:rowOff>0</xdr:rowOff>
    </xdr:from>
    <xdr:to>
      <xdr:col>1</xdr:col>
      <xdr:colOff>46800</xdr:colOff>
      <xdr:row>403</xdr:row>
      <xdr:rowOff>27720</xdr:rowOff>
    </xdr:to>
    <xdr:pic>
      <xdr:nvPicPr>
        <xdr:cNvPr id="411" name="image1.gif"/>
        <xdr:cNvPicPr/>
      </xdr:nvPicPr>
      <xdr:blipFill>
        <a:blip r:embed="rId176"/>
        <a:stretch/>
      </xdr:blipFill>
      <xdr:spPr>
        <a:xfrm>
          <a:off x="1282680" y="70742160"/>
          <a:ext cx="46800" cy="189720"/>
        </a:xfrm>
        <a:prstGeom prst="rect">
          <a:avLst/>
        </a:prstGeom>
        <a:noFill/>
        <a:ln w="0">
          <a:noFill/>
        </a:ln>
      </xdr:spPr>
    </xdr:pic>
    <xdr:clientData/>
  </xdr:twoCellAnchor>
  <xdr:twoCellAnchor editAs="oneCell">
    <xdr:from>
      <xdr:col>1</xdr:col>
      <xdr:colOff>0</xdr:colOff>
      <xdr:row>404</xdr:row>
      <xdr:rowOff>0</xdr:rowOff>
    </xdr:from>
    <xdr:to>
      <xdr:col>1</xdr:col>
      <xdr:colOff>46800</xdr:colOff>
      <xdr:row>405</xdr:row>
      <xdr:rowOff>28080</xdr:rowOff>
    </xdr:to>
    <xdr:pic>
      <xdr:nvPicPr>
        <xdr:cNvPr id="412" name="image1.gif"/>
        <xdr:cNvPicPr/>
      </xdr:nvPicPr>
      <xdr:blipFill>
        <a:blip r:embed="rId177"/>
        <a:stretch/>
      </xdr:blipFill>
      <xdr:spPr>
        <a:xfrm>
          <a:off x="1282680" y="71066160"/>
          <a:ext cx="46800" cy="189720"/>
        </a:xfrm>
        <a:prstGeom prst="rect">
          <a:avLst/>
        </a:prstGeom>
        <a:noFill/>
        <a:ln w="0">
          <a:noFill/>
        </a:ln>
      </xdr:spPr>
    </xdr:pic>
    <xdr:clientData/>
  </xdr:twoCellAnchor>
  <xdr:twoCellAnchor editAs="oneCell">
    <xdr:from>
      <xdr:col>1</xdr:col>
      <xdr:colOff>0</xdr:colOff>
      <xdr:row>407</xdr:row>
      <xdr:rowOff>0</xdr:rowOff>
    </xdr:from>
    <xdr:to>
      <xdr:col>1</xdr:col>
      <xdr:colOff>46800</xdr:colOff>
      <xdr:row>407</xdr:row>
      <xdr:rowOff>189720</xdr:rowOff>
    </xdr:to>
    <xdr:pic>
      <xdr:nvPicPr>
        <xdr:cNvPr id="413" name="image1.gif"/>
        <xdr:cNvPicPr/>
      </xdr:nvPicPr>
      <xdr:blipFill>
        <a:blip r:embed="rId178"/>
        <a:stretch/>
      </xdr:blipFill>
      <xdr:spPr>
        <a:xfrm>
          <a:off x="1282680" y="71580240"/>
          <a:ext cx="46800" cy="189720"/>
        </a:xfrm>
        <a:prstGeom prst="rect">
          <a:avLst/>
        </a:prstGeom>
        <a:noFill/>
        <a:ln w="0">
          <a:noFill/>
        </a:ln>
      </xdr:spPr>
    </xdr:pic>
    <xdr:clientData/>
  </xdr:twoCellAnchor>
  <xdr:twoCellAnchor editAs="oneCell">
    <xdr:from>
      <xdr:col>1</xdr:col>
      <xdr:colOff>0</xdr:colOff>
      <xdr:row>409</xdr:row>
      <xdr:rowOff>0</xdr:rowOff>
    </xdr:from>
    <xdr:to>
      <xdr:col>1</xdr:col>
      <xdr:colOff>46800</xdr:colOff>
      <xdr:row>409</xdr:row>
      <xdr:rowOff>189720</xdr:rowOff>
    </xdr:to>
    <xdr:pic>
      <xdr:nvPicPr>
        <xdr:cNvPr id="414" name="image1.gif"/>
        <xdr:cNvPicPr/>
      </xdr:nvPicPr>
      <xdr:blipFill>
        <a:blip r:embed="rId179"/>
        <a:stretch/>
      </xdr:blipFill>
      <xdr:spPr>
        <a:xfrm>
          <a:off x="1282680" y="71961480"/>
          <a:ext cx="46800" cy="189720"/>
        </a:xfrm>
        <a:prstGeom prst="rect">
          <a:avLst/>
        </a:prstGeom>
        <a:noFill/>
        <a:ln w="0">
          <a:noFill/>
        </a:ln>
      </xdr:spPr>
    </xdr:pic>
    <xdr:clientData/>
  </xdr:twoCellAnchor>
  <xdr:twoCellAnchor editAs="oneCell">
    <xdr:from>
      <xdr:col>1</xdr:col>
      <xdr:colOff>0</xdr:colOff>
      <xdr:row>411</xdr:row>
      <xdr:rowOff>0</xdr:rowOff>
    </xdr:from>
    <xdr:to>
      <xdr:col>1</xdr:col>
      <xdr:colOff>46800</xdr:colOff>
      <xdr:row>412</xdr:row>
      <xdr:rowOff>28080</xdr:rowOff>
    </xdr:to>
    <xdr:pic>
      <xdr:nvPicPr>
        <xdr:cNvPr id="415" name="image1.gif"/>
        <xdr:cNvPicPr/>
      </xdr:nvPicPr>
      <xdr:blipFill>
        <a:blip r:embed="rId180"/>
        <a:stretch/>
      </xdr:blipFill>
      <xdr:spPr>
        <a:xfrm>
          <a:off x="1282680" y="72313920"/>
          <a:ext cx="46800" cy="189720"/>
        </a:xfrm>
        <a:prstGeom prst="rect">
          <a:avLst/>
        </a:prstGeom>
        <a:noFill/>
        <a:ln w="0">
          <a:noFill/>
        </a:ln>
      </xdr:spPr>
    </xdr:pic>
    <xdr:clientData/>
  </xdr:twoCellAnchor>
  <xdr:twoCellAnchor editAs="oneCell">
    <xdr:from>
      <xdr:col>1</xdr:col>
      <xdr:colOff>0</xdr:colOff>
      <xdr:row>413</xdr:row>
      <xdr:rowOff>0</xdr:rowOff>
    </xdr:from>
    <xdr:to>
      <xdr:col>1</xdr:col>
      <xdr:colOff>46800</xdr:colOff>
      <xdr:row>414</xdr:row>
      <xdr:rowOff>27720</xdr:rowOff>
    </xdr:to>
    <xdr:pic>
      <xdr:nvPicPr>
        <xdr:cNvPr id="416" name="image1.gif"/>
        <xdr:cNvPicPr/>
      </xdr:nvPicPr>
      <xdr:blipFill>
        <a:blip r:embed="rId181"/>
        <a:stretch/>
      </xdr:blipFill>
      <xdr:spPr>
        <a:xfrm>
          <a:off x="1282680" y="72637560"/>
          <a:ext cx="46800" cy="189720"/>
        </a:xfrm>
        <a:prstGeom prst="rect">
          <a:avLst/>
        </a:prstGeom>
        <a:noFill/>
        <a:ln w="0">
          <a:noFill/>
        </a:ln>
      </xdr:spPr>
    </xdr:pic>
    <xdr:clientData/>
  </xdr:twoCellAnchor>
  <xdr:twoCellAnchor editAs="oneCell">
    <xdr:from>
      <xdr:col>1</xdr:col>
      <xdr:colOff>0</xdr:colOff>
      <xdr:row>415</xdr:row>
      <xdr:rowOff>0</xdr:rowOff>
    </xdr:from>
    <xdr:to>
      <xdr:col>1</xdr:col>
      <xdr:colOff>46800</xdr:colOff>
      <xdr:row>416</xdr:row>
      <xdr:rowOff>27720</xdr:rowOff>
    </xdr:to>
    <xdr:pic>
      <xdr:nvPicPr>
        <xdr:cNvPr id="417" name="image1.gif"/>
        <xdr:cNvPicPr/>
      </xdr:nvPicPr>
      <xdr:blipFill>
        <a:blip r:embed="rId182"/>
        <a:stretch/>
      </xdr:blipFill>
      <xdr:spPr>
        <a:xfrm>
          <a:off x="1282680" y="72961560"/>
          <a:ext cx="46800" cy="189720"/>
        </a:xfrm>
        <a:prstGeom prst="rect">
          <a:avLst/>
        </a:prstGeom>
        <a:noFill/>
        <a:ln w="0">
          <a:noFill/>
        </a:ln>
      </xdr:spPr>
    </xdr:pic>
    <xdr:clientData/>
  </xdr:twoCellAnchor>
  <xdr:twoCellAnchor editAs="oneCell">
    <xdr:from>
      <xdr:col>1</xdr:col>
      <xdr:colOff>0</xdr:colOff>
      <xdr:row>417</xdr:row>
      <xdr:rowOff>0</xdr:rowOff>
    </xdr:from>
    <xdr:to>
      <xdr:col>1</xdr:col>
      <xdr:colOff>46800</xdr:colOff>
      <xdr:row>418</xdr:row>
      <xdr:rowOff>27720</xdr:rowOff>
    </xdr:to>
    <xdr:pic>
      <xdr:nvPicPr>
        <xdr:cNvPr id="418" name="image1.gif"/>
        <xdr:cNvPicPr/>
      </xdr:nvPicPr>
      <xdr:blipFill>
        <a:blip r:embed="rId183"/>
        <a:stretch/>
      </xdr:blipFill>
      <xdr:spPr>
        <a:xfrm>
          <a:off x="1282680" y="73285200"/>
          <a:ext cx="46800" cy="189720"/>
        </a:xfrm>
        <a:prstGeom prst="rect">
          <a:avLst/>
        </a:prstGeom>
        <a:noFill/>
        <a:ln w="0">
          <a:noFill/>
        </a:ln>
      </xdr:spPr>
    </xdr:pic>
    <xdr:clientData/>
  </xdr:twoCellAnchor>
  <xdr:twoCellAnchor editAs="oneCell">
    <xdr:from>
      <xdr:col>1</xdr:col>
      <xdr:colOff>0</xdr:colOff>
      <xdr:row>417</xdr:row>
      <xdr:rowOff>0</xdr:rowOff>
    </xdr:from>
    <xdr:to>
      <xdr:col>1</xdr:col>
      <xdr:colOff>46800</xdr:colOff>
      <xdr:row>418</xdr:row>
      <xdr:rowOff>27720</xdr:rowOff>
    </xdr:to>
    <xdr:pic>
      <xdr:nvPicPr>
        <xdr:cNvPr id="419" name="image1.gif"/>
        <xdr:cNvPicPr/>
      </xdr:nvPicPr>
      <xdr:blipFill>
        <a:blip r:embed="rId184"/>
        <a:stretch/>
      </xdr:blipFill>
      <xdr:spPr>
        <a:xfrm>
          <a:off x="1282680" y="73285200"/>
          <a:ext cx="46800" cy="189720"/>
        </a:xfrm>
        <a:prstGeom prst="rect">
          <a:avLst/>
        </a:prstGeom>
        <a:noFill/>
        <a:ln w="0">
          <a:noFill/>
        </a:ln>
      </xdr:spPr>
    </xdr:pic>
    <xdr:clientData/>
  </xdr:twoCellAnchor>
  <xdr:twoCellAnchor editAs="oneCell">
    <xdr:from>
      <xdr:col>1</xdr:col>
      <xdr:colOff>0</xdr:colOff>
      <xdr:row>406</xdr:row>
      <xdr:rowOff>0</xdr:rowOff>
    </xdr:from>
    <xdr:to>
      <xdr:col>1</xdr:col>
      <xdr:colOff>46800</xdr:colOff>
      <xdr:row>406</xdr:row>
      <xdr:rowOff>189720</xdr:rowOff>
    </xdr:to>
    <xdr:pic>
      <xdr:nvPicPr>
        <xdr:cNvPr id="420" name="image1.gif"/>
        <xdr:cNvPicPr/>
      </xdr:nvPicPr>
      <xdr:blipFill>
        <a:blip r:embed="rId185"/>
        <a:stretch/>
      </xdr:blipFill>
      <xdr:spPr>
        <a:xfrm>
          <a:off x="1282680" y="71389800"/>
          <a:ext cx="46800" cy="189720"/>
        </a:xfrm>
        <a:prstGeom prst="rect">
          <a:avLst/>
        </a:prstGeom>
        <a:noFill/>
        <a:ln w="0">
          <a:noFill/>
        </a:ln>
      </xdr:spPr>
    </xdr:pic>
    <xdr:clientData/>
  </xdr:twoCellAnchor>
  <xdr:twoCellAnchor editAs="oneCell">
    <xdr:from>
      <xdr:col>1</xdr:col>
      <xdr:colOff>0</xdr:colOff>
      <xdr:row>408</xdr:row>
      <xdr:rowOff>0</xdr:rowOff>
    </xdr:from>
    <xdr:to>
      <xdr:col>1</xdr:col>
      <xdr:colOff>46800</xdr:colOff>
      <xdr:row>408</xdr:row>
      <xdr:rowOff>189720</xdr:rowOff>
    </xdr:to>
    <xdr:pic>
      <xdr:nvPicPr>
        <xdr:cNvPr id="421" name="image1.gif"/>
        <xdr:cNvPicPr/>
      </xdr:nvPicPr>
      <xdr:blipFill>
        <a:blip r:embed="rId186"/>
        <a:stretch/>
      </xdr:blipFill>
      <xdr:spPr>
        <a:xfrm>
          <a:off x="1282680" y="71771040"/>
          <a:ext cx="46800" cy="189720"/>
        </a:xfrm>
        <a:prstGeom prst="rect">
          <a:avLst/>
        </a:prstGeom>
        <a:noFill/>
        <a:ln w="0">
          <a:noFill/>
        </a:ln>
      </xdr:spPr>
    </xdr:pic>
    <xdr:clientData/>
  </xdr:twoCellAnchor>
  <xdr:twoCellAnchor editAs="oneCell">
    <xdr:from>
      <xdr:col>1</xdr:col>
      <xdr:colOff>0</xdr:colOff>
      <xdr:row>410</xdr:row>
      <xdr:rowOff>0</xdr:rowOff>
    </xdr:from>
    <xdr:to>
      <xdr:col>1</xdr:col>
      <xdr:colOff>46800</xdr:colOff>
      <xdr:row>411</xdr:row>
      <xdr:rowOff>27720</xdr:rowOff>
    </xdr:to>
    <xdr:pic>
      <xdr:nvPicPr>
        <xdr:cNvPr id="422" name="image1.gif"/>
        <xdr:cNvPicPr/>
      </xdr:nvPicPr>
      <xdr:blipFill>
        <a:blip r:embed="rId187"/>
        <a:stretch/>
      </xdr:blipFill>
      <xdr:spPr>
        <a:xfrm>
          <a:off x="1282680" y="72151920"/>
          <a:ext cx="46800" cy="189720"/>
        </a:xfrm>
        <a:prstGeom prst="rect">
          <a:avLst/>
        </a:prstGeom>
        <a:noFill/>
        <a:ln w="0">
          <a:noFill/>
        </a:ln>
      </xdr:spPr>
    </xdr:pic>
    <xdr:clientData/>
  </xdr:twoCellAnchor>
  <xdr:twoCellAnchor editAs="oneCell">
    <xdr:from>
      <xdr:col>1</xdr:col>
      <xdr:colOff>0</xdr:colOff>
      <xdr:row>410</xdr:row>
      <xdr:rowOff>0</xdr:rowOff>
    </xdr:from>
    <xdr:to>
      <xdr:col>1</xdr:col>
      <xdr:colOff>46800</xdr:colOff>
      <xdr:row>411</xdr:row>
      <xdr:rowOff>27720</xdr:rowOff>
    </xdr:to>
    <xdr:pic>
      <xdr:nvPicPr>
        <xdr:cNvPr id="423" name="image1.gif"/>
        <xdr:cNvPicPr/>
      </xdr:nvPicPr>
      <xdr:blipFill>
        <a:blip r:embed="rId188"/>
        <a:stretch/>
      </xdr:blipFill>
      <xdr:spPr>
        <a:xfrm>
          <a:off x="1282680" y="72151920"/>
          <a:ext cx="46800" cy="189720"/>
        </a:xfrm>
        <a:prstGeom prst="rect">
          <a:avLst/>
        </a:prstGeom>
        <a:noFill/>
        <a:ln w="0">
          <a:noFill/>
        </a:ln>
      </xdr:spPr>
    </xdr:pic>
    <xdr:clientData/>
  </xdr:twoCellAnchor>
  <xdr:twoCellAnchor editAs="oneCell">
    <xdr:from>
      <xdr:col>1</xdr:col>
      <xdr:colOff>0</xdr:colOff>
      <xdr:row>412</xdr:row>
      <xdr:rowOff>0</xdr:rowOff>
    </xdr:from>
    <xdr:to>
      <xdr:col>1</xdr:col>
      <xdr:colOff>46800</xdr:colOff>
      <xdr:row>413</xdr:row>
      <xdr:rowOff>27720</xdr:rowOff>
    </xdr:to>
    <xdr:pic>
      <xdr:nvPicPr>
        <xdr:cNvPr id="424" name="image1.gif"/>
        <xdr:cNvPicPr/>
      </xdr:nvPicPr>
      <xdr:blipFill>
        <a:blip r:embed="rId189"/>
        <a:stretch/>
      </xdr:blipFill>
      <xdr:spPr>
        <a:xfrm>
          <a:off x="1282680" y="72475560"/>
          <a:ext cx="46800" cy="189720"/>
        </a:xfrm>
        <a:prstGeom prst="rect">
          <a:avLst/>
        </a:prstGeom>
        <a:noFill/>
        <a:ln w="0">
          <a:noFill/>
        </a:ln>
      </xdr:spPr>
    </xdr:pic>
    <xdr:clientData/>
  </xdr:twoCellAnchor>
  <xdr:twoCellAnchor editAs="oneCell">
    <xdr:from>
      <xdr:col>1</xdr:col>
      <xdr:colOff>0</xdr:colOff>
      <xdr:row>412</xdr:row>
      <xdr:rowOff>0</xdr:rowOff>
    </xdr:from>
    <xdr:to>
      <xdr:col>1</xdr:col>
      <xdr:colOff>46800</xdr:colOff>
      <xdr:row>413</xdr:row>
      <xdr:rowOff>27720</xdr:rowOff>
    </xdr:to>
    <xdr:pic>
      <xdr:nvPicPr>
        <xdr:cNvPr id="425" name="image1.gif"/>
        <xdr:cNvPicPr/>
      </xdr:nvPicPr>
      <xdr:blipFill>
        <a:blip r:embed="rId190"/>
        <a:stretch/>
      </xdr:blipFill>
      <xdr:spPr>
        <a:xfrm>
          <a:off x="1282680" y="72475560"/>
          <a:ext cx="46800" cy="189720"/>
        </a:xfrm>
        <a:prstGeom prst="rect">
          <a:avLst/>
        </a:prstGeom>
        <a:noFill/>
        <a:ln w="0">
          <a:noFill/>
        </a:ln>
      </xdr:spPr>
    </xdr:pic>
    <xdr:clientData/>
  </xdr:twoCellAnchor>
  <xdr:twoCellAnchor editAs="oneCell">
    <xdr:from>
      <xdr:col>1</xdr:col>
      <xdr:colOff>0</xdr:colOff>
      <xdr:row>414</xdr:row>
      <xdr:rowOff>0</xdr:rowOff>
    </xdr:from>
    <xdr:to>
      <xdr:col>1</xdr:col>
      <xdr:colOff>46800</xdr:colOff>
      <xdr:row>415</xdr:row>
      <xdr:rowOff>27720</xdr:rowOff>
    </xdr:to>
    <xdr:pic>
      <xdr:nvPicPr>
        <xdr:cNvPr id="426" name="image1.gif"/>
        <xdr:cNvPicPr/>
      </xdr:nvPicPr>
      <xdr:blipFill>
        <a:blip r:embed="rId191"/>
        <a:stretch/>
      </xdr:blipFill>
      <xdr:spPr>
        <a:xfrm>
          <a:off x="1282680" y="72799560"/>
          <a:ext cx="46800" cy="189720"/>
        </a:xfrm>
        <a:prstGeom prst="rect">
          <a:avLst/>
        </a:prstGeom>
        <a:noFill/>
        <a:ln w="0">
          <a:noFill/>
        </a:ln>
      </xdr:spPr>
    </xdr:pic>
    <xdr:clientData/>
  </xdr:twoCellAnchor>
  <xdr:twoCellAnchor editAs="oneCell">
    <xdr:from>
      <xdr:col>1</xdr:col>
      <xdr:colOff>0</xdr:colOff>
      <xdr:row>414</xdr:row>
      <xdr:rowOff>0</xdr:rowOff>
    </xdr:from>
    <xdr:to>
      <xdr:col>1</xdr:col>
      <xdr:colOff>46800</xdr:colOff>
      <xdr:row>415</xdr:row>
      <xdr:rowOff>27720</xdr:rowOff>
    </xdr:to>
    <xdr:pic>
      <xdr:nvPicPr>
        <xdr:cNvPr id="427" name="image1.gif"/>
        <xdr:cNvPicPr/>
      </xdr:nvPicPr>
      <xdr:blipFill>
        <a:blip r:embed="rId192"/>
        <a:stretch/>
      </xdr:blipFill>
      <xdr:spPr>
        <a:xfrm>
          <a:off x="1282680" y="72799560"/>
          <a:ext cx="46800" cy="189720"/>
        </a:xfrm>
        <a:prstGeom prst="rect">
          <a:avLst/>
        </a:prstGeom>
        <a:noFill/>
        <a:ln w="0">
          <a:noFill/>
        </a:ln>
      </xdr:spPr>
    </xdr:pic>
    <xdr:clientData/>
  </xdr:twoCellAnchor>
  <xdr:twoCellAnchor editAs="oneCell">
    <xdr:from>
      <xdr:col>1</xdr:col>
      <xdr:colOff>0</xdr:colOff>
      <xdr:row>416</xdr:row>
      <xdr:rowOff>0</xdr:rowOff>
    </xdr:from>
    <xdr:to>
      <xdr:col>1</xdr:col>
      <xdr:colOff>46800</xdr:colOff>
      <xdr:row>417</xdr:row>
      <xdr:rowOff>28080</xdr:rowOff>
    </xdr:to>
    <xdr:pic>
      <xdr:nvPicPr>
        <xdr:cNvPr id="428" name="image1.gif"/>
        <xdr:cNvPicPr/>
      </xdr:nvPicPr>
      <xdr:blipFill>
        <a:blip r:embed="rId193"/>
        <a:stretch/>
      </xdr:blipFill>
      <xdr:spPr>
        <a:xfrm>
          <a:off x="1282680" y="73123560"/>
          <a:ext cx="46800" cy="189720"/>
        </a:xfrm>
        <a:prstGeom prst="rect">
          <a:avLst/>
        </a:prstGeom>
        <a:noFill/>
        <a:ln w="0">
          <a:noFill/>
        </a:ln>
      </xdr:spPr>
    </xdr:pic>
    <xdr:clientData/>
  </xdr:twoCellAnchor>
  <xdr:twoCellAnchor editAs="oneCell">
    <xdr:from>
      <xdr:col>1</xdr:col>
      <xdr:colOff>0</xdr:colOff>
      <xdr:row>416</xdr:row>
      <xdr:rowOff>0</xdr:rowOff>
    </xdr:from>
    <xdr:to>
      <xdr:col>1</xdr:col>
      <xdr:colOff>46800</xdr:colOff>
      <xdr:row>417</xdr:row>
      <xdr:rowOff>28080</xdr:rowOff>
    </xdr:to>
    <xdr:pic>
      <xdr:nvPicPr>
        <xdr:cNvPr id="429" name="image1.gif"/>
        <xdr:cNvPicPr/>
      </xdr:nvPicPr>
      <xdr:blipFill>
        <a:blip r:embed="rId194"/>
        <a:stretch/>
      </xdr:blipFill>
      <xdr:spPr>
        <a:xfrm>
          <a:off x="1282680" y="73123560"/>
          <a:ext cx="46800" cy="189720"/>
        </a:xfrm>
        <a:prstGeom prst="rect">
          <a:avLst/>
        </a:prstGeom>
        <a:noFill/>
        <a:ln w="0">
          <a:noFill/>
        </a:ln>
      </xdr:spPr>
    </xdr:pic>
    <xdr:clientData/>
  </xdr:twoCellAnchor>
  <xdr:twoCellAnchor editAs="oneCell">
    <xdr:from>
      <xdr:col>1</xdr:col>
      <xdr:colOff>0</xdr:colOff>
      <xdr:row>418</xdr:row>
      <xdr:rowOff>0</xdr:rowOff>
    </xdr:from>
    <xdr:to>
      <xdr:col>1</xdr:col>
      <xdr:colOff>46800</xdr:colOff>
      <xdr:row>419</xdr:row>
      <xdr:rowOff>27720</xdr:rowOff>
    </xdr:to>
    <xdr:pic>
      <xdr:nvPicPr>
        <xdr:cNvPr id="430" name="image1.gif"/>
        <xdr:cNvPicPr/>
      </xdr:nvPicPr>
      <xdr:blipFill>
        <a:blip r:embed="rId195"/>
        <a:stretch/>
      </xdr:blipFill>
      <xdr:spPr>
        <a:xfrm>
          <a:off x="1282680" y="73447200"/>
          <a:ext cx="46800" cy="189720"/>
        </a:xfrm>
        <a:prstGeom prst="rect">
          <a:avLst/>
        </a:prstGeom>
        <a:noFill/>
        <a:ln w="0">
          <a:noFill/>
        </a:ln>
      </xdr:spPr>
    </xdr:pic>
    <xdr:clientData/>
  </xdr:twoCellAnchor>
  <xdr:twoCellAnchor editAs="oneCell">
    <xdr:from>
      <xdr:col>1</xdr:col>
      <xdr:colOff>0</xdr:colOff>
      <xdr:row>418</xdr:row>
      <xdr:rowOff>0</xdr:rowOff>
    </xdr:from>
    <xdr:to>
      <xdr:col>1</xdr:col>
      <xdr:colOff>46800</xdr:colOff>
      <xdr:row>419</xdr:row>
      <xdr:rowOff>27720</xdr:rowOff>
    </xdr:to>
    <xdr:pic>
      <xdr:nvPicPr>
        <xdr:cNvPr id="431" name="image1.gif"/>
        <xdr:cNvPicPr/>
      </xdr:nvPicPr>
      <xdr:blipFill>
        <a:blip r:embed="rId196"/>
        <a:stretch/>
      </xdr:blipFill>
      <xdr:spPr>
        <a:xfrm>
          <a:off x="1282680" y="73447200"/>
          <a:ext cx="46800" cy="189720"/>
        </a:xfrm>
        <a:prstGeom prst="rect">
          <a:avLst/>
        </a:prstGeom>
        <a:noFill/>
        <a:ln w="0">
          <a:noFill/>
        </a:ln>
      </xdr:spPr>
    </xdr:pic>
    <xdr:clientData/>
  </xdr:twoCellAnchor>
</xdr:wsDr>
</file>

<file path=xl/drawings/drawing16.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152</xdr:row>
      <xdr:rowOff>0</xdr:rowOff>
    </xdr:from>
    <xdr:to>
      <xdr:col>1</xdr:col>
      <xdr:colOff>37440</xdr:colOff>
      <xdr:row>152</xdr:row>
      <xdr:rowOff>151560</xdr:rowOff>
    </xdr:to>
    <xdr:pic>
      <xdr:nvPicPr>
        <xdr:cNvPr id="432" name="image1.gif" descr="http://sistemas.agricultura.gov.br/infra_css/imagens/espaco.gif"/>
        <xdr:cNvPicPr/>
      </xdr:nvPicPr>
      <xdr:blipFill>
        <a:blip r:embed="rId1"/>
        <a:stretch/>
      </xdr:blipFill>
      <xdr:spPr>
        <a:xfrm>
          <a:off x="1282680" y="28927440"/>
          <a:ext cx="37440" cy="151560"/>
        </a:xfrm>
        <a:prstGeom prst="rect">
          <a:avLst/>
        </a:prstGeom>
        <a:noFill/>
        <a:ln w="0">
          <a:noFill/>
        </a:ln>
      </xdr:spPr>
    </xdr:pic>
    <xdr:clientData/>
  </xdr:twoCellAnchor>
  <xdr:twoCellAnchor editAs="oneCell">
    <xdr:from>
      <xdr:col>1</xdr:col>
      <xdr:colOff>0</xdr:colOff>
      <xdr:row>198</xdr:row>
      <xdr:rowOff>0</xdr:rowOff>
    </xdr:from>
    <xdr:to>
      <xdr:col>1</xdr:col>
      <xdr:colOff>37440</xdr:colOff>
      <xdr:row>198</xdr:row>
      <xdr:rowOff>151560</xdr:rowOff>
    </xdr:to>
    <xdr:pic>
      <xdr:nvPicPr>
        <xdr:cNvPr id="433" name="image1.gif" descr="http://sistemas.agricultura.gov.br/infra_css/imagens/espaco.gif"/>
        <xdr:cNvPicPr/>
      </xdr:nvPicPr>
      <xdr:blipFill>
        <a:blip r:embed="rId2"/>
        <a:stretch/>
      </xdr:blipFill>
      <xdr:spPr>
        <a:xfrm>
          <a:off x="1282680" y="37099800"/>
          <a:ext cx="37440" cy="151560"/>
        </a:xfrm>
        <a:prstGeom prst="rect">
          <a:avLst/>
        </a:prstGeom>
        <a:noFill/>
        <a:ln w="0">
          <a:noFill/>
        </a:ln>
      </xdr:spPr>
    </xdr:pic>
    <xdr:clientData/>
  </xdr:twoCellAnchor>
  <xdr:twoCellAnchor editAs="oneCell">
    <xdr:from>
      <xdr:col>1</xdr:col>
      <xdr:colOff>0</xdr:colOff>
      <xdr:row>203</xdr:row>
      <xdr:rowOff>0</xdr:rowOff>
    </xdr:from>
    <xdr:to>
      <xdr:col>1</xdr:col>
      <xdr:colOff>37440</xdr:colOff>
      <xdr:row>203</xdr:row>
      <xdr:rowOff>151560</xdr:rowOff>
    </xdr:to>
    <xdr:pic>
      <xdr:nvPicPr>
        <xdr:cNvPr id="434" name="image1.gif" descr="http://sistemas.agricultura.gov.br/infra_css/imagens/espaco.gif"/>
        <xdr:cNvPicPr/>
      </xdr:nvPicPr>
      <xdr:blipFill>
        <a:blip r:embed="rId3"/>
        <a:stretch/>
      </xdr:blipFill>
      <xdr:spPr>
        <a:xfrm>
          <a:off x="1282680" y="38004840"/>
          <a:ext cx="37440" cy="151560"/>
        </a:xfrm>
        <a:prstGeom prst="rect">
          <a:avLst/>
        </a:prstGeom>
        <a:noFill/>
        <a:ln w="0">
          <a:noFill/>
        </a:ln>
      </xdr:spPr>
    </xdr:pic>
    <xdr:clientData/>
  </xdr:twoCellAnchor>
  <xdr:twoCellAnchor editAs="oneCell">
    <xdr:from>
      <xdr:col>1</xdr:col>
      <xdr:colOff>0</xdr:colOff>
      <xdr:row>206</xdr:row>
      <xdr:rowOff>0</xdr:rowOff>
    </xdr:from>
    <xdr:to>
      <xdr:col>1</xdr:col>
      <xdr:colOff>37440</xdr:colOff>
      <xdr:row>206</xdr:row>
      <xdr:rowOff>151560</xdr:rowOff>
    </xdr:to>
    <xdr:pic>
      <xdr:nvPicPr>
        <xdr:cNvPr id="435" name="image1.gif" descr="http://sistemas.agricultura.gov.br/infra_css/imagens/espaco.gif"/>
        <xdr:cNvPicPr/>
      </xdr:nvPicPr>
      <xdr:blipFill>
        <a:blip r:embed="rId4"/>
        <a:stretch/>
      </xdr:blipFill>
      <xdr:spPr>
        <a:xfrm>
          <a:off x="1282680" y="38490480"/>
          <a:ext cx="37440" cy="151560"/>
        </a:xfrm>
        <a:prstGeom prst="rect">
          <a:avLst/>
        </a:prstGeom>
        <a:noFill/>
        <a:ln w="0">
          <a:noFill/>
        </a:ln>
      </xdr:spPr>
    </xdr:pic>
    <xdr:clientData/>
  </xdr:twoCellAnchor>
  <xdr:twoCellAnchor editAs="oneCell">
    <xdr:from>
      <xdr:col>1</xdr:col>
      <xdr:colOff>0</xdr:colOff>
      <xdr:row>218</xdr:row>
      <xdr:rowOff>0</xdr:rowOff>
    </xdr:from>
    <xdr:to>
      <xdr:col>1</xdr:col>
      <xdr:colOff>37440</xdr:colOff>
      <xdr:row>218</xdr:row>
      <xdr:rowOff>151560</xdr:rowOff>
    </xdr:to>
    <xdr:pic>
      <xdr:nvPicPr>
        <xdr:cNvPr id="436" name="image1.gif" descr="http://sistemas.agricultura.gov.br/infra_css/imagens/espaco.gif"/>
        <xdr:cNvPicPr/>
      </xdr:nvPicPr>
      <xdr:blipFill>
        <a:blip r:embed="rId5"/>
        <a:stretch/>
      </xdr:blipFill>
      <xdr:spPr>
        <a:xfrm>
          <a:off x="1282680" y="40433760"/>
          <a:ext cx="37440" cy="151560"/>
        </a:xfrm>
        <a:prstGeom prst="rect">
          <a:avLst/>
        </a:prstGeom>
        <a:noFill/>
        <a:ln w="0">
          <a:noFill/>
        </a:ln>
      </xdr:spPr>
    </xdr:pic>
    <xdr:clientData/>
  </xdr:twoCellAnchor>
  <xdr:twoCellAnchor editAs="oneCell">
    <xdr:from>
      <xdr:col>1</xdr:col>
      <xdr:colOff>0</xdr:colOff>
      <xdr:row>154</xdr:row>
      <xdr:rowOff>0</xdr:rowOff>
    </xdr:from>
    <xdr:to>
      <xdr:col>1</xdr:col>
      <xdr:colOff>37440</xdr:colOff>
      <xdr:row>154</xdr:row>
      <xdr:rowOff>151560</xdr:rowOff>
    </xdr:to>
    <xdr:pic>
      <xdr:nvPicPr>
        <xdr:cNvPr id="437" name="image1.gif" descr="http://sistemas.agricultura.gov.br/infra_css/imagens/espaco.gif"/>
        <xdr:cNvPicPr/>
      </xdr:nvPicPr>
      <xdr:blipFill>
        <a:blip r:embed="rId6"/>
        <a:stretch/>
      </xdr:blipFill>
      <xdr:spPr>
        <a:xfrm>
          <a:off x="1282680" y="29308320"/>
          <a:ext cx="37440" cy="151560"/>
        </a:xfrm>
        <a:prstGeom prst="rect">
          <a:avLst/>
        </a:prstGeom>
        <a:noFill/>
        <a:ln w="0">
          <a:noFill/>
        </a:ln>
      </xdr:spPr>
    </xdr:pic>
    <xdr:clientData/>
  </xdr:twoCellAnchor>
  <xdr:twoCellAnchor editAs="oneCell">
    <xdr:from>
      <xdr:col>1</xdr:col>
      <xdr:colOff>0</xdr:colOff>
      <xdr:row>153</xdr:row>
      <xdr:rowOff>0</xdr:rowOff>
    </xdr:from>
    <xdr:to>
      <xdr:col>1</xdr:col>
      <xdr:colOff>37440</xdr:colOff>
      <xdr:row>153</xdr:row>
      <xdr:rowOff>151560</xdr:rowOff>
    </xdr:to>
    <xdr:pic>
      <xdr:nvPicPr>
        <xdr:cNvPr id="438" name="image1.gif" descr="http://sistemas.agricultura.gov.br/infra_css/imagens/espaco.gif"/>
        <xdr:cNvPicPr/>
      </xdr:nvPicPr>
      <xdr:blipFill>
        <a:blip r:embed="rId7"/>
        <a:stretch/>
      </xdr:blipFill>
      <xdr:spPr>
        <a:xfrm>
          <a:off x="1282680" y="29117880"/>
          <a:ext cx="37440" cy="151560"/>
        </a:xfrm>
        <a:prstGeom prst="rect">
          <a:avLst/>
        </a:prstGeom>
        <a:noFill/>
        <a:ln w="0">
          <a:noFill/>
        </a:ln>
      </xdr:spPr>
    </xdr:pic>
    <xdr:clientData/>
  </xdr:twoCellAnchor>
  <xdr:twoCellAnchor editAs="oneCell">
    <xdr:from>
      <xdr:col>1</xdr:col>
      <xdr:colOff>0</xdr:colOff>
      <xdr:row>325</xdr:row>
      <xdr:rowOff>0</xdr:rowOff>
    </xdr:from>
    <xdr:to>
      <xdr:col>1</xdr:col>
      <xdr:colOff>37440</xdr:colOff>
      <xdr:row>325</xdr:row>
      <xdr:rowOff>151560</xdr:rowOff>
    </xdr:to>
    <xdr:pic>
      <xdr:nvPicPr>
        <xdr:cNvPr id="439" name="image1.gif" descr="http://sistemas.agricultura.gov.br/infra_css/imagens/espaco.gif"/>
        <xdr:cNvPicPr/>
      </xdr:nvPicPr>
      <xdr:blipFill>
        <a:blip r:embed="rId8"/>
        <a:stretch/>
      </xdr:blipFill>
      <xdr:spPr>
        <a:xfrm>
          <a:off x="1282680" y="57988080"/>
          <a:ext cx="37440" cy="151560"/>
        </a:xfrm>
        <a:prstGeom prst="rect">
          <a:avLst/>
        </a:prstGeom>
        <a:noFill/>
        <a:ln w="0">
          <a:noFill/>
        </a:ln>
      </xdr:spPr>
    </xdr:pic>
    <xdr:clientData/>
  </xdr:twoCellAnchor>
  <xdr:twoCellAnchor editAs="oneCell">
    <xdr:from>
      <xdr:col>1</xdr:col>
      <xdr:colOff>0</xdr:colOff>
      <xdr:row>371</xdr:row>
      <xdr:rowOff>0</xdr:rowOff>
    </xdr:from>
    <xdr:to>
      <xdr:col>1</xdr:col>
      <xdr:colOff>37440</xdr:colOff>
      <xdr:row>371</xdr:row>
      <xdr:rowOff>151560</xdr:rowOff>
    </xdr:to>
    <xdr:pic>
      <xdr:nvPicPr>
        <xdr:cNvPr id="440" name="image1.gif" descr="http://sistemas.agricultura.gov.br/infra_css/imagens/espaco.gif"/>
        <xdr:cNvPicPr/>
      </xdr:nvPicPr>
      <xdr:blipFill>
        <a:blip r:embed="rId9"/>
        <a:stretch/>
      </xdr:blipFill>
      <xdr:spPr>
        <a:xfrm>
          <a:off x="1282680" y="65636640"/>
          <a:ext cx="37440" cy="151560"/>
        </a:xfrm>
        <a:prstGeom prst="rect">
          <a:avLst/>
        </a:prstGeom>
        <a:noFill/>
        <a:ln w="0">
          <a:noFill/>
        </a:ln>
      </xdr:spPr>
    </xdr:pic>
    <xdr:clientData/>
  </xdr:twoCellAnchor>
  <xdr:twoCellAnchor editAs="oneCell">
    <xdr:from>
      <xdr:col>1</xdr:col>
      <xdr:colOff>0</xdr:colOff>
      <xdr:row>376</xdr:row>
      <xdr:rowOff>0</xdr:rowOff>
    </xdr:from>
    <xdr:to>
      <xdr:col>1</xdr:col>
      <xdr:colOff>37440</xdr:colOff>
      <xdr:row>376</xdr:row>
      <xdr:rowOff>151560</xdr:rowOff>
    </xdr:to>
    <xdr:pic>
      <xdr:nvPicPr>
        <xdr:cNvPr id="441" name="image1.gif" descr="http://sistemas.agricultura.gov.br/infra_css/imagens/espaco.gif"/>
        <xdr:cNvPicPr/>
      </xdr:nvPicPr>
      <xdr:blipFill>
        <a:blip r:embed="rId10"/>
        <a:stretch/>
      </xdr:blipFill>
      <xdr:spPr>
        <a:xfrm>
          <a:off x="1282680" y="66475080"/>
          <a:ext cx="37440" cy="151560"/>
        </a:xfrm>
        <a:prstGeom prst="rect">
          <a:avLst/>
        </a:prstGeom>
        <a:noFill/>
        <a:ln w="0">
          <a:noFill/>
        </a:ln>
      </xdr:spPr>
    </xdr:pic>
    <xdr:clientData/>
  </xdr:twoCellAnchor>
  <xdr:twoCellAnchor editAs="oneCell">
    <xdr:from>
      <xdr:col>1</xdr:col>
      <xdr:colOff>0</xdr:colOff>
      <xdr:row>379</xdr:row>
      <xdr:rowOff>0</xdr:rowOff>
    </xdr:from>
    <xdr:to>
      <xdr:col>1</xdr:col>
      <xdr:colOff>37440</xdr:colOff>
      <xdr:row>379</xdr:row>
      <xdr:rowOff>151560</xdr:rowOff>
    </xdr:to>
    <xdr:pic>
      <xdr:nvPicPr>
        <xdr:cNvPr id="442" name="image1.gif" descr="http://sistemas.agricultura.gov.br/infra_css/imagens/espaco.gif"/>
        <xdr:cNvPicPr/>
      </xdr:nvPicPr>
      <xdr:blipFill>
        <a:blip r:embed="rId11"/>
        <a:stretch/>
      </xdr:blipFill>
      <xdr:spPr>
        <a:xfrm>
          <a:off x="1282680" y="66960720"/>
          <a:ext cx="37440" cy="151560"/>
        </a:xfrm>
        <a:prstGeom prst="rect">
          <a:avLst/>
        </a:prstGeom>
        <a:noFill/>
        <a:ln w="0">
          <a:noFill/>
        </a:ln>
      </xdr:spPr>
    </xdr:pic>
    <xdr:clientData/>
  </xdr:twoCellAnchor>
  <xdr:twoCellAnchor editAs="oneCell">
    <xdr:from>
      <xdr:col>1</xdr:col>
      <xdr:colOff>0</xdr:colOff>
      <xdr:row>391</xdr:row>
      <xdr:rowOff>0</xdr:rowOff>
    </xdr:from>
    <xdr:to>
      <xdr:col>1</xdr:col>
      <xdr:colOff>37440</xdr:colOff>
      <xdr:row>391</xdr:row>
      <xdr:rowOff>151560</xdr:rowOff>
    </xdr:to>
    <xdr:pic>
      <xdr:nvPicPr>
        <xdr:cNvPr id="443" name="image1.gif" descr="http://sistemas.agricultura.gov.br/infra_css/imagens/espaco.gif"/>
        <xdr:cNvPicPr/>
      </xdr:nvPicPr>
      <xdr:blipFill>
        <a:blip r:embed="rId12"/>
        <a:stretch/>
      </xdr:blipFill>
      <xdr:spPr>
        <a:xfrm>
          <a:off x="1282680" y="68960880"/>
          <a:ext cx="37440" cy="151560"/>
        </a:xfrm>
        <a:prstGeom prst="rect">
          <a:avLst/>
        </a:prstGeom>
        <a:noFill/>
        <a:ln w="0">
          <a:noFill/>
        </a:ln>
      </xdr:spPr>
    </xdr:pic>
    <xdr:clientData/>
  </xdr:twoCellAnchor>
  <xdr:twoCellAnchor editAs="oneCell">
    <xdr:from>
      <xdr:col>1</xdr:col>
      <xdr:colOff>0</xdr:colOff>
      <xdr:row>154</xdr:row>
      <xdr:rowOff>0</xdr:rowOff>
    </xdr:from>
    <xdr:to>
      <xdr:col>1</xdr:col>
      <xdr:colOff>37440</xdr:colOff>
      <xdr:row>154</xdr:row>
      <xdr:rowOff>151560</xdr:rowOff>
    </xdr:to>
    <xdr:pic>
      <xdr:nvPicPr>
        <xdr:cNvPr id="444" name="image1.gif" descr="http://sistemas.agricultura.gov.br/infra_css/imagens/espaco.gif"/>
        <xdr:cNvPicPr/>
      </xdr:nvPicPr>
      <xdr:blipFill>
        <a:blip r:embed="rId13"/>
        <a:stretch/>
      </xdr:blipFill>
      <xdr:spPr>
        <a:xfrm>
          <a:off x="1282680" y="29308320"/>
          <a:ext cx="37440" cy="151560"/>
        </a:xfrm>
        <a:prstGeom prst="rect">
          <a:avLst/>
        </a:prstGeom>
        <a:noFill/>
        <a:ln w="0">
          <a:noFill/>
        </a:ln>
      </xdr:spPr>
    </xdr:pic>
    <xdr:clientData/>
  </xdr:twoCellAnchor>
  <xdr:twoCellAnchor editAs="oneCell">
    <xdr:from>
      <xdr:col>1</xdr:col>
      <xdr:colOff>0</xdr:colOff>
      <xdr:row>153</xdr:row>
      <xdr:rowOff>0</xdr:rowOff>
    </xdr:from>
    <xdr:to>
      <xdr:col>1</xdr:col>
      <xdr:colOff>37440</xdr:colOff>
      <xdr:row>153</xdr:row>
      <xdr:rowOff>151560</xdr:rowOff>
    </xdr:to>
    <xdr:pic>
      <xdr:nvPicPr>
        <xdr:cNvPr id="445" name="image1.gif" descr="http://sistemas.agricultura.gov.br/infra_css/imagens/espaco.gif"/>
        <xdr:cNvPicPr/>
      </xdr:nvPicPr>
      <xdr:blipFill>
        <a:blip r:embed="rId14"/>
        <a:stretch/>
      </xdr:blipFill>
      <xdr:spPr>
        <a:xfrm>
          <a:off x="1282680" y="29117880"/>
          <a:ext cx="37440" cy="151560"/>
        </a:xfrm>
        <a:prstGeom prst="rect">
          <a:avLst/>
        </a:prstGeom>
        <a:noFill/>
        <a:ln w="0">
          <a:noFill/>
        </a:ln>
      </xdr:spPr>
    </xdr:pic>
    <xdr:clientData/>
  </xdr:twoCellAnchor>
  <xdr:twoCellAnchor editAs="oneCell">
    <xdr:from>
      <xdr:col>1</xdr:col>
      <xdr:colOff>0</xdr:colOff>
      <xdr:row>344</xdr:row>
      <xdr:rowOff>0</xdr:rowOff>
    </xdr:from>
    <xdr:to>
      <xdr:col>1</xdr:col>
      <xdr:colOff>37440</xdr:colOff>
      <xdr:row>344</xdr:row>
      <xdr:rowOff>151560</xdr:rowOff>
    </xdr:to>
    <xdr:pic>
      <xdr:nvPicPr>
        <xdr:cNvPr id="446" name="image1.gif" descr="http://sistemas.agricultura.gov.br/infra_css/imagens/espaco.gif"/>
        <xdr:cNvPicPr/>
      </xdr:nvPicPr>
      <xdr:blipFill>
        <a:blip r:embed="rId15"/>
        <a:stretch/>
      </xdr:blipFill>
      <xdr:spPr>
        <a:xfrm>
          <a:off x="1282680" y="61093440"/>
          <a:ext cx="37440" cy="151560"/>
        </a:xfrm>
        <a:prstGeom prst="rect">
          <a:avLst/>
        </a:prstGeom>
        <a:noFill/>
        <a:ln w="0">
          <a:noFill/>
        </a:ln>
      </xdr:spPr>
    </xdr:pic>
    <xdr:clientData/>
  </xdr:twoCellAnchor>
  <xdr:twoCellAnchor editAs="oneCell">
    <xdr:from>
      <xdr:col>1</xdr:col>
      <xdr:colOff>0</xdr:colOff>
      <xdr:row>390</xdr:row>
      <xdr:rowOff>0</xdr:rowOff>
    </xdr:from>
    <xdr:to>
      <xdr:col>1</xdr:col>
      <xdr:colOff>37440</xdr:colOff>
      <xdr:row>390</xdr:row>
      <xdr:rowOff>151560</xdr:rowOff>
    </xdr:to>
    <xdr:pic>
      <xdr:nvPicPr>
        <xdr:cNvPr id="447" name="image1.gif" descr="http://sistemas.agricultura.gov.br/infra_css/imagens/espaco.gif"/>
        <xdr:cNvPicPr/>
      </xdr:nvPicPr>
      <xdr:blipFill>
        <a:blip r:embed="rId16"/>
        <a:stretch/>
      </xdr:blipFill>
      <xdr:spPr>
        <a:xfrm>
          <a:off x="1282680" y="68799240"/>
          <a:ext cx="37440" cy="151560"/>
        </a:xfrm>
        <a:prstGeom prst="rect">
          <a:avLst/>
        </a:prstGeom>
        <a:noFill/>
        <a:ln w="0">
          <a:noFill/>
        </a:ln>
      </xdr:spPr>
    </xdr:pic>
    <xdr:clientData/>
  </xdr:twoCellAnchor>
  <xdr:twoCellAnchor editAs="oneCell">
    <xdr:from>
      <xdr:col>1</xdr:col>
      <xdr:colOff>0</xdr:colOff>
      <xdr:row>395</xdr:row>
      <xdr:rowOff>0</xdr:rowOff>
    </xdr:from>
    <xdr:to>
      <xdr:col>1</xdr:col>
      <xdr:colOff>37440</xdr:colOff>
      <xdr:row>395</xdr:row>
      <xdr:rowOff>151560</xdr:rowOff>
    </xdr:to>
    <xdr:pic>
      <xdr:nvPicPr>
        <xdr:cNvPr id="448" name="image1.gif" descr="http://sistemas.agricultura.gov.br/infra_css/imagens/espaco.gif"/>
        <xdr:cNvPicPr/>
      </xdr:nvPicPr>
      <xdr:blipFill>
        <a:blip r:embed="rId17"/>
        <a:stretch/>
      </xdr:blipFill>
      <xdr:spPr>
        <a:xfrm>
          <a:off x="1282680" y="69608880"/>
          <a:ext cx="37440" cy="151560"/>
        </a:xfrm>
        <a:prstGeom prst="rect">
          <a:avLst/>
        </a:prstGeom>
        <a:noFill/>
        <a:ln w="0">
          <a:noFill/>
        </a:ln>
      </xdr:spPr>
    </xdr:pic>
    <xdr:clientData/>
  </xdr:twoCellAnchor>
  <xdr:twoCellAnchor editAs="oneCell">
    <xdr:from>
      <xdr:col>1</xdr:col>
      <xdr:colOff>0</xdr:colOff>
      <xdr:row>398</xdr:row>
      <xdr:rowOff>0</xdr:rowOff>
    </xdr:from>
    <xdr:to>
      <xdr:col>1</xdr:col>
      <xdr:colOff>37440</xdr:colOff>
      <xdr:row>398</xdr:row>
      <xdr:rowOff>151560</xdr:rowOff>
    </xdr:to>
    <xdr:pic>
      <xdr:nvPicPr>
        <xdr:cNvPr id="449" name="image1.gif" descr="http://sistemas.agricultura.gov.br/infra_css/imagens/espaco.gif"/>
        <xdr:cNvPicPr/>
      </xdr:nvPicPr>
      <xdr:blipFill>
        <a:blip r:embed="rId18"/>
        <a:stretch/>
      </xdr:blipFill>
      <xdr:spPr>
        <a:xfrm>
          <a:off x="1282680" y="70094520"/>
          <a:ext cx="37440" cy="151560"/>
        </a:xfrm>
        <a:prstGeom prst="rect">
          <a:avLst/>
        </a:prstGeom>
        <a:noFill/>
        <a:ln w="0">
          <a:noFill/>
        </a:ln>
      </xdr:spPr>
    </xdr:pic>
    <xdr:clientData/>
  </xdr:twoCellAnchor>
  <xdr:twoCellAnchor editAs="oneCell">
    <xdr:from>
      <xdr:col>1</xdr:col>
      <xdr:colOff>0</xdr:colOff>
      <xdr:row>410</xdr:row>
      <xdr:rowOff>0</xdr:rowOff>
    </xdr:from>
    <xdr:to>
      <xdr:col>1</xdr:col>
      <xdr:colOff>37440</xdr:colOff>
      <xdr:row>410</xdr:row>
      <xdr:rowOff>151560</xdr:rowOff>
    </xdr:to>
    <xdr:pic>
      <xdr:nvPicPr>
        <xdr:cNvPr id="450" name="image1.gif" descr="http://sistemas.agricultura.gov.br/infra_css/imagens/espaco.gif"/>
        <xdr:cNvPicPr/>
      </xdr:nvPicPr>
      <xdr:blipFill>
        <a:blip r:embed="rId19"/>
        <a:stretch/>
      </xdr:blipFill>
      <xdr:spPr>
        <a:xfrm>
          <a:off x="1282680" y="72151920"/>
          <a:ext cx="37440" cy="151560"/>
        </a:xfrm>
        <a:prstGeom prst="rect">
          <a:avLst/>
        </a:prstGeom>
        <a:noFill/>
        <a:ln w="0">
          <a:noFill/>
        </a:ln>
      </xdr:spPr>
    </xdr:pic>
    <xdr:clientData/>
  </xdr:twoCellAnchor>
  <xdr:twoCellAnchor editAs="oneCell">
    <xdr:from>
      <xdr:col>17</xdr:col>
      <xdr:colOff>9360</xdr:colOff>
      <xdr:row>1</xdr:row>
      <xdr:rowOff>171360</xdr:rowOff>
    </xdr:from>
    <xdr:to>
      <xdr:col>18</xdr:col>
      <xdr:colOff>88560</xdr:colOff>
      <xdr:row>8</xdr:row>
      <xdr:rowOff>37440</xdr:rowOff>
    </xdr:to>
    <xdr:pic>
      <xdr:nvPicPr>
        <xdr:cNvPr id="451" name="image2.jpg"/>
        <xdr:cNvPicPr/>
      </xdr:nvPicPr>
      <xdr:blipFill>
        <a:blip r:embed="rId20"/>
        <a:stretch/>
      </xdr:blipFill>
      <xdr:spPr>
        <a:xfrm>
          <a:off x="33961680" y="333360"/>
          <a:ext cx="2580480" cy="119952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452" name="image1.gif" descr="http://sistemas.agricultura.gov.br/infra_css/imagens/espaco.gif"/>
        <xdr:cNvPicPr/>
      </xdr:nvPicPr>
      <xdr:blipFill>
        <a:blip r:embed="rId21"/>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453" name="image1.gif" descr="http://sistemas.agricultura.gov.br/infra_css/imagens/espaco.gif"/>
        <xdr:cNvPicPr/>
      </xdr:nvPicPr>
      <xdr:blipFill>
        <a:blip r:embed="rId22"/>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454" name="image1.gif" descr="http://sistemas.agricultura.gov.br/infra_css/imagens/espaco.gif"/>
        <xdr:cNvPicPr/>
      </xdr:nvPicPr>
      <xdr:blipFill>
        <a:blip r:embed="rId23"/>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455" name="image1.gif" descr="http://sistemas.agricultura.gov.br/infra_css/imagens/espaco.gif"/>
        <xdr:cNvPicPr/>
      </xdr:nvPicPr>
      <xdr:blipFill>
        <a:blip r:embed="rId24"/>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456" name="image1.gif" descr="http://sistemas.agricultura.gov.br/infra_css/imagens/espaco.gif"/>
        <xdr:cNvPicPr/>
      </xdr:nvPicPr>
      <xdr:blipFill>
        <a:blip r:embed="rId25"/>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457" name="image1.gif" descr="http://sistemas.agricultura.gov.br/infra_css/imagens/espaco.gif"/>
        <xdr:cNvPicPr/>
      </xdr:nvPicPr>
      <xdr:blipFill>
        <a:blip r:embed="rId26"/>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458" name="image1.gif" descr="http://sistemas.agricultura.gov.br/infra_css/imagens/espaco.gif"/>
        <xdr:cNvPicPr/>
      </xdr:nvPicPr>
      <xdr:blipFill>
        <a:blip r:embed="rId27"/>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459" name="image1.gif" descr="http://sistemas.agricultura.gov.br/infra_css/imagens/espaco.gif"/>
        <xdr:cNvPicPr/>
      </xdr:nvPicPr>
      <xdr:blipFill>
        <a:blip r:embed="rId28"/>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460" name="image1.gif" descr="http://sistemas.agricultura.gov.br/infra_css/imagens/espaco.gif"/>
        <xdr:cNvPicPr/>
      </xdr:nvPicPr>
      <xdr:blipFill>
        <a:blip r:embed="rId29"/>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461" name="image1.gif" descr="http://sistemas.agricultura.gov.br/infra_css/imagens/espaco.gif"/>
        <xdr:cNvPicPr/>
      </xdr:nvPicPr>
      <xdr:blipFill>
        <a:blip r:embed="rId30"/>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462" name="image1.gif" descr="http://sistemas.agricultura.gov.br/infra_css/imagens/espaco.gif"/>
        <xdr:cNvPicPr/>
      </xdr:nvPicPr>
      <xdr:blipFill>
        <a:blip r:embed="rId31"/>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463" name="image1.gif" descr="http://sistemas.agricultura.gov.br/infra_css/imagens/espaco.gif"/>
        <xdr:cNvPicPr/>
      </xdr:nvPicPr>
      <xdr:blipFill>
        <a:blip r:embed="rId32"/>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464" name="image1.gif" descr="http://sistemas.agricultura.gov.br/infra_css/imagens/espaco.gif"/>
        <xdr:cNvPicPr/>
      </xdr:nvPicPr>
      <xdr:blipFill>
        <a:blip r:embed="rId33"/>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465" name="image1.gif" descr="http://sistemas.agricultura.gov.br/infra_css/imagens/espaco.gif"/>
        <xdr:cNvPicPr/>
      </xdr:nvPicPr>
      <xdr:blipFill>
        <a:blip r:embed="rId34"/>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466" name="image1.gif" descr="http://sistemas.agricultura.gov.br/infra_css/imagens/espaco.gif"/>
        <xdr:cNvPicPr/>
      </xdr:nvPicPr>
      <xdr:blipFill>
        <a:blip r:embed="rId35"/>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467" name="image1.gif" descr="http://sistemas.agricultura.gov.br/infra_css/imagens/espaco.gif"/>
        <xdr:cNvPicPr/>
      </xdr:nvPicPr>
      <xdr:blipFill>
        <a:blip r:embed="rId36"/>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468" name="image1.gif" descr="http://sistemas.agricultura.gov.br/infra_css/imagens/espaco.gif"/>
        <xdr:cNvPicPr/>
      </xdr:nvPicPr>
      <xdr:blipFill>
        <a:blip r:embed="rId37"/>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469" name="image1.gif" descr="http://sistemas.agricultura.gov.br/infra_css/imagens/espaco.gif"/>
        <xdr:cNvPicPr/>
      </xdr:nvPicPr>
      <xdr:blipFill>
        <a:blip r:embed="rId38"/>
        <a:stretch/>
      </xdr:blipFill>
      <xdr:spPr>
        <a:xfrm>
          <a:off x="1282680" y="162000"/>
          <a:ext cx="37440" cy="151560"/>
        </a:xfrm>
        <a:prstGeom prst="rect">
          <a:avLst/>
        </a:prstGeom>
        <a:noFill/>
        <a:ln w="0">
          <a:noFill/>
        </a:ln>
      </xdr:spPr>
    </xdr:pic>
    <xdr:clientData/>
  </xdr:twoCellAnchor>
  <xdr:twoCellAnchor editAs="oneCell">
    <xdr:from>
      <xdr:col>1</xdr:col>
      <xdr:colOff>0</xdr:colOff>
      <xdr:row>1</xdr:row>
      <xdr:rowOff>0</xdr:rowOff>
    </xdr:from>
    <xdr:to>
      <xdr:col>1</xdr:col>
      <xdr:colOff>37440</xdr:colOff>
      <xdr:row>1</xdr:row>
      <xdr:rowOff>151560</xdr:rowOff>
    </xdr:to>
    <xdr:pic>
      <xdr:nvPicPr>
        <xdr:cNvPr id="470" name="image1.gif" descr="http://sistemas.agricultura.gov.br/infra_css/imagens/espaco.gif"/>
        <xdr:cNvPicPr/>
      </xdr:nvPicPr>
      <xdr:blipFill>
        <a:blip r:embed="rId39"/>
        <a:stretch/>
      </xdr:blipFill>
      <xdr:spPr>
        <a:xfrm>
          <a:off x="1282680" y="162000"/>
          <a:ext cx="37440" cy="151560"/>
        </a:xfrm>
        <a:prstGeom prst="rect">
          <a:avLst/>
        </a:prstGeom>
        <a:noFill/>
        <a:ln w="0">
          <a:noFill/>
        </a:ln>
      </xdr:spPr>
    </xdr:pic>
    <xdr:clientData/>
  </xdr:twoCellAnchor>
  <xdr:twoCellAnchor editAs="oneCell">
    <xdr:from>
      <xdr:col>1</xdr:col>
      <xdr:colOff>0</xdr:colOff>
      <xdr:row>152</xdr:row>
      <xdr:rowOff>0</xdr:rowOff>
    </xdr:from>
    <xdr:to>
      <xdr:col>1</xdr:col>
      <xdr:colOff>37440</xdr:colOff>
      <xdr:row>152</xdr:row>
      <xdr:rowOff>151560</xdr:rowOff>
    </xdr:to>
    <xdr:pic>
      <xdr:nvPicPr>
        <xdr:cNvPr id="471" name="image1.gif" descr="http://sistemas.agricultura.gov.br/infra_css/imagens/espaco.gif"/>
        <xdr:cNvPicPr/>
      </xdr:nvPicPr>
      <xdr:blipFill>
        <a:blip r:embed="rId40"/>
        <a:stretch/>
      </xdr:blipFill>
      <xdr:spPr>
        <a:xfrm>
          <a:off x="1282680" y="28927440"/>
          <a:ext cx="37440" cy="151560"/>
        </a:xfrm>
        <a:prstGeom prst="rect">
          <a:avLst/>
        </a:prstGeom>
        <a:noFill/>
        <a:ln w="0">
          <a:noFill/>
        </a:ln>
      </xdr:spPr>
    </xdr:pic>
    <xdr:clientData/>
  </xdr:twoCellAnchor>
  <xdr:twoCellAnchor editAs="oneCell">
    <xdr:from>
      <xdr:col>1</xdr:col>
      <xdr:colOff>0</xdr:colOff>
      <xdr:row>191</xdr:row>
      <xdr:rowOff>0</xdr:rowOff>
    </xdr:from>
    <xdr:to>
      <xdr:col>1</xdr:col>
      <xdr:colOff>37440</xdr:colOff>
      <xdr:row>191</xdr:row>
      <xdr:rowOff>151560</xdr:rowOff>
    </xdr:to>
    <xdr:pic>
      <xdr:nvPicPr>
        <xdr:cNvPr id="472" name="image1.gif" descr="http://sistemas.agricultura.gov.br/infra_css/imagens/espaco.gif"/>
        <xdr:cNvPicPr/>
      </xdr:nvPicPr>
      <xdr:blipFill>
        <a:blip r:embed="rId41"/>
        <a:stretch/>
      </xdr:blipFill>
      <xdr:spPr>
        <a:xfrm>
          <a:off x="1282680" y="35937720"/>
          <a:ext cx="37440" cy="151560"/>
        </a:xfrm>
        <a:prstGeom prst="rect">
          <a:avLst/>
        </a:prstGeom>
        <a:noFill/>
        <a:ln w="0">
          <a:noFill/>
        </a:ln>
      </xdr:spPr>
    </xdr:pic>
    <xdr:clientData/>
  </xdr:twoCellAnchor>
  <xdr:twoCellAnchor editAs="oneCell">
    <xdr:from>
      <xdr:col>1</xdr:col>
      <xdr:colOff>0</xdr:colOff>
      <xdr:row>191</xdr:row>
      <xdr:rowOff>0</xdr:rowOff>
    </xdr:from>
    <xdr:to>
      <xdr:col>1</xdr:col>
      <xdr:colOff>37440</xdr:colOff>
      <xdr:row>191</xdr:row>
      <xdr:rowOff>151560</xdr:rowOff>
    </xdr:to>
    <xdr:pic>
      <xdr:nvPicPr>
        <xdr:cNvPr id="473" name="image1.gif" descr="http://sistemas.agricultura.gov.br/infra_css/imagens/espaco.gif"/>
        <xdr:cNvPicPr/>
      </xdr:nvPicPr>
      <xdr:blipFill>
        <a:blip r:embed="rId42"/>
        <a:stretch/>
      </xdr:blipFill>
      <xdr:spPr>
        <a:xfrm>
          <a:off x="1282680" y="35937720"/>
          <a:ext cx="37440" cy="151560"/>
        </a:xfrm>
        <a:prstGeom prst="rect">
          <a:avLst/>
        </a:prstGeom>
        <a:noFill/>
        <a:ln w="0">
          <a:noFill/>
        </a:ln>
      </xdr:spPr>
    </xdr:pic>
    <xdr:clientData/>
  </xdr:twoCellAnchor>
  <xdr:twoCellAnchor editAs="oneCell">
    <xdr:from>
      <xdr:col>1</xdr:col>
      <xdr:colOff>0</xdr:colOff>
      <xdr:row>191</xdr:row>
      <xdr:rowOff>0</xdr:rowOff>
    </xdr:from>
    <xdr:to>
      <xdr:col>1</xdr:col>
      <xdr:colOff>37440</xdr:colOff>
      <xdr:row>191</xdr:row>
      <xdr:rowOff>151560</xdr:rowOff>
    </xdr:to>
    <xdr:pic>
      <xdr:nvPicPr>
        <xdr:cNvPr id="474" name="image1.gif" descr="http://sistemas.agricultura.gov.br/infra_css/imagens/espaco.gif"/>
        <xdr:cNvPicPr/>
      </xdr:nvPicPr>
      <xdr:blipFill>
        <a:blip r:embed="rId43"/>
        <a:stretch/>
      </xdr:blipFill>
      <xdr:spPr>
        <a:xfrm>
          <a:off x="1282680" y="35937720"/>
          <a:ext cx="37440" cy="151560"/>
        </a:xfrm>
        <a:prstGeom prst="rect">
          <a:avLst/>
        </a:prstGeom>
        <a:noFill/>
        <a:ln w="0">
          <a:noFill/>
        </a:ln>
      </xdr:spPr>
    </xdr:pic>
    <xdr:clientData/>
  </xdr:twoCellAnchor>
  <xdr:twoCellAnchor editAs="oneCell">
    <xdr:from>
      <xdr:col>1</xdr:col>
      <xdr:colOff>0</xdr:colOff>
      <xdr:row>191</xdr:row>
      <xdr:rowOff>0</xdr:rowOff>
    </xdr:from>
    <xdr:to>
      <xdr:col>1</xdr:col>
      <xdr:colOff>37440</xdr:colOff>
      <xdr:row>191</xdr:row>
      <xdr:rowOff>151560</xdr:rowOff>
    </xdr:to>
    <xdr:pic>
      <xdr:nvPicPr>
        <xdr:cNvPr id="475" name="image1.gif" descr="http://sistemas.agricultura.gov.br/infra_css/imagens/espaco.gif"/>
        <xdr:cNvPicPr/>
      </xdr:nvPicPr>
      <xdr:blipFill>
        <a:blip r:embed="rId44"/>
        <a:stretch/>
      </xdr:blipFill>
      <xdr:spPr>
        <a:xfrm>
          <a:off x="1282680" y="35937720"/>
          <a:ext cx="37440" cy="151560"/>
        </a:xfrm>
        <a:prstGeom prst="rect">
          <a:avLst/>
        </a:prstGeom>
        <a:noFill/>
        <a:ln w="0">
          <a:noFill/>
        </a:ln>
      </xdr:spPr>
    </xdr:pic>
    <xdr:clientData/>
  </xdr:twoCellAnchor>
  <xdr:twoCellAnchor editAs="oneCell">
    <xdr:from>
      <xdr:col>1</xdr:col>
      <xdr:colOff>0</xdr:colOff>
      <xdr:row>154</xdr:row>
      <xdr:rowOff>0</xdr:rowOff>
    </xdr:from>
    <xdr:to>
      <xdr:col>1</xdr:col>
      <xdr:colOff>37440</xdr:colOff>
      <xdr:row>154</xdr:row>
      <xdr:rowOff>151560</xdr:rowOff>
    </xdr:to>
    <xdr:pic>
      <xdr:nvPicPr>
        <xdr:cNvPr id="476" name="image1.gif" descr="http://sistemas.agricultura.gov.br/infra_css/imagens/espaco.gif"/>
        <xdr:cNvPicPr/>
      </xdr:nvPicPr>
      <xdr:blipFill>
        <a:blip r:embed="rId45"/>
        <a:stretch/>
      </xdr:blipFill>
      <xdr:spPr>
        <a:xfrm>
          <a:off x="1282680" y="29308320"/>
          <a:ext cx="37440" cy="151560"/>
        </a:xfrm>
        <a:prstGeom prst="rect">
          <a:avLst/>
        </a:prstGeom>
        <a:noFill/>
        <a:ln w="0">
          <a:noFill/>
        </a:ln>
      </xdr:spPr>
    </xdr:pic>
    <xdr:clientData/>
  </xdr:twoCellAnchor>
  <xdr:twoCellAnchor editAs="oneCell">
    <xdr:from>
      <xdr:col>1</xdr:col>
      <xdr:colOff>0</xdr:colOff>
      <xdr:row>153</xdr:row>
      <xdr:rowOff>0</xdr:rowOff>
    </xdr:from>
    <xdr:to>
      <xdr:col>1</xdr:col>
      <xdr:colOff>37440</xdr:colOff>
      <xdr:row>153</xdr:row>
      <xdr:rowOff>151560</xdr:rowOff>
    </xdr:to>
    <xdr:pic>
      <xdr:nvPicPr>
        <xdr:cNvPr id="477" name="image1.gif" descr="http://sistemas.agricultura.gov.br/infra_css/imagens/espaco.gif"/>
        <xdr:cNvPicPr/>
      </xdr:nvPicPr>
      <xdr:blipFill>
        <a:blip r:embed="rId46"/>
        <a:stretch/>
      </xdr:blipFill>
      <xdr:spPr>
        <a:xfrm>
          <a:off x="1282680" y="29117880"/>
          <a:ext cx="37440" cy="151560"/>
        </a:xfrm>
        <a:prstGeom prst="rect">
          <a:avLst/>
        </a:prstGeom>
        <a:noFill/>
        <a:ln w="0">
          <a:noFill/>
        </a:ln>
      </xdr:spPr>
    </xdr:pic>
    <xdr:clientData/>
  </xdr:twoCellAnchor>
  <xdr:twoCellAnchor editAs="oneCell">
    <xdr:from>
      <xdr:col>1</xdr:col>
      <xdr:colOff>0</xdr:colOff>
      <xdr:row>191</xdr:row>
      <xdr:rowOff>0</xdr:rowOff>
    </xdr:from>
    <xdr:to>
      <xdr:col>1</xdr:col>
      <xdr:colOff>37440</xdr:colOff>
      <xdr:row>191</xdr:row>
      <xdr:rowOff>151560</xdr:rowOff>
    </xdr:to>
    <xdr:pic>
      <xdr:nvPicPr>
        <xdr:cNvPr id="478" name="image1.gif" descr="http://sistemas.agricultura.gov.br/infra_css/imagens/espaco.gif"/>
        <xdr:cNvPicPr/>
      </xdr:nvPicPr>
      <xdr:blipFill>
        <a:blip r:embed="rId47"/>
        <a:stretch/>
      </xdr:blipFill>
      <xdr:spPr>
        <a:xfrm>
          <a:off x="1282680" y="35937720"/>
          <a:ext cx="37440" cy="151560"/>
        </a:xfrm>
        <a:prstGeom prst="rect">
          <a:avLst/>
        </a:prstGeom>
        <a:noFill/>
        <a:ln w="0">
          <a:noFill/>
        </a:ln>
      </xdr:spPr>
    </xdr:pic>
    <xdr:clientData/>
  </xdr:twoCellAnchor>
  <xdr:twoCellAnchor editAs="oneCell">
    <xdr:from>
      <xdr:col>1</xdr:col>
      <xdr:colOff>0</xdr:colOff>
      <xdr:row>191</xdr:row>
      <xdr:rowOff>0</xdr:rowOff>
    </xdr:from>
    <xdr:to>
      <xdr:col>1</xdr:col>
      <xdr:colOff>37440</xdr:colOff>
      <xdr:row>191</xdr:row>
      <xdr:rowOff>151560</xdr:rowOff>
    </xdr:to>
    <xdr:pic>
      <xdr:nvPicPr>
        <xdr:cNvPr id="479" name="image1.gif" descr="http://sistemas.agricultura.gov.br/infra_css/imagens/espaco.gif"/>
        <xdr:cNvPicPr/>
      </xdr:nvPicPr>
      <xdr:blipFill>
        <a:blip r:embed="rId48"/>
        <a:stretch/>
      </xdr:blipFill>
      <xdr:spPr>
        <a:xfrm>
          <a:off x="1282680" y="35937720"/>
          <a:ext cx="37440" cy="151560"/>
        </a:xfrm>
        <a:prstGeom prst="rect">
          <a:avLst/>
        </a:prstGeom>
        <a:noFill/>
        <a:ln w="0">
          <a:noFill/>
        </a:ln>
      </xdr:spPr>
    </xdr:pic>
    <xdr:clientData/>
  </xdr:twoCellAnchor>
  <xdr:twoCellAnchor editAs="oneCell">
    <xdr:from>
      <xdr:col>1</xdr:col>
      <xdr:colOff>0</xdr:colOff>
      <xdr:row>191</xdr:row>
      <xdr:rowOff>0</xdr:rowOff>
    </xdr:from>
    <xdr:to>
      <xdr:col>1</xdr:col>
      <xdr:colOff>37440</xdr:colOff>
      <xdr:row>191</xdr:row>
      <xdr:rowOff>151560</xdr:rowOff>
    </xdr:to>
    <xdr:pic>
      <xdr:nvPicPr>
        <xdr:cNvPr id="480" name="image1.gif" descr="http://sistemas.agricultura.gov.br/infra_css/imagens/espaco.gif"/>
        <xdr:cNvPicPr/>
      </xdr:nvPicPr>
      <xdr:blipFill>
        <a:blip r:embed="rId49"/>
        <a:stretch/>
      </xdr:blipFill>
      <xdr:spPr>
        <a:xfrm>
          <a:off x="1282680" y="35937720"/>
          <a:ext cx="37440" cy="151560"/>
        </a:xfrm>
        <a:prstGeom prst="rect">
          <a:avLst/>
        </a:prstGeom>
        <a:noFill/>
        <a:ln w="0">
          <a:noFill/>
        </a:ln>
      </xdr:spPr>
    </xdr:pic>
    <xdr:clientData/>
  </xdr:twoCellAnchor>
  <xdr:twoCellAnchor editAs="oneCell">
    <xdr:from>
      <xdr:col>1</xdr:col>
      <xdr:colOff>0</xdr:colOff>
      <xdr:row>191</xdr:row>
      <xdr:rowOff>0</xdr:rowOff>
    </xdr:from>
    <xdr:to>
      <xdr:col>1</xdr:col>
      <xdr:colOff>37440</xdr:colOff>
      <xdr:row>191</xdr:row>
      <xdr:rowOff>151560</xdr:rowOff>
    </xdr:to>
    <xdr:pic>
      <xdr:nvPicPr>
        <xdr:cNvPr id="481" name="image1.gif" descr="http://sistemas.agricultura.gov.br/infra_css/imagens/espaco.gif"/>
        <xdr:cNvPicPr/>
      </xdr:nvPicPr>
      <xdr:blipFill>
        <a:blip r:embed="rId50"/>
        <a:stretch/>
      </xdr:blipFill>
      <xdr:spPr>
        <a:xfrm>
          <a:off x="1282680" y="35937720"/>
          <a:ext cx="37440" cy="151560"/>
        </a:xfrm>
        <a:prstGeom prst="rect">
          <a:avLst/>
        </a:prstGeom>
        <a:noFill/>
        <a:ln w="0">
          <a:noFill/>
        </a:ln>
      </xdr:spPr>
    </xdr:pic>
    <xdr:clientData/>
  </xdr:twoCellAnchor>
  <xdr:twoCellAnchor editAs="oneCell">
    <xdr:from>
      <xdr:col>1</xdr:col>
      <xdr:colOff>0</xdr:colOff>
      <xdr:row>191</xdr:row>
      <xdr:rowOff>0</xdr:rowOff>
    </xdr:from>
    <xdr:to>
      <xdr:col>1</xdr:col>
      <xdr:colOff>37440</xdr:colOff>
      <xdr:row>191</xdr:row>
      <xdr:rowOff>151560</xdr:rowOff>
    </xdr:to>
    <xdr:pic>
      <xdr:nvPicPr>
        <xdr:cNvPr id="482" name="image1.gif" descr="http://sistemas.agricultura.gov.br/infra_css/imagens/espaco.gif"/>
        <xdr:cNvPicPr/>
      </xdr:nvPicPr>
      <xdr:blipFill>
        <a:blip r:embed="rId51"/>
        <a:stretch/>
      </xdr:blipFill>
      <xdr:spPr>
        <a:xfrm>
          <a:off x="1282680" y="35937720"/>
          <a:ext cx="37440" cy="151560"/>
        </a:xfrm>
        <a:prstGeom prst="rect">
          <a:avLst/>
        </a:prstGeom>
        <a:noFill/>
        <a:ln w="0">
          <a:noFill/>
        </a:ln>
      </xdr:spPr>
    </xdr:pic>
    <xdr:clientData/>
  </xdr:twoCellAnchor>
  <xdr:twoCellAnchor editAs="oneCell">
    <xdr:from>
      <xdr:col>1</xdr:col>
      <xdr:colOff>0</xdr:colOff>
      <xdr:row>154</xdr:row>
      <xdr:rowOff>0</xdr:rowOff>
    </xdr:from>
    <xdr:to>
      <xdr:col>1</xdr:col>
      <xdr:colOff>37440</xdr:colOff>
      <xdr:row>154</xdr:row>
      <xdr:rowOff>151560</xdr:rowOff>
    </xdr:to>
    <xdr:pic>
      <xdr:nvPicPr>
        <xdr:cNvPr id="483" name="image1.gif" descr="http://sistemas.agricultura.gov.br/infra_css/imagens/espaco.gif"/>
        <xdr:cNvPicPr/>
      </xdr:nvPicPr>
      <xdr:blipFill>
        <a:blip r:embed="rId52"/>
        <a:stretch/>
      </xdr:blipFill>
      <xdr:spPr>
        <a:xfrm>
          <a:off x="1282680" y="29308320"/>
          <a:ext cx="37440" cy="151560"/>
        </a:xfrm>
        <a:prstGeom prst="rect">
          <a:avLst/>
        </a:prstGeom>
        <a:noFill/>
        <a:ln w="0">
          <a:noFill/>
        </a:ln>
      </xdr:spPr>
    </xdr:pic>
    <xdr:clientData/>
  </xdr:twoCellAnchor>
  <xdr:twoCellAnchor editAs="oneCell">
    <xdr:from>
      <xdr:col>1</xdr:col>
      <xdr:colOff>0</xdr:colOff>
      <xdr:row>153</xdr:row>
      <xdr:rowOff>0</xdr:rowOff>
    </xdr:from>
    <xdr:to>
      <xdr:col>1</xdr:col>
      <xdr:colOff>37440</xdr:colOff>
      <xdr:row>153</xdr:row>
      <xdr:rowOff>151560</xdr:rowOff>
    </xdr:to>
    <xdr:pic>
      <xdr:nvPicPr>
        <xdr:cNvPr id="484" name="image1.gif" descr="http://sistemas.agricultura.gov.br/infra_css/imagens/espaco.gif"/>
        <xdr:cNvPicPr/>
      </xdr:nvPicPr>
      <xdr:blipFill>
        <a:blip r:embed="rId53"/>
        <a:stretch/>
      </xdr:blipFill>
      <xdr:spPr>
        <a:xfrm>
          <a:off x="1282680" y="29117880"/>
          <a:ext cx="37440" cy="151560"/>
        </a:xfrm>
        <a:prstGeom prst="rect">
          <a:avLst/>
        </a:prstGeom>
        <a:noFill/>
        <a:ln w="0">
          <a:noFill/>
        </a:ln>
      </xdr:spPr>
    </xdr:pic>
    <xdr:clientData/>
  </xdr:twoCellAnchor>
  <xdr:twoCellAnchor editAs="oneCell">
    <xdr:from>
      <xdr:col>1</xdr:col>
      <xdr:colOff>0</xdr:colOff>
      <xdr:row>191</xdr:row>
      <xdr:rowOff>0</xdr:rowOff>
    </xdr:from>
    <xdr:to>
      <xdr:col>1</xdr:col>
      <xdr:colOff>37440</xdr:colOff>
      <xdr:row>191</xdr:row>
      <xdr:rowOff>151560</xdr:rowOff>
    </xdr:to>
    <xdr:pic>
      <xdr:nvPicPr>
        <xdr:cNvPr id="485" name="image1.gif" descr="http://sistemas.agricultura.gov.br/infra_css/imagens/espaco.gif"/>
        <xdr:cNvPicPr/>
      </xdr:nvPicPr>
      <xdr:blipFill>
        <a:blip r:embed="rId54"/>
        <a:stretch/>
      </xdr:blipFill>
      <xdr:spPr>
        <a:xfrm>
          <a:off x="1282680" y="35937720"/>
          <a:ext cx="37440" cy="151560"/>
        </a:xfrm>
        <a:prstGeom prst="rect">
          <a:avLst/>
        </a:prstGeom>
        <a:noFill/>
        <a:ln w="0">
          <a:noFill/>
        </a:ln>
      </xdr:spPr>
    </xdr:pic>
    <xdr:clientData/>
  </xdr:twoCellAnchor>
  <xdr:twoCellAnchor editAs="oneCell">
    <xdr:from>
      <xdr:col>1</xdr:col>
      <xdr:colOff>0</xdr:colOff>
      <xdr:row>191</xdr:row>
      <xdr:rowOff>0</xdr:rowOff>
    </xdr:from>
    <xdr:to>
      <xdr:col>1</xdr:col>
      <xdr:colOff>37440</xdr:colOff>
      <xdr:row>191</xdr:row>
      <xdr:rowOff>151560</xdr:rowOff>
    </xdr:to>
    <xdr:pic>
      <xdr:nvPicPr>
        <xdr:cNvPr id="486" name="image1.gif" descr="http://sistemas.agricultura.gov.br/infra_css/imagens/espaco.gif"/>
        <xdr:cNvPicPr/>
      </xdr:nvPicPr>
      <xdr:blipFill>
        <a:blip r:embed="rId55"/>
        <a:stretch/>
      </xdr:blipFill>
      <xdr:spPr>
        <a:xfrm>
          <a:off x="1282680" y="35937720"/>
          <a:ext cx="37440" cy="151560"/>
        </a:xfrm>
        <a:prstGeom prst="rect">
          <a:avLst/>
        </a:prstGeom>
        <a:noFill/>
        <a:ln w="0">
          <a:noFill/>
        </a:ln>
      </xdr:spPr>
    </xdr:pic>
    <xdr:clientData/>
  </xdr:twoCellAnchor>
  <xdr:twoCellAnchor editAs="oneCell">
    <xdr:from>
      <xdr:col>1</xdr:col>
      <xdr:colOff>0</xdr:colOff>
      <xdr:row>191</xdr:row>
      <xdr:rowOff>0</xdr:rowOff>
    </xdr:from>
    <xdr:to>
      <xdr:col>1</xdr:col>
      <xdr:colOff>37440</xdr:colOff>
      <xdr:row>191</xdr:row>
      <xdr:rowOff>151560</xdr:rowOff>
    </xdr:to>
    <xdr:pic>
      <xdr:nvPicPr>
        <xdr:cNvPr id="487" name="image1.gif" descr="http://sistemas.agricultura.gov.br/infra_css/imagens/espaco.gif"/>
        <xdr:cNvPicPr/>
      </xdr:nvPicPr>
      <xdr:blipFill>
        <a:blip r:embed="rId56"/>
        <a:stretch/>
      </xdr:blipFill>
      <xdr:spPr>
        <a:xfrm>
          <a:off x="1282680" y="35937720"/>
          <a:ext cx="37440" cy="151560"/>
        </a:xfrm>
        <a:prstGeom prst="rect">
          <a:avLst/>
        </a:prstGeom>
        <a:noFill/>
        <a:ln w="0">
          <a:noFill/>
        </a:ln>
      </xdr:spPr>
    </xdr:pic>
    <xdr:clientData/>
  </xdr:twoCellAnchor>
  <xdr:twoCellAnchor editAs="oneCell">
    <xdr:from>
      <xdr:col>1</xdr:col>
      <xdr:colOff>0</xdr:colOff>
      <xdr:row>191</xdr:row>
      <xdr:rowOff>0</xdr:rowOff>
    </xdr:from>
    <xdr:to>
      <xdr:col>1</xdr:col>
      <xdr:colOff>37440</xdr:colOff>
      <xdr:row>191</xdr:row>
      <xdr:rowOff>151560</xdr:rowOff>
    </xdr:to>
    <xdr:pic>
      <xdr:nvPicPr>
        <xdr:cNvPr id="488" name="image1.gif" descr="http://sistemas.agricultura.gov.br/infra_css/imagens/espaco.gif"/>
        <xdr:cNvPicPr/>
      </xdr:nvPicPr>
      <xdr:blipFill>
        <a:blip r:embed="rId57"/>
        <a:stretch/>
      </xdr:blipFill>
      <xdr:spPr>
        <a:xfrm>
          <a:off x="1282680" y="35937720"/>
          <a:ext cx="37440" cy="151560"/>
        </a:xfrm>
        <a:prstGeom prst="rect">
          <a:avLst/>
        </a:prstGeom>
        <a:noFill/>
        <a:ln w="0">
          <a:noFill/>
        </a:ln>
      </xdr:spPr>
    </xdr:pic>
    <xdr:clientData/>
  </xdr:twoCellAnchor>
  <xdr:twoCellAnchor editAs="oneCell">
    <xdr:from>
      <xdr:col>1</xdr:col>
      <xdr:colOff>0</xdr:colOff>
      <xdr:row>191</xdr:row>
      <xdr:rowOff>0</xdr:rowOff>
    </xdr:from>
    <xdr:to>
      <xdr:col>1</xdr:col>
      <xdr:colOff>37440</xdr:colOff>
      <xdr:row>191</xdr:row>
      <xdr:rowOff>151560</xdr:rowOff>
    </xdr:to>
    <xdr:pic>
      <xdr:nvPicPr>
        <xdr:cNvPr id="489" name="image1.gif" descr="http://sistemas.agricultura.gov.br/infra_css/imagens/espaco.gif"/>
        <xdr:cNvPicPr/>
      </xdr:nvPicPr>
      <xdr:blipFill>
        <a:blip r:embed="rId58"/>
        <a:stretch/>
      </xdr:blipFill>
      <xdr:spPr>
        <a:xfrm>
          <a:off x="1282680" y="35937720"/>
          <a:ext cx="37440" cy="151560"/>
        </a:xfrm>
        <a:prstGeom prst="rect">
          <a:avLst/>
        </a:prstGeom>
        <a:noFill/>
        <a:ln w="0">
          <a:noFill/>
        </a:ln>
      </xdr:spPr>
    </xdr:pic>
    <xdr:clientData/>
  </xdr:twoCellAnchor>
  <xdr:twoCellAnchor editAs="oneCell">
    <xdr:from>
      <xdr:col>1</xdr:col>
      <xdr:colOff>0</xdr:colOff>
      <xdr:row>390</xdr:row>
      <xdr:rowOff>0</xdr:rowOff>
    </xdr:from>
    <xdr:to>
      <xdr:col>1</xdr:col>
      <xdr:colOff>46800</xdr:colOff>
      <xdr:row>391</xdr:row>
      <xdr:rowOff>28080</xdr:rowOff>
    </xdr:to>
    <xdr:pic>
      <xdr:nvPicPr>
        <xdr:cNvPr id="490" name="image1.gif"/>
        <xdr:cNvPicPr/>
      </xdr:nvPicPr>
      <xdr:blipFill>
        <a:blip r:embed="rId59"/>
        <a:stretch/>
      </xdr:blipFill>
      <xdr:spPr>
        <a:xfrm>
          <a:off x="1282680" y="68799240"/>
          <a:ext cx="46800" cy="189720"/>
        </a:xfrm>
        <a:prstGeom prst="rect">
          <a:avLst/>
        </a:prstGeom>
        <a:noFill/>
        <a:ln w="0">
          <a:noFill/>
        </a:ln>
      </xdr:spPr>
    </xdr:pic>
    <xdr:clientData/>
  </xdr:twoCellAnchor>
  <xdr:twoCellAnchor editAs="oneCell">
    <xdr:from>
      <xdr:col>1</xdr:col>
      <xdr:colOff>0</xdr:colOff>
      <xdr:row>395</xdr:row>
      <xdr:rowOff>0</xdr:rowOff>
    </xdr:from>
    <xdr:to>
      <xdr:col>1</xdr:col>
      <xdr:colOff>46800</xdr:colOff>
      <xdr:row>396</xdr:row>
      <xdr:rowOff>28080</xdr:rowOff>
    </xdr:to>
    <xdr:pic>
      <xdr:nvPicPr>
        <xdr:cNvPr id="491" name="image1.gif"/>
        <xdr:cNvPicPr/>
      </xdr:nvPicPr>
      <xdr:blipFill>
        <a:blip r:embed="rId60"/>
        <a:stretch/>
      </xdr:blipFill>
      <xdr:spPr>
        <a:xfrm>
          <a:off x="1282680" y="69608880"/>
          <a:ext cx="46800" cy="189720"/>
        </a:xfrm>
        <a:prstGeom prst="rect">
          <a:avLst/>
        </a:prstGeom>
        <a:noFill/>
        <a:ln w="0">
          <a:noFill/>
        </a:ln>
      </xdr:spPr>
    </xdr:pic>
    <xdr:clientData/>
  </xdr:twoCellAnchor>
  <xdr:twoCellAnchor editAs="oneCell">
    <xdr:from>
      <xdr:col>1</xdr:col>
      <xdr:colOff>0</xdr:colOff>
      <xdr:row>398</xdr:row>
      <xdr:rowOff>0</xdr:rowOff>
    </xdr:from>
    <xdr:to>
      <xdr:col>1</xdr:col>
      <xdr:colOff>46800</xdr:colOff>
      <xdr:row>399</xdr:row>
      <xdr:rowOff>27720</xdr:rowOff>
    </xdr:to>
    <xdr:pic>
      <xdr:nvPicPr>
        <xdr:cNvPr id="492" name="image1.gif"/>
        <xdr:cNvPicPr/>
      </xdr:nvPicPr>
      <xdr:blipFill>
        <a:blip r:embed="rId61"/>
        <a:stretch/>
      </xdr:blipFill>
      <xdr:spPr>
        <a:xfrm>
          <a:off x="1282680" y="70094520"/>
          <a:ext cx="46800" cy="189720"/>
        </a:xfrm>
        <a:prstGeom prst="rect">
          <a:avLst/>
        </a:prstGeom>
        <a:noFill/>
        <a:ln w="0">
          <a:noFill/>
        </a:ln>
      </xdr:spPr>
    </xdr:pic>
    <xdr:clientData/>
  </xdr:twoCellAnchor>
  <xdr:twoCellAnchor editAs="oneCell">
    <xdr:from>
      <xdr:col>1</xdr:col>
      <xdr:colOff>0</xdr:colOff>
      <xdr:row>410</xdr:row>
      <xdr:rowOff>0</xdr:rowOff>
    </xdr:from>
    <xdr:to>
      <xdr:col>1</xdr:col>
      <xdr:colOff>46800</xdr:colOff>
      <xdr:row>411</xdr:row>
      <xdr:rowOff>27720</xdr:rowOff>
    </xdr:to>
    <xdr:pic>
      <xdr:nvPicPr>
        <xdr:cNvPr id="493" name="image1.gif"/>
        <xdr:cNvPicPr/>
      </xdr:nvPicPr>
      <xdr:blipFill>
        <a:blip r:embed="rId62"/>
        <a:stretch/>
      </xdr:blipFill>
      <xdr:spPr>
        <a:xfrm>
          <a:off x="1282680" y="72151920"/>
          <a:ext cx="46800" cy="189720"/>
        </a:xfrm>
        <a:prstGeom prst="rect">
          <a:avLst/>
        </a:prstGeom>
        <a:noFill/>
        <a:ln w="0">
          <a:noFill/>
        </a:ln>
      </xdr:spPr>
    </xdr:pic>
    <xdr:clientData/>
  </xdr:twoCellAnchor>
</xdr:wsDr>
</file>

<file path=xl/drawings/drawing17.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194</xdr:row>
      <xdr:rowOff>0</xdr:rowOff>
    </xdr:from>
    <xdr:to>
      <xdr:col>1</xdr:col>
      <xdr:colOff>37440</xdr:colOff>
      <xdr:row>194</xdr:row>
      <xdr:rowOff>151560</xdr:rowOff>
    </xdr:to>
    <xdr:pic>
      <xdr:nvPicPr>
        <xdr:cNvPr id="494" name="image1.gif" descr="http://sistemas.agricultura.gov.br/infra_css/imagens/espaco.gif"/>
        <xdr:cNvPicPr/>
      </xdr:nvPicPr>
      <xdr:blipFill>
        <a:blip r:embed="rId1"/>
        <a:stretch/>
      </xdr:blipFill>
      <xdr:spPr>
        <a:xfrm>
          <a:off x="1282680" y="36452160"/>
          <a:ext cx="37440" cy="151560"/>
        </a:xfrm>
        <a:prstGeom prst="rect">
          <a:avLst/>
        </a:prstGeom>
        <a:noFill/>
        <a:ln w="0">
          <a:noFill/>
        </a:ln>
      </xdr:spPr>
    </xdr:pic>
    <xdr:clientData/>
  </xdr:twoCellAnchor>
  <xdr:twoCellAnchor editAs="oneCell">
    <xdr:from>
      <xdr:col>1</xdr:col>
      <xdr:colOff>0</xdr:colOff>
      <xdr:row>72</xdr:row>
      <xdr:rowOff>0</xdr:rowOff>
    </xdr:from>
    <xdr:to>
      <xdr:col>1</xdr:col>
      <xdr:colOff>37440</xdr:colOff>
      <xdr:row>72</xdr:row>
      <xdr:rowOff>151560</xdr:rowOff>
    </xdr:to>
    <xdr:pic>
      <xdr:nvPicPr>
        <xdr:cNvPr id="495" name="image1.gif" descr="http://sistemas.agricultura.gov.br/infra_css/imagens/espaco.gif"/>
        <xdr:cNvPicPr/>
      </xdr:nvPicPr>
      <xdr:blipFill>
        <a:blip r:embed="rId2"/>
        <a:stretch/>
      </xdr:blipFill>
      <xdr:spPr>
        <a:xfrm>
          <a:off x="1282680" y="13687560"/>
          <a:ext cx="37440" cy="151560"/>
        </a:xfrm>
        <a:prstGeom prst="rect">
          <a:avLst/>
        </a:prstGeom>
        <a:noFill/>
        <a:ln w="0">
          <a:noFill/>
        </a:ln>
      </xdr:spPr>
    </xdr:pic>
    <xdr:clientData/>
  </xdr:twoCellAnchor>
  <xdr:twoCellAnchor editAs="oneCell">
    <xdr:from>
      <xdr:col>1</xdr:col>
      <xdr:colOff>0</xdr:colOff>
      <xdr:row>203</xdr:row>
      <xdr:rowOff>0</xdr:rowOff>
    </xdr:from>
    <xdr:to>
      <xdr:col>1</xdr:col>
      <xdr:colOff>37440</xdr:colOff>
      <xdr:row>203</xdr:row>
      <xdr:rowOff>151560</xdr:rowOff>
    </xdr:to>
    <xdr:pic>
      <xdr:nvPicPr>
        <xdr:cNvPr id="496" name="image1.gif" descr="http://sistemas.agricultura.gov.br/infra_css/imagens/espaco.gif"/>
        <xdr:cNvPicPr/>
      </xdr:nvPicPr>
      <xdr:blipFill>
        <a:blip r:embed="rId3"/>
        <a:stretch/>
      </xdr:blipFill>
      <xdr:spPr>
        <a:xfrm>
          <a:off x="1282680" y="38004840"/>
          <a:ext cx="37440" cy="151560"/>
        </a:xfrm>
        <a:prstGeom prst="rect">
          <a:avLst/>
        </a:prstGeom>
        <a:noFill/>
        <a:ln w="0">
          <a:noFill/>
        </a:ln>
      </xdr:spPr>
    </xdr:pic>
    <xdr:clientData/>
  </xdr:twoCellAnchor>
  <xdr:twoCellAnchor editAs="oneCell">
    <xdr:from>
      <xdr:col>1</xdr:col>
      <xdr:colOff>0</xdr:colOff>
      <xdr:row>73</xdr:row>
      <xdr:rowOff>0</xdr:rowOff>
    </xdr:from>
    <xdr:to>
      <xdr:col>1</xdr:col>
      <xdr:colOff>37440</xdr:colOff>
      <xdr:row>73</xdr:row>
      <xdr:rowOff>151560</xdr:rowOff>
    </xdr:to>
    <xdr:pic>
      <xdr:nvPicPr>
        <xdr:cNvPr id="497" name="image1.gif" descr="http://sistemas.agricultura.gov.br/infra_css/imagens/espaco.gif"/>
        <xdr:cNvPicPr/>
      </xdr:nvPicPr>
      <xdr:blipFill>
        <a:blip r:embed="rId4"/>
        <a:stretch/>
      </xdr:blipFill>
      <xdr:spPr>
        <a:xfrm>
          <a:off x="1282680" y="13878000"/>
          <a:ext cx="37440" cy="151560"/>
        </a:xfrm>
        <a:prstGeom prst="rect">
          <a:avLst/>
        </a:prstGeom>
        <a:noFill/>
        <a:ln w="0">
          <a:noFill/>
        </a:ln>
      </xdr:spPr>
    </xdr:pic>
    <xdr:clientData/>
  </xdr:twoCellAnchor>
  <xdr:twoCellAnchor editAs="oneCell">
    <xdr:from>
      <xdr:col>1</xdr:col>
      <xdr:colOff>0</xdr:colOff>
      <xdr:row>174</xdr:row>
      <xdr:rowOff>0</xdr:rowOff>
    </xdr:from>
    <xdr:to>
      <xdr:col>1</xdr:col>
      <xdr:colOff>37440</xdr:colOff>
      <xdr:row>174</xdr:row>
      <xdr:rowOff>151560</xdr:rowOff>
    </xdr:to>
    <xdr:pic>
      <xdr:nvPicPr>
        <xdr:cNvPr id="498" name="image1.gif" descr="http://sistemas.agricultura.gov.br/infra_css/imagens/espaco.gif"/>
        <xdr:cNvPicPr/>
      </xdr:nvPicPr>
      <xdr:blipFill>
        <a:blip r:embed="rId5"/>
        <a:stretch/>
      </xdr:blipFill>
      <xdr:spPr>
        <a:xfrm>
          <a:off x="1282680" y="33089760"/>
          <a:ext cx="37440" cy="151560"/>
        </a:xfrm>
        <a:prstGeom prst="rect">
          <a:avLst/>
        </a:prstGeom>
        <a:noFill/>
        <a:ln w="0">
          <a:noFill/>
        </a:ln>
      </xdr:spPr>
    </xdr:pic>
    <xdr:clientData/>
  </xdr:twoCellAnchor>
  <xdr:twoCellAnchor editAs="oneCell">
    <xdr:from>
      <xdr:col>1</xdr:col>
      <xdr:colOff>0</xdr:colOff>
      <xdr:row>25</xdr:row>
      <xdr:rowOff>0</xdr:rowOff>
    </xdr:from>
    <xdr:to>
      <xdr:col>1</xdr:col>
      <xdr:colOff>37440</xdr:colOff>
      <xdr:row>25</xdr:row>
      <xdr:rowOff>151560</xdr:rowOff>
    </xdr:to>
    <xdr:pic>
      <xdr:nvPicPr>
        <xdr:cNvPr id="499" name="image1.gif" descr="http://sistemas.agricultura.gov.br/infra_css/imagens/espaco.gif"/>
        <xdr:cNvPicPr/>
      </xdr:nvPicPr>
      <xdr:blipFill>
        <a:blip r:embed="rId6"/>
        <a:stretch/>
      </xdr:blipFill>
      <xdr:spPr>
        <a:xfrm>
          <a:off x="1282680" y="4734000"/>
          <a:ext cx="37440" cy="151560"/>
        </a:xfrm>
        <a:prstGeom prst="rect">
          <a:avLst/>
        </a:prstGeom>
        <a:noFill/>
        <a:ln w="0">
          <a:noFill/>
        </a:ln>
      </xdr:spPr>
    </xdr:pic>
    <xdr:clientData/>
  </xdr:twoCellAnchor>
  <xdr:twoCellAnchor editAs="oneCell">
    <xdr:from>
      <xdr:col>1</xdr:col>
      <xdr:colOff>0</xdr:colOff>
      <xdr:row>65</xdr:row>
      <xdr:rowOff>0</xdr:rowOff>
    </xdr:from>
    <xdr:to>
      <xdr:col>1</xdr:col>
      <xdr:colOff>37440</xdr:colOff>
      <xdr:row>65</xdr:row>
      <xdr:rowOff>151560</xdr:rowOff>
    </xdr:to>
    <xdr:pic>
      <xdr:nvPicPr>
        <xdr:cNvPr id="500" name="image1.gif" descr="http://sistemas.agricultura.gov.br/infra_css/imagens/espaco.gif"/>
        <xdr:cNvPicPr/>
      </xdr:nvPicPr>
      <xdr:blipFill>
        <a:blip r:embed="rId7"/>
        <a:stretch/>
      </xdr:blipFill>
      <xdr:spPr>
        <a:xfrm>
          <a:off x="1282680" y="12353760"/>
          <a:ext cx="37440" cy="151560"/>
        </a:xfrm>
        <a:prstGeom prst="rect">
          <a:avLst/>
        </a:prstGeom>
        <a:noFill/>
        <a:ln w="0">
          <a:noFill/>
        </a:ln>
      </xdr:spPr>
    </xdr:pic>
    <xdr:clientData/>
  </xdr:twoCellAnchor>
  <xdr:twoCellAnchor editAs="oneCell">
    <xdr:from>
      <xdr:col>1</xdr:col>
      <xdr:colOff>0</xdr:colOff>
      <xdr:row>325</xdr:row>
      <xdr:rowOff>0</xdr:rowOff>
    </xdr:from>
    <xdr:to>
      <xdr:col>1</xdr:col>
      <xdr:colOff>37440</xdr:colOff>
      <xdr:row>325</xdr:row>
      <xdr:rowOff>151560</xdr:rowOff>
    </xdr:to>
    <xdr:pic>
      <xdr:nvPicPr>
        <xdr:cNvPr id="501" name="image1.gif" descr="http://sistemas.agricultura.gov.br/infra_css/imagens/espaco.gif"/>
        <xdr:cNvPicPr/>
      </xdr:nvPicPr>
      <xdr:blipFill>
        <a:blip r:embed="rId8"/>
        <a:stretch/>
      </xdr:blipFill>
      <xdr:spPr>
        <a:xfrm>
          <a:off x="1282680" y="57988080"/>
          <a:ext cx="37440" cy="151560"/>
        </a:xfrm>
        <a:prstGeom prst="rect">
          <a:avLst/>
        </a:prstGeom>
        <a:noFill/>
        <a:ln w="0">
          <a:noFill/>
        </a:ln>
      </xdr:spPr>
    </xdr:pic>
    <xdr:clientData/>
  </xdr:twoCellAnchor>
  <xdr:twoCellAnchor editAs="oneCell">
    <xdr:from>
      <xdr:col>1</xdr:col>
      <xdr:colOff>0</xdr:colOff>
      <xdr:row>371</xdr:row>
      <xdr:rowOff>0</xdr:rowOff>
    </xdr:from>
    <xdr:to>
      <xdr:col>1</xdr:col>
      <xdr:colOff>37440</xdr:colOff>
      <xdr:row>371</xdr:row>
      <xdr:rowOff>151560</xdr:rowOff>
    </xdr:to>
    <xdr:pic>
      <xdr:nvPicPr>
        <xdr:cNvPr id="502" name="image1.gif" descr="http://sistemas.agricultura.gov.br/infra_css/imagens/espaco.gif"/>
        <xdr:cNvPicPr/>
      </xdr:nvPicPr>
      <xdr:blipFill>
        <a:blip r:embed="rId9"/>
        <a:stretch/>
      </xdr:blipFill>
      <xdr:spPr>
        <a:xfrm>
          <a:off x="1282680" y="65636640"/>
          <a:ext cx="37440" cy="151560"/>
        </a:xfrm>
        <a:prstGeom prst="rect">
          <a:avLst/>
        </a:prstGeom>
        <a:noFill/>
        <a:ln w="0">
          <a:noFill/>
        </a:ln>
      </xdr:spPr>
    </xdr:pic>
    <xdr:clientData/>
  </xdr:twoCellAnchor>
  <xdr:twoCellAnchor editAs="oneCell">
    <xdr:from>
      <xdr:col>1</xdr:col>
      <xdr:colOff>0</xdr:colOff>
      <xdr:row>376</xdr:row>
      <xdr:rowOff>0</xdr:rowOff>
    </xdr:from>
    <xdr:to>
      <xdr:col>1</xdr:col>
      <xdr:colOff>37440</xdr:colOff>
      <xdr:row>376</xdr:row>
      <xdr:rowOff>151560</xdr:rowOff>
    </xdr:to>
    <xdr:pic>
      <xdr:nvPicPr>
        <xdr:cNvPr id="503" name="image1.gif" descr="http://sistemas.agricultura.gov.br/infra_css/imagens/espaco.gif"/>
        <xdr:cNvPicPr/>
      </xdr:nvPicPr>
      <xdr:blipFill>
        <a:blip r:embed="rId10"/>
        <a:stretch/>
      </xdr:blipFill>
      <xdr:spPr>
        <a:xfrm>
          <a:off x="1282680" y="66475080"/>
          <a:ext cx="37440" cy="151560"/>
        </a:xfrm>
        <a:prstGeom prst="rect">
          <a:avLst/>
        </a:prstGeom>
        <a:noFill/>
        <a:ln w="0">
          <a:noFill/>
        </a:ln>
      </xdr:spPr>
    </xdr:pic>
    <xdr:clientData/>
  </xdr:twoCellAnchor>
  <xdr:twoCellAnchor editAs="oneCell">
    <xdr:from>
      <xdr:col>1</xdr:col>
      <xdr:colOff>0</xdr:colOff>
      <xdr:row>379</xdr:row>
      <xdr:rowOff>0</xdr:rowOff>
    </xdr:from>
    <xdr:to>
      <xdr:col>1</xdr:col>
      <xdr:colOff>37440</xdr:colOff>
      <xdr:row>379</xdr:row>
      <xdr:rowOff>151560</xdr:rowOff>
    </xdr:to>
    <xdr:pic>
      <xdr:nvPicPr>
        <xdr:cNvPr id="504" name="image1.gif" descr="http://sistemas.agricultura.gov.br/infra_css/imagens/espaco.gif"/>
        <xdr:cNvPicPr/>
      </xdr:nvPicPr>
      <xdr:blipFill>
        <a:blip r:embed="rId11"/>
        <a:stretch/>
      </xdr:blipFill>
      <xdr:spPr>
        <a:xfrm>
          <a:off x="1282680" y="66960720"/>
          <a:ext cx="37440" cy="151560"/>
        </a:xfrm>
        <a:prstGeom prst="rect">
          <a:avLst/>
        </a:prstGeom>
        <a:noFill/>
        <a:ln w="0">
          <a:noFill/>
        </a:ln>
      </xdr:spPr>
    </xdr:pic>
    <xdr:clientData/>
  </xdr:twoCellAnchor>
  <xdr:twoCellAnchor editAs="oneCell">
    <xdr:from>
      <xdr:col>1</xdr:col>
      <xdr:colOff>0</xdr:colOff>
      <xdr:row>391</xdr:row>
      <xdr:rowOff>0</xdr:rowOff>
    </xdr:from>
    <xdr:to>
      <xdr:col>1</xdr:col>
      <xdr:colOff>37440</xdr:colOff>
      <xdr:row>391</xdr:row>
      <xdr:rowOff>151560</xdr:rowOff>
    </xdr:to>
    <xdr:pic>
      <xdr:nvPicPr>
        <xdr:cNvPr id="505" name="image1.gif" descr="http://sistemas.agricultura.gov.br/infra_css/imagens/espaco.gif"/>
        <xdr:cNvPicPr/>
      </xdr:nvPicPr>
      <xdr:blipFill>
        <a:blip r:embed="rId12"/>
        <a:stretch/>
      </xdr:blipFill>
      <xdr:spPr>
        <a:xfrm>
          <a:off x="1282680" y="68960880"/>
          <a:ext cx="37440" cy="151560"/>
        </a:xfrm>
        <a:prstGeom prst="rect">
          <a:avLst/>
        </a:prstGeom>
        <a:noFill/>
        <a:ln w="0">
          <a:noFill/>
        </a:ln>
      </xdr:spPr>
    </xdr:pic>
    <xdr:clientData/>
  </xdr:twoCellAnchor>
  <xdr:twoCellAnchor editAs="oneCell">
    <xdr:from>
      <xdr:col>1</xdr:col>
      <xdr:colOff>0</xdr:colOff>
      <xdr:row>25</xdr:row>
      <xdr:rowOff>0</xdr:rowOff>
    </xdr:from>
    <xdr:to>
      <xdr:col>1</xdr:col>
      <xdr:colOff>37440</xdr:colOff>
      <xdr:row>25</xdr:row>
      <xdr:rowOff>151560</xdr:rowOff>
    </xdr:to>
    <xdr:pic>
      <xdr:nvPicPr>
        <xdr:cNvPr id="506" name="image1.gif" descr="http://sistemas.agricultura.gov.br/infra_css/imagens/espaco.gif"/>
        <xdr:cNvPicPr/>
      </xdr:nvPicPr>
      <xdr:blipFill>
        <a:blip r:embed="rId13"/>
        <a:stretch/>
      </xdr:blipFill>
      <xdr:spPr>
        <a:xfrm>
          <a:off x="1282680" y="4734000"/>
          <a:ext cx="37440" cy="151560"/>
        </a:xfrm>
        <a:prstGeom prst="rect">
          <a:avLst/>
        </a:prstGeom>
        <a:noFill/>
        <a:ln w="0">
          <a:noFill/>
        </a:ln>
      </xdr:spPr>
    </xdr:pic>
    <xdr:clientData/>
  </xdr:twoCellAnchor>
  <xdr:twoCellAnchor editAs="oneCell">
    <xdr:from>
      <xdr:col>1</xdr:col>
      <xdr:colOff>0</xdr:colOff>
      <xdr:row>65</xdr:row>
      <xdr:rowOff>0</xdr:rowOff>
    </xdr:from>
    <xdr:to>
      <xdr:col>1</xdr:col>
      <xdr:colOff>37440</xdr:colOff>
      <xdr:row>65</xdr:row>
      <xdr:rowOff>151560</xdr:rowOff>
    </xdr:to>
    <xdr:pic>
      <xdr:nvPicPr>
        <xdr:cNvPr id="507" name="image1.gif" descr="http://sistemas.agricultura.gov.br/infra_css/imagens/espaco.gif"/>
        <xdr:cNvPicPr/>
      </xdr:nvPicPr>
      <xdr:blipFill>
        <a:blip r:embed="rId14"/>
        <a:stretch/>
      </xdr:blipFill>
      <xdr:spPr>
        <a:xfrm>
          <a:off x="1282680" y="12353760"/>
          <a:ext cx="37440" cy="151560"/>
        </a:xfrm>
        <a:prstGeom prst="rect">
          <a:avLst/>
        </a:prstGeom>
        <a:noFill/>
        <a:ln w="0">
          <a:noFill/>
        </a:ln>
      </xdr:spPr>
    </xdr:pic>
    <xdr:clientData/>
  </xdr:twoCellAnchor>
  <xdr:twoCellAnchor editAs="oneCell">
    <xdr:from>
      <xdr:col>1</xdr:col>
      <xdr:colOff>0</xdr:colOff>
      <xdr:row>344</xdr:row>
      <xdr:rowOff>0</xdr:rowOff>
    </xdr:from>
    <xdr:to>
      <xdr:col>1</xdr:col>
      <xdr:colOff>37440</xdr:colOff>
      <xdr:row>344</xdr:row>
      <xdr:rowOff>151560</xdr:rowOff>
    </xdr:to>
    <xdr:pic>
      <xdr:nvPicPr>
        <xdr:cNvPr id="508" name="image1.gif" descr="http://sistemas.agricultura.gov.br/infra_css/imagens/espaco.gif"/>
        <xdr:cNvPicPr/>
      </xdr:nvPicPr>
      <xdr:blipFill>
        <a:blip r:embed="rId15"/>
        <a:stretch/>
      </xdr:blipFill>
      <xdr:spPr>
        <a:xfrm>
          <a:off x="1282680" y="61093440"/>
          <a:ext cx="37440" cy="151560"/>
        </a:xfrm>
        <a:prstGeom prst="rect">
          <a:avLst/>
        </a:prstGeom>
        <a:noFill/>
        <a:ln w="0">
          <a:noFill/>
        </a:ln>
      </xdr:spPr>
    </xdr:pic>
    <xdr:clientData/>
  </xdr:twoCellAnchor>
  <xdr:twoCellAnchor editAs="oneCell">
    <xdr:from>
      <xdr:col>1</xdr:col>
      <xdr:colOff>0</xdr:colOff>
      <xdr:row>390</xdr:row>
      <xdr:rowOff>0</xdr:rowOff>
    </xdr:from>
    <xdr:to>
      <xdr:col>1</xdr:col>
      <xdr:colOff>37440</xdr:colOff>
      <xdr:row>390</xdr:row>
      <xdr:rowOff>151560</xdr:rowOff>
    </xdr:to>
    <xdr:pic>
      <xdr:nvPicPr>
        <xdr:cNvPr id="509" name="image1.gif" descr="http://sistemas.agricultura.gov.br/infra_css/imagens/espaco.gif"/>
        <xdr:cNvPicPr/>
      </xdr:nvPicPr>
      <xdr:blipFill>
        <a:blip r:embed="rId16"/>
        <a:stretch/>
      </xdr:blipFill>
      <xdr:spPr>
        <a:xfrm>
          <a:off x="1282680" y="68799240"/>
          <a:ext cx="37440" cy="151560"/>
        </a:xfrm>
        <a:prstGeom prst="rect">
          <a:avLst/>
        </a:prstGeom>
        <a:noFill/>
        <a:ln w="0">
          <a:noFill/>
        </a:ln>
      </xdr:spPr>
    </xdr:pic>
    <xdr:clientData/>
  </xdr:twoCellAnchor>
  <xdr:twoCellAnchor editAs="oneCell">
    <xdr:from>
      <xdr:col>1</xdr:col>
      <xdr:colOff>0</xdr:colOff>
      <xdr:row>395</xdr:row>
      <xdr:rowOff>0</xdr:rowOff>
    </xdr:from>
    <xdr:to>
      <xdr:col>1</xdr:col>
      <xdr:colOff>37440</xdr:colOff>
      <xdr:row>395</xdr:row>
      <xdr:rowOff>151560</xdr:rowOff>
    </xdr:to>
    <xdr:pic>
      <xdr:nvPicPr>
        <xdr:cNvPr id="510" name="image1.gif" descr="http://sistemas.agricultura.gov.br/infra_css/imagens/espaco.gif"/>
        <xdr:cNvPicPr/>
      </xdr:nvPicPr>
      <xdr:blipFill>
        <a:blip r:embed="rId17"/>
        <a:stretch/>
      </xdr:blipFill>
      <xdr:spPr>
        <a:xfrm>
          <a:off x="1282680" y="69608880"/>
          <a:ext cx="37440" cy="151560"/>
        </a:xfrm>
        <a:prstGeom prst="rect">
          <a:avLst/>
        </a:prstGeom>
        <a:noFill/>
        <a:ln w="0">
          <a:noFill/>
        </a:ln>
      </xdr:spPr>
    </xdr:pic>
    <xdr:clientData/>
  </xdr:twoCellAnchor>
  <xdr:twoCellAnchor editAs="oneCell">
    <xdr:from>
      <xdr:col>1</xdr:col>
      <xdr:colOff>0</xdr:colOff>
      <xdr:row>398</xdr:row>
      <xdr:rowOff>0</xdr:rowOff>
    </xdr:from>
    <xdr:to>
      <xdr:col>1</xdr:col>
      <xdr:colOff>37440</xdr:colOff>
      <xdr:row>398</xdr:row>
      <xdr:rowOff>151560</xdr:rowOff>
    </xdr:to>
    <xdr:pic>
      <xdr:nvPicPr>
        <xdr:cNvPr id="511" name="image1.gif" descr="http://sistemas.agricultura.gov.br/infra_css/imagens/espaco.gif"/>
        <xdr:cNvPicPr/>
      </xdr:nvPicPr>
      <xdr:blipFill>
        <a:blip r:embed="rId18"/>
        <a:stretch/>
      </xdr:blipFill>
      <xdr:spPr>
        <a:xfrm>
          <a:off x="1282680" y="70094520"/>
          <a:ext cx="37440" cy="151560"/>
        </a:xfrm>
        <a:prstGeom prst="rect">
          <a:avLst/>
        </a:prstGeom>
        <a:noFill/>
        <a:ln w="0">
          <a:noFill/>
        </a:ln>
      </xdr:spPr>
    </xdr:pic>
    <xdr:clientData/>
  </xdr:twoCellAnchor>
  <xdr:twoCellAnchor editAs="oneCell">
    <xdr:from>
      <xdr:col>1</xdr:col>
      <xdr:colOff>0</xdr:colOff>
      <xdr:row>410</xdr:row>
      <xdr:rowOff>0</xdr:rowOff>
    </xdr:from>
    <xdr:to>
      <xdr:col>1</xdr:col>
      <xdr:colOff>37440</xdr:colOff>
      <xdr:row>410</xdr:row>
      <xdr:rowOff>151560</xdr:rowOff>
    </xdr:to>
    <xdr:pic>
      <xdr:nvPicPr>
        <xdr:cNvPr id="512" name="image1.gif" descr="http://sistemas.agricultura.gov.br/infra_css/imagens/espaco.gif"/>
        <xdr:cNvPicPr/>
      </xdr:nvPicPr>
      <xdr:blipFill>
        <a:blip r:embed="rId19"/>
        <a:stretch/>
      </xdr:blipFill>
      <xdr:spPr>
        <a:xfrm>
          <a:off x="1282680" y="72151920"/>
          <a:ext cx="37440" cy="151560"/>
        </a:xfrm>
        <a:prstGeom prst="rect">
          <a:avLst/>
        </a:prstGeom>
        <a:noFill/>
        <a:ln w="0">
          <a:noFill/>
        </a:ln>
      </xdr:spPr>
    </xdr:pic>
    <xdr:clientData/>
  </xdr:twoCellAnchor>
  <xdr:twoCellAnchor editAs="oneCell">
    <xdr:from>
      <xdr:col>17</xdr:col>
      <xdr:colOff>17280</xdr:colOff>
      <xdr:row>2</xdr:row>
      <xdr:rowOff>38160</xdr:rowOff>
    </xdr:from>
    <xdr:to>
      <xdr:col>18</xdr:col>
      <xdr:colOff>96480</xdr:colOff>
      <xdr:row>8</xdr:row>
      <xdr:rowOff>94680</xdr:rowOff>
    </xdr:to>
    <xdr:pic>
      <xdr:nvPicPr>
        <xdr:cNvPr id="513" name="image2.jpg"/>
        <xdr:cNvPicPr/>
      </xdr:nvPicPr>
      <xdr:blipFill>
        <a:blip r:embed="rId20"/>
        <a:stretch/>
      </xdr:blipFill>
      <xdr:spPr>
        <a:xfrm>
          <a:off x="36167760" y="390600"/>
          <a:ext cx="2580480" cy="1199520"/>
        </a:xfrm>
        <a:prstGeom prst="rect">
          <a:avLst/>
        </a:prstGeom>
        <a:noFill/>
        <a:ln w="0">
          <a:noFill/>
        </a:ln>
      </xdr:spPr>
    </xdr:pic>
    <xdr:clientData/>
  </xdr:twoCellAnchor>
</xdr:wsDr>
</file>

<file path=xl/drawings/drawing18.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151</xdr:row>
      <xdr:rowOff>0</xdr:rowOff>
    </xdr:from>
    <xdr:to>
      <xdr:col>1</xdr:col>
      <xdr:colOff>37440</xdr:colOff>
      <xdr:row>151</xdr:row>
      <xdr:rowOff>151560</xdr:rowOff>
    </xdr:to>
    <xdr:pic>
      <xdr:nvPicPr>
        <xdr:cNvPr id="514" name="image1.gif" descr="http://sistemas.agricultura.gov.br/infra_css/imagens/espaco.gif"/>
        <xdr:cNvPicPr/>
      </xdr:nvPicPr>
      <xdr:blipFill>
        <a:blip r:embed="rId1"/>
        <a:stretch/>
      </xdr:blipFill>
      <xdr:spPr>
        <a:xfrm>
          <a:off x="1282680" y="27403560"/>
          <a:ext cx="37440" cy="151560"/>
        </a:xfrm>
        <a:prstGeom prst="rect">
          <a:avLst/>
        </a:prstGeom>
        <a:noFill/>
        <a:ln w="0">
          <a:noFill/>
        </a:ln>
      </xdr:spPr>
    </xdr:pic>
    <xdr:clientData/>
  </xdr:twoCellAnchor>
  <xdr:twoCellAnchor editAs="oneCell">
    <xdr:from>
      <xdr:col>1</xdr:col>
      <xdr:colOff>0</xdr:colOff>
      <xdr:row>191</xdr:row>
      <xdr:rowOff>189000</xdr:rowOff>
    </xdr:from>
    <xdr:to>
      <xdr:col>1</xdr:col>
      <xdr:colOff>37440</xdr:colOff>
      <xdr:row>564</xdr:row>
      <xdr:rowOff>150120</xdr:rowOff>
    </xdr:to>
    <xdr:pic>
      <xdr:nvPicPr>
        <xdr:cNvPr id="515" name="image1.gif" descr="http://sistemas.agricultura.gov.br/infra_css/imagens/espaco.gif"/>
        <xdr:cNvPicPr/>
      </xdr:nvPicPr>
      <xdr:blipFill>
        <a:blip r:embed="rId2"/>
        <a:stretch/>
      </xdr:blipFill>
      <xdr:spPr>
        <a:xfrm>
          <a:off x="1282680" y="34412400"/>
          <a:ext cx="37440" cy="151560"/>
        </a:xfrm>
        <a:prstGeom prst="rect">
          <a:avLst/>
        </a:prstGeom>
        <a:noFill/>
        <a:ln w="0">
          <a:noFill/>
        </a:ln>
      </xdr:spPr>
    </xdr:pic>
    <xdr:clientData/>
  </xdr:twoCellAnchor>
  <xdr:twoCellAnchor editAs="oneCell">
    <xdr:from>
      <xdr:col>1</xdr:col>
      <xdr:colOff>0</xdr:colOff>
      <xdr:row>191</xdr:row>
      <xdr:rowOff>189000</xdr:rowOff>
    </xdr:from>
    <xdr:to>
      <xdr:col>1</xdr:col>
      <xdr:colOff>37440</xdr:colOff>
      <xdr:row>564</xdr:row>
      <xdr:rowOff>150120</xdr:rowOff>
    </xdr:to>
    <xdr:pic>
      <xdr:nvPicPr>
        <xdr:cNvPr id="516" name="image1.gif" descr="http://sistemas.agricultura.gov.br/infra_css/imagens/espaco.gif"/>
        <xdr:cNvPicPr/>
      </xdr:nvPicPr>
      <xdr:blipFill>
        <a:blip r:embed="rId3"/>
        <a:stretch/>
      </xdr:blipFill>
      <xdr:spPr>
        <a:xfrm>
          <a:off x="1282680" y="34412400"/>
          <a:ext cx="37440" cy="151560"/>
        </a:xfrm>
        <a:prstGeom prst="rect">
          <a:avLst/>
        </a:prstGeom>
        <a:noFill/>
        <a:ln w="0">
          <a:noFill/>
        </a:ln>
      </xdr:spPr>
    </xdr:pic>
    <xdr:clientData/>
  </xdr:twoCellAnchor>
  <xdr:twoCellAnchor editAs="oneCell">
    <xdr:from>
      <xdr:col>1</xdr:col>
      <xdr:colOff>0</xdr:colOff>
      <xdr:row>191</xdr:row>
      <xdr:rowOff>189000</xdr:rowOff>
    </xdr:from>
    <xdr:to>
      <xdr:col>1</xdr:col>
      <xdr:colOff>37440</xdr:colOff>
      <xdr:row>564</xdr:row>
      <xdr:rowOff>150120</xdr:rowOff>
    </xdr:to>
    <xdr:pic>
      <xdr:nvPicPr>
        <xdr:cNvPr id="517" name="image1.gif" descr="http://sistemas.agricultura.gov.br/infra_css/imagens/espaco.gif"/>
        <xdr:cNvPicPr/>
      </xdr:nvPicPr>
      <xdr:blipFill>
        <a:blip r:embed="rId4"/>
        <a:stretch/>
      </xdr:blipFill>
      <xdr:spPr>
        <a:xfrm>
          <a:off x="1282680" y="34412400"/>
          <a:ext cx="37440" cy="151560"/>
        </a:xfrm>
        <a:prstGeom prst="rect">
          <a:avLst/>
        </a:prstGeom>
        <a:noFill/>
        <a:ln w="0">
          <a:noFill/>
        </a:ln>
      </xdr:spPr>
    </xdr:pic>
    <xdr:clientData/>
  </xdr:twoCellAnchor>
  <xdr:twoCellAnchor editAs="oneCell">
    <xdr:from>
      <xdr:col>1</xdr:col>
      <xdr:colOff>0</xdr:colOff>
      <xdr:row>191</xdr:row>
      <xdr:rowOff>189000</xdr:rowOff>
    </xdr:from>
    <xdr:to>
      <xdr:col>1</xdr:col>
      <xdr:colOff>37440</xdr:colOff>
      <xdr:row>564</xdr:row>
      <xdr:rowOff>150120</xdr:rowOff>
    </xdr:to>
    <xdr:pic>
      <xdr:nvPicPr>
        <xdr:cNvPr id="518" name="image1.gif" descr="http://sistemas.agricultura.gov.br/infra_css/imagens/espaco.gif"/>
        <xdr:cNvPicPr/>
      </xdr:nvPicPr>
      <xdr:blipFill>
        <a:blip r:embed="rId5"/>
        <a:stretch/>
      </xdr:blipFill>
      <xdr:spPr>
        <a:xfrm>
          <a:off x="1282680" y="34412400"/>
          <a:ext cx="37440" cy="151560"/>
        </a:xfrm>
        <a:prstGeom prst="rect">
          <a:avLst/>
        </a:prstGeom>
        <a:noFill/>
        <a:ln w="0">
          <a:noFill/>
        </a:ln>
      </xdr:spPr>
    </xdr:pic>
    <xdr:clientData/>
  </xdr:twoCellAnchor>
  <xdr:twoCellAnchor editAs="oneCell">
    <xdr:from>
      <xdr:col>1</xdr:col>
      <xdr:colOff>0</xdr:colOff>
      <xdr:row>153</xdr:row>
      <xdr:rowOff>0</xdr:rowOff>
    </xdr:from>
    <xdr:to>
      <xdr:col>1</xdr:col>
      <xdr:colOff>37440</xdr:colOff>
      <xdr:row>153</xdr:row>
      <xdr:rowOff>151560</xdr:rowOff>
    </xdr:to>
    <xdr:pic>
      <xdr:nvPicPr>
        <xdr:cNvPr id="519" name="image1.gif" descr="http://sistemas.agricultura.gov.br/infra_css/imagens/espaco.gif"/>
        <xdr:cNvPicPr/>
      </xdr:nvPicPr>
      <xdr:blipFill>
        <a:blip r:embed="rId6"/>
        <a:stretch/>
      </xdr:blipFill>
      <xdr:spPr>
        <a:xfrm>
          <a:off x="1282680" y="27784440"/>
          <a:ext cx="37440" cy="151560"/>
        </a:xfrm>
        <a:prstGeom prst="rect">
          <a:avLst/>
        </a:prstGeom>
        <a:noFill/>
        <a:ln w="0">
          <a:noFill/>
        </a:ln>
      </xdr:spPr>
    </xdr:pic>
    <xdr:clientData/>
  </xdr:twoCellAnchor>
  <xdr:twoCellAnchor editAs="oneCell">
    <xdr:from>
      <xdr:col>1</xdr:col>
      <xdr:colOff>0</xdr:colOff>
      <xdr:row>152</xdr:row>
      <xdr:rowOff>0</xdr:rowOff>
    </xdr:from>
    <xdr:to>
      <xdr:col>1</xdr:col>
      <xdr:colOff>37440</xdr:colOff>
      <xdr:row>152</xdr:row>
      <xdr:rowOff>151560</xdr:rowOff>
    </xdr:to>
    <xdr:pic>
      <xdr:nvPicPr>
        <xdr:cNvPr id="520" name="image1.gif" descr="http://sistemas.agricultura.gov.br/infra_css/imagens/espaco.gif"/>
        <xdr:cNvPicPr/>
      </xdr:nvPicPr>
      <xdr:blipFill>
        <a:blip r:embed="rId7"/>
        <a:stretch/>
      </xdr:blipFill>
      <xdr:spPr>
        <a:xfrm>
          <a:off x="1282680" y="27594000"/>
          <a:ext cx="37440" cy="151560"/>
        </a:xfrm>
        <a:prstGeom prst="rect">
          <a:avLst/>
        </a:prstGeom>
        <a:noFill/>
        <a:ln w="0">
          <a:noFill/>
        </a:ln>
      </xdr:spPr>
    </xdr:pic>
    <xdr:clientData/>
  </xdr:twoCellAnchor>
  <xdr:twoCellAnchor editAs="oneCell">
    <xdr:from>
      <xdr:col>1</xdr:col>
      <xdr:colOff>0</xdr:colOff>
      <xdr:row>191</xdr:row>
      <xdr:rowOff>189000</xdr:rowOff>
    </xdr:from>
    <xdr:to>
      <xdr:col>1</xdr:col>
      <xdr:colOff>37440</xdr:colOff>
      <xdr:row>564</xdr:row>
      <xdr:rowOff>150120</xdr:rowOff>
    </xdr:to>
    <xdr:pic>
      <xdr:nvPicPr>
        <xdr:cNvPr id="521" name="image1.gif" descr="http://sistemas.agricultura.gov.br/infra_css/imagens/espaco.gif"/>
        <xdr:cNvPicPr/>
      </xdr:nvPicPr>
      <xdr:blipFill>
        <a:blip r:embed="rId8"/>
        <a:stretch/>
      </xdr:blipFill>
      <xdr:spPr>
        <a:xfrm>
          <a:off x="1282680" y="34412400"/>
          <a:ext cx="37440" cy="151560"/>
        </a:xfrm>
        <a:prstGeom prst="rect">
          <a:avLst/>
        </a:prstGeom>
        <a:noFill/>
        <a:ln w="0">
          <a:noFill/>
        </a:ln>
      </xdr:spPr>
    </xdr:pic>
    <xdr:clientData/>
  </xdr:twoCellAnchor>
  <xdr:twoCellAnchor editAs="oneCell">
    <xdr:from>
      <xdr:col>1</xdr:col>
      <xdr:colOff>0</xdr:colOff>
      <xdr:row>191</xdr:row>
      <xdr:rowOff>189000</xdr:rowOff>
    </xdr:from>
    <xdr:to>
      <xdr:col>1</xdr:col>
      <xdr:colOff>37440</xdr:colOff>
      <xdr:row>564</xdr:row>
      <xdr:rowOff>150120</xdr:rowOff>
    </xdr:to>
    <xdr:pic>
      <xdr:nvPicPr>
        <xdr:cNvPr id="522" name="image1.gif" descr="http://sistemas.agricultura.gov.br/infra_css/imagens/espaco.gif"/>
        <xdr:cNvPicPr/>
      </xdr:nvPicPr>
      <xdr:blipFill>
        <a:blip r:embed="rId9"/>
        <a:stretch/>
      </xdr:blipFill>
      <xdr:spPr>
        <a:xfrm>
          <a:off x="1282680" y="34412400"/>
          <a:ext cx="37440" cy="151560"/>
        </a:xfrm>
        <a:prstGeom prst="rect">
          <a:avLst/>
        </a:prstGeom>
        <a:noFill/>
        <a:ln w="0">
          <a:noFill/>
        </a:ln>
      </xdr:spPr>
    </xdr:pic>
    <xdr:clientData/>
  </xdr:twoCellAnchor>
  <xdr:twoCellAnchor editAs="oneCell">
    <xdr:from>
      <xdr:col>1</xdr:col>
      <xdr:colOff>0</xdr:colOff>
      <xdr:row>191</xdr:row>
      <xdr:rowOff>189000</xdr:rowOff>
    </xdr:from>
    <xdr:to>
      <xdr:col>1</xdr:col>
      <xdr:colOff>37440</xdr:colOff>
      <xdr:row>564</xdr:row>
      <xdr:rowOff>150120</xdr:rowOff>
    </xdr:to>
    <xdr:pic>
      <xdr:nvPicPr>
        <xdr:cNvPr id="523" name="image1.gif" descr="http://sistemas.agricultura.gov.br/infra_css/imagens/espaco.gif"/>
        <xdr:cNvPicPr/>
      </xdr:nvPicPr>
      <xdr:blipFill>
        <a:blip r:embed="rId10"/>
        <a:stretch/>
      </xdr:blipFill>
      <xdr:spPr>
        <a:xfrm>
          <a:off x="1282680" y="34412400"/>
          <a:ext cx="37440" cy="151560"/>
        </a:xfrm>
        <a:prstGeom prst="rect">
          <a:avLst/>
        </a:prstGeom>
        <a:noFill/>
        <a:ln w="0">
          <a:noFill/>
        </a:ln>
      </xdr:spPr>
    </xdr:pic>
    <xdr:clientData/>
  </xdr:twoCellAnchor>
  <xdr:twoCellAnchor editAs="oneCell">
    <xdr:from>
      <xdr:col>1</xdr:col>
      <xdr:colOff>0</xdr:colOff>
      <xdr:row>191</xdr:row>
      <xdr:rowOff>189000</xdr:rowOff>
    </xdr:from>
    <xdr:to>
      <xdr:col>1</xdr:col>
      <xdr:colOff>37440</xdr:colOff>
      <xdr:row>564</xdr:row>
      <xdr:rowOff>150120</xdr:rowOff>
    </xdr:to>
    <xdr:pic>
      <xdr:nvPicPr>
        <xdr:cNvPr id="524" name="image1.gif" descr="http://sistemas.agricultura.gov.br/infra_css/imagens/espaco.gif"/>
        <xdr:cNvPicPr/>
      </xdr:nvPicPr>
      <xdr:blipFill>
        <a:blip r:embed="rId11"/>
        <a:stretch/>
      </xdr:blipFill>
      <xdr:spPr>
        <a:xfrm>
          <a:off x="1282680" y="34412400"/>
          <a:ext cx="37440" cy="151560"/>
        </a:xfrm>
        <a:prstGeom prst="rect">
          <a:avLst/>
        </a:prstGeom>
        <a:noFill/>
        <a:ln w="0">
          <a:noFill/>
        </a:ln>
      </xdr:spPr>
    </xdr:pic>
    <xdr:clientData/>
  </xdr:twoCellAnchor>
  <xdr:twoCellAnchor editAs="oneCell">
    <xdr:from>
      <xdr:col>1</xdr:col>
      <xdr:colOff>0</xdr:colOff>
      <xdr:row>191</xdr:row>
      <xdr:rowOff>189000</xdr:rowOff>
    </xdr:from>
    <xdr:to>
      <xdr:col>1</xdr:col>
      <xdr:colOff>37440</xdr:colOff>
      <xdr:row>564</xdr:row>
      <xdr:rowOff>150120</xdr:rowOff>
    </xdr:to>
    <xdr:pic>
      <xdr:nvPicPr>
        <xdr:cNvPr id="525" name="image1.gif" descr="http://sistemas.agricultura.gov.br/infra_css/imagens/espaco.gif"/>
        <xdr:cNvPicPr/>
      </xdr:nvPicPr>
      <xdr:blipFill>
        <a:blip r:embed="rId12"/>
        <a:stretch/>
      </xdr:blipFill>
      <xdr:spPr>
        <a:xfrm>
          <a:off x="1282680" y="34412400"/>
          <a:ext cx="37440" cy="151560"/>
        </a:xfrm>
        <a:prstGeom prst="rect">
          <a:avLst/>
        </a:prstGeom>
        <a:noFill/>
        <a:ln w="0">
          <a:noFill/>
        </a:ln>
      </xdr:spPr>
    </xdr:pic>
    <xdr:clientData/>
  </xdr:twoCellAnchor>
  <xdr:twoCellAnchor editAs="oneCell">
    <xdr:from>
      <xdr:col>1</xdr:col>
      <xdr:colOff>0</xdr:colOff>
      <xdr:row>153</xdr:row>
      <xdr:rowOff>0</xdr:rowOff>
    </xdr:from>
    <xdr:to>
      <xdr:col>1</xdr:col>
      <xdr:colOff>37440</xdr:colOff>
      <xdr:row>153</xdr:row>
      <xdr:rowOff>151560</xdr:rowOff>
    </xdr:to>
    <xdr:pic>
      <xdr:nvPicPr>
        <xdr:cNvPr id="526" name="image1.gif" descr="http://sistemas.agricultura.gov.br/infra_css/imagens/espaco.gif"/>
        <xdr:cNvPicPr/>
      </xdr:nvPicPr>
      <xdr:blipFill>
        <a:blip r:embed="rId13"/>
        <a:stretch/>
      </xdr:blipFill>
      <xdr:spPr>
        <a:xfrm>
          <a:off x="1282680" y="27784440"/>
          <a:ext cx="37440" cy="151560"/>
        </a:xfrm>
        <a:prstGeom prst="rect">
          <a:avLst/>
        </a:prstGeom>
        <a:noFill/>
        <a:ln w="0">
          <a:noFill/>
        </a:ln>
      </xdr:spPr>
    </xdr:pic>
    <xdr:clientData/>
  </xdr:twoCellAnchor>
  <xdr:twoCellAnchor editAs="oneCell">
    <xdr:from>
      <xdr:col>1</xdr:col>
      <xdr:colOff>0</xdr:colOff>
      <xdr:row>152</xdr:row>
      <xdr:rowOff>0</xdr:rowOff>
    </xdr:from>
    <xdr:to>
      <xdr:col>1</xdr:col>
      <xdr:colOff>37440</xdr:colOff>
      <xdr:row>152</xdr:row>
      <xdr:rowOff>151560</xdr:rowOff>
    </xdr:to>
    <xdr:pic>
      <xdr:nvPicPr>
        <xdr:cNvPr id="527" name="image1.gif" descr="http://sistemas.agricultura.gov.br/infra_css/imagens/espaco.gif"/>
        <xdr:cNvPicPr/>
      </xdr:nvPicPr>
      <xdr:blipFill>
        <a:blip r:embed="rId14"/>
        <a:stretch/>
      </xdr:blipFill>
      <xdr:spPr>
        <a:xfrm>
          <a:off x="1282680" y="27594000"/>
          <a:ext cx="37440" cy="151560"/>
        </a:xfrm>
        <a:prstGeom prst="rect">
          <a:avLst/>
        </a:prstGeom>
        <a:noFill/>
        <a:ln w="0">
          <a:noFill/>
        </a:ln>
      </xdr:spPr>
    </xdr:pic>
    <xdr:clientData/>
  </xdr:twoCellAnchor>
  <xdr:twoCellAnchor editAs="oneCell">
    <xdr:from>
      <xdr:col>1</xdr:col>
      <xdr:colOff>0</xdr:colOff>
      <xdr:row>191</xdr:row>
      <xdr:rowOff>189000</xdr:rowOff>
    </xdr:from>
    <xdr:to>
      <xdr:col>1</xdr:col>
      <xdr:colOff>37440</xdr:colOff>
      <xdr:row>564</xdr:row>
      <xdr:rowOff>150120</xdr:rowOff>
    </xdr:to>
    <xdr:pic>
      <xdr:nvPicPr>
        <xdr:cNvPr id="528" name="image1.gif" descr="http://sistemas.agricultura.gov.br/infra_css/imagens/espaco.gif"/>
        <xdr:cNvPicPr/>
      </xdr:nvPicPr>
      <xdr:blipFill>
        <a:blip r:embed="rId15"/>
        <a:stretch/>
      </xdr:blipFill>
      <xdr:spPr>
        <a:xfrm>
          <a:off x="1282680" y="34412400"/>
          <a:ext cx="37440" cy="151560"/>
        </a:xfrm>
        <a:prstGeom prst="rect">
          <a:avLst/>
        </a:prstGeom>
        <a:noFill/>
        <a:ln w="0">
          <a:noFill/>
        </a:ln>
      </xdr:spPr>
    </xdr:pic>
    <xdr:clientData/>
  </xdr:twoCellAnchor>
  <xdr:twoCellAnchor editAs="oneCell">
    <xdr:from>
      <xdr:col>1</xdr:col>
      <xdr:colOff>0</xdr:colOff>
      <xdr:row>191</xdr:row>
      <xdr:rowOff>189000</xdr:rowOff>
    </xdr:from>
    <xdr:to>
      <xdr:col>1</xdr:col>
      <xdr:colOff>37440</xdr:colOff>
      <xdr:row>564</xdr:row>
      <xdr:rowOff>150120</xdr:rowOff>
    </xdr:to>
    <xdr:pic>
      <xdr:nvPicPr>
        <xdr:cNvPr id="529" name="image1.gif" descr="http://sistemas.agricultura.gov.br/infra_css/imagens/espaco.gif"/>
        <xdr:cNvPicPr/>
      </xdr:nvPicPr>
      <xdr:blipFill>
        <a:blip r:embed="rId16"/>
        <a:stretch/>
      </xdr:blipFill>
      <xdr:spPr>
        <a:xfrm>
          <a:off x="1282680" y="34412400"/>
          <a:ext cx="37440" cy="151560"/>
        </a:xfrm>
        <a:prstGeom prst="rect">
          <a:avLst/>
        </a:prstGeom>
        <a:noFill/>
        <a:ln w="0">
          <a:noFill/>
        </a:ln>
      </xdr:spPr>
    </xdr:pic>
    <xdr:clientData/>
  </xdr:twoCellAnchor>
  <xdr:twoCellAnchor editAs="oneCell">
    <xdr:from>
      <xdr:col>1</xdr:col>
      <xdr:colOff>0</xdr:colOff>
      <xdr:row>191</xdr:row>
      <xdr:rowOff>189000</xdr:rowOff>
    </xdr:from>
    <xdr:to>
      <xdr:col>1</xdr:col>
      <xdr:colOff>37440</xdr:colOff>
      <xdr:row>564</xdr:row>
      <xdr:rowOff>150120</xdr:rowOff>
    </xdr:to>
    <xdr:pic>
      <xdr:nvPicPr>
        <xdr:cNvPr id="530" name="image1.gif" descr="http://sistemas.agricultura.gov.br/infra_css/imagens/espaco.gif"/>
        <xdr:cNvPicPr/>
      </xdr:nvPicPr>
      <xdr:blipFill>
        <a:blip r:embed="rId17"/>
        <a:stretch/>
      </xdr:blipFill>
      <xdr:spPr>
        <a:xfrm>
          <a:off x="1282680" y="34412400"/>
          <a:ext cx="37440" cy="151560"/>
        </a:xfrm>
        <a:prstGeom prst="rect">
          <a:avLst/>
        </a:prstGeom>
        <a:noFill/>
        <a:ln w="0">
          <a:noFill/>
        </a:ln>
      </xdr:spPr>
    </xdr:pic>
    <xdr:clientData/>
  </xdr:twoCellAnchor>
  <xdr:twoCellAnchor editAs="oneCell">
    <xdr:from>
      <xdr:col>1</xdr:col>
      <xdr:colOff>0</xdr:colOff>
      <xdr:row>191</xdr:row>
      <xdr:rowOff>189000</xdr:rowOff>
    </xdr:from>
    <xdr:to>
      <xdr:col>1</xdr:col>
      <xdr:colOff>37440</xdr:colOff>
      <xdr:row>564</xdr:row>
      <xdr:rowOff>150120</xdr:rowOff>
    </xdr:to>
    <xdr:pic>
      <xdr:nvPicPr>
        <xdr:cNvPr id="531" name="image1.gif" descr="http://sistemas.agricultura.gov.br/infra_css/imagens/espaco.gif"/>
        <xdr:cNvPicPr/>
      </xdr:nvPicPr>
      <xdr:blipFill>
        <a:blip r:embed="rId18"/>
        <a:stretch/>
      </xdr:blipFill>
      <xdr:spPr>
        <a:xfrm>
          <a:off x="1282680" y="34412400"/>
          <a:ext cx="37440" cy="151560"/>
        </a:xfrm>
        <a:prstGeom prst="rect">
          <a:avLst/>
        </a:prstGeom>
        <a:noFill/>
        <a:ln w="0">
          <a:noFill/>
        </a:ln>
      </xdr:spPr>
    </xdr:pic>
    <xdr:clientData/>
  </xdr:twoCellAnchor>
  <xdr:twoCellAnchor editAs="oneCell">
    <xdr:from>
      <xdr:col>1</xdr:col>
      <xdr:colOff>0</xdr:colOff>
      <xdr:row>191</xdr:row>
      <xdr:rowOff>189000</xdr:rowOff>
    </xdr:from>
    <xdr:to>
      <xdr:col>1</xdr:col>
      <xdr:colOff>37440</xdr:colOff>
      <xdr:row>564</xdr:row>
      <xdr:rowOff>150120</xdr:rowOff>
    </xdr:to>
    <xdr:pic>
      <xdr:nvPicPr>
        <xdr:cNvPr id="532" name="image1.gif" descr="http://sistemas.agricultura.gov.br/infra_css/imagens/espaco.gif"/>
        <xdr:cNvPicPr/>
      </xdr:nvPicPr>
      <xdr:blipFill>
        <a:blip r:embed="rId19"/>
        <a:stretch/>
      </xdr:blipFill>
      <xdr:spPr>
        <a:xfrm>
          <a:off x="1282680" y="34412400"/>
          <a:ext cx="37440" cy="151560"/>
        </a:xfrm>
        <a:prstGeom prst="rect">
          <a:avLst/>
        </a:prstGeom>
        <a:noFill/>
        <a:ln w="0">
          <a:noFill/>
        </a:ln>
      </xdr:spPr>
    </xdr:pic>
    <xdr:clientData/>
  </xdr:twoCellAnchor>
  <xdr:twoCellAnchor editAs="oneCell">
    <xdr:from>
      <xdr:col>17</xdr:col>
      <xdr:colOff>19080</xdr:colOff>
      <xdr:row>1</xdr:row>
      <xdr:rowOff>171360</xdr:rowOff>
    </xdr:from>
    <xdr:to>
      <xdr:col>18</xdr:col>
      <xdr:colOff>98280</xdr:colOff>
      <xdr:row>8</xdr:row>
      <xdr:rowOff>37440</xdr:rowOff>
    </xdr:to>
    <xdr:pic>
      <xdr:nvPicPr>
        <xdr:cNvPr id="533" name="image2.jpg"/>
        <xdr:cNvPicPr/>
      </xdr:nvPicPr>
      <xdr:blipFill>
        <a:blip r:embed="rId20"/>
        <a:stretch/>
      </xdr:blipFill>
      <xdr:spPr>
        <a:xfrm>
          <a:off x="36169560" y="333360"/>
          <a:ext cx="2580480" cy="1199520"/>
        </a:xfrm>
        <a:prstGeom prst="rect">
          <a:avLst/>
        </a:prstGeom>
        <a:noFill/>
        <a:ln w="0">
          <a:noFill/>
        </a:ln>
      </xdr:spPr>
    </xdr:pic>
    <xdr:clientData/>
  </xdr:twoCellAnchor>
</xdr:wsDr>
</file>

<file path=xl/drawings/drawing19.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151</xdr:row>
      <xdr:rowOff>0</xdr:rowOff>
    </xdr:from>
    <xdr:to>
      <xdr:col>1</xdr:col>
      <xdr:colOff>37440</xdr:colOff>
      <xdr:row>151</xdr:row>
      <xdr:rowOff>151560</xdr:rowOff>
    </xdr:to>
    <xdr:pic>
      <xdr:nvPicPr>
        <xdr:cNvPr id="534" name="image1.gif" descr="http://sistemas.agricultura.gov.br/infra_css/imagens/espaco.gif"/>
        <xdr:cNvPicPr/>
      </xdr:nvPicPr>
      <xdr:blipFill>
        <a:blip r:embed="rId1"/>
        <a:stretch/>
      </xdr:blipFill>
      <xdr:spPr>
        <a:xfrm>
          <a:off x="1282680" y="27403560"/>
          <a:ext cx="37440" cy="151560"/>
        </a:xfrm>
        <a:prstGeom prst="rect">
          <a:avLst/>
        </a:prstGeom>
        <a:noFill/>
        <a:ln w="0">
          <a:noFill/>
        </a:ln>
      </xdr:spPr>
    </xdr:pic>
    <xdr:clientData/>
  </xdr:twoCellAnchor>
  <xdr:twoCellAnchor editAs="oneCell">
    <xdr:from>
      <xdr:col>1</xdr:col>
      <xdr:colOff>0</xdr:colOff>
      <xdr:row>170</xdr:row>
      <xdr:rowOff>189000</xdr:rowOff>
    </xdr:from>
    <xdr:to>
      <xdr:col>1</xdr:col>
      <xdr:colOff>37440</xdr:colOff>
      <xdr:row>495</xdr:row>
      <xdr:rowOff>150120</xdr:rowOff>
    </xdr:to>
    <xdr:pic>
      <xdr:nvPicPr>
        <xdr:cNvPr id="535" name="image1.gif" descr="http://sistemas.agricultura.gov.br/infra_css/imagens/espaco.gif"/>
        <xdr:cNvPicPr/>
      </xdr:nvPicPr>
      <xdr:blipFill>
        <a:blip r:embed="rId2"/>
        <a:stretch/>
      </xdr:blipFill>
      <xdr:spPr>
        <a:xfrm>
          <a:off x="1282680" y="31021560"/>
          <a:ext cx="37440" cy="151560"/>
        </a:xfrm>
        <a:prstGeom prst="rect">
          <a:avLst/>
        </a:prstGeom>
        <a:noFill/>
        <a:ln w="0">
          <a:noFill/>
        </a:ln>
      </xdr:spPr>
    </xdr:pic>
    <xdr:clientData/>
  </xdr:twoCellAnchor>
  <xdr:twoCellAnchor editAs="oneCell">
    <xdr:from>
      <xdr:col>1</xdr:col>
      <xdr:colOff>0</xdr:colOff>
      <xdr:row>170</xdr:row>
      <xdr:rowOff>189000</xdr:rowOff>
    </xdr:from>
    <xdr:to>
      <xdr:col>1</xdr:col>
      <xdr:colOff>37440</xdr:colOff>
      <xdr:row>495</xdr:row>
      <xdr:rowOff>150120</xdr:rowOff>
    </xdr:to>
    <xdr:pic>
      <xdr:nvPicPr>
        <xdr:cNvPr id="536" name="image1.gif" descr="http://sistemas.agricultura.gov.br/infra_css/imagens/espaco.gif"/>
        <xdr:cNvPicPr/>
      </xdr:nvPicPr>
      <xdr:blipFill>
        <a:blip r:embed="rId3"/>
        <a:stretch/>
      </xdr:blipFill>
      <xdr:spPr>
        <a:xfrm>
          <a:off x="1282680" y="31021560"/>
          <a:ext cx="37440" cy="151560"/>
        </a:xfrm>
        <a:prstGeom prst="rect">
          <a:avLst/>
        </a:prstGeom>
        <a:noFill/>
        <a:ln w="0">
          <a:noFill/>
        </a:ln>
      </xdr:spPr>
    </xdr:pic>
    <xdr:clientData/>
  </xdr:twoCellAnchor>
  <xdr:twoCellAnchor editAs="oneCell">
    <xdr:from>
      <xdr:col>1</xdr:col>
      <xdr:colOff>0</xdr:colOff>
      <xdr:row>170</xdr:row>
      <xdr:rowOff>189000</xdr:rowOff>
    </xdr:from>
    <xdr:to>
      <xdr:col>1</xdr:col>
      <xdr:colOff>37440</xdr:colOff>
      <xdr:row>495</xdr:row>
      <xdr:rowOff>150120</xdr:rowOff>
    </xdr:to>
    <xdr:pic>
      <xdr:nvPicPr>
        <xdr:cNvPr id="537" name="image1.gif" descr="http://sistemas.agricultura.gov.br/infra_css/imagens/espaco.gif"/>
        <xdr:cNvPicPr/>
      </xdr:nvPicPr>
      <xdr:blipFill>
        <a:blip r:embed="rId4"/>
        <a:stretch/>
      </xdr:blipFill>
      <xdr:spPr>
        <a:xfrm>
          <a:off x="1282680" y="31021560"/>
          <a:ext cx="37440" cy="151560"/>
        </a:xfrm>
        <a:prstGeom prst="rect">
          <a:avLst/>
        </a:prstGeom>
        <a:noFill/>
        <a:ln w="0">
          <a:noFill/>
        </a:ln>
      </xdr:spPr>
    </xdr:pic>
    <xdr:clientData/>
  </xdr:twoCellAnchor>
  <xdr:twoCellAnchor editAs="oneCell">
    <xdr:from>
      <xdr:col>1</xdr:col>
      <xdr:colOff>0</xdr:colOff>
      <xdr:row>170</xdr:row>
      <xdr:rowOff>189000</xdr:rowOff>
    </xdr:from>
    <xdr:to>
      <xdr:col>1</xdr:col>
      <xdr:colOff>37440</xdr:colOff>
      <xdr:row>495</xdr:row>
      <xdr:rowOff>150120</xdr:rowOff>
    </xdr:to>
    <xdr:pic>
      <xdr:nvPicPr>
        <xdr:cNvPr id="538" name="image1.gif" descr="http://sistemas.agricultura.gov.br/infra_css/imagens/espaco.gif"/>
        <xdr:cNvPicPr/>
      </xdr:nvPicPr>
      <xdr:blipFill>
        <a:blip r:embed="rId5"/>
        <a:stretch/>
      </xdr:blipFill>
      <xdr:spPr>
        <a:xfrm>
          <a:off x="1282680" y="31021560"/>
          <a:ext cx="37440" cy="151560"/>
        </a:xfrm>
        <a:prstGeom prst="rect">
          <a:avLst/>
        </a:prstGeom>
        <a:noFill/>
        <a:ln w="0">
          <a:noFill/>
        </a:ln>
      </xdr:spPr>
    </xdr:pic>
    <xdr:clientData/>
  </xdr:twoCellAnchor>
  <xdr:twoCellAnchor editAs="oneCell">
    <xdr:from>
      <xdr:col>1</xdr:col>
      <xdr:colOff>0</xdr:colOff>
      <xdr:row>153</xdr:row>
      <xdr:rowOff>0</xdr:rowOff>
    </xdr:from>
    <xdr:to>
      <xdr:col>1</xdr:col>
      <xdr:colOff>37440</xdr:colOff>
      <xdr:row>153</xdr:row>
      <xdr:rowOff>151560</xdr:rowOff>
    </xdr:to>
    <xdr:pic>
      <xdr:nvPicPr>
        <xdr:cNvPr id="539" name="image1.gif" descr="http://sistemas.agricultura.gov.br/infra_css/imagens/espaco.gif"/>
        <xdr:cNvPicPr/>
      </xdr:nvPicPr>
      <xdr:blipFill>
        <a:blip r:embed="rId6"/>
        <a:stretch/>
      </xdr:blipFill>
      <xdr:spPr>
        <a:xfrm>
          <a:off x="1282680" y="27594000"/>
          <a:ext cx="37440" cy="151560"/>
        </a:xfrm>
        <a:prstGeom prst="rect">
          <a:avLst/>
        </a:prstGeom>
        <a:noFill/>
        <a:ln w="0">
          <a:noFill/>
        </a:ln>
      </xdr:spPr>
    </xdr:pic>
    <xdr:clientData/>
  </xdr:twoCellAnchor>
  <xdr:twoCellAnchor editAs="oneCell">
    <xdr:from>
      <xdr:col>1</xdr:col>
      <xdr:colOff>0</xdr:colOff>
      <xdr:row>151</xdr:row>
      <xdr:rowOff>189000</xdr:rowOff>
    </xdr:from>
    <xdr:to>
      <xdr:col>1</xdr:col>
      <xdr:colOff>37440</xdr:colOff>
      <xdr:row>153</xdr:row>
      <xdr:rowOff>150120</xdr:rowOff>
    </xdr:to>
    <xdr:pic>
      <xdr:nvPicPr>
        <xdr:cNvPr id="540" name="image1.gif" descr="http://sistemas.agricultura.gov.br/infra_css/imagens/espaco.gif"/>
        <xdr:cNvPicPr/>
      </xdr:nvPicPr>
      <xdr:blipFill>
        <a:blip r:embed="rId7"/>
        <a:stretch/>
      </xdr:blipFill>
      <xdr:spPr>
        <a:xfrm>
          <a:off x="1282680" y="27592560"/>
          <a:ext cx="37440" cy="151560"/>
        </a:xfrm>
        <a:prstGeom prst="rect">
          <a:avLst/>
        </a:prstGeom>
        <a:noFill/>
        <a:ln w="0">
          <a:noFill/>
        </a:ln>
      </xdr:spPr>
    </xdr:pic>
    <xdr:clientData/>
  </xdr:twoCellAnchor>
  <xdr:twoCellAnchor editAs="oneCell">
    <xdr:from>
      <xdr:col>1</xdr:col>
      <xdr:colOff>0</xdr:colOff>
      <xdr:row>170</xdr:row>
      <xdr:rowOff>189000</xdr:rowOff>
    </xdr:from>
    <xdr:to>
      <xdr:col>1</xdr:col>
      <xdr:colOff>37440</xdr:colOff>
      <xdr:row>495</xdr:row>
      <xdr:rowOff>150120</xdr:rowOff>
    </xdr:to>
    <xdr:pic>
      <xdr:nvPicPr>
        <xdr:cNvPr id="541" name="image1.gif" descr="http://sistemas.agricultura.gov.br/infra_css/imagens/espaco.gif"/>
        <xdr:cNvPicPr/>
      </xdr:nvPicPr>
      <xdr:blipFill>
        <a:blip r:embed="rId8"/>
        <a:stretch/>
      </xdr:blipFill>
      <xdr:spPr>
        <a:xfrm>
          <a:off x="1282680" y="31021560"/>
          <a:ext cx="37440" cy="151560"/>
        </a:xfrm>
        <a:prstGeom prst="rect">
          <a:avLst/>
        </a:prstGeom>
        <a:noFill/>
        <a:ln w="0">
          <a:noFill/>
        </a:ln>
      </xdr:spPr>
    </xdr:pic>
    <xdr:clientData/>
  </xdr:twoCellAnchor>
  <xdr:twoCellAnchor editAs="oneCell">
    <xdr:from>
      <xdr:col>1</xdr:col>
      <xdr:colOff>0</xdr:colOff>
      <xdr:row>170</xdr:row>
      <xdr:rowOff>189000</xdr:rowOff>
    </xdr:from>
    <xdr:to>
      <xdr:col>1</xdr:col>
      <xdr:colOff>37440</xdr:colOff>
      <xdr:row>495</xdr:row>
      <xdr:rowOff>150120</xdr:rowOff>
    </xdr:to>
    <xdr:pic>
      <xdr:nvPicPr>
        <xdr:cNvPr id="542" name="image1.gif" descr="http://sistemas.agricultura.gov.br/infra_css/imagens/espaco.gif"/>
        <xdr:cNvPicPr/>
      </xdr:nvPicPr>
      <xdr:blipFill>
        <a:blip r:embed="rId9"/>
        <a:stretch/>
      </xdr:blipFill>
      <xdr:spPr>
        <a:xfrm>
          <a:off x="1282680" y="31021560"/>
          <a:ext cx="37440" cy="151560"/>
        </a:xfrm>
        <a:prstGeom prst="rect">
          <a:avLst/>
        </a:prstGeom>
        <a:noFill/>
        <a:ln w="0">
          <a:noFill/>
        </a:ln>
      </xdr:spPr>
    </xdr:pic>
    <xdr:clientData/>
  </xdr:twoCellAnchor>
  <xdr:twoCellAnchor editAs="oneCell">
    <xdr:from>
      <xdr:col>1</xdr:col>
      <xdr:colOff>0</xdr:colOff>
      <xdr:row>170</xdr:row>
      <xdr:rowOff>189000</xdr:rowOff>
    </xdr:from>
    <xdr:to>
      <xdr:col>1</xdr:col>
      <xdr:colOff>37440</xdr:colOff>
      <xdr:row>495</xdr:row>
      <xdr:rowOff>150120</xdr:rowOff>
    </xdr:to>
    <xdr:pic>
      <xdr:nvPicPr>
        <xdr:cNvPr id="543" name="image1.gif" descr="http://sistemas.agricultura.gov.br/infra_css/imagens/espaco.gif"/>
        <xdr:cNvPicPr/>
      </xdr:nvPicPr>
      <xdr:blipFill>
        <a:blip r:embed="rId10"/>
        <a:stretch/>
      </xdr:blipFill>
      <xdr:spPr>
        <a:xfrm>
          <a:off x="1282680" y="31021560"/>
          <a:ext cx="37440" cy="151560"/>
        </a:xfrm>
        <a:prstGeom prst="rect">
          <a:avLst/>
        </a:prstGeom>
        <a:noFill/>
        <a:ln w="0">
          <a:noFill/>
        </a:ln>
      </xdr:spPr>
    </xdr:pic>
    <xdr:clientData/>
  </xdr:twoCellAnchor>
  <xdr:twoCellAnchor editAs="oneCell">
    <xdr:from>
      <xdr:col>1</xdr:col>
      <xdr:colOff>0</xdr:colOff>
      <xdr:row>170</xdr:row>
      <xdr:rowOff>189000</xdr:rowOff>
    </xdr:from>
    <xdr:to>
      <xdr:col>1</xdr:col>
      <xdr:colOff>37440</xdr:colOff>
      <xdr:row>495</xdr:row>
      <xdr:rowOff>150120</xdr:rowOff>
    </xdr:to>
    <xdr:pic>
      <xdr:nvPicPr>
        <xdr:cNvPr id="544" name="image1.gif" descr="http://sistemas.agricultura.gov.br/infra_css/imagens/espaco.gif"/>
        <xdr:cNvPicPr/>
      </xdr:nvPicPr>
      <xdr:blipFill>
        <a:blip r:embed="rId11"/>
        <a:stretch/>
      </xdr:blipFill>
      <xdr:spPr>
        <a:xfrm>
          <a:off x="1282680" y="31021560"/>
          <a:ext cx="37440" cy="151560"/>
        </a:xfrm>
        <a:prstGeom prst="rect">
          <a:avLst/>
        </a:prstGeom>
        <a:noFill/>
        <a:ln w="0">
          <a:noFill/>
        </a:ln>
      </xdr:spPr>
    </xdr:pic>
    <xdr:clientData/>
  </xdr:twoCellAnchor>
  <xdr:twoCellAnchor editAs="oneCell">
    <xdr:from>
      <xdr:col>1</xdr:col>
      <xdr:colOff>0</xdr:colOff>
      <xdr:row>170</xdr:row>
      <xdr:rowOff>189000</xdr:rowOff>
    </xdr:from>
    <xdr:to>
      <xdr:col>1</xdr:col>
      <xdr:colOff>37440</xdr:colOff>
      <xdr:row>495</xdr:row>
      <xdr:rowOff>150120</xdr:rowOff>
    </xdr:to>
    <xdr:pic>
      <xdr:nvPicPr>
        <xdr:cNvPr id="545" name="image1.gif" descr="http://sistemas.agricultura.gov.br/infra_css/imagens/espaco.gif"/>
        <xdr:cNvPicPr/>
      </xdr:nvPicPr>
      <xdr:blipFill>
        <a:blip r:embed="rId12"/>
        <a:stretch/>
      </xdr:blipFill>
      <xdr:spPr>
        <a:xfrm>
          <a:off x="1282680" y="31021560"/>
          <a:ext cx="37440" cy="151560"/>
        </a:xfrm>
        <a:prstGeom prst="rect">
          <a:avLst/>
        </a:prstGeom>
        <a:noFill/>
        <a:ln w="0">
          <a:noFill/>
        </a:ln>
      </xdr:spPr>
    </xdr:pic>
    <xdr:clientData/>
  </xdr:twoCellAnchor>
  <xdr:twoCellAnchor editAs="oneCell">
    <xdr:from>
      <xdr:col>17</xdr:col>
      <xdr:colOff>19080</xdr:colOff>
      <xdr:row>2</xdr:row>
      <xdr:rowOff>171360</xdr:rowOff>
    </xdr:from>
    <xdr:to>
      <xdr:col>18</xdr:col>
      <xdr:colOff>98640</xdr:colOff>
      <xdr:row>9</xdr:row>
      <xdr:rowOff>37440</xdr:rowOff>
    </xdr:to>
    <xdr:pic>
      <xdr:nvPicPr>
        <xdr:cNvPr id="546" name="image2.jpg"/>
        <xdr:cNvPicPr/>
      </xdr:nvPicPr>
      <xdr:blipFill>
        <a:blip r:embed="rId13"/>
        <a:stretch/>
      </xdr:blipFill>
      <xdr:spPr>
        <a:xfrm>
          <a:off x="35235720" y="523800"/>
          <a:ext cx="2580480" cy="119952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85680</xdr:colOff>
      <xdr:row>0</xdr:row>
      <xdr:rowOff>57240</xdr:rowOff>
    </xdr:from>
    <xdr:to>
      <xdr:col>17</xdr:col>
      <xdr:colOff>454680</xdr:colOff>
      <xdr:row>37</xdr:row>
      <xdr:rowOff>46800</xdr:rowOff>
    </xdr:to>
    <xdr:graphicFrame>
      <xdr:nvGraphicFramePr>
        <xdr:cNvPr id="2" name="Chart 2"/>
        <xdr:cNvGraphicFramePr/>
      </xdr:nvGraphicFramePr>
      <xdr:xfrm>
        <a:off x="85680" y="57240"/>
        <a:ext cx="9555480" cy="598068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18</xdr:col>
      <xdr:colOff>76320</xdr:colOff>
      <xdr:row>0</xdr:row>
      <xdr:rowOff>66600</xdr:rowOff>
    </xdr:from>
    <xdr:to>
      <xdr:col>35</xdr:col>
      <xdr:colOff>445320</xdr:colOff>
      <xdr:row>37</xdr:row>
      <xdr:rowOff>56160</xdr:rowOff>
    </xdr:to>
    <xdr:graphicFrame>
      <xdr:nvGraphicFramePr>
        <xdr:cNvPr id="3" name="Gráfico 1"/>
        <xdr:cNvGraphicFramePr/>
      </xdr:nvGraphicFramePr>
      <xdr:xfrm>
        <a:off x="9803160" y="66600"/>
        <a:ext cx="9555480" cy="598068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0.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151</xdr:row>
      <xdr:rowOff>0</xdr:rowOff>
    </xdr:from>
    <xdr:to>
      <xdr:col>1</xdr:col>
      <xdr:colOff>37440</xdr:colOff>
      <xdr:row>151</xdr:row>
      <xdr:rowOff>151560</xdr:rowOff>
    </xdr:to>
    <xdr:pic>
      <xdr:nvPicPr>
        <xdr:cNvPr id="547" name="image1.gif" descr="http://sistemas.agricultura.gov.br/infra_css/imagens/espaco.gif"/>
        <xdr:cNvPicPr/>
      </xdr:nvPicPr>
      <xdr:blipFill>
        <a:blip r:embed="rId1"/>
        <a:stretch/>
      </xdr:blipFill>
      <xdr:spPr>
        <a:xfrm>
          <a:off x="1282680" y="11754000"/>
          <a:ext cx="37440" cy="151560"/>
        </a:xfrm>
        <a:prstGeom prst="rect">
          <a:avLst/>
        </a:prstGeom>
        <a:noFill/>
        <a:ln w="0">
          <a:noFill/>
        </a:ln>
      </xdr:spPr>
    </xdr:pic>
    <xdr:clientData/>
  </xdr:twoCellAnchor>
  <xdr:twoCellAnchor editAs="oneCell">
    <xdr:from>
      <xdr:col>1</xdr:col>
      <xdr:colOff>0</xdr:colOff>
      <xdr:row>197</xdr:row>
      <xdr:rowOff>0</xdr:rowOff>
    </xdr:from>
    <xdr:to>
      <xdr:col>1</xdr:col>
      <xdr:colOff>37440</xdr:colOff>
      <xdr:row>197</xdr:row>
      <xdr:rowOff>151560</xdr:rowOff>
    </xdr:to>
    <xdr:pic>
      <xdr:nvPicPr>
        <xdr:cNvPr id="548" name="image1.gif" descr="http://sistemas.agricultura.gov.br/infra_css/imagens/espaco.gif"/>
        <xdr:cNvPicPr/>
      </xdr:nvPicPr>
      <xdr:blipFill>
        <a:blip r:embed="rId2"/>
        <a:stretch/>
      </xdr:blipFill>
      <xdr:spPr>
        <a:xfrm>
          <a:off x="1282680" y="18307080"/>
          <a:ext cx="37440" cy="151560"/>
        </a:xfrm>
        <a:prstGeom prst="rect">
          <a:avLst/>
        </a:prstGeom>
        <a:noFill/>
        <a:ln w="0">
          <a:noFill/>
        </a:ln>
      </xdr:spPr>
    </xdr:pic>
    <xdr:clientData/>
  </xdr:twoCellAnchor>
  <xdr:twoCellAnchor editAs="oneCell">
    <xdr:from>
      <xdr:col>1</xdr:col>
      <xdr:colOff>0</xdr:colOff>
      <xdr:row>201</xdr:row>
      <xdr:rowOff>160560</xdr:rowOff>
    </xdr:from>
    <xdr:to>
      <xdr:col>1</xdr:col>
      <xdr:colOff>37440</xdr:colOff>
      <xdr:row>210</xdr:row>
      <xdr:rowOff>150120</xdr:rowOff>
    </xdr:to>
    <xdr:pic>
      <xdr:nvPicPr>
        <xdr:cNvPr id="549" name="image1.gif" descr="http://sistemas.agricultura.gov.br/infra_css/imagens/espaco.gif"/>
        <xdr:cNvPicPr/>
      </xdr:nvPicPr>
      <xdr:blipFill>
        <a:blip r:embed="rId3"/>
        <a:stretch/>
      </xdr:blipFill>
      <xdr:spPr>
        <a:xfrm>
          <a:off x="1282680" y="19172520"/>
          <a:ext cx="37440" cy="151560"/>
        </a:xfrm>
        <a:prstGeom prst="rect">
          <a:avLst/>
        </a:prstGeom>
        <a:noFill/>
        <a:ln w="0">
          <a:noFill/>
        </a:ln>
      </xdr:spPr>
    </xdr:pic>
    <xdr:clientData/>
  </xdr:twoCellAnchor>
  <xdr:twoCellAnchor editAs="oneCell">
    <xdr:from>
      <xdr:col>1</xdr:col>
      <xdr:colOff>0</xdr:colOff>
      <xdr:row>201</xdr:row>
      <xdr:rowOff>160560</xdr:rowOff>
    </xdr:from>
    <xdr:to>
      <xdr:col>1</xdr:col>
      <xdr:colOff>37440</xdr:colOff>
      <xdr:row>210</xdr:row>
      <xdr:rowOff>150120</xdr:rowOff>
    </xdr:to>
    <xdr:pic>
      <xdr:nvPicPr>
        <xdr:cNvPr id="550" name="image1.gif" descr="http://sistemas.agricultura.gov.br/infra_css/imagens/espaco.gif"/>
        <xdr:cNvPicPr/>
      </xdr:nvPicPr>
      <xdr:blipFill>
        <a:blip r:embed="rId4"/>
        <a:stretch/>
      </xdr:blipFill>
      <xdr:spPr>
        <a:xfrm>
          <a:off x="1282680" y="19172520"/>
          <a:ext cx="37440" cy="151560"/>
        </a:xfrm>
        <a:prstGeom prst="rect">
          <a:avLst/>
        </a:prstGeom>
        <a:noFill/>
        <a:ln w="0">
          <a:noFill/>
        </a:ln>
      </xdr:spPr>
    </xdr:pic>
    <xdr:clientData/>
  </xdr:twoCellAnchor>
  <xdr:twoCellAnchor editAs="oneCell">
    <xdr:from>
      <xdr:col>1</xdr:col>
      <xdr:colOff>0</xdr:colOff>
      <xdr:row>210</xdr:row>
      <xdr:rowOff>160200</xdr:rowOff>
    </xdr:from>
    <xdr:to>
      <xdr:col>1</xdr:col>
      <xdr:colOff>37440</xdr:colOff>
      <xdr:row>231</xdr:row>
      <xdr:rowOff>150120</xdr:rowOff>
    </xdr:to>
    <xdr:pic>
      <xdr:nvPicPr>
        <xdr:cNvPr id="551" name="image1.gif" descr="http://sistemas.agricultura.gov.br/infra_css/imagens/espaco.gif"/>
        <xdr:cNvPicPr/>
      </xdr:nvPicPr>
      <xdr:blipFill>
        <a:blip r:embed="rId5"/>
        <a:stretch/>
      </xdr:blipFill>
      <xdr:spPr>
        <a:xfrm>
          <a:off x="1282680" y="19334160"/>
          <a:ext cx="37440" cy="151560"/>
        </a:xfrm>
        <a:prstGeom prst="rect">
          <a:avLst/>
        </a:prstGeom>
        <a:noFill/>
        <a:ln w="0">
          <a:noFill/>
        </a:ln>
      </xdr:spPr>
    </xdr:pic>
    <xdr:clientData/>
  </xdr:twoCellAnchor>
  <xdr:twoCellAnchor editAs="oneCell">
    <xdr:from>
      <xdr:col>17</xdr:col>
      <xdr:colOff>19080</xdr:colOff>
      <xdr:row>1</xdr:row>
      <xdr:rowOff>123840</xdr:rowOff>
    </xdr:from>
    <xdr:to>
      <xdr:col>18</xdr:col>
      <xdr:colOff>98280</xdr:colOff>
      <xdr:row>10</xdr:row>
      <xdr:rowOff>28080</xdr:rowOff>
    </xdr:to>
    <xdr:pic>
      <xdr:nvPicPr>
        <xdr:cNvPr id="552" name="image2.jpg"/>
        <xdr:cNvPicPr/>
      </xdr:nvPicPr>
      <xdr:blipFill>
        <a:blip r:embed="rId6"/>
        <a:stretch/>
      </xdr:blipFill>
      <xdr:spPr>
        <a:xfrm>
          <a:off x="32752800" y="285840"/>
          <a:ext cx="2580480" cy="1199520"/>
        </a:xfrm>
        <a:prstGeom prst="rect">
          <a:avLst/>
        </a:prstGeom>
        <a:noFill/>
        <a:ln w="0">
          <a:noFill/>
        </a:ln>
      </xdr:spPr>
    </xdr:pic>
    <xdr:clientData/>
  </xdr:twoCellAnchor>
</xdr:wsDr>
</file>

<file path=xl/drawings/drawing2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149</xdr:row>
      <xdr:rowOff>160560</xdr:rowOff>
    </xdr:from>
    <xdr:to>
      <xdr:col>1</xdr:col>
      <xdr:colOff>37440</xdr:colOff>
      <xdr:row>152</xdr:row>
      <xdr:rowOff>150120</xdr:rowOff>
    </xdr:to>
    <xdr:pic>
      <xdr:nvPicPr>
        <xdr:cNvPr id="553" name="image1.gif" descr="http://sistemas.agricultura.gov.br/infra_css/imagens/espaco.gif"/>
        <xdr:cNvPicPr/>
      </xdr:nvPicPr>
      <xdr:blipFill>
        <a:blip r:embed="rId1"/>
        <a:stretch/>
      </xdr:blipFill>
      <xdr:spPr>
        <a:xfrm>
          <a:off x="1208880" y="9304560"/>
          <a:ext cx="37440" cy="151560"/>
        </a:xfrm>
        <a:prstGeom prst="rect">
          <a:avLst/>
        </a:prstGeom>
        <a:noFill/>
        <a:ln w="0">
          <a:noFill/>
        </a:ln>
      </xdr:spPr>
    </xdr:pic>
    <xdr:clientData/>
  </xdr:twoCellAnchor>
  <xdr:twoCellAnchor editAs="oneCell">
    <xdr:from>
      <xdr:col>1</xdr:col>
      <xdr:colOff>0</xdr:colOff>
      <xdr:row>197</xdr:row>
      <xdr:rowOff>0</xdr:rowOff>
    </xdr:from>
    <xdr:to>
      <xdr:col>1</xdr:col>
      <xdr:colOff>37440</xdr:colOff>
      <xdr:row>197</xdr:row>
      <xdr:rowOff>151560</xdr:rowOff>
    </xdr:to>
    <xdr:pic>
      <xdr:nvPicPr>
        <xdr:cNvPr id="554" name="image1.gif" descr="http://sistemas.agricultura.gov.br/infra_css/imagens/espaco.gif"/>
        <xdr:cNvPicPr/>
      </xdr:nvPicPr>
      <xdr:blipFill>
        <a:blip r:embed="rId2"/>
        <a:stretch/>
      </xdr:blipFill>
      <xdr:spPr>
        <a:xfrm>
          <a:off x="1208880" y="13249440"/>
          <a:ext cx="37440" cy="151560"/>
        </a:xfrm>
        <a:prstGeom prst="rect">
          <a:avLst/>
        </a:prstGeom>
        <a:noFill/>
        <a:ln w="0">
          <a:noFill/>
        </a:ln>
      </xdr:spPr>
    </xdr:pic>
    <xdr:clientData/>
  </xdr:twoCellAnchor>
  <xdr:twoCellAnchor editAs="oneCell">
    <xdr:from>
      <xdr:col>1</xdr:col>
      <xdr:colOff>0</xdr:colOff>
      <xdr:row>202</xdr:row>
      <xdr:rowOff>0</xdr:rowOff>
    </xdr:from>
    <xdr:to>
      <xdr:col>1</xdr:col>
      <xdr:colOff>37440</xdr:colOff>
      <xdr:row>202</xdr:row>
      <xdr:rowOff>151560</xdr:rowOff>
    </xdr:to>
    <xdr:pic>
      <xdr:nvPicPr>
        <xdr:cNvPr id="555" name="image1.gif" descr="http://sistemas.agricultura.gov.br/infra_css/imagens/espaco.gif"/>
        <xdr:cNvPicPr/>
      </xdr:nvPicPr>
      <xdr:blipFill>
        <a:blip r:embed="rId3"/>
        <a:stretch/>
      </xdr:blipFill>
      <xdr:spPr>
        <a:xfrm>
          <a:off x="1208880" y="14059080"/>
          <a:ext cx="37440" cy="151560"/>
        </a:xfrm>
        <a:prstGeom prst="rect">
          <a:avLst/>
        </a:prstGeom>
        <a:noFill/>
        <a:ln w="0">
          <a:noFill/>
        </a:ln>
      </xdr:spPr>
    </xdr:pic>
    <xdr:clientData/>
  </xdr:twoCellAnchor>
  <xdr:twoCellAnchor editAs="oneCell">
    <xdr:from>
      <xdr:col>1</xdr:col>
      <xdr:colOff>0</xdr:colOff>
      <xdr:row>204</xdr:row>
      <xdr:rowOff>160560</xdr:rowOff>
    </xdr:from>
    <xdr:to>
      <xdr:col>1</xdr:col>
      <xdr:colOff>37440</xdr:colOff>
      <xdr:row>206</xdr:row>
      <xdr:rowOff>150120</xdr:rowOff>
    </xdr:to>
    <xdr:pic>
      <xdr:nvPicPr>
        <xdr:cNvPr id="556" name="image1.gif" descr="http://sistemas.agricultura.gov.br/infra_css/imagens/espaco.gif"/>
        <xdr:cNvPicPr/>
      </xdr:nvPicPr>
      <xdr:blipFill>
        <a:blip r:embed="rId4"/>
        <a:stretch/>
      </xdr:blipFill>
      <xdr:spPr>
        <a:xfrm>
          <a:off x="1208880" y="14543280"/>
          <a:ext cx="37440" cy="151560"/>
        </a:xfrm>
        <a:prstGeom prst="rect">
          <a:avLst/>
        </a:prstGeom>
        <a:noFill/>
        <a:ln w="0">
          <a:noFill/>
        </a:ln>
      </xdr:spPr>
    </xdr:pic>
    <xdr:clientData/>
  </xdr:twoCellAnchor>
  <xdr:twoCellAnchor editAs="oneCell">
    <xdr:from>
      <xdr:col>1</xdr:col>
      <xdr:colOff>0</xdr:colOff>
      <xdr:row>217</xdr:row>
      <xdr:rowOff>0</xdr:rowOff>
    </xdr:from>
    <xdr:to>
      <xdr:col>1</xdr:col>
      <xdr:colOff>37440</xdr:colOff>
      <xdr:row>217</xdr:row>
      <xdr:rowOff>151560</xdr:rowOff>
    </xdr:to>
    <xdr:pic>
      <xdr:nvPicPr>
        <xdr:cNvPr id="557" name="image1.gif" descr="http://sistemas.agricultura.gov.br/infra_css/imagens/espaco.gif"/>
        <xdr:cNvPicPr/>
      </xdr:nvPicPr>
      <xdr:blipFill>
        <a:blip r:embed="rId5"/>
        <a:stretch/>
      </xdr:blipFill>
      <xdr:spPr>
        <a:xfrm>
          <a:off x="1208880" y="16002000"/>
          <a:ext cx="37440" cy="151560"/>
        </a:xfrm>
        <a:prstGeom prst="rect">
          <a:avLst/>
        </a:prstGeom>
        <a:noFill/>
        <a:ln w="0">
          <a:noFill/>
        </a:ln>
      </xdr:spPr>
    </xdr:pic>
    <xdr:clientData/>
  </xdr:twoCellAnchor>
  <xdr:twoCellAnchor editAs="oneCell">
    <xdr:from>
      <xdr:col>17</xdr:col>
      <xdr:colOff>19080</xdr:colOff>
      <xdr:row>0</xdr:row>
      <xdr:rowOff>160560</xdr:rowOff>
    </xdr:from>
    <xdr:to>
      <xdr:col>18</xdr:col>
      <xdr:colOff>98280</xdr:colOff>
      <xdr:row>15</xdr:row>
      <xdr:rowOff>188640</xdr:rowOff>
    </xdr:to>
    <xdr:pic>
      <xdr:nvPicPr>
        <xdr:cNvPr id="558" name="image2.jpg"/>
        <xdr:cNvPicPr/>
      </xdr:nvPicPr>
      <xdr:blipFill>
        <a:blip r:embed="rId6"/>
        <a:stretch/>
      </xdr:blipFill>
      <xdr:spPr>
        <a:xfrm>
          <a:off x="36775440" y="160560"/>
          <a:ext cx="2580480" cy="1199520"/>
        </a:xfrm>
        <a:prstGeom prst="rect">
          <a:avLst/>
        </a:prstGeom>
        <a:noFill/>
        <a:ln w="0">
          <a:noFill/>
        </a:ln>
      </xdr:spPr>
    </xdr:pic>
    <xdr:clientData/>
  </xdr:twoCellAnchor>
</xdr:wsDr>
</file>

<file path=xl/drawings/drawing22.xml><?xml version="1.0" encoding="utf-8"?>
<xdr:wsDr xmlns:xdr="http://schemas.openxmlformats.org/drawingml/2006/spreadsheetDrawing" xmlns:a="http://schemas.openxmlformats.org/drawingml/2006/main" xmlns:r="http://schemas.openxmlformats.org/officeDocument/2006/relationships">
  <xdr:twoCellAnchor editAs="oneCell">
    <xdr:from>
      <xdr:col>17</xdr:col>
      <xdr:colOff>19080</xdr:colOff>
      <xdr:row>2</xdr:row>
      <xdr:rowOff>123840</xdr:rowOff>
    </xdr:from>
    <xdr:to>
      <xdr:col>18</xdr:col>
      <xdr:colOff>98280</xdr:colOff>
      <xdr:row>10</xdr:row>
      <xdr:rowOff>28080</xdr:rowOff>
    </xdr:to>
    <xdr:pic>
      <xdr:nvPicPr>
        <xdr:cNvPr id="559" name="image2.jpg"/>
        <xdr:cNvPicPr/>
      </xdr:nvPicPr>
      <xdr:blipFill>
        <a:blip r:embed="rId1"/>
        <a:stretch/>
      </xdr:blipFill>
      <xdr:spPr>
        <a:xfrm>
          <a:off x="33752160" y="447840"/>
          <a:ext cx="2580480" cy="1199520"/>
        </a:xfrm>
        <a:prstGeom prst="rect">
          <a:avLst/>
        </a:prstGeom>
        <a:noFill/>
        <a:ln w="0">
          <a:noFill/>
        </a:ln>
      </xdr:spPr>
    </xdr:pic>
    <xdr:clientData/>
  </xdr:twoCellAnchor>
</xdr:wsDr>
</file>

<file path=xl/drawings/drawing23.xml><?xml version="1.0" encoding="utf-8"?>
<xdr:wsDr xmlns:xdr="http://schemas.openxmlformats.org/drawingml/2006/spreadsheetDrawing" xmlns:a="http://schemas.openxmlformats.org/drawingml/2006/main" xmlns:r="http://schemas.openxmlformats.org/officeDocument/2006/relationships">
  <xdr:twoCellAnchor editAs="oneCell">
    <xdr:from>
      <xdr:col>17</xdr:col>
      <xdr:colOff>19080</xdr:colOff>
      <xdr:row>2</xdr:row>
      <xdr:rowOff>123840</xdr:rowOff>
    </xdr:from>
    <xdr:to>
      <xdr:col>18</xdr:col>
      <xdr:colOff>98280</xdr:colOff>
      <xdr:row>9</xdr:row>
      <xdr:rowOff>66240</xdr:rowOff>
    </xdr:to>
    <xdr:pic>
      <xdr:nvPicPr>
        <xdr:cNvPr id="560" name="image2.jpg"/>
        <xdr:cNvPicPr/>
      </xdr:nvPicPr>
      <xdr:blipFill>
        <a:blip r:embed="rId1"/>
        <a:stretch/>
      </xdr:blipFill>
      <xdr:spPr>
        <a:xfrm>
          <a:off x="34530840" y="447840"/>
          <a:ext cx="2580480" cy="1199520"/>
        </a:xfrm>
        <a:prstGeom prst="rect">
          <a:avLst/>
        </a:prstGeom>
        <a:noFill/>
        <a:ln w="0">
          <a:noFill/>
        </a:ln>
      </xdr:spPr>
    </xdr:pic>
    <xdr:clientData/>
  </xdr:twoCellAnchor>
</xdr:wsDr>
</file>

<file path=xl/drawings/drawing24.xml><?xml version="1.0" encoding="utf-8"?>
<xdr:wsDr xmlns:xdr="http://schemas.openxmlformats.org/drawingml/2006/spreadsheetDrawing" xmlns:a="http://schemas.openxmlformats.org/drawingml/2006/main" xmlns:r="http://schemas.openxmlformats.org/officeDocument/2006/relationships">
  <xdr:twoCellAnchor editAs="oneCell">
    <xdr:from>
      <xdr:col>17</xdr:col>
      <xdr:colOff>19080</xdr:colOff>
      <xdr:row>2</xdr:row>
      <xdr:rowOff>123840</xdr:rowOff>
    </xdr:from>
    <xdr:to>
      <xdr:col>18</xdr:col>
      <xdr:colOff>98280</xdr:colOff>
      <xdr:row>9</xdr:row>
      <xdr:rowOff>161280</xdr:rowOff>
    </xdr:to>
    <xdr:pic>
      <xdr:nvPicPr>
        <xdr:cNvPr id="561" name="image2.jpg"/>
        <xdr:cNvPicPr/>
      </xdr:nvPicPr>
      <xdr:blipFill>
        <a:blip r:embed="rId1"/>
        <a:stretch/>
      </xdr:blipFill>
      <xdr:spPr>
        <a:xfrm>
          <a:off x="32003280" y="447840"/>
          <a:ext cx="2580480" cy="1199520"/>
        </a:xfrm>
        <a:prstGeom prst="rect">
          <a:avLst/>
        </a:prstGeom>
        <a:noFill/>
        <a:ln w="0">
          <a:noFill/>
        </a:ln>
      </xdr:spPr>
    </xdr:pic>
    <xdr:clientData/>
  </xdr:twoCellAnchor>
</xdr:wsDr>
</file>

<file path=xl/drawings/drawing25.xml><?xml version="1.0" encoding="utf-8"?>
<xdr:wsDr xmlns:xdr="http://schemas.openxmlformats.org/drawingml/2006/spreadsheetDrawing" xmlns:a="http://schemas.openxmlformats.org/drawingml/2006/main" xmlns:r="http://schemas.openxmlformats.org/officeDocument/2006/relationships">
  <xdr:twoCellAnchor editAs="oneCell">
    <xdr:from>
      <xdr:col>17</xdr:col>
      <xdr:colOff>181080</xdr:colOff>
      <xdr:row>1</xdr:row>
      <xdr:rowOff>123840</xdr:rowOff>
    </xdr:from>
    <xdr:to>
      <xdr:col>18</xdr:col>
      <xdr:colOff>3594240</xdr:colOff>
      <xdr:row>10</xdr:row>
      <xdr:rowOff>123120</xdr:rowOff>
    </xdr:to>
    <xdr:pic>
      <xdr:nvPicPr>
        <xdr:cNvPr id="562" name="image4.png"/>
        <xdr:cNvPicPr/>
      </xdr:nvPicPr>
      <xdr:blipFill>
        <a:blip r:embed="rId1"/>
        <a:stretch/>
      </xdr:blipFill>
      <xdr:spPr>
        <a:xfrm>
          <a:off x="31871880" y="285840"/>
          <a:ext cx="5914440" cy="1456560"/>
        </a:xfrm>
        <a:prstGeom prst="rect">
          <a:avLst/>
        </a:prstGeom>
        <a:noFill/>
        <a:ln w="0">
          <a:noFill/>
        </a:ln>
      </xdr:spPr>
    </xdr:pic>
    <xdr:clientData/>
  </xdr:twoCellAnchor>
</xdr:wsDr>
</file>

<file path=xl/drawings/drawing26.xml><?xml version="1.0" encoding="utf-8"?>
<xdr:wsDr xmlns:xdr="http://schemas.openxmlformats.org/drawingml/2006/spreadsheetDrawing" xmlns:a="http://schemas.openxmlformats.org/drawingml/2006/main" xmlns:r="http://schemas.openxmlformats.org/officeDocument/2006/relationships">
  <xdr:twoCellAnchor editAs="oneCell">
    <xdr:from>
      <xdr:col>17</xdr:col>
      <xdr:colOff>181080</xdr:colOff>
      <xdr:row>2</xdr:row>
      <xdr:rowOff>38160</xdr:rowOff>
    </xdr:from>
    <xdr:to>
      <xdr:col>18</xdr:col>
      <xdr:colOff>3594240</xdr:colOff>
      <xdr:row>10</xdr:row>
      <xdr:rowOff>151920</xdr:rowOff>
    </xdr:to>
    <xdr:pic>
      <xdr:nvPicPr>
        <xdr:cNvPr id="563" name="image4.png"/>
        <xdr:cNvPicPr/>
      </xdr:nvPicPr>
      <xdr:blipFill>
        <a:blip r:embed="rId1"/>
        <a:stretch/>
      </xdr:blipFill>
      <xdr:spPr>
        <a:xfrm>
          <a:off x="32183280" y="362160"/>
          <a:ext cx="5914440" cy="1409040"/>
        </a:xfrm>
        <a:prstGeom prst="rect">
          <a:avLst/>
        </a:prstGeom>
        <a:noFill/>
        <a:ln w="0">
          <a:noFill/>
        </a:ln>
      </xdr:spPr>
    </xdr:pic>
    <xdr:clientData/>
  </xdr:twoCellAnchor>
</xdr:wsDr>
</file>

<file path=xl/drawings/drawing27.xml><?xml version="1.0" encoding="utf-8"?>
<xdr:wsDr xmlns:xdr="http://schemas.openxmlformats.org/drawingml/2006/spreadsheetDrawing" xmlns:a="http://schemas.openxmlformats.org/drawingml/2006/main" xmlns:r="http://schemas.openxmlformats.org/officeDocument/2006/relationships">
  <xdr:twoCellAnchor editAs="oneCell">
    <xdr:from>
      <xdr:col>17</xdr:col>
      <xdr:colOff>181080</xdr:colOff>
      <xdr:row>2</xdr:row>
      <xdr:rowOff>38160</xdr:rowOff>
    </xdr:from>
    <xdr:to>
      <xdr:col>18</xdr:col>
      <xdr:colOff>3594240</xdr:colOff>
      <xdr:row>10</xdr:row>
      <xdr:rowOff>123120</xdr:rowOff>
    </xdr:to>
    <xdr:pic>
      <xdr:nvPicPr>
        <xdr:cNvPr id="564" name="image4.png"/>
        <xdr:cNvPicPr/>
      </xdr:nvPicPr>
      <xdr:blipFill>
        <a:blip r:embed="rId1"/>
        <a:stretch/>
      </xdr:blipFill>
      <xdr:spPr>
        <a:xfrm>
          <a:off x="31578120" y="362160"/>
          <a:ext cx="5914440" cy="1380240"/>
        </a:xfrm>
        <a:prstGeom prst="rect">
          <a:avLst/>
        </a:prstGeom>
        <a:noFill/>
        <a:ln w="0">
          <a:noFill/>
        </a:ln>
      </xdr:spPr>
    </xdr:pic>
    <xdr:clientData/>
  </xdr:twoCellAnchor>
</xdr:wsDr>
</file>

<file path=xl/drawings/drawing28.xml><?xml version="1.0" encoding="utf-8"?>
<xdr:wsDr xmlns:xdr="http://schemas.openxmlformats.org/drawingml/2006/spreadsheetDrawing" xmlns:a="http://schemas.openxmlformats.org/drawingml/2006/main" xmlns:r="http://schemas.openxmlformats.org/officeDocument/2006/relationships">
  <xdr:twoCellAnchor editAs="oneCell">
    <xdr:from>
      <xdr:col>17</xdr:col>
      <xdr:colOff>181080</xdr:colOff>
      <xdr:row>2</xdr:row>
      <xdr:rowOff>38160</xdr:rowOff>
    </xdr:from>
    <xdr:to>
      <xdr:col>18</xdr:col>
      <xdr:colOff>3594240</xdr:colOff>
      <xdr:row>11</xdr:row>
      <xdr:rowOff>18360</xdr:rowOff>
    </xdr:to>
    <xdr:pic>
      <xdr:nvPicPr>
        <xdr:cNvPr id="565" name="image4.png"/>
        <xdr:cNvPicPr/>
      </xdr:nvPicPr>
      <xdr:blipFill>
        <a:blip r:embed="rId1"/>
        <a:stretch/>
      </xdr:blipFill>
      <xdr:spPr>
        <a:xfrm>
          <a:off x="30111840" y="362160"/>
          <a:ext cx="5914440" cy="1437480"/>
        </a:xfrm>
        <a:prstGeom prst="rect">
          <a:avLst/>
        </a:prstGeom>
        <a:noFill/>
        <a:ln w="0">
          <a:noFill/>
        </a:ln>
      </xdr:spPr>
    </xdr:pic>
    <xdr:clientData/>
  </xdr:twoCellAnchor>
</xdr:wsDr>
</file>

<file path=xl/drawings/drawing29.xml><?xml version="1.0" encoding="utf-8"?>
<xdr:wsDr xmlns:xdr="http://schemas.openxmlformats.org/drawingml/2006/spreadsheetDrawing" xmlns:a="http://schemas.openxmlformats.org/drawingml/2006/main" xmlns:r="http://schemas.openxmlformats.org/officeDocument/2006/relationships">
  <xdr:twoCellAnchor editAs="oneCell">
    <xdr:from>
      <xdr:col>17</xdr:col>
      <xdr:colOff>85680</xdr:colOff>
      <xdr:row>1</xdr:row>
      <xdr:rowOff>19080</xdr:rowOff>
    </xdr:from>
    <xdr:to>
      <xdr:col>19</xdr:col>
      <xdr:colOff>86760</xdr:colOff>
      <xdr:row>10</xdr:row>
      <xdr:rowOff>84960</xdr:rowOff>
    </xdr:to>
    <xdr:pic>
      <xdr:nvPicPr>
        <xdr:cNvPr id="566" name="image4.png"/>
        <xdr:cNvPicPr/>
      </xdr:nvPicPr>
      <xdr:blipFill>
        <a:blip r:embed="rId1"/>
        <a:stretch/>
      </xdr:blipFill>
      <xdr:spPr>
        <a:xfrm>
          <a:off x="30088800" y="181080"/>
          <a:ext cx="6533280" cy="152316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17</xdr:col>
      <xdr:colOff>374400</xdr:colOff>
      <xdr:row>36</xdr:row>
      <xdr:rowOff>144360</xdr:rowOff>
    </xdr:to>
    <xdr:graphicFrame>
      <xdr:nvGraphicFramePr>
        <xdr:cNvPr id="4" name="Chart 3"/>
        <xdr:cNvGraphicFramePr/>
      </xdr:nvGraphicFramePr>
      <xdr:xfrm>
        <a:off x="0" y="0"/>
        <a:ext cx="9560880" cy="59738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mlns:r="http://schemas.openxmlformats.org/officeDocument/2006/relationships">
  <xdr:twoCellAnchor editAs="oneCell">
    <xdr:from>
      <xdr:col>16</xdr:col>
      <xdr:colOff>142920</xdr:colOff>
      <xdr:row>1</xdr:row>
      <xdr:rowOff>76320</xdr:rowOff>
    </xdr:from>
    <xdr:to>
      <xdr:col>19</xdr:col>
      <xdr:colOff>257760</xdr:colOff>
      <xdr:row>9</xdr:row>
      <xdr:rowOff>151920</xdr:rowOff>
    </xdr:to>
    <xdr:pic>
      <xdr:nvPicPr>
        <xdr:cNvPr id="567" name="image4.png"/>
        <xdr:cNvPicPr/>
      </xdr:nvPicPr>
      <xdr:blipFill>
        <a:blip r:embed="rId1"/>
        <a:stretch/>
      </xdr:blipFill>
      <xdr:spPr>
        <a:xfrm>
          <a:off x="28297080" y="238320"/>
          <a:ext cx="6866640" cy="1370880"/>
        </a:xfrm>
        <a:prstGeom prst="rect">
          <a:avLst/>
        </a:prstGeom>
        <a:noFill/>
        <a:ln w="0">
          <a:noFill/>
        </a:ln>
      </xdr:spPr>
    </xdr:pic>
    <xdr:clientData/>
  </xdr:twoCellAnchor>
</xdr:wsDr>
</file>

<file path=xl/drawings/drawing31.xml><?xml version="1.0" encoding="utf-8"?>
<xdr:wsDr xmlns:xdr="http://schemas.openxmlformats.org/drawingml/2006/spreadsheetDrawing" xmlns:a="http://schemas.openxmlformats.org/drawingml/2006/main" xmlns:r="http://schemas.openxmlformats.org/officeDocument/2006/relationships">
  <xdr:twoCellAnchor editAs="oneCell">
    <xdr:from>
      <xdr:col>16</xdr:col>
      <xdr:colOff>33120</xdr:colOff>
      <xdr:row>2</xdr:row>
      <xdr:rowOff>38160</xdr:rowOff>
    </xdr:from>
    <xdr:to>
      <xdr:col>19</xdr:col>
      <xdr:colOff>290880</xdr:colOff>
      <xdr:row>10</xdr:row>
      <xdr:rowOff>47160</xdr:rowOff>
    </xdr:to>
    <xdr:pic>
      <xdr:nvPicPr>
        <xdr:cNvPr id="568" name="image4.png"/>
        <xdr:cNvPicPr/>
      </xdr:nvPicPr>
      <xdr:blipFill>
        <a:blip r:embed="rId1"/>
        <a:stretch/>
      </xdr:blipFill>
      <xdr:spPr>
        <a:xfrm>
          <a:off x="32611320" y="362160"/>
          <a:ext cx="7009560" cy="1304280"/>
        </a:xfrm>
        <a:prstGeom prst="rect">
          <a:avLst/>
        </a:prstGeom>
        <a:noFill/>
        <a:ln w="0">
          <a:noFill/>
        </a:ln>
      </xdr:spPr>
    </xdr:pic>
    <xdr:clientData/>
  </xdr:twoCellAnchor>
</xdr:wsDr>
</file>

<file path=xl/drawings/drawing32.xml><?xml version="1.0" encoding="utf-8"?>
<xdr:wsDr xmlns:xdr="http://schemas.openxmlformats.org/drawingml/2006/spreadsheetDrawing" xmlns:a="http://schemas.openxmlformats.org/drawingml/2006/main" xmlns:r="http://schemas.openxmlformats.org/officeDocument/2006/relationships">
  <xdr:twoCellAnchor editAs="oneCell">
    <xdr:from>
      <xdr:col>16</xdr:col>
      <xdr:colOff>181080</xdr:colOff>
      <xdr:row>1</xdr:row>
      <xdr:rowOff>171360</xdr:rowOff>
    </xdr:from>
    <xdr:to>
      <xdr:col>19</xdr:col>
      <xdr:colOff>115200</xdr:colOff>
      <xdr:row>6</xdr:row>
      <xdr:rowOff>9000</xdr:rowOff>
    </xdr:to>
    <xdr:pic>
      <xdr:nvPicPr>
        <xdr:cNvPr id="569" name="image4.png"/>
        <xdr:cNvPicPr/>
      </xdr:nvPicPr>
      <xdr:blipFill>
        <a:blip r:embed="rId1"/>
        <a:stretch/>
      </xdr:blipFill>
      <xdr:spPr>
        <a:xfrm>
          <a:off x="29214720" y="333360"/>
          <a:ext cx="6685920" cy="675720"/>
        </a:xfrm>
        <a:prstGeom prst="rect">
          <a:avLst/>
        </a:prstGeom>
        <a:noFill/>
        <a:ln w="0">
          <a:noFill/>
        </a:ln>
      </xdr:spPr>
    </xdr:pic>
    <xdr:clientData/>
  </xdr:twoCellAnchor>
</xdr:wsDr>
</file>

<file path=xl/drawings/drawing33.xml><?xml version="1.0" encoding="utf-8"?>
<xdr:wsDr xmlns:xdr="http://schemas.openxmlformats.org/drawingml/2006/spreadsheetDrawing" xmlns:a="http://schemas.openxmlformats.org/drawingml/2006/main" xmlns:r="http://schemas.openxmlformats.org/officeDocument/2006/relationships">
  <xdr:twoCellAnchor editAs="oneCell">
    <xdr:from>
      <xdr:col>17</xdr:col>
      <xdr:colOff>85680</xdr:colOff>
      <xdr:row>1</xdr:row>
      <xdr:rowOff>123840</xdr:rowOff>
    </xdr:from>
    <xdr:to>
      <xdr:col>18</xdr:col>
      <xdr:colOff>3889440</xdr:colOff>
      <xdr:row>10</xdr:row>
      <xdr:rowOff>84960</xdr:rowOff>
    </xdr:to>
    <xdr:pic>
      <xdr:nvPicPr>
        <xdr:cNvPr id="570" name="image4.png"/>
        <xdr:cNvPicPr/>
      </xdr:nvPicPr>
      <xdr:blipFill>
        <a:blip r:embed="rId1"/>
        <a:stretch/>
      </xdr:blipFill>
      <xdr:spPr>
        <a:xfrm>
          <a:off x="31426920" y="285840"/>
          <a:ext cx="6304680" cy="1418400"/>
        </a:xfrm>
        <a:prstGeom prst="rect">
          <a:avLst/>
        </a:prstGeom>
        <a:noFill/>
        <a:ln w="0">
          <a:noFill/>
        </a:ln>
      </xdr:spPr>
    </xdr:pic>
    <xdr:clientData/>
  </xdr:twoCellAnchor>
</xdr:wsDr>
</file>

<file path=xl/drawings/drawing34.xml><?xml version="1.0" encoding="utf-8"?>
<xdr:wsDr xmlns:xdr="http://schemas.openxmlformats.org/drawingml/2006/spreadsheetDrawing" xmlns:a="http://schemas.openxmlformats.org/drawingml/2006/main" xmlns:r="http://schemas.openxmlformats.org/officeDocument/2006/relationships">
  <xdr:twoCellAnchor editAs="oneCell">
    <xdr:from>
      <xdr:col>16</xdr:col>
      <xdr:colOff>209520</xdr:colOff>
      <xdr:row>2</xdr:row>
      <xdr:rowOff>28440</xdr:rowOff>
    </xdr:from>
    <xdr:to>
      <xdr:col>18</xdr:col>
      <xdr:colOff>3935880</xdr:colOff>
      <xdr:row>10</xdr:row>
      <xdr:rowOff>84960</xdr:rowOff>
    </xdr:to>
    <xdr:pic>
      <xdr:nvPicPr>
        <xdr:cNvPr id="571" name="image4.png"/>
        <xdr:cNvPicPr/>
      </xdr:nvPicPr>
      <xdr:blipFill>
        <a:blip r:embed="rId1"/>
        <a:stretch/>
      </xdr:blipFill>
      <xdr:spPr>
        <a:xfrm>
          <a:off x="35270280" y="352440"/>
          <a:ext cx="6447600" cy="1351800"/>
        </a:xfrm>
        <a:prstGeom prst="rect">
          <a:avLst/>
        </a:prstGeom>
        <a:noFill/>
        <a:ln w="0">
          <a:noFill/>
        </a:ln>
      </xdr:spPr>
    </xdr:pic>
    <xdr:clientData/>
  </xdr:twoCellAnchor>
</xdr:wsDr>
</file>

<file path=xl/drawings/drawing35.xml><?xml version="1.0" encoding="utf-8"?>
<xdr:wsDr xmlns:xdr="http://schemas.openxmlformats.org/drawingml/2006/spreadsheetDrawing" xmlns:a="http://schemas.openxmlformats.org/drawingml/2006/main" xmlns:r="http://schemas.openxmlformats.org/officeDocument/2006/relationships">
  <xdr:twoCellAnchor editAs="oneCell">
    <xdr:from>
      <xdr:col>16</xdr:col>
      <xdr:colOff>209520</xdr:colOff>
      <xdr:row>2</xdr:row>
      <xdr:rowOff>28440</xdr:rowOff>
    </xdr:from>
    <xdr:to>
      <xdr:col>18</xdr:col>
      <xdr:colOff>3935880</xdr:colOff>
      <xdr:row>10</xdr:row>
      <xdr:rowOff>84960</xdr:rowOff>
    </xdr:to>
    <xdr:pic>
      <xdr:nvPicPr>
        <xdr:cNvPr id="572" name="image4.png"/>
        <xdr:cNvPicPr/>
      </xdr:nvPicPr>
      <xdr:blipFill>
        <a:blip r:embed="rId1"/>
        <a:stretch/>
      </xdr:blipFill>
      <xdr:spPr>
        <a:xfrm>
          <a:off x="35563680" y="352440"/>
          <a:ext cx="6447600" cy="1351800"/>
        </a:xfrm>
        <a:prstGeom prst="rect">
          <a:avLst/>
        </a:prstGeom>
        <a:noFill/>
        <a:ln w="0">
          <a:noFill/>
        </a:ln>
      </xdr:spPr>
    </xdr:pic>
    <xdr:clientData/>
  </xdr:twoCellAnchor>
</xdr:wsDr>
</file>

<file path=xl/drawings/drawing36.xml><?xml version="1.0" encoding="utf-8"?>
<xdr:wsDr xmlns:xdr="http://schemas.openxmlformats.org/drawingml/2006/spreadsheetDrawing" xmlns:a="http://schemas.openxmlformats.org/drawingml/2006/main" xmlns:r="http://schemas.openxmlformats.org/officeDocument/2006/relationships">
  <xdr:twoCellAnchor editAs="oneCell">
    <xdr:from>
      <xdr:col>16</xdr:col>
      <xdr:colOff>209520</xdr:colOff>
      <xdr:row>2</xdr:row>
      <xdr:rowOff>28440</xdr:rowOff>
    </xdr:from>
    <xdr:to>
      <xdr:col>18</xdr:col>
      <xdr:colOff>3936240</xdr:colOff>
      <xdr:row>10</xdr:row>
      <xdr:rowOff>84960</xdr:rowOff>
    </xdr:to>
    <xdr:pic>
      <xdr:nvPicPr>
        <xdr:cNvPr id="573" name="image4.png"/>
        <xdr:cNvPicPr/>
      </xdr:nvPicPr>
      <xdr:blipFill>
        <a:blip r:embed="rId1"/>
        <a:stretch/>
      </xdr:blipFill>
      <xdr:spPr>
        <a:xfrm>
          <a:off x="35362440" y="352440"/>
          <a:ext cx="6447600" cy="1351800"/>
        </a:xfrm>
        <a:prstGeom prst="rect">
          <a:avLst/>
        </a:prstGeom>
        <a:noFill/>
        <a:ln w="0">
          <a:noFill/>
        </a:ln>
      </xdr:spPr>
    </xdr:pic>
    <xdr:clientData/>
  </xdr:twoCellAnchor>
</xdr:wsDr>
</file>

<file path=xl/drawings/drawing37.xml><?xml version="1.0" encoding="utf-8"?>
<xdr:wsDr xmlns:xdr="http://schemas.openxmlformats.org/drawingml/2006/spreadsheetDrawing" xmlns:a="http://schemas.openxmlformats.org/drawingml/2006/main" xmlns:r="http://schemas.openxmlformats.org/officeDocument/2006/relationships">
  <xdr:twoCellAnchor editAs="oneCell">
    <xdr:from>
      <xdr:col>16</xdr:col>
      <xdr:colOff>209520</xdr:colOff>
      <xdr:row>2</xdr:row>
      <xdr:rowOff>28440</xdr:rowOff>
    </xdr:from>
    <xdr:to>
      <xdr:col>18</xdr:col>
      <xdr:colOff>3935880</xdr:colOff>
      <xdr:row>10</xdr:row>
      <xdr:rowOff>84960</xdr:rowOff>
    </xdr:to>
    <xdr:pic>
      <xdr:nvPicPr>
        <xdr:cNvPr id="574" name="image4.png"/>
        <xdr:cNvPicPr/>
      </xdr:nvPicPr>
      <xdr:blipFill>
        <a:blip r:embed="rId1"/>
        <a:stretch/>
      </xdr:blipFill>
      <xdr:spPr>
        <a:xfrm>
          <a:off x="35444880" y="352440"/>
          <a:ext cx="6447600" cy="1351800"/>
        </a:xfrm>
        <a:prstGeom prst="rect">
          <a:avLst/>
        </a:prstGeom>
        <a:noFill/>
        <a:ln w="0">
          <a:noFill/>
        </a:ln>
      </xdr:spPr>
    </xdr:pic>
    <xdr:clientData/>
  </xdr:twoCellAnchor>
</xdr:wsDr>
</file>

<file path=xl/drawings/drawing38.xml><?xml version="1.0" encoding="utf-8"?>
<xdr:wsDr xmlns:xdr="http://schemas.openxmlformats.org/drawingml/2006/spreadsheetDrawing" xmlns:a="http://schemas.openxmlformats.org/drawingml/2006/main" xmlns:r="http://schemas.openxmlformats.org/officeDocument/2006/relationships">
  <xdr:twoCellAnchor editAs="oneCell">
    <xdr:from>
      <xdr:col>16</xdr:col>
      <xdr:colOff>209520</xdr:colOff>
      <xdr:row>2</xdr:row>
      <xdr:rowOff>28440</xdr:rowOff>
    </xdr:from>
    <xdr:to>
      <xdr:col>18</xdr:col>
      <xdr:colOff>3935880</xdr:colOff>
      <xdr:row>10</xdr:row>
      <xdr:rowOff>84960</xdr:rowOff>
    </xdr:to>
    <xdr:pic>
      <xdr:nvPicPr>
        <xdr:cNvPr id="575" name="image4.png"/>
        <xdr:cNvPicPr/>
      </xdr:nvPicPr>
      <xdr:blipFill>
        <a:blip r:embed="rId1"/>
        <a:stretch/>
      </xdr:blipFill>
      <xdr:spPr>
        <a:xfrm>
          <a:off x="35270280" y="352440"/>
          <a:ext cx="6447600" cy="1351800"/>
        </a:xfrm>
        <a:prstGeom prst="rect">
          <a:avLst/>
        </a:prstGeom>
        <a:noFill/>
        <a:ln w="0">
          <a:noFill/>
        </a:ln>
      </xdr:spPr>
    </xdr:pic>
    <xdr:clientData/>
  </xdr:twoCellAnchor>
</xdr:wsDr>
</file>

<file path=xl/drawings/drawing39.xml><?xml version="1.0" encoding="utf-8"?>
<xdr:wsDr xmlns:xdr="http://schemas.openxmlformats.org/drawingml/2006/spreadsheetDrawing" xmlns:a="http://schemas.openxmlformats.org/drawingml/2006/main" xmlns:r="http://schemas.openxmlformats.org/officeDocument/2006/relationships">
  <xdr:twoCellAnchor editAs="oneCell">
    <xdr:from>
      <xdr:col>16</xdr:col>
      <xdr:colOff>209520</xdr:colOff>
      <xdr:row>2</xdr:row>
      <xdr:rowOff>28440</xdr:rowOff>
    </xdr:from>
    <xdr:to>
      <xdr:col>18</xdr:col>
      <xdr:colOff>3935880</xdr:colOff>
      <xdr:row>10</xdr:row>
      <xdr:rowOff>84960</xdr:rowOff>
    </xdr:to>
    <xdr:pic>
      <xdr:nvPicPr>
        <xdr:cNvPr id="576" name="image4.png"/>
        <xdr:cNvPicPr/>
      </xdr:nvPicPr>
      <xdr:blipFill>
        <a:blip r:embed="rId1"/>
        <a:stretch/>
      </xdr:blipFill>
      <xdr:spPr>
        <a:xfrm>
          <a:off x="35270280" y="352440"/>
          <a:ext cx="6447600" cy="1351800"/>
        </a:xfrm>
        <a:prstGeom prst="rect">
          <a:avLst/>
        </a:prstGeom>
        <a:noFill/>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324000</xdr:colOff>
      <xdr:row>1</xdr:row>
      <xdr:rowOff>28440</xdr:rowOff>
    </xdr:from>
    <xdr:to>
      <xdr:col>19</xdr:col>
      <xdr:colOff>133200</xdr:colOff>
      <xdr:row>39</xdr:row>
      <xdr:rowOff>47160</xdr:rowOff>
    </xdr:to>
    <xdr:graphicFrame>
      <xdr:nvGraphicFramePr>
        <xdr:cNvPr id="5" name="Chart 1"/>
        <xdr:cNvGraphicFramePr/>
      </xdr:nvGraphicFramePr>
      <xdr:xfrm>
        <a:off x="864360" y="190440"/>
        <a:ext cx="9536040" cy="61718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21</xdr:col>
      <xdr:colOff>12240</xdr:colOff>
      <xdr:row>1</xdr:row>
      <xdr:rowOff>13680</xdr:rowOff>
    </xdr:from>
    <xdr:to>
      <xdr:col>38</xdr:col>
      <xdr:colOff>383400</xdr:colOff>
      <xdr:row>39</xdr:row>
      <xdr:rowOff>32400</xdr:rowOff>
    </xdr:to>
    <xdr:graphicFrame>
      <xdr:nvGraphicFramePr>
        <xdr:cNvPr id="6" name="Gráfico 1"/>
        <xdr:cNvGraphicFramePr/>
      </xdr:nvGraphicFramePr>
      <xdr:xfrm>
        <a:off x="11360160" y="175680"/>
        <a:ext cx="9558000" cy="617184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17</xdr:col>
      <xdr:colOff>369000</xdr:colOff>
      <xdr:row>36</xdr:row>
      <xdr:rowOff>151560</xdr:rowOff>
    </xdr:to>
    <xdr:graphicFrame>
      <xdr:nvGraphicFramePr>
        <xdr:cNvPr id="7" name="Chart 7"/>
        <xdr:cNvGraphicFramePr/>
      </xdr:nvGraphicFramePr>
      <xdr:xfrm>
        <a:off x="0" y="0"/>
        <a:ext cx="9555480" cy="59810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20</xdr:col>
      <xdr:colOff>540000</xdr:colOff>
      <xdr:row>46</xdr:row>
      <xdr:rowOff>100440</xdr:rowOff>
    </xdr:to>
    <xdr:graphicFrame>
      <xdr:nvGraphicFramePr>
        <xdr:cNvPr id="8" name="Chart 8"/>
        <xdr:cNvGraphicFramePr/>
      </xdr:nvGraphicFramePr>
      <xdr:xfrm>
        <a:off x="0" y="0"/>
        <a:ext cx="11347560" cy="75488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17</xdr:col>
      <xdr:colOff>369000</xdr:colOff>
      <xdr:row>36</xdr:row>
      <xdr:rowOff>151560</xdr:rowOff>
    </xdr:to>
    <xdr:graphicFrame>
      <xdr:nvGraphicFramePr>
        <xdr:cNvPr id="9" name="Chart 4"/>
        <xdr:cNvGraphicFramePr/>
      </xdr:nvGraphicFramePr>
      <xdr:xfrm>
        <a:off x="0" y="0"/>
        <a:ext cx="9555480" cy="59810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17</xdr:col>
      <xdr:colOff>374400</xdr:colOff>
      <xdr:row>36</xdr:row>
      <xdr:rowOff>144360</xdr:rowOff>
    </xdr:to>
    <xdr:graphicFrame>
      <xdr:nvGraphicFramePr>
        <xdr:cNvPr id="10" name="Chart 5"/>
        <xdr:cNvGraphicFramePr/>
      </xdr:nvGraphicFramePr>
      <xdr:xfrm>
        <a:off x="0" y="0"/>
        <a:ext cx="9560880" cy="59738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dr:twoCellAnchor editAs="oneCell">
    <xdr:from>
      <xdr:col>31</xdr:col>
      <xdr:colOff>399960</xdr:colOff>
      <xdr:row>3</xdr:row>
      <xdr:rowOff>66600</xdr:rowOff>
    </xdr:from>
    <xdr:to>
      <xdr:col>49</xdr:col>
      <xdr:colOff>209160</xdr:colOff>
      <xdr:row>40</xdr:row>
      <xdr:rowOff>49680</xdr:rowOff>
    </xdr:to>
    <xdr:graphicFrame>
      <xdr:nvGraphicFramePr>
        <xdr:cNvPr id="11" name="Gráfico 1"/>
        <xdr:cNvGraphicFramePr/>
      </xdr:nvGraphicFramePr>
      <xdr:xfrm>
        <a:off x="17151840" y="552240"/>
        <a:ext cx="9536040" cy="59745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19080</xdr:colOff>
      <xdr:row>6</xdr:row>
      <xdr:rowOff>142920</xdr:rowOff>
    </xdr:from>
    <xdr:to>
      <xdr:col>29</xdr:col>
      <xdr:colOff>390240</xdr:colOff>
      <xdr:row>43</xdr:row>
      <xdr:rowOff>126000</xdr:rowOff>
    </xdr:to>
    <xdr:graphicFrame>
      <xdr:nvGraphicFramePr>
        <xdr:cNvPr id="12" name="Gráfico 2"/>
        <xdr:cNvGraphicFramePr/>
      </xdr:nvGraphicFramePr>
      <xdr:xfrm>
        <a:off x="6503760" y="1114560"/>
        <a:ext cx="9557640" cy="597420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14</xdr:col>
      <xdr:colOff>533520</xdr:colOff>
      <xdr:row>46</xdr:row>
      <xdr:rowOff>57240</xdr:rowOff>
    </xdr:from>
    <xdr:to>
      <xdr:col>32</xdr:col>
      <xdr:colOff>342720</xdr:colOff>
      <xdr:row>83</xdr:row>
      <xdr:rowOff>40320</xdr:rowOff>
    </xdr:to>
    <xdr:graphicFrame>
      <xdr:nvGraphicFramePr>
        <xdr:cNvPr id="13" name="Gráfico 3"/>
        <xdr:cNvGraphicFramePr/>
      </xdr:nvGraphicFramePr>
      <xdr:xfrm>
        <a:off x="8098920" y="7505640"/>
        <a:ext cx="9536040" cy="597456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10.xml.rels><?xml version="1.0" encoding="UTF-8"?>
<Relationships xmlns="http://schemas.openxmlformats.org/package/2006/relationships"><Relationship Id="rId1" Type="http://schemas.openxmlformats.org/officeDocument/2006/relationships/drawing" Target="../drawings/drawing10.xml"/>
</Relationships>
</file>

<file path=xl/worksheets/_rels/sheet11.xml.rels><?xml version="1.0" encoding="UTF-8"?>
<Relationships xmlns="http://schemas.openxmlformats.org/package/2006/relationships"><Relationship Id="rId1" Type="http://schemas.openxmlformats.org/officeDocument/2006/relationships/drawing" Target="../drawings/drawing11.xml"/>
</Relationships>
</file>

<file path=xl/worksheets/_rels/sheet13.xml.rels><?xml version="1.0" encoding="UTF-8"?>
<Relationships xmlns="http://schemas.openxmlformats.org/package/2006/relationships"><Relationship Id="rId1" Type="http://schemas.openxmlformats.org/officeDocument/2006/relationships/drawing" Target="../drawings/drawing12.xml"/>
</Relationships>
</file>

<file path=xl/worksheets/_rels/sheet14.xml.rels><?xml version="1.0" encoding="UTF-8"?>
<Relationships xmlns="http://schemas.openxmlformats.org/package/2006/relationships"><Relationship Id="rId1" Type="http://schemas.openxmlformats.org/officeDocument/2006/relationships/drawing" Target="../drawings/drawing13.xml"/>
</Relationships>
</file>

<file path=xl/worksheets/_rels/sheet15.xml.rels><?xml version="1.0" encoding="UTF-8"?>
<Relationships xmlns="http://schemas.openxmlformats.org/package/2006/relationships"><Relationship Id="rId1" Type="http://schemas.openxmlformats.org/officeDocument/2006/relationships/drawing" Target="../drawings/drawing14.xml"/>
</Relationships>
</file>

<file path=xl/worksheets/_rels/sheet16.xml.rels><?xml version="1.0" encoding="UTF-8"?>
<Relationships xmlns="http://schemas.openxmlformats.org/package/2006/relationships"><Relationship Id="rId1" Type="http://schemas.openxmlformats.org/officeDocument/2006/relationships/drawing" Target="../drawings/drawing15.xml"/>
</Relationships>
</file>

<file path=xl/worksheets/_rels/sheet17.xml.rels><?xml version="1.0" encoding="UTF-8"?>
<Relationships xmlns="http://schemas.openxmlformats.org/package/2006/relationships"><Relationship Id="rId1" Type="http://schemas.openxmlformats.org/officeDocument/2006/relationships/drawing" Target="../drawings/drawing16.xml"/>
</Relationships>
</file>

<file path=xl/worksheets/_rels/sheet18.xml.rels><?xml version="1.0" encoding="UTF-8"?>
<Relationships xmlns="http://schemas.openxmlformats.org/package/2006/relationships"><Relationship Id="rId1" Type="http://schemas.openxmlformats.org/officeDocument/2006/relationships/drawing" Target="../drawings/drawing17.xml"/>
</Relationships>
</file>

<file path=xl/worksheets/_rels/sheet19.xml.rels><?xml version="1.0" encoding="UTF-8"?>
<Relationships xmlns="http://schemas.openxmlformats.org/package/2006/relationships"><Relationship Id="rId1" Type="http://schemas.openxmlformats.org/officeDocument/2006/relationships/drawing" Target="../drawings/drawing18.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20.xml.rels><?xml version="1.0" encoding="UTF-8"?>
<Relationships xmlns="http://schemas.openxmlformats.org/package/2006/relationships"><Relationship Id="rId1" Type="http://schemas.openxmlformats.org/officeDocument/2006/relationships/drawing" Target="../drawings/drawing19.xml"/>
</Relationships>
</file>

<file path=xl/worksheets/_rels/sheet21.xml.rels><?xml version="1.0" encoding="UTF-8"?>
<Relationships xmlns="http://schemas.openxmlformats.org/package/2006/relationships"><Relationship Id="rId1" Type="http://schemas.openxmlformats.org/officeDocument/2006/relationships/drawing" Target="../drawings/drawing20.xml"/>
</Relationships>
</file>

<file path=xl/worksheets/_rels/sheet22.xml.rels><?xml version="1.0" encoding="UTF-8"?>
<Relationships xmlns="http://schemas.openxmlformats.org/package/2006/relationships"><Relationship Id="rId1" Type="http://schemas.openxmlformats.org/officeDocument/2006/relationships/drawing" Target="../drawings/drawing21.xml"/>
</Relationships>
</file>

<file path=xl/worksheets/_rels/sheet23.xml.rels><?xml version="1.0" encoding="UTF-8"?>
<Relationships xmlns="http://schemas.openxmlformats.org/package/2006/relationships"><Relationship Id="rId1" Type="http://schemas.openxmlformats.org/officeDocument/2006/relationships/drawing" Target="../drawings/drawing22.xml"/>
</Relationships>
</file>

<file path=xl/worksheets/_rels/sheet24.xml.rels><?xml version="1.0" encoding="UTF-8"?>
<Relationships xmlns="http://schemas.openxmlformats.org/package/2006/relationships"><Relationship Id="rId1" Type="http://schemas.openxmlformats.org/officeDocument/2006/relationships/drawing" Target="../drawings/drawing23.xml"/>
</Relationships>
</file>

<file path=xl/worksheets/_rels/sheet25.xml.rels><?xml version="1.0" encoding="UTF-8"?>
<Relationships xmlns="http://schemas.openxmlformats.org/package/2006/relationships"><Relationship Id="rId1" Type="http://schemas.openxmlformats.org/officeDocument/2006/relationships/drawing" Target="../drawings/drawing24.xml"/>
</Relationships>
</file>

<file path=xl/worksheets/_rels/sheet26.xml.rels><?xml version="1.0" encoding="UTF-8"?>
<Relationships xmlns="http://schemas.openxmlformats.org/package/2006/relationships"><Relationship Id="rId1" Type="http://schemas.openxmlformats.org/officeDocument/2006/relationships/drawing" Target="../drawings/drawing25.xml"/>
</Relationships>
</file>

<file path=xl/worksheets/_rels/sheet27.xml.rels><?xml version="1.0" encoding="UTF-8"?>
<Relationships xmlns="http://schemas.openxmlformats.org/package/2006/relationships"><Relationship Id="rId1" Type="http://schemas.openxmlformats.org/officeDocument/2006/relationships/drawing" Target="../drawings/drawing26.xml"/>
</Relationships>
</file>

<file path=xl/worksheets/_rels/sheet28.xml.rels><?xml version="1.0" encoding="UTF-8"?>
<Relationships xmlns="http://schemas.openxmlformats.org/package/2006/relationships"><Relationship Id="rId1" Type="http://schemas.openxmlformats.org/officeDocument/2006/relationships/drawing" Target="../drawings/drawing27.xml"/>
</Relationships>
</file>

<file path=xl/worksheets/_rels/sheet29.xml.rels><?xml version="1.0" encoding="UTF-8"?>
<Relationships xmlns="http://schemas.openxmlformats.org/package/2006/relationships"><Relationship Id="rId1" Type="http://schemas.openxmlformats.org/officeDocument/2006/relationships/drawing" Target="../drawings/drawing28.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30.xml.rels><?xml version="1.0" encoding="UTF-8"?>
<Relationships xmlns="http://schemas.openxmlformats.org/package/2006/relationships"><Relationship Id="rId1" Type="http://schemas.openxmlformats.org/officeDocument/2006/relationships/drawing" Target="../drawings/drawing29.xml"/>
</Relationships>
</file>

<file path=xl/worksheets/_rels/sheet31.xml.rels><?xml version="1.0" encoding="UTF-8"?>
<Relationships xmlns="http://schemas.openxmlformats.org/package/2006/relationships"><Relationship Id="rId1" Type="http://schemas.openxmlformats.org/officeDocument/2006/relationships/drawing" Target="../drawings/drawing30.xml"/>
</Relationships>
</file>

<file path=xl/worksheets/_rels/sheet32.xml.rels><?xml version="1.0" encoding="UTF-8"?>
<Relationships xmlns="http://schemas.openxmlformats.org/package/2006/relationships"><Relationship Id="rId1" Type="http://schemas.openxmlformats.org/officeDocument/2006/relationships/drawing" Target="../drawings/drawing31.xml"/>
</Relationships>
</file>

<file path=xl/worksheets/_rels/sheet33.xml.rels><?xml version="1.0" encoding="UTF-8"?>
<Relationships xmlns="http://schemas.openxmlformats.org/package/2006/relationships"><Relationship Id="rId1" Type="http://schemas.openxmlformats.org/officeDocument/2006/relationships/drawing" Target="../drawings/drawing32.xml"/>
</Relationships>
</file>

<file path=xl/worksheets/_rels/sheet34.xml.rels><?xml version="1.0" encoding="UTF-8"?>
<Relationships xmlns="http://schemas.openxmlformats.org/package/2006/relationships"><Relationship Id="rId1" Type="http://schemas.openxmlformats.org/officeDocument/2006/relationships/drawing" Target="../drawings/drawing33.xml"/>
</Relationships>
</file>

<file path=xl/worksheets/_rels/sheet35.xml.rels><?xml version="1.0" encoding="UTF-8"?>
<Relationships xmlns="http://schemas.openxmlformats.org/package/2006/relationships"><Relationship Id="rId1" Type="http://schemas.openxmlformats.org/officeDocument/2006/relationships/drawing" Target="../drawings/drawing34.xml"/>
</Relationships>
</file>

<file path=xl/worksheets/_rels/sheet36.xml.rels><?xml version="1.0" encoding="UTF-8"?>
<Relationships xmlns="http://schemas.openxmlformats.org/package/2006/relationships"><Relationship Id="rId1" Type="http://schemas.openxmlformats.org/officeDocument/2006/relationships/drawing" Target="../drawings/drawing35.xml"/>
</Relationships>
</file>

<file path=xl/worksheets/_rels/sheet37.xml.rels><?xml version="1.0" encoding="UTF-8"?>
<Relationships xmlns="http://schemas.openxmlformats.org/package/2006/relationships"><Relationship Id="rId1" Type="http://schemas.openxmlformats.org/officeDocument/2006/relationships/drawing" Target="../drawings/drawing36.xml"/>
</Relationships>
</file>

<file path=xl/worksheets/_rels/sheet38.xml.rels><?xml version="1.0" encoding="UTF-8"?>
<Relationships xmlns="http://schemas.openxmlformats.org/package/2006/relationships"><Relationship Id="rId1" Type="http://schemas.openxmlformats.org/officeDocument/2006/relationships/drawing" Target="../drawings/drawing37.xml"/>
</Relationships>
</file>

<file path=xl/worksheets/_rels/sheet39.xml.rels><?xml version="1.0" encoding="UTF-8"?>
<Relationships xmlns="http://schemas.openxmlformats.org/package/2006/relationships"><Relationship Id="rId1" Type="http://schemas.openxmlformats.org/officeDocument/2006/relationships/drawing" Target="../drawings/drawing38.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_rels/sheet40.xml.rels><?xml version="1.0" encoding="UTF-8"?>
<Relationships xmlns="http://schemas.openxmlformats.org/package/2006/relationships"><Relationship Id="rId1" Type="http://schemas.openxmlformats.org/officeDocument/2006/relationships/drawing" Target="../drawings/drawing39.xml"/>
</Relationships>
</file>

<file path=xl/worksheets/_rels/sheet5.xml.rels><?xml version="1.0" encoding="UTF-8"?>
<Relationships xmlns="http://schemas.openxmlformats.org/package/2006/relationships"><Relationship Id="rId1"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drawing" Target="../drawings/drawing6.xml"/>
</Relationships>
</file>

<file path=xl/worksheets/_rels/sheet7.xml.rels><?xml version="1.0" encoding="UTF-8"?>
<Relationships xmlns="http://schemas.openxmlformats.org/package/2006/relationships"><Relationship Id="rId1" Type="http://schemas.openxmlformats.org/officeDocument/2006/relationships/drawing" Target="../drawings/drawing7.xml"/>
</Relationships>
</file>

<file path=xl/worksheets/_rels/sheet8.xml.rels><?xml version="1.0" encoding="UTF-8"?>
<Relationships xmlns="http://schemas.openxmlformats.org/package/2006/relationships"><Relationship Id="rId1" Type="http://schemas.openxmlformats.org/officeDocument/2006/relationships/drawing" Target="../drawings/drawing8.xml"/>
</Relationships>
</file>

<file path=xl/worksheets/_rels/sheet9.xml.rels><?xml version="1.0" encoding="UTF-8"?>
<Relationships xmlns="http://schemas.openxmlformats.org/package/2006/relationships"><Relationship Id="rId1"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2:AB39"/>
  <sheetViews>
    <sheetView showFormulas="false" showGridLines="false" showRowColHeaders="true" showZeros="true" rightToLeft="false" tabSelected="true" showOutlineSymbols="true" defaultGridColor="true" view="normal" topLeftCell="A1" colorId="64" zoomScale="53" zoomScaleNormal="53" zoomScalePageLayoutView="100" workbookViewId="0">
      <selection pane="topLeft" activeCell="B2" activeCellId="0" sqref="B2"/>
    </sheetView>
  </sheetViews>
  <sheetFormatPr defaultColWidth="14.2890625" defaultRowHeight="12.75" customHeight="false" zeroHeight="false" outlineLevelRow="0" outlineLevelCol="0"/>
  <cols>
    <col collapsed="false" customWidth="true" hidden="false" outlineLevel="0" max="1" min="1" style="0" width="80"/>
    <col collapsed="false" customWidth="true" hidden="false" outlineLevel="0" max="12" min="2" style="0" width="9.71"/>
    <col collapsed="false" customWidth="true" hidden="false" outlineLevel="0" max="13" min="13" style="0" width="9.42"/>
    <col collapsed="false" customWidth="true" hidden="false" outlineLevel="0" max="17" min="14" style="0" width="9.71"/>
    <col collapsed="false" customWidth="true" hidden="false" outlineLevel="0" max="26" min="18" style="0" width="9.14"/>
    <col collapsed="false" customWidth="true" hidden="false" outlineLevel="0" max="27" min="27" style="0" width="10.29"/>
    <col collapsed="false" customWidth="true" hidden="false" outlineLevel="0" max="28" min="28" style="0" width="8.71"/>
  </cols>
  <sheetData>
    <row r="2" customFormat="false" ht="24.75" hidden="false" customHeight="true" outlineLevel="0" collapsed="false">
      <c r="A2" s="1"/>
      <c r="B2" s="2" t="s">
        <v>0</v>
      </c>
      <c r="C2" s="2"/>
      <c r="D2" s="2"/>
      <c r="E2" s="2"/>
      <c r="F2" s="2"/>
      <c r="G2" s="2"/>
      <c r="H2" s="2"/>
      <c r="I2" s="2"/>
      <c r="J2" s="2"/>
      <c r="K2" s="2"/>
      <c r="L2" s="2"/>
      <c r="M2" s="2"/>
      <c r="N2" s="2"/>
      <c r="O2" s="2"/>
      <c r="P2" s="2"/>
      <c r="Q2" s="2"/>
      <c r="R2" s="3"/>
      <c r="S2" s="4"/>
      <c r="T2" s="4"/>
      <c r="U2" s="1"/>
      <c r="V2" s="1"/>
      <c r="W2" s="1"/>
      <c r="X2" s="1"/>
      <c r="Y2" s="1"/>
      <c r="Z2" s="1"/>
    </row>
    <row r="3" customFormat="false" ht="24.75" hidden="false" customHeight="true" outlineLevel="0" collapsed="false">
      <c r="A3" s="1"/>
      <c r="B3" s="2" t="s">
        <v>1</v>
      </c>
      <c r="C3" s="2"/>
      <c r="D3" s="2"/>
      <c r="E3" s="2"/>
      <c r="F3" s="2"/>
      <c r="G3" s="2"/>
      <c r="H3" s="2"/>
      <c r="I3" s="2"/>
      <c r="J3" s="2"/>
      <c r="K3" s="2"/>
      <c r="L3" s="2"/>
      <c r="M3" s="2"/>
      <c r="N3" s="2"/>
      <c r="O3" s="2"/>
      <c r="P3" s="2"/>
      <c r="Q3" s="2"/>
      <c r="R3" s="5"/>
      <c r="S3" s="4"/>
      <c r="T3" s="4"/>
      <c r="U3" s="1"/>
      <c r="V3" s="1"/>
      <c r="W3" s="1"/>
      <c r="X3" s="1"/>
      <c r="Y3" s="1"/>
      <c r="Z3" s="1"/>
    </row>
    <row r="4" customFormat="false" ht="24.75" hidden="false" customHeight="true" outlineLevel="0" collapsed="false">
      <c r="A4" s="1"/>
      <c r="B4" s="2" t="s">
        <v>2</v>
      </c>
      <c r="C4" s="2"/>
      <c r="D4" s="2"/>
      <c r="E4" s="2"/>
      <c r="F4" s="2"/>
      <c r="G4" s="2"/>
      <c r="H4" s="2"/>
      <c r="I4" s="2"/>
      <c r="J4" s="2"/>
      <c r="K4" s="2"/>
      <c r="L4" s="2"/>
      <c r="M4" s="2"/>
      <c r="N4" s="2"/>
      <c r="O4" s="2"/>
      <c r="P4" s="2"/>
      <c r="Q4" s="2"/>
      <c r="R4" s="5"/>
      <c r="S4" s="4"/>
      <c r="T4" s="4"/>
      <c r="U4" s="1"/>
      <c r="V4" s="1"/>
      <c r="W4" s="1"/>
      <c r="X4" s="1"/>
      <c r="Y4" s="1"/>
      <c r="Z4" s="1"/>
    </row>
    <row r="5" customFormat="false" ht="24.75" hidden="false" customHeight="true" outlineLevel="0" collapsed="false">
      <c r="A5" s="1"/>
      <c r="B5" s="2" t="s">
        <v>3</v>
      </c>
      <c r="C5" s="2"/>
      <c r="D5" s="2"/>
      <c r="E5" s="2"/>
      <c r="F5" s="2"/>
      <c r="G5" s="2"/>
      <c r="H5" s="2"/>
      <c r="I5" s="2"/>
      <c r="J5" s="2"/>
      <c r="K5" s="2"/>
      <c r="L5" s="2"/>
      <c r="M5" s="2"/>
      <c r="N5" s="2"/>
      <c r="O5" s="2"/>
      <c r="P5" s="2"/>
      <c r="Q5" s="2"/>
      <c r="R5" s="5"/>
      <c r="S5" s="4"/>
      <c r="T5" s="4"/>
      <c r="U5" s="1"/>
      <c r="V5" s="1"/>
      <c r="W5" s="1"/>
      <c r="X5" s="1"/>
      <c r="Y5" s="1"/>
      <c r="Z5" s="1"/>
    </row>
    <row r="6" customFormat="false" ht="12.75" hidden="false" customHeight="false" outlineLevel="0" collapsed="false">
      <c r="A6" s="1"/>
      <c r="B6" s="1"/>
      <c r="C6" s="1"/>
      <c r="D6" s="1"/>
      <c r="E6" s="1"/>
      <c r="F6" s="1"/>
      <c r="G6" s="1"/>
      <c r="H6" s="1"/>
      <c r="I6" s="1"/>
      <c r="J6" s="1"/>
      <c r="K6" s="1"/>
      <c r="L6" s="1"/>
      <c r="M6" s="1"/>
      <c r="N6" s="1"/>
      <c r="O6" s="1"/>
      <c r="P6" s="1"/>
      <c r="Q6" s="1"/>
      <c r="R6" s="1"/>
      <c r="S6" s="1"/>
      <c r="T6" s="1"/>
      <c r="U6" s="1"/>
      <c r="V6" s="1"/>
      <c r="W6" s="1"/>
      <c r="X6" s="1"/>
      <c r="Y6" s="1"/>
      <c r="Z6" s="1"/>
    </row>
    <row r="7" customFormat="false" ht="12.75" hidden="false" customHeight="true" outlineLevel="0" collapsed="false">
      <c r="A7" s="1"/>
      <c r="B7" s="1"/>
      <c r="C7" s="1"/>
      <c r="D7" s="1"/>
      <c r="E7" s="1"/>
      <c r="F7" s="1"/>
      <c r="G7" s="1"/>
      <c r="H7" s="1"/>
      <c r="I7" s="1"/>
      <c r="J7" s="1"/>
      <c r="K7" s="1"/>
      <c r="L7" s="1"/>
      <c r="M7" s="1"/>
      <c r="N7" s="1"/>
      <c r="O7" s="1"/>
      <c r="P7" s="1"/>
      <c r="Q7" s="1"/>
      <c r="R7" s="1"/>
      <c r="S7" s="1"/>
      <c r="T7" s="1"/>
      <c r="U7" s="1"/>
      <c r="V7" s="1"/>
      <c r="W7" s="1"/>
      <c r="X7" s="1"/>
      <c r="Y7" s="1"/>
      <c r="Z7" s="1"/>
    </row>
    <row r="8" customFormat="false" ht="33" hidden="false" customHeight="true" outlineLevel="0" collapsed="false">
      <c r="A8" s="6"/>
      <c r="B8" s="7" t="s">
        <v>4</v>
      </c>
      <c r="C8" s="7"/>
      <c r="D8" s="7"/>
      <c r="E8" s="7"/>
      <c r="F8" s="7"/>
      <c r="G8" s="7"/>
      <c r="H8" s="7"/>
      <c r="I8" s="7"/>
      <c r="J8" s="7"/>
      <c r="K8" s="7"/>
      <c r="L8" s="7"/>
      <c r="M8" s="7"/>
      <c r="N8" s="7"/>
      <c r="O8" s="7"/>
      <c r="P8" s="7"/>
      <c r="Q8" s="7"/>
      <c r="R8" s="7"/>
      <c r="S8" s="7"/>
      <c r="T8" s="7"/>
      <c r="U8" s="7"/>
      <c r="V8" s="7"/>
      <c r="W8" s="7"/>
      <c r="X8" s="7"/>
      <c r="Y8" s="7"/>
      <c r="Z8" s="7"/>
      <c r="AA8" s="7"/>
      <c r="AB8" s="7"/>
    </row>
    <row r="9" customFormat="false" ht="16.15" hidden="false" customHeight="false" outlineLevel="0" collapsed="false">
      <c r="A9" s="6"/>
      <c r="B9" s="8" t="n">
        <v>2000</v>
      </c>
      <c r="C9" s="9" t="n">
        <v>2001</v>
      </c>
      <c r="D9" s="9" t="n">
        <v>2002</v>
      </c>
      <c r="E9" s="9" t="n">
        <v>2003</v>
      </c>
      <c r="F9" s="9" t="n">
        <v>2004</v>
      </c>
      <c r="G9" s="9" t="n">
        <v>2005</v>
      </c>
      <c r="H9" s="10" t="n">
        <v>2006</v>
      </c>
      <c r="I9" s="10" t="n">
        <v>2007</v>
      </c>
      <c r="J9" s="10" t="n">
        <v>2008</v>
      </c>
      <c r="K9" s="10" t="n">
        <v>2009</v>
      </c>
      <c r="L9" s="10" t="n">
        <v>2010</v>
      </c>
      <c r="M9" s="10" t="n">
        <v>2011</v>
      </c>
      <c r="N9" s="10" t="n">
        <v>2012</v>
      </c>
      <c r="O9" s="10" t="n">
        <v>2013</v>
      </c>
      <c r="P9" s="10" t="n">
        <v>2014</v>
      </c>
      <c r="Q9" s="10" t="n">
        <v>2015</v>
      </c>
      <c r="R9" s="10" t="n">
        <v>2016</v>
      </c>
      <c r="S9" s="10" t="n">
        <v>2017</v>
      </c>
      <c r="T9" s="10" t="n">
        <v>2018</v>
      </c>
      <c r="U9" s="10" t="n">
        <v>2019</v>
      </c>
      <c r="V9" s="11" t="n">
        <v>2020</v>
      </c>
      <c r="W9" s="10" t="n">
        <v>2021</v>
      </c>
      <c r="X9" s="11" t="n">
        <v>2022</v>
      </c>
      <c r="Y9" s="12" t="n">
        <v>2023</v>
      </c>
      <c r="Z9" s="12" t="n">
        <v>2024</v>
      </c>
      <c r="AA9" s="12" t="n">
        <v>2025</v>
      </c>
      <c r="AB9" s="12" t="n">
        <v>2026</v>
      </c>
    </row>
    <row r="10" customFormat="false" ht="15" hidden="false" customHeight="false" outlineLevel="0" collapsed="false">
      <c r="A10" s="13" t="s">
        <v>5</v>
      </c>
      <c r="B10" s="14" t="n">
        <f aca="false">'2000'!$P$3</f>
        <v>20</v>
      </c>
      <c r="C10" s="15" t="n">
        <f aca="false">'2001'!$P$3</f>
        <v>23</v>
      </c>
      <c r="D10" s="15" t="n">
        <f aca="false">'2002'!$P$3</f>
        <v>13</v>
      </c>
      <c r="E10" s="15" t="n">
        <f aca="false">'2003'!$P$3</f>
        <v>21</v>
      </c>
      <c r="F10" s="15" t="n">
        <f aca="false">'2004'!$P$3</f>
        <v>21</v>
      </c>
      <c r="G10" s="15" t="n">
        <f aca="false">'2005'!$P$3</f>
        <v>23</v>
      </c>
      <c r="H10" s="15" t="n">
        <f aca="false">'2006'!$P$3</f>
        <v>18</v>
      </c>
      <c r="I10" s="15" t="n">
        <f aca="false">'2007'!$P$3</f>
        <v>2</v>
      </c>
      <c r="J10" s="15" t="n">
        <f aca="false">'2008'!$P$3</f>
        <v>3</v>
      </c>
      <c r="K10" s="15" t="n">
        <f aca="false">'2009'!$P$3</f>
        <v>4</v>
      </c>
      <c r="L10" s="15" t="n">
        <f aca="false">'2010'!$P$3</f>
        <v>2</v>
      </c>
      <c r="M10" s="15" t="n">
        <f aca="false">'2011'!$P$3</f>
        <v>0</v>
      </c>
      <c r="N10" s="15" t="n">
        <f aca="false">'2012'!$P$3</f>
        <v>0</v>
      </c>
      <c r="O10" s="15" t="n">
        <f aca="false">'2013'!$P$3</f>
        <v>1</v>
      </c>
      <c r="P10" s="15" t="n">
        <f aca="false">'2014'!$P$3</f>
        <v>0</v>
      </c>
      <c r="Q10" s="15" t="n">
        <f aca="false">'2015'!$P$3</f>
        <v>0</v>
      </c>
      <c r="R10" s="15" t="n">
        <f aca="false">'2016'!$P$3</f>
        <v>1</v>
      </c>
      <c r="S10" s="15" t="n">
        <f aca="false">'2017'!$P$3</f>
        <v>0</v>
      </c>
      <c r="T10" s="15" t="n">
        <f aca="false">'2018'!$P$3</f>
        <v>0</v>
      </c>
      <c r="U10" s="15" t="n">
        <f aca="false">'2019'!$P$3</f>
        <v>1</v>
      </c>
      <c r="V10" s="15" t="n">
        <f aca="false">'2020'!$P$3</f>
        <v>3</v>
      </c>
      <c r="W10" s="15" t="n">
        <f aca="false">'2021'!$P$3</f>
        <v>1</v>
      </c>
      <c r="X10" s="15" t="n">
        <f aca="false">'2022'!$P$3</f>
        <v>0</v>
      </c>
      <c r="Y10" s="15" t="n">
        <f aca="false">'2023'!$P$3</f>
        <v>0</v>
      </c>
      <c r="Z10" s="15" t="n">
        <f aca="false">'2024'!$P$3</f>
        <v>0</v>
      </c>
      <c r="AA10" s="15" t="n">
        <f aca="false">'2025'!$P$3</f>
        <v>1</v>
      </c>
      <c r="AB10" s="15" t="n">
        <f aca="false">'2026 PT'!P3</f>
        <v>0</v>
      </c>
    </row>
    <row r="11" customFormat="false" ht="15" hidden="false" customHeight="false" outlineLevel="0" collapsed="false">
      <c r="A11" s="13" t="s">
        <v>6</v>
      </c>
      <c r="B11" s="16" t="n">
        <f aca="false">'2000'!$P$4</f>
        <v>9</v>
      </c>
      <c r="C11" s="17" t="n">
        <f aca="false">'2001'!$P$4</f>
        <v>11</v>
      </c>
      <c r="D11" s="17" t="n">
        <f aca="false">'2002'!$P$4</f>
        <v>5</v>
      </c>
      <c r="E11" s="17" t="n">
        <f aca="false">'2003'!$P$4</f>
        <v>8</v>
      </c>
      <c r="F11" s="17" t="n">
        <f aca="false">'2004'!$P$4</f>
        <v>4</v>
      </c>
      <c r="G11" s="17" t="n">
        <f aca="false">'2005'!$P$4</f>
        <v>5</v>
      </c>
      <c r="H11" s="17" t="n">
        <f aca="false">'2006'!$P$4</f>
        <v>5</v>
      </c>
      <c r="I11" s="17" t="n">
        <f aca="false">'2007'!$P$4</f>
        <v>2</v>
      </c>
      <c r="J11" s="17" t="n">
        <f aca="false">'2008'!$P$4</f>
        <v>6</v>
      </c>
      <c r="K11" s="17" t="n">
        <f aca="false">'2009'!$P$4</f>
        <v>4</v>
      </c>
      <c r="L11" s="17" t="n">
        <f aca="false">'2010'!$P$4</f>
        <v>0</v>
      </c>
      <c r="M11" s="17" t="n">
        <f aca="false">'2011'!$P$4</f>
        <v>1</v>
      </c>
      <c r="N11" s="17" t="n">
        <f aca="false">'2012'!$P$4</f>
        <v>1</v>
      </c>
      <c r="O11" s="17" t="n">
        <f aca="false">'2013'!$P$4</f>
        <v>2</v>
      </c>
      <c r="P11" s="17" t="n">
        <f aca="false">'2014'!$P$4</f>
        <v>5</v>
      </c>
      <c r="Q11" s="17" t="n">
        <f aca="false">'2015'!$P$4</f>
        <v>2</v>
      </c>
      <c r="R11" s="17" t="n">
        <f aca="false">'2016'!$P$4</f>
        <v>1</v>
      </c>
      <c r="S11" s="17" t="n">
        <f aca="false">'2017'!$P$4</f>
        <v>5</v>
      </c>
      <c r="T11" s="17" t="n">
        <f aca="false">'2018'!$P$4</f>
        <v>2</v>
      </c>
      <c r="U11" s="17" t="n">
        <f aca="false">'2019'!$P$4</f>
        <v>3</v>
      </c>
      <c r="V11" s="17" t="n">
        <f aca="false">'2020'!$P$4</f>
        <v>5</v>
      </c>
      <c r="W11" s="17" t="n">
        <f aca="false">'2021'!$P$4</f>
        <v>7</v>
      </c>
      <c r="X11" s="17" t="n">
        <f aca="false">'2022'!$P$4</f>
        <v>8</v>
      </c>
      <c r="Y11" s="17" t="n">
        <f aca="false">'2023'!$P$4</f>
        <v>11</v>
      </c>
      <c r="Z11" s="17" t="n">
        <f aca="false">'2024'!$P$4</f>
        <v>3</v>
      </c>
      <c r="AA11" s="17" t="n">
        <f aca="false">'2025'!$P$4</f>
        <v>6</v>
      </c>
      <c r="AB11" s="17" t="n">
        <f aca="false">'2026 PT'!P4</f>
        <v>3</v>
      </c>
    </row>
    <row r="12" customFormat="false" ht="15" hidden="false" customHeight="false" outlineLevel="0" collapsed="false">
      <c r="A12" s="13" t="s">
        <v>7</v>
      </c>
      <c r="B12" s="18" t="n">
        <f aca="false">'2000'!$P$5</f>
        <v>0</v>
      </c>
      <c r="C12" s="19" t="n">
        <f aca="false">'2001'!$P$5</f>
        <v>0</v>
      </c>
      <c r="D12" s="19" t="n">
        <f aca="false">'2002'!$P$5</f>
        <v>0</v>
      </c>
      <c r="E12" s="19" t="n">
        <f aca="false">'2003'!$P$5</f>
        <v>0</v>
      </c>
      <c r="F12" s="19" t="n">
        <f aca="false">'2004'!$P$5</f>
        <v>0</v>
      </c>
      <c r="G12" s="19" t="n">
        <f aca="false">'2005'!$P$5</f>
        <v>0</v>
      </c>
      <c r="H12" s="19" t="n">
        <f aca="false">'2006'!$P$5</f>
        <v>15</v>
      </c>
      <c r="I12" s="19" t="n">
        <f aca="false">'2007'!$P$5</f>
        <v>50</v>
      </c>
      <c r="J12" s="19" t="n">
        <f aca="false">'2008'!$P$5</f>
        <v>45</v>
      </c>
      <c r="K12" s="19" t="n">
        <f aca="false">'2009'!$P$5</f>
        <v>28</v>
      </c>
      <c r="L12" s="19" t="n">
        <f aca="false">'2010'!$P$5</f>
        <v>35</v>
      </c>
      <c r="M12" s="19" t="n">
        <f aca="false">'2011'!$P$5</f>
        <v>60</v>
      </c>
      <c r="N12" s="19" t="n">
        <f aca="false">'2012'!$P$5</f>
        <v>64</v>
      </c>
      <c r="O12" s="19" t="n">
        <f aca="false">'2013'!$P$5</f>
        <v>45</v>
      </c>
      <c r="P12" s="19" t="n">
        <f aca="false">'2014'!$P$5</f>
        <v>79</v>
      </c>
      <c r="Q12" s="19" t="n">
        <f aca="false">'2015'!$P$5</f>
        <v>46</v>
      </c>
      <c r="R12" s="19" t="n">
        <f aca="false">'2016'!$P$5</f>
        <v>160</v>
      </c>
      <c r="S12" s="19" t="n">
        <f aca="false">'2017'!$P$5</f>
        <v>177</v>
      </c>
      <c r="T12" s="19" t="n">
        <f aca="false">'2018'!$P$5</f>
        <v>193</v>
      </c>
      <c r="U12" s="19" t="n">
        <f aca="false">'2019'!$P$5</f>
        <v>269</v>
      </c>
      <c r="V12" s="19" t="n">
        <f aca="false">'2020'!$P$5</f>
        <v>162</v>
      </c>
      <c r="W12" s="19" t="n">
        <f aca="false">'2021'!$P$5</f>
        <v>182</v>
      </c>
      <c r="X12" s="19" t="n">
        <f aca="false">'2022'!$P$5</f>
        <v>271</v>
      </c>
      <c r="Y12" s="19" t="n">
        <f aca="false">'2023'!$P$5</f>
        <v>179</v>
      </c>
      <c r="Z12" s="19" t="n">
        <f aca="false">'2024'!$P$5</f>
        <v>195</v>
      </c>
      <c r="AA12" s="19" t="n">
        <f aca="false">'2025'!$P$5</f>
        <v>312</v>
      </c>
      <c r="AB12" s="19" t="n">
        <f aca="false">'2026 PT'!P5</f>
        <v>247</v>
      </c>
    </row>
    <row r="13" customFormat="false" ht="15" hidden="false" customHeight="false" outlineLevel="0" collapsed="false">
      <c r="A13" s="20" t="s">
        <v>8</v>
      </c>
      <c r="B13" s="21" t="n">
        <f aca="false">'2000'!$P$6</f>
        <v>0</v>
      </c>
      <c r="C13" s="22" t="n">
        <f aca="false">'2001'!$P$6</f>
        <v>2</v>
      </c>
      <c r="D13" s="22" t="n">
        <f aca="false">'2002'!$P$6</f>
        <v>0</v>
      </c>
      <c r="E13" s="22" t="n">
        <f aca="false">'2003'!$P$6</f>
        <v>0</v>
      </c>
      <c r="F13" s="22" t="n">
        <f aca="false">'2004'!$P$6</f>
        <v>1</v>
      </c>
      <c r="G13" s="22" t="n">
        <f aca="false">'2005'!$P$6</f>
        <v>1</v>
      </c>
      <c r="H13" s="22" t="n">
        <f aca="false">'2006'!$P$6</f>
        <v>1</v>
      </c>
      <c r="I13" s="22" t="n">
        <f aca="false">'2007'!$P$6</f>
        <v>0</v>
      </c>
      <c r="J13" s="22" t="n">
        <f aca="false">'2008'!$P$6</f>
        <v>0</v>
      </c>
      <c r="K13" s="22" t="n">
        <f aca="false">'2009'!$P$6</f>
        <v>0</v>
      </c>
      <c r="L13" s="22" t="n">
        <f aca="false">'2010'!$P$6</f>
        <v>2</v>
      </c>
      <c r="M13" s="22" t="n">
        <f aca="false">'2011'!$P$6</f>
        <v>0</v>
      </c>
      <c r="N13" s="22" t="n">
        <f aca="false">'2012'!$P$6</f>
        <v>0</v>
      </c>
      <c r="O13" s="22" t="n">
        <f aca="false">'2013'!$P$6</f>
        <v>0</v>
      </c>
      <c r="P13" s="22" t="n">
        <f aca="false">'2014'!$P$6</f>
        <v>0</v>
      </c>
      <c r="Q13" s="22" t="n">
        <f aca="false">'2015'!$P$6</f>
        <v>0</v>
      </c>
      <c r="R13" s="22" t="n">
        <f aca="false">'2016'!$P$6</f>
        <v>1</v>
      </c>
      <c r="S13" s="22" t="n">
        <f aca="false">'2017'!$P$6</f>
        <v>4</v>
      </c>
      <c r="T13" s="22" t="n">
        <f aca="false">'2018'!$P$6</f>
        <v>2</v>
      </c>
      <c r="U13" s="22" t="n">
        <f aca="false">'2019'!$P$6</f>
        <v>0</v>
      </c>
      <c r="V13" s="22" t="n">
        <f aca="false">'2020'!$P$6</f>
        <v>2</v>
      </c>
      <c r="W13" s="22" t="n">
        <f aca="false">'2021'!$P$6</f>
        <v>1</v>
      </c>
      <c r="X13" s="22" t="n">
        <f aca="false">'2022'!$P$6</f>
        <v>0</v>
      </c>
      <c r="Y13" s="22" t="n">
        <f aca="false">'2023'!$P$6</f>
        <v>0</v>
      </c>
      <c r="Z13" s="22" t="n">
        <f aca="false">'2024'!$P$6</f>
        <v>1</v>
      </c>
      <c r="AA13" s="22" t="n">
        <f aca="false">'2025'!$P$6</f>
        <v>4</v>
      </c>
      <c r="AB13" s="22" t="n">
        <f aca="false">'2026 PT'!P6</f>
        <v>1</v>
      </c>
    </row>
    <row r="14" customFormat="false" ht="15" hidden="false" customHeight="false" outlineLevel="0" collapsed="false">
      <c r="A14" s="23" t="s">
        <v>9</v>
      </c>
      <c r="B14" s="24" t="n">
        <f aca="false">SUM(B10:B13)</f>
        <v>29</v>
      </c>
      <c r="C14" s="25" t="n">
        <f aca="false">SUM(C10:C13)</f>
        <v>36</v>
      </c>
      <c r="D14" s="25" t="n">
        <f aca="false">SUM(D10:D13)</f>
        <v>18</v>
      </c>
      <c r="E14" s="25" t="n">
        <f aca="false">SUM(E10:E13)</f>
        <v>29</v>
      </c>
      <c r="F14" s="25" t="n">
        <f aca="false">SUM(F10:F13)</f>
        <v>26</v>
      </c>
      <c r="G14" s="25" t="n">
        <f aca="false">SUM(G10:G13)</f>
        <v>29</v>
      </c>
      <c r="H14" s="25" t="n">
        <f aca="false">SUM(H10:H13)</f>
        <v>39</v>
      </c>
      <c r="I14" s="25" t="n">
        <f aca="false">SUM(I10:I13)</f>
        <v>54</v>
      </c>
      <c r="J14" s="25" t="n">
        <f aca="false">SUM(J10:J13)</f>
        <v>54</v>
      </c>
      <c r="K14" s="25" t="n">
        <f aca="false">SUM(K10:K13)</f>
        <v>36</v>
      </c>
      <c r="L14" s="25" t="n">
        <f aca="false">SUM(L10:L13)</f>
        <v>39</v>
      </c>
      <c r="M14" s="25" t="n">
        <f aca="false">SUM(M10:M13)</f>
        <v>61</v>
      </c>
      <c r="N14" s="25" t="n">
        <f aca="false">SUM(N10:N13)</f>
        <v>65</v>
      </c>
      <c r="O14" s="25" t="n">
        <f aca="false">SUM(O10:O13)</f>
        <v>48</v>
      </c>
      <c r="P14" s="25" t="n">
        <f aca="false">SUM(P10:P13)</f>
        <v>84</v>
      </c>
      <c r="Q14" s="25" t="n">
        <f aca="false">SUM(Q10:Q13)</f>
        <v>48</v>
      </c>
      <c r="R14" s="25" t="n">
        <f aca="false">SUM(R10:R13)</f>
        <v>163</v>
      </c>
      <c r="S14" s="25" t="n">
        <f aca="false">SUM(S10:S13)</f>
        <v>186</v>
      </c>
      <c r="T14" s="25" t="n">
        <f aca="false">SUM(T10:T13)</f>
        <v>197</v>
      </c>
      <c r="U14" s="25" t="n">
        <f aca="false">SUM(U10:U13)</f>
        <v>273</v>
      </c>
      <c r="V14" s="26" t="n">
        <f aca="false">SUM(V10:V13)</f>
        <v>172</v>
      </c>
      <c r="W14" s="26" t="n">
        <f aca="false">SUM(W10:W13)</f>
        <v>191</v>
      </c>
      <c r="X14" s="26" t="n">
        <f aca="false">SUM(X10:X13)</f>
        <v>279</v>
      </c>
      <c r="Y14" s="27" t="n">
        <f aca="false">SUM(Y10:Y13)</f>
        <v>190</v>
      </c>
      <c r="Z14" s="27" t="n">
        <f aca="false">SUM(Z10:Z13)</f>
        <v>199</v>
      </c>
      <c r="AA14" s="27" t="n">
        <f aca="false">SUM(AA10:AA13)</f>
        <v>323</v>
      </c>
      <c r="AB14" s="27" t="n">
        <f aca="false">SUM(AB10:AB13)</f>
        <v>251</v>
      </c>
    </row>
    <row r="15" customFormat="false" ht="15" hidden="false" customHeight="false" outlineLevel="0" collapsed="false">
      <c r="A15" s="28" t="s">
        <v>10</v>
      </c>
      <c r="B15" s="29" t="n">
        <f aca="false">'2000'!$P$7</f>
        <v>38</v>
      </c>
      <c r="C15" s="30" t="n">
        <f aca="false">'2001'!$P$7</f>
        <v>54</v>
      </c>
      <c r="D15" s="30" t="n">
        <f aca="false">'2002'!$P$7</f>
        <v>23</v>
      </c>
      <c r="E15" s="30" t="n">
        <f aca="false">'2003'!$P$7</f>
        <v>40</v>
      </c>
      <c r="F15" s="30" t="n">
        <f aca="false">'2004'!$P$7</f>
        <v>45</v>
      </c>
      <c r="G15" s="30" t="n">
        <f aca="false">'2005'!$P$7</f>
        <v>45</v>
      </c>
      <c r="H15" s="30" t="n">
        <f aca="false">'2006'!$P$7</f>
        <v>56</v>
      </c>
      <c r="I15" s="30" t="n">
        <f aca="false">'2007'!$P$7</f>
        <v>57</v>
      </c>
      <c r="J15" s="30" t="n">
        <f aca="false">'2008'!$P$7</f>
        <v>57</v>
      </c>
      <c r="K15" s="30" t="n">
        <f aca="false">'2009'!$P$7</f>
        <v>30</v>
      </c>
      <c r="L15" s="30" t="n">
        <f aca="false">'2010'!$P$7</f>
        <v>26</v>
      </c>
      <c r="M15" s="30" t="n">
        <f aca="false">'2011'!$P$7</f>
        <v>32</v>
      </c>
      <c r="N15" s="30" t="n">
        <f aca="false">'2012'!$P$7</f>
        <v>10</v>
      </c>
      <c r="O15" s="30" t="n">
        <f aca="false">'2013'!$P$7</f>
        <v>18</v>
      </c>
      <c r="P15" s="30" t="n">
        <f aca="false">'2014'!$P$7</f>
        <v>16</v>
      </c>
      <c r="Q15" s="30" t="n">
        <f aca="false">'2015'!$P$7</f>
        <v>12</v>
      </c>
      <c r="R15" s="30" t="n">
        <f aca="false">'2016'!$P$7</f>
        <v>19</v>
      </c>
      <c r="S15" s="30" t="n">
        <f aca="false">'2017'!$P$7</f>
        <v>36</v>
      </c>
      <c r="T15" s="30" t="n">
        <f aca="false">'2018'!$P$7</f>
        <v>48</v>
      </c>
      <c r="U15" s="30" t="n">
        <f aca="false">'2019'!$P$7</f>
        <v>36</v>
      </c>
      <c r="V15" s="30" t="n">
        <f aca="false">'2020'!$P$7</f>
        <v>70</v>
      </c>
      <c r="W15" s="30" t="n">
        <f aca="false">'2021'!$P$7</f>
        <v>60</v>
      </c>
      <c r="X15" s="30" t="n">
        <f aca="false">'2022'!$P$7</f>
        <v>34</v>
      </c>
      <c r="Y15" s="30" t="n">
        <f aca="false">'2023'!$P$7</f>
        <v>40</v>
      </c>
      <c r="Z15" s="30" t="n">
        <f aca="false">'2024'!$P$7</f>
        <v>19</v>
      </c>
      <c r="AA15" s="30" t="n">
        <f aca="false">'2025'!$P$7</f>
        <v>37</v>
      </c>
      <c r="AB15" s="30" t="n">
        <f aca="false">'2026 PF'!P2</f>
        <v>5</v>
      </c>
    </row>
    <row r="16" customFormat="false" ht="15" hidden="false" customHeight="false" outlineLevel="0" collapsed="false">
      <c r="A16" s="13" t="s">
        <v>11</v>
      </c>
      <c r="B16" s="18" t="n">
        <f aca="false">'2000'!$P$8</f>
        <v>13</v>
      </c>
      <c r="C16" s="19" t="n">
        <f aca="false">'2001'!$P$8</f>
        <v>14</v>
      </c>
      <c r="D16" s="19" t="n">
        <f aca="false">'2002'!$P$8</f>
        <v>6</v>
      </c>
      <c r="E16" s="19" t="n">
        <f aca="false">'2003'!$P$8</f>
        <v>3</v>
      </c>
      <c r="F16" s="19" t="n">
        <f aca="false">'2004'!$P$8</f>
        <v>7</v>
      </c>
      <c r="G16" s="19" t="n">
        <f aca="false">'2005'!$P$8</f>
        <v>5</v>
      </c>
      <c r="H16" s="19" t="n">
        <f aca="false">'2006'!$P$8</f>
        <v>7</v>
      </c>
      <c r="I16" s="19" t="n">
        <f aca="false">'2007'!$P$8</f>
        <v>5</v>
      </c>
      <c r="J16" s="19" t="n">
        <f aca="false">'2008'!$P$8</f>
        <v>5</v>
      </c>
      <c r="K16" s="19" t="n">
        <f aca="false">'2009'!$P$8</f>
        <v>7</v>
      </c>
      <c r="L16" s="19" t="n">
        <f aca="false">'2010'!$P$8</f>
        <v>1</v>
      </c>
      <c r="M16" s="19" t="n">
        <f aca="false">'2011'!$P$8</f>
        <v>1</v>
      </c>
      <c r="N16" s="19" t="n">
        <f aca="false">'2012'!$P$8</f>
        <v>1</v>
      </c>
      <c r="O16" s="19" t="n">
        <f aca="false">'2013'!$P$8</f>
        <v>3</v>
      </c>
      <c r="P16" s="19" t="n">
        <f aca="false">'2014'!$P$8</f>
        <v>7</v>
      </c>
      <c r="Q16" s="19" t="n">
        <f aca="false">'2015'!$P$8</f>
        <v>1</v>
      </c>
      <c r="R16" s="19" t="n">
        <f aca="false">'2016'!$P$8</f>
        <v>10</v>
      </c>
      <c r="S16" s="19" t="n">
        <f aca="false">'2017'!$P$8</f>
        <v>9</v>
      </c>
      <c r="T16" s="19" t="n">
        <f aca="false">'2018'!$P$8</f>
        <v>4</v>
      </c>
      <c r="U16" s="19" t="n">
        <f aca="false">'2019'!$P$8</f>
        <v>19</v>
      </c>
      <c r="V16" s="19" t="n">
        <f aca="false">'2020'!$P$8</f>
        <v>9</v>
      </c>
      <c r="W16" s="19" t="n">
        <f aca="false">'2021'!$P$8</f>
        <v>12</v>
      </c>
      <c r="X16" s="19" t="n">
        <f aca="false">'2022'!$P$8</f>
        <v>35</v>
      </c>
      <c r="Y16" s="19" t="n">
        <f aca="false">'2023'!$P$8</f>
        <v>20</v>
      </c>
      <c r="Z16" s="19" t="n">
        <f aca="false">'2024'!$P$8</f>
        <v>12</v>
      </c>
      <c r="AA16" s="19" t="n">
        <f aca="false">'2025'!$P$8</f>
        <v>19</v>
      </c>
      <c r="AB16" s="19" t="n">
        <f aca="false">'2026 PF'!P3</f>
        <v>10</v>
      </c>
    </row>
    <row r="17" customFormat="false" ht="15" hidden="false" customHeight="false" outlineLevel="0" collapsed="false">
      <c r="A17" s="13" t="s">
        <v>12</v>
      </c>
      <c r="B17" s="16" t="n">
        <f aca="false">'2000'!$P$9</f>
        <v>0</v>
      </c>
      <c r="C17" s="17" t="n">
        <f aca="false">'2001'!$P$9</f>
        <v>0</v>
      </c>
      <c r="D17" s="17" t="n">
        <f aca="false">'2002'!$P$9</f>
        <v>0</v>
      </c>
      <c r="E17" s="17" t="n">
        <f aca="false">'2003'!$P$9</f>
        <v>0</v>
      </c>
      <c r="F17" s="17" t="n">
        <f aca="false">'2004'!$P$9</f>
        <v>0</v>
      </c>
      <c r="G17" s="17" t="n">
        <f aca="false">'2005'!$P$9</f>
        <v>0</v>
      </c>
      <c r="H17" s="17" t="n">
        <f aca="false">'2006'!$P$9</f>
        <v>0</v>
      </c>
      <c r="I17" s="17" t="n">
        <f aca="false">'2007'!$P$9</f>
        <v>79</v>
      </c>
      <c r="J17" s="17" t="n">
        <f aca="false">'2008'!$P$9</f>
        <v>72</v>
      </c>
      <c r="K17" s="17" t="n">
        <f aca="false">'2009'!$P$9</f>
        <v>62</v>
      </c>
      <c r="L17" s="17" t="n">
        <f aca="false">'2010'!$P$9</f>
        <v>34</v>
      </c>
      <c r="M17" s="17" t="n">
        <f aca="false">'2011'!$P$9</f>
        <v>36</v>
      </c>
      <c r="N17" s="17" t="n">
        <f aca="false">'2012'!$P$9</f>
        <v>75</v>
      </c>
      <c r="O17" s="17" t="n">
        <f aca="false">'2013'!$P$9</f>
        <v>30</v>
      </c>
      <c r="P17" s="17" t="n">
        <f aca="false">'2014'!$P$9</f>
        <v>33</v>
      </c>
      <c r="Q17" s="17" t="n">
        <f aca="false">'2015'!$P$9</f>
        <v>47</v>
      </c>
      <c r="R17" s="17" t="n">
        <f aca="false">'2016'!$P$9</f>
        <v>46</v>
      </c>
      <c r="S17" s="17" t="n">
        <f aca="false">'2017'!$P$9</f>
        <v>131</v>
      </c>
      <c r="T17" s="17" t="n">
        <f aca="false">'2018'!$P$9</f>
        <v>148</v>
      </c>
      <c r="U17" s="17" t="n">
        <f aca="false">'2019'!$P$9</f>
        <v>104</v>
      </c>
      <c r="V17" s="17" t="n">
        <f aca="false">'2020'!$P$9</f>
        <v>147</v>
      </c>
      <c r="W17" s="17" t="n">
        <f aca="false">'2021'!$P$9</f>
        <v>207</v>
      </c>
      <c r="X17" s="17" t="n">
        <f aca="false">'2022'!$P$9</f>
        <v>168</v>
      </c>
      <c r="Y17" s="17" t="n">
        <f aca="false">'2023'!$P$9</f>
        <v>215</v>
      </c>
      <c r="Z17" s="17" t="n">
        <f aca="false">'2024'!$P$9</f>
        <v>327</v>
      </c>
      <c r="AA17" s="17" t="n">
        <f aca="false">'2025'!$P$9</f>
        <v>371</v>
      </c>
      <c r="AB17" s="17" t="n">
        <f aca="false">'2026 PF'!P4</f>
        <v>249</v>
      </c>
    </row>
    <row r="18" customFormat="false" ht="15" hidden="false" customHeight="false" outlineLevel="0" collapsed="false">
      <c r="A18" s="13" t="s">
        <v>13</v>
      </c>
      <c r="B18" s="18" t="n">
        <f aca="false">'2000'!$P$10</f>
        <v>2</v>
      </c>
      <c r="C18" s="19" t="n">
        <f aca="false">'2001'!$P$10</f>
        <v>11</v>
      </c>
      <c r="D18" s="19" t="n">
        <f aca="false">'2002'!$P$10</f>
        <v>6</v>
      </c>
      <c r="E18" s="19" t="n">
        <f aca="false">'2003'!$P$10</f>
        <v>5</v>
      </c>
      <c r="F18" s="19" t="n">
        <f aca="false">'2004'!$P$10</f>
        <v>6</v>
      </c>
      <c r="G18" s="19" t="n">
        <f aca="false">'2005'!$P$10</f>
        <v>10</v>
      </c>
      <c r="H18" s="19" t="n">
        <f aca="false">'2006'!$P$10</f>
        <v>7</v>
      </c>
      <c r="I18" s="19" t="n">
        <f aca="false">'2007'!$P$10</f>
        <v>7</v>
      </c>
      <c r="J18" s="19" t="n">
        <f aca="false">'2008'!$P$10</f>
        <v>3</v>
      </c>
      <c r="K18" s="19" t="n">
        <f aca="false">'2009'!$P$10</f>
        <v>2</v>
      </c>
      <c r="L18" s="19" t="n">
        <f aca="false">'2010'!$P$10</f>
        <v>4</v>
      </c>
      <c r="M18" s="19" t="n">
        <f aca="false">'2011'!$P$10</f>
        <v>13</v>
      </c>
      <c r="N18" s="19" t="n">
        <f aca="false">'2012'!$P$10</f>
        <v>5</v>
      </c>
      <c r="O18" s="19" t="n">
        <f aca="false">'2013'!$P$10</f>
        <v>6</v>
      </c>
      <c r="P18" s="19" t="n">
        <f aca="false">'2014'!$P$10</f>
        <v>1</v>
      </c>
      <c r="Q18" s="19" t="n">
        <f aca="false">'2015'!$P$10</f>
        <v>7</v>
      </c>
      <c r="R18" s="19" t="n">
        <f aca="false">'2016'!$P$10</f>
        <v>15</v>
      </c>
      <c r="S18" s="19" t="n">
        <f aca="false">'2017'!$P$10</f>
        <v>21</v>
      </c>
      <c r="T18" s="19" t="n">
        <f aca="false">'2018'!$P$10</f>
        <v>35</v>
      </c>
      <c r="U18" s="19" t="n">
        <f aca="false">'2019'!$P$10</f>
        <v>31</v>
      </c>
      <c r="V18" s="19" t="n">
        <f aca="false">'2020'!$P$10</f>
        <v>57</v>
      </c>
      <c r="W18" s="19" t="n">
        <f aca="false">'2021'!$P$10</f>
        <v>41</v>
      </c>
      <c r="X18" s="19" t="n">
        <f aca="false">'2022'!$P$10</f>
        <v>57</v>
      </c>
      <c r="Y18" s="19" t="n">
        <f aca="false">'2023'!$P$10</f>
        <v>55</v>
      </c>
      <c r="Z18" s="19" t="n">
        <f aca="false">'2024'!$P$10</f>
        <v>52</v>
      </c>
      <c r="AA18" s="19" t="n">
        <f aca="false">'2025'!$P$10</f>
        <v>87</v>
      </c>
      <c r="AB18" s="19" t="n">
        <f aca="false">'2026 PF'!P5</f>
        <v>18</v>
      </c>
    </row>
    <row r="19" customFormat="false" ht="15" hidden="false" customHeight="false" outlineLevel="0" collapsed="false">
      <c r="A19" s="20" t="s">
        <v>14</v>
      </c>
      <c r="B19" s="21" t="n">
        <f aca="false">'2000'!$P$11</f>
        <v>0</v>
      </c>
      <c r="C19" s="22" t="n">
        <f aca="false">'2001'!$P$11</f>
        <v>0</v>
      </c>
      <c r="D19" s="22" t="n">
        <f aca="false">'2002'!$P$11</f>
        <v>0</v>
      </c>
      <c r="E19" s="22" t="n">
        <f aca="false">'2003'!$P$11</f>
        <v>0</v>
      </c>
      <c r="F19" s="22" t="n">
        <f aca="false">'2004'!$P$11</f>
        <v>0</v>
      </c>
      <c r="G19" s="22" t="n">
        <f aca="false">'2005'!$P$11</f>
        <v>0</v>
      </c>
      <c r="H19" s="22" t="n">
        <f aca="false">'2006'!$P$11</f>
        <v>0</v>
      </c>
      <c r="I19" s="22" t="n">
        <f aca="false">'2007'!$P$11</f>
        <v>0</v>
      </c>
      <c r="J19" s="22" t="n">
        <f aca="false">'2008'!$P$11</f>
        <v>0</v>
      </c>
      <c r="K19" s="22" t="n">
        <f aca="false">'2009'!$P$11</f>
        <v>0</v>
      </c>
      <c r="L19" s="22" t="n">
        <f aca="false">'2010'!$P$11</f>
        <v>0</v>
      </c>
      <c r="M19" s="22" t="n">
        <f aca="false">'2011'!$P$11</f>
        <v>3</v>
      </c>
      <c r="N19" s="22" t="n">
        <f aca="false">'2012'!$P$11</f>
        <v>12</v>
      </c>
      <c r="O19" s="22" t="n">
        <f aca="false">'2013'!$P$11</f>
        <v>5</v>
      </c>
      <c r="P19" s="22" t="n">
        <f aca="false">'2014'!$P$11</f>
        <v>7</v>
      </c>
      <c r="Q19" s="22" t="n">
        <f aca="false">'2015'!$P$11</f>
        <v>24</v>
      </c>
      <c r="R19" s="22" t="n">
        <f aca="false">'2016'!$P$11</f>
        <v>24</v>
      </c>
      <c r="S19" s="22" t="n">
        <f aca="false">'2017'!$P$11</f>
        <v>21</v>
      </c>
      <c r="T19" s="22" t="n">
        <f aca="false">'2018'!$P$11</f>
        <v>17</v>
      </c>
      <c r="U19" s="22" t="n">
        <f aca="false">'2019'!$P$11</f>
        <v>12</v>
      </c>
      <c r="V19" s="22" t="n">
        <f aca="false">'2020'!$P$11</f>
        <v>38</v>
      </c>
      <c r="W19" s="22" t="n">
        <f aca="false">'2021'!$P$11</f>
        <v>51</v>
      </c>
      <c r="X19" s="22" t="n">
        <f aca="false">'2022'!$P$11</f>
        <v>79</v>
      </c>
      <c r="Y19" s="22" t="n">
        <f aca="false">'2023'!$P$11</f>
        <v>35</v>
      </c>
      <c r="Z19" s="22" t="n">
        <f aca="false">'2024'!$P$11</f>
        <v>54</v>
      </c>
      <c r="AA19" s="22" t="n">
        <f aca="false">'2025'!$P$11</f>
        <v>75</v>
      </c>
      <c r="AB19" s="22" t="n">
        <f aca="false">'2026 PF'!P6</f>
        <v>41</v>
      </c>
    </row>
    <row r="20" customFormat="false" ht="15" hidden="false" customHeight="false" outlineLevel="0" collapsed="false">
      <c r="A20" s="23" t="s">
        <v>15</v>
      </c>
      <c r="B20" s="31" t="n">
        <f aca="false">SUM(B18:B19)</f>
        <v>2</v>
      </c>
      <c r="C20" s="32" t="n">
        <f aca="false">SUM(C18:C19)</f>
        <v>11</v>
      </c>
      <c r="D20" s="32" t="n">
        <f aca="false">SUM(D18:D19)</f>
        <v>6</v>
      </c>
      <c r="E20" s="32" t="n">
        <f aca="false">SUM(E18:E19)</f>
        <v>5</v>
      </c>
      <c r="F20" s="32" t="n">
        <f aca="false">SUM(F18:F19)</f>
        <v>6</v>
      </c>
      <c r="G20" s="32" t="n">
        <f aca="false">SUM(G18:G19)</f>
        <v>10</v>
      </c>
      <c r="H20" s="32" t="n">
        <f aca="false">SUM(H18:H19)</f>
        <v>7</v>
      </c>
      <c r="I20" s="32" t="n">
        <f aca="false">SUM(I18:I19)</f>
        <v>7</v>
      </c>
      <c r="J20" s="32" t="n">
        <f aca="false">SUM(J18:J19)</f>
        <v>3</v>
      </c>
      <c r="K20" s="32" t="n">
        <f aca="false">SUM(K18:K19)</f>
        <v>2</v>
      </c>
      <c r="L20" s="32" t="n">
        <f aca="false">SUM(L18:L19)</f>
        <v>4</v>
      </c>
      <c r="M20" s="32" t="n">
        <f aca="false">SUM(M18:M19)</f>
        <v>16</v>
      </c>
      <c r="N20" s="32" t="n">
        <f aca="false">SUM(N18:N19)</f>
        <v>17</v>
      </c>
      <c r="O20" s="32" t="n">
        <f aca="false">SUM(O18:O19)</f>
        <v>11</v>
      </c>
      <c r="P20" s="32" t="n">
        <f aca="false">SUM(P18:P19)</f>
        <v>8</v>
      </c>
      <c r="Q20" s="32" t="n">
        <f aca="false">SUM(Q18:Q19)</f>
        <v>31</v>
      </c>
      <c r="R20" s="32" t="n">
        <f aca="false">SUM(R18:R19)</f>
        <v>39</v>
      </c>
      <c r="S20" s="32" t="n">
        <f aca="false">SUM(S18:S19)</f>
        <v>42</v>
      </c>
      <c r="T20" s="32" t="n">
        <f aca="false">SUM(T18:T19)</f>
        <v>52</v>
      </c>
      <c r="U20" s="32" t="n">
        <f aca="false">SUM(U18:U19)</f>
        <v>43</v>
      </c>
      <c r="V20" s="32" t="n">
        <f aca="false">SUM(V18:V19)</f>
        <v>95</v>
      </c>
      <c r="W20" s="32" t="n">
        <f aca="false">SUM(W18:W19)</f>
        <v>92</v>
      </c>
      <c r="X20" s="32" t="n">
        <f aca="false">SUM(X18:X19)</f>
        <v>136</v>
      </c>
      <c r="Y20" s="33" t="n">
        <f aca="false">SUM(Y18:Y19)</f>
        <v>90</v>
      </c>
      <c r="Z20" s="33" t="n">
        <f aca="false">SUM(Z18:Z19)</f>
        <v>106</v>
      </c>
      <c r="AA20" s="33" t="n">
        <f aca="false">SUM(AA18:AA19)</f>
        <v>162</v>
      </c>
      <c r="AB20" s="33" t="n">
        <f aca="false">SUM(AB18:AB19)</f>
        <v>59</v>
      </c>
    </row>
    <row r="21" customFormat="false" ht="15" hidden="false" customHeight="false" outlineLevel="0" collapsed="false">
      <c r="A21" s="34" t="s">
        <v>16</v>
      </c>
      <c r="B21" s="35" t="n">
        <f aca="false">SUM(B15:B17)</f>
        <v>51</v>
      </c>
      <c r="C21" s="36" t="n">
        <f aca="false">SUM(C15:C17)</f>
        <v>68</v>
      </c>
      <c r="D21" s="36" t="n">
        <f aca="false">SUM(D15:D17)</f>
        <v>29</v>
      </c>
      <c r="E21" s="36" t="n">
        <f aca="false">SUM(E15:E17)</f>
        <v>43</v>
      </c>
      <c r="F21" s="36" t="n">
        <f aca="false">SUM(F15:F17)</f>
        <v>52</v>
      </c>
      <c r="G21" s="36" t="n">
        <f aca="false">SUM(G15:G17)</f>
        <v>50</v>
      </c>
      <c r="H21" s="36" t="n">
        <f aca="false">SUM(H15:H17)</f>
        <v>63</v>
      </c>
      <c r="I21" s="36" t="n">
        <f aca="false">SUM(I15:I17)</f>
        <v>141</v>
      </c>
      <c r="J21" s="36" t="n">
        <f aca="false">SUM(J15:J17)</f>
        <v>134</v>
      </c>
      <c r="K21" s="36" t="n">
        <f aca="false">SUM(K15:K17)</f>
        <v>99</v>
      </c>
      <c r="L21" s="36" t="n">
        <f aca="false">SUM(L15:L17)</f>
        <v>61</v>
      </c>
      <c r="M21" s="36" t="n">
        <f aca="false">SUM(M15:M17)</f>
        <v>69</v>
      </c>
      <c r="N21" s="36" t="n">
        <f aca="false">SUM(N15:N17)</f>
        <v>86</v>
      </c>
      <c r="O21" s="36" t="n">
        <f aca="false">SUM(O15:O17)</f>
        <v>51</v>
      </c>
      <c r="P21" s="36" t="n">
        <f aca="false">SUM(P15:P17)</f>
        <v>56</v>
      </c>
      <c r="Q21" s="36" t="n">
        <f aca="false">SUM(Q15:Q17)</f>
        <v>60</v>
      </c>
      <c r="R21" s="36" t="n">
        <f aca="false">SUM(R15:R17)</f>
        <v>75</v>
      </c>
      <c r="S21" s="36" t="n">
        <f aca="false">SUM(S15:S17)</f>
        <v>176</v>
      </c>
      <c r="T21" s="36" t="n">
        <f aca="false">SUM(T15:T17)</f>
        <v>200</v>
      </c>
      <c r="U21" s="36" t="n">
        <f aca="false">SUM(U15:U17)</f>
        <v>159</v>
      </c>
      <c r="V21" s="36" t="n">
        <f aca="false">SUM(V15:V17)</f>
        <v>226</v>
      </c>
      <c r="W21" s="36" t="n">
        <f aca="false">SUM(W15:W17)</f>
        <v>279</v>
      </c>
      <c r="X21" s="36" t="n">
        <f aca="false">SUM(X15:X17)</f>
        <v>237</v>
      </c>
      <c r="Y21" s="37" t="n">
        <f aca="false">SUM(Y15:Y17)</f>
        <v>275</v>
      </c>
      <c r="Z21" s="37" t="n">
        <f aca="false">SUM(Z15:Z17)</f>
        <v>358</v>
      </c>
      <c r="AA21" s="37" t="n">
        <f aca="false">SUM(AA15:AA17)</f>
        <v>427</v>
      </c>
      <c r="AB21" s="37" t="n">
        <f aca="false">SUM(AB15:AB17)</f>
        <v>264</v>
      </c>
    </row>
    <row r="22" customFormat="false" ht="15" hidden="false" customHeight="false" outlineLevel="0" collapsed="false">
      <c r="A22" s="23" t="s">
        <v>17</v>
      </c>
      <c r="B22" s="38" t="n">
        <f aca="false">B20+B21</f>
        <v>53</v>
      </c>
      <c r="C22" s="39" t="n">
        <f aca="false">C20+C21</f>
        <v>79</v>
      </c>
      <c r="D22" s="39" t="n">
        <f aca="false">D20+D21</f>
        <v>35</v>
      </c>
      <c r="E22" s="39" t="n">
        <f aca="false">E20+E21</f>
        <v>48</v>
      </c>
      <c r="F22" s="39" t="n">
        <f aca="false">F20+F21</f>
        <v>58</v>
      </c>
      <c r="G22" s="39" t="n">
        <f aca="false">G20+G21</f>
        <v>60</v>
      </c>
      <c r="H22" s="39" t="n">
        <f aca="false">H20+H21</f>
        <v>70</v>
      </c>
      <c r="I22" s="39" t="n">
        <f aca="false">I20+I21</f>
        <v>148</v>
      </c>
      <c r="J22" s="39" t="n">
        <f aca="false">J20+J21</f>
        <v>137</v>
      </c>
      <c r="K22" s="39" t="n">
        <f aca="false">K20+K21</f>
        <v>101</v>
      </c>
      <c r="L22" s="39" t="n">
        <f aca="false">L20+L21</f>
        <v>65</v>
      </c>
      <c r="M22" s="39" t="n">
        <f aca="false">M20+M21</f>
        <v>85</v>
      </c>
      <c r="N22" s="39" t="n">
        <f aca="false">N20+N21</f>
        <v>103</v>
      </c>
      <c r="O22" s="39" t="n">
        <f aca="false">O20+O21</f>
        <v>62</v>
      </c>
      <c r="P22" s="39" t="n">
        <f aca="false">P20+P21</f>
        <v>64</v>
      </c>
      <c r="Q22" s="39" t="n">
        <f aca="false">Q20+Q21</f>
        <v>91</v>
      </c>
      <c r="R22" s="39" t="n">
        <f aca="false">R20+R21</f>
        <v>114</v>
      </c>
      <c r="S22" s="39" t="n">
        <f aca="false">S20+S21</f>
        <v>218</v>
      </c>
      <c r="T22" s="39" t="n">
        <f aca="false">T20+T21</f>
        <v>252</v>
      </c>
      <c r="U22" s="39" t="n">
        <f aca="false">U20+U21</f>
        <v>202</v>
      </c>
      <c r="V22" s="39" t="n">
        <f aca="false">V20+V21</f>
        <v>321</v>
      </c>
      <c r="W22" s="39" t="n">
        <f aca="false">W20+W21</f>
        <v>371</v>
      </c>
      <c r="X22" s="39" t="n">
        <f aca="false">X20+X21</f>
        <v>373</v>
      </c>
      <c r="Y22" s="40" t="n">
        <f aca="false">Y20+Y21</f>
        <v>365</v>
      </c>
      <c r="Z22" s="40" t="n">
        <f aca="false">Z20+Z21</f>
        <v>464</v>
      </c>
      <c r="AA22" s="40" t="n">
        <f aca="false">AA20+AA21</f>
        <v>589</v>
      </c>
      <c r="AB22" s="40" t="n">
        <f aca="false">AB20+AB21</f>
        <v>323</v>
      </c>
    </row>
    <row r="23" customFormat="false" ht="15" hidden="false" customHeight="false" outlineLevel="0" collapsed="false">
      <c r="A23" s="23" t="s">
        <v>18</v>
      </c>
      <c r="B23" s="41" t="n">
        <f aca="false">SUM(B14+B22)</f>
        <v>82</v>
      </c>
      <c r="C23" s="42" t="n">
        <f aca="false">SUM(C14+C22)</f>
        <v>115</v>
      </c>
      <c r="D23" s="42" t="n">
        <f aca="false">SUM(D14+D22)</f>
        <v>53</v>
      </c>
      <c r="E23" s="42" t="n">
        <f aca="false">SUM(E14+E22)</f>
        <v>77</v>
      </c>
      <c r="F23" s="42" t="n">
        <f aca="false">SUM(F14+F22)</f>
        <v>84</v>
      </c>
      <c r="G23" s="42" t="n">
        <f aca="false">SUM(G14+G22)</f>
        <v>89</v>
      </c>
      <c r="H23" s="42" t="n">
        <f aca="false">SUM(H14+H22)</f>
        <v>109</v>
      </c>
      <c r="I23" s="42" t="n">
        <f aca="false">SUM(I14+I22)</f>
        <v>202</v>
      </c>
      <c r="J23" s="42" t="n">
        <f aca="false">SUM(J14+J22)</f>
        <v>191</v>
      </c>
      <c r="K23" s="42" t="n">
        <f aca="false">SUM(K14+K22)</f>
        <v>137</v>
      </c>
      <c r="L23" s="42" t="n">
        <f aca="false">SUM(L14+L22)</f>
        <v>104</v>
      </c>
      <c r="M23" s="42" t="n">
        <f aca="false">SUM(M14+M22)</f>
        <v>146</v>
      </c>
      <c r="N23" s="42" t="n">
        <f aca="false">SUM(N14+N22)</f>
        <v>168</v>
      </c>
      <c r="O23" s="42" t="n">
        <f aca="false">SUM(O14+O22)</f>
        <v>110</v>
      </c>
      <c r="P23" s="42" t="n">
        <f aca="false">SUM(P14+P22)</f>
        <v>148</v>
      </c>
      <c r="Q23" s="42" t="n">
        <f aca="false">SUM(Q14+Q22)</f>
        <v>139</v>
      </c>
      <c r="R23" s="42" t="n">
        <f aca="false">SUM(R14+R22)</f>
        <v>277</v>
      </c>
      <c r="S23" s="42" t="n">
        <f aca="false">SUM(S14+S22)</f>
        <v>404</v>
      </c>
      <c r="T23" s="42" t="n">
        <f aca="false">SUM(T14+T22)</f>
        <v>449</v>
      </c>
      <c r="U23" s="42" t="n">
        <f aca="false">SUM(U14+U22)</f>
        <v>475</v>
      </c>
      <c r="V23" s="42" t="n">
        <f aca="false">SUM(V14+V22)</f>
        <v>493</v>
      </c>
      <c r="W23" s="42" t="n">
        <f aca="false">SUM(W14+W22)</f>
        <v>562</v>
      </c>
      <c r="X23" s="42" t="n">
        <f aca="false">SUM(X14+X22)</f>
        <v>652</v>
      </c>
      <c r="Y23" s="43" t="n">
        <f aca="false">SUM(Y14+Y22)</f>
        <v>555</v>
      </c>
      <c r="Z23" s="43" t="n">
        <f aca="false">SUM(Z14+Z22)</f>
        <v>663</v>
      </c>
      <c r="AA23" s="43" t="n">
        <f aca="false">SUM(AA14+AA22)</f>
        <v>912</v>
      </c>
      <c r="AB23" s="43" t="n">
        <f aca="false">SUM(AB14+AB22)</f>
        <v>574</v>
      </c>
    </row>
    <row r="24" customFormat="false" ht="12.75" hidden="false" customHeight="false" outlineLevel="0" collapsed="false">
      <c r="A24" s="44"/>
      <c r="B24" s="44"/>
      <c r="C24" s="44"/>
      <c r="D24" s="44"/>
      <c r="E24" s="44"/>
      <c r="F24" s="44"/>
      <c r="G24" s="44"/>
      <c r="H24" s="44"/>
      <c r="I24" s="44"/>
      <c r="J24" s="44"/>
      <c r="K24" s="44"/>
      <c r="L24" s="44"/>
      <c r="M24" s="44"/>
      <c r="N24" s="44"/>
      <c r="O24" s="44"/>
      <c r="P24" s="44"/>
      <c r="Q24" s="44"/>
      <c r="R24" s="44"/>
      <c r="S24" s="44"/>
      <c r="T24" s="44"/>
      <c r="U24" s="44"/>
      <c r="V24" s="44"/>
      <c r="W24" s="44"/>
      <c r="X24" s="44"/>
      <c r="Y24" s="44"/>
      <c r="Z24" s="45"/>
    </row>
    <row r="25" customFormat="false" ht="12.65" hidden="false" customHeight="false" outlineLevel="0" collapsed="false">
      <c r="A25" s="46" t="s">
        <v>19</v>
      </c>
      <c r="B25" s="47" t="s">
        <v>20</v>
      </c>
      <c r="C25" s="47"/>
      <c r="D25" s="47"/>
      <c r="E25" s="47"/>
      <c r="F25" s="48" t="s">
        <v>21</v>
      </c>
      <c r="G25" s="48"/>
      <c r="H25" s="48"/>
      <c r="I25" s="48"/>
      <c r="J25" s="49" t="s">
        <v>22</v>
      </c>
      <c r="K25" s="49"/>
      <c r="L25" s="49"/>
      <c r="M25" s="49"/>
      <c r="N25" s="49"/>
      <c r="O25" s="49"/>
      <c r="P25" s="49"/>
      <c r="Q25" s="49" t="s">
        <v>23</v>
      </c>
      <c r="R25" s="49"/>
      <c r="S25" s="49"/>
      <c r="T25" s="49"/>
      <c r="U25" s="49"/>
      <c r="V25" s="49"/>
      <c r="W25" s="49"/>
      <c r="X25" s="49"/>
      <c r="Y25" s="49"/>
      <c r="Z25" s="49"/>
      <c r="AA25" s="49"/>
      <c r="AB25" s="49"/>
    </row>
    <row r="26" customFormat="false" ht="12.65" hidden="false" customHeight="false" outlineLevel="0" collapsed="false">
      <c r="A26" s="46"/>
      <c r="B26" s="48" t="s">
        <v>24</v>
      </c>
      <c r="C26" s="48"/>
      <c r="D26" s="48"/>
      <c r="E26" s="48"/>
      <c r="F26" s="48"/>
      <c r="G26" s="48"/>
      <c r="H26" s="48"/>
      <c r="I26" s="48"/>
      <c r="J26" s="50" t="s">
        <v>25</v>
      </c>
      <c r="K26" s="50"/>
      <c r="L26" s="50"/>
      <c r="M26" s="50"/>
      <c r="N26" s="50"/>
      <c r="O26" s="50"/>
      <c r="P26" s="50"/>
      <c r="Q26" s="50"/>
      <c r="R26" s="50"/>
      <c r="S26" s="50"/>
      <c r="T26" s="50"/>
      <c r="U26" s="50"/>
      <c r="V26" s="50"/>
      <c r="W26" s="50"/>
      <c r="X26" s="50"/>
      <c r="Y26" s="50"/>
      <c r="Z26" s="50"/>
      <c r="AA26" s="50"/>
      <c r="AB26" s="50"/>
    </row>
    <row r="27" customFormat="false" ht="12.75" hidden="false" customHeight="false" outlineLevel="0" collapsed="false">
      <c r="A27" s="46"/>
      <c r="B27" s="51" t="s">
        <v>26</v>
      </c>
      <c r="C27" s="51"/>
      <c r="D27" s="51"/>
      <c r="E27" s="51"/>
      <c r="F27" s="51"/>
      <c r="G27" s="48" t="s">
        <v>8</v>
      </c>
      <c r="H27" s="48"/>
      <c r="I27" s="48"/>
      <c r="J27" s="49" t="s">
        <v>27</v>
      </c>
      <c r="K27" s="49"/>
      <c r="L27" s="49"/>
      <c r="M27" s="49"/>
      <c r="N27" s="49"/>
      <c r="O27" s="49"/>
      <c r="P27" s="49"/>
      <c r="Q27" s="49"/>
      <c r="R27" s="49"/>
      <c r="S27" s="49"/>
      <c r="T27" s="49"/>
      <c r="U27" s="49"/>
      <c r="V27" s="49"/>
      <c r="W27" s="49"/>
      <c r="X27" s="49"/>
      <c r="Y27" s="49"/>
      <c r="Z27" s="49"/>
      <c r="AA27" s="49"/>
      <c r="AB27" s="49"/>
    </row>
    <row r="28" customFormat="false" ht="12.75" hidden="false" customHeight="true" outlineLevel="0" collapsed="false">
      <c r="A28" s="45"/>
      <c r="B28" s="45"/>
      <c r="C28" s="45"/>
      <c r="D28" s="45"/>
      <c r="E28" s="45"/>
      <c r="F28" s="45"/>
      <c r="G28" s="45"/>
      <c r="H28" s="45"/>
      <c r="I28" s="45"/>
      <c r="J28" s="45"/>
      <c r="K28" s="45"/>
      <c r="L28" s="45"/>
      <c r="M28" s="45"/>
      <c r="N28" s="45"/>
      <c r="O28" s="45"/>
      <c r="P28" s="45"/>
      <c r="Q28" s="45"/>
      <c r="R28" s="45"/>
      <c r="S28" s="45"/>
      <c r="T28" s="45"/>
      <c r="U28" s="45"/>
      <c r="V28" s="45"/>
      <c r="W28" s="45"/>
      <c r="X28" s="45"/>
      <c r="Y28" s="52"/>
      <c r="Z28" s="52"/>
    </row>
    <row r="29" customFormat="false" ht="15" hidden="false" customHeight="true" outlineLevel="0" collapsed="false">
      <c r="A29" s="53" t="s">
        <v>28</v>
      </c>
      <c r="B29" s="54" t="s">
        <v>29</v>
      </c>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row>
    <row r="30" customFormat="false" ht="15" hidden="false" customHeight="true" outlineLevel="0" collapsed="false">
      <c r="A30" s="53"/>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row>
    <row r="31" customFormat="false" ht="15" hidden="false" customHeight="true" outlineLevel="0" collapsed="false">
      <c r="A31" s="53"/>
      <c r="B31" s="54" t="s">
        <v>30</v>
      </c>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row>
    <row r="32" customFormat="false" ht="15" hidden="false" customHeight="true" outlineLevel="0" collapsed="false">
      <c r="A32" s="53"/>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row>
    <row r="33" customFormat="false" ht="15" hidden="false" customHeight="true" outlineLevel="0" collapsed="false">
      <c r="A33" s="53"/>
      <c r="B33" s="54" t="s">
        <v>31</v>
      </c>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row>
    <row r="34" customFormat="false" ht="15" hidden="false" customHeight="true" outlineLevel="0" collapsed="false">
      <c r="A34" s="53"/>
      <c r="B34" s="54"/>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row>
    <row r="35" customFormat="false" ht="12.75" hidden="false" customHeight="true" outlineLevel="0" collapsed="false">
      <c r="A35" s="55"/>
      <c r="B35" s="56"/>
      <c r="C35" s="56"/>
      <c r="D35" s="56"/>
      <c r="E35" s="56"/>
      <c r="F35" s="56"/>
      <c r="G35" s="56"/>
      <c r="H35" s="56"/>
      <c r="I35" s="56"/>
      <c r="J35" s="56"/>
      <c r="K35" s="56"/>
      <c r="L35" s="56"/>
      <c r="M35" s="56"/>
      <c r="N35" s="56"/>
      <c r="O35" s="56"/>
      <c r="P35" s="56"/>
      <c r="Q35" s="56"/>
      <c r="R35" s="56"/>
      <c r="S35" s="56"/>
      <c r="T35" s="56"/>
      <c r="U35" s="56"/>
      <c r="V35" s="56"/>
      <c r="W35" s="56"/>
      <c r="X35" s="56"/>
      <c r="Y35" s="57"/>
      <c r="Z35" s="58"/>
      <c r="AA35" s="58"/>
    </row>
    <row r="36" customFormat="false" ht="15" hidden="false" customHeight="true" outlineLevel="0" collapsed="false">
      <c r="A36" s="59" t="s">
        <v>32</v>
      </c>
      <c r="B36" s="54" t="s">
        <v>33</v>
      </c>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row>
    <row r="37" customFormat="false" ht="15" hidden="false" customHeight="true" outlineLevel="0" collapsed="false">
      <c r="A37" s="59"/>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row>
    <row r="38" customFormat="false" ht="15" hidden="false" customHeight="true" outlineLevel="0" collapsed="false">
      <c r="A38" s="59"/>
      <c r="B38" s="54" t="s">
        <v>34</v>
      </c>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row>
    <row r="39" customFormat="false" ht="15" hidden="false" customHeight="true" outlineLevel="0" collapsed="false">
      <c r="A39" s="59"/>
      <c r="B39" s="54"/>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row>
  </sheetData>
  <mergeCells count="22">
    <mergeCell ref="B2:Q2"/>
    <mergeCell ref="B3:Q3"/>
    <mergeCell ref="B4:Q4"/>
    <mergeCell ref="B5:Q5"/>
    <mergeCell ref="B8:AB8"/>
    <mergeCell ref="A25:A27"/>
    <mergeCell ref="B25:E25"/>
    <mergeCell ref="F25:I25"/>
    <mergeCell ref="J25:P25"/>
    <mergeCell ref="Q25:AB25"/>
    <mergeCell ref="B26:I26"/>
    <mergeCell ref="J26:AB26"/>
    <mergeCell ref="B27:F27"/>
    <mergeCell ref="G27:I27"/>
    <mergeCell ref="J27:AB27"/>
    <mergeCell ref="A29:A34"/>
    <mergeCell ref="B29:AB30"/>
    <mergeCell ref="B31:AB32"/>
    <mergeCell ref="B33:AB34"/>
    <mergeCell ref="A36:A39"/>
    <mergeCell ref="B36:AB37"/>
    <mergeCell ref="B38:AB39"/>
  </mergeCells>
  <printOptions headings="false" gridLines="false" gridLinesSet="true" horizontalCentered="false" verticalCentered="false"/>
  <pageMargins left="0.157638888888889" right="0.156944444444444" top="0.984027777777778" bottom="0.984027777777778"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
  <sheetViews>
    <sheetView showFormulas="false" showGridLines="true" showRowColHeaders="true" showZeros="true" rightToLeft="false" tabSelected="false" showOutlineSymbols="true" defaultGridColor="true" view="normal" topLeftCell="A1" colorId="64" zoomScale="70" zoomScaleNormal="70" zoomScalePageLayoutView="100" workbookViewId="0">
      <selection pane="topLeft" activeCell="X26" activeCellId="0" sqref="X26"/>
    </sheetView>
  </sheetViews>
  <sheetFormatPr defaultColWidth="8.4296875" defaultRowHeight="12.75" customHeight="false" zeroHeight="false" outlineLevelRow="0" outlineLevelCol="0"/>
  <sheetData/>
  <printOptions headings="false" gridLines="false" gridLinesSet="true" horizontalCentered="false" verticalCentered="false"/>
  <pageMargins left="0" right="0" top="0" bottom="0" header="0.511811023622047" footer="0.511811023622047"/>
  <pageSetup paperSize="77"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
  <sheetViews>
    <sheetView showFormulas="false" showGridLines="true" showRowColHeaders="true" showZeros="true" rightToLeft="false" tabSelected="false" showOutlineSymbols="true" defaultGridColor="true" view="normal" topLeftCell="A13" colorId="64" zoomScale="100" zoomScaleNormal="100" zoomScalePageLayoutView="100" workbookViewId="0">
      <selection pane="topLeft" activeCell="S19" activeCellId="0" sqref="S19"/>
    </sheetView>
  </sheetViews>
  <sheetFormatPr defaultColWidth="8.4296875" defaultRowHeight="12.75" customHeight="false" zeroHeight="false" outlineLevelRow="0" outlineLevelCol="0"/>
  <sheetData/>
  <printOptions headings="false" gridLines="false" gridLinesSet="true" horizontalCentered="false" verticalCentered="false"/>
  <pageMargins left="0" right="0" top="0" bottom="0" header="0.511811023622047" footer="0.511811023622047"/>
  <pageSetup paperSize="77"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M89"/>
  <sheetViews>
    <sheetView showFormulas="false" showGridLines="true" showRowColHeaders="true" showZeros="true" rightToLeft="false" tabSelected="false" showOutlineSymbols="true" defaultGridColor="true" view="normal" topLeftCell="E1" colorId="64" zoomScale="59" zoomScaleNormal="59" zoomScalePageLayoutView="100" workbookViewId="0">
      <selection pane="topLeft" activeCell="AI67" activeCellId="0" sqref="AI67"/>
    </sheetView>
  </sheetViews>
  <sheetFormatPr defaultColWidth="14.2890625" defaultRowHeight="12.75" customHeight="true" zeroHeight="false" outlineLevelRow="0" outlineLevelCol="0"/>
  <cols>
    <col collapsed="false" customWidth="true" hidden="false" outlineLevel="0" max="1" min="1" style="0" width="26.57"/>
    <col collapsed="false" customWidth="true" hidden="false" outlineLevel="0" max="3" min="2" style="0" width="8.85"/>
    <col collapsed="false" customWidth="true" hidden="false" outlineLevel="0" max="4" min="4" style="0" width="75.58"/>
    <col collapsed="false" customWidth="true" hidden="false" outlineLevel="0" max="23" min="5" style="0" width="8.29"/>
    <col collapsed="false" customWidth="true" hidden="false" outlineLevel="0" max="26" min="24" style="0" width="7.85"/>
    <col collapsed="false" customWidth="true" hidden="false" outlineLevel="0" max="27" min="27" style="0" width="8.29"/>
    <col collapsed="false" customWidth="true" hidden="false" outlineLevel="0" max="28" min="28" style="0" width="11.29"/>
    <col collapsed="false" customWidth="true" hidden="false" outlineLevel="0" max="30" min="29" style="0" width="9.85"/>
    <col collapsed="false" customWidth="true" hidden="false" outlineLevel="0" max="31" min="31" style="0" width="23.14"/>
    <col collapsed="false" customWidth="true" hidden="false" outlineLevel="0" max="32" min="32" style="0" width="27"/>
    <col collapsed="false" customWidth="true" hidden="false" outlineLevel="0" max="33" min="33" style="0" width="9.85"/>
    <col collapsed="false" customWidth="true" hidden="false" outlineLevel="0" max="34" min="34" style="0" width="3.42"/>
    <col collapsed="false" customWidth="true" hidden="false" outlineLevel="0" max="35" min="35" style="0" width="27.85"/>
    <col collapsed="false" customWidth="true" hidden="false" outlineLevel="0" max="38" min="38" style="0" width="11.71"/>
    <col collapsed="false" customWidth="true" hidden="false" outlineLevel="0" max="39" min="39" style="0" width="13.29"/>
  </cols>
  <sheetData>
    <row r="1" customFormat="false" ht="12.75" hidden="false" customHeight="true" outlineLevel="0" collapsed="false">
      <c r="A1" s="60" t="s">
        <v>36</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I1" s="61" t="s">
        <v>37</v>
      </c>
      <c r="AJ1" s="61"/>
      <c r="AK1" s="61"/>
      <c r="AL1" s="61"/>
      <c r="AM1" s="61"/>
    </row>
    <row r="2" customFormat="false" ht="36" hidden="false" customHeight="true" outlineLevel="0" collapsed="false">
      <c r="A2" s="60"/>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I2" s="61"/>
      <c r="AJ2" s="61"/>
      <c r="AK2" s="61"/>
      <c r="AL2" s="61"/>
      <c r="AM2" s="61"/>
    </row>
    <row r="3" customFormat="false" ht="39.75" hidden="false" customHeight="true" outlineLevel="0" collapsed="false">
      <c r="A3" s="62" t="s">
        <v>38</v>
      </c>
      <c r="B3" s="62"/>
      <c r="C3" s="62"/>
      <c r="D3" s="62"/>
      <c r="E3" s="62" t="n">
        <v>2000</v>
      </c>
      <c r="F3" s="62" t="n">
        <v>2001</v>
      </c>
      <c r="G3" s="62" t="n">
        <v>2002</v>
      </c>
      <c r="H3" s="62" t="n">
        <v>2003</v>
      </c>
      <c r="I3" s="62" t="n">
        <v>2004</v>
      </c>
      <c r="J3" s="62" t="n">
        <v>2005</v>
      </c>
      <c r="K3" s="62" t="n">
        <v>2006</v>
      </c>
      <c r="L3" s="62" t="n">
        <v>2007</v>
      </c>
      <c r="M3" s="62" t="n">
        <v>2008</v>
      </c>
      <c r="N3" s="62" t="n">
        <v>2009</v>
      </c>
      <c r="O3" s="62" t="n">
        <v>2010</v>
      </c>
      <c r="P3" s="62" t="n">
        <v>2011</v>
      </c>
      <c r="Q3" s="62" t="n">
        <v>2012</v>
      </c>
      <c r="R3" s="62" t="n">
        <v>2013</v>
      </c>
      <c r="S3" s="62" t="n">
        <v>2014</v>
      </c>
      <c r="T3" s="62" t="n">
        <v>2015</v>
      </c>
      <c r="U3" s="62" t="n">
        <v>2016</v>
      </c>
      <c r="V3" s="62" t="n">
        <v>2017</v>
      </c>
      <c r="W3" s="62" t="n">
        <v>2018</v>
      </c>
      <c r="X3" s="62" t="n">
        <v>2019</v>
      </c>
      <c r="Y3" s="62" t="n">
        <v>2020</v>
      </c>
      <c r="Z3" s="62" t="n">
        <v>2021</v>
      </c>
      <c r="AA3" s="62" t="n">
        <v>2022</v>
      </c>
      <c r="AB3" s="62" t="n">
        <v>2023</v>
      </c>
      <c r="AC3" s="62" t="n">
        <v>2024</v>
      </c>
      <c r="AD3" s="62" t="n">
        <v>2025</v>
      </c>
      <c r="AI3" s="63" t="s">
        <v>39</v>
      </c>
      <c r="AJ3" s="63" t="s">
        <v>40</v>
      </c>
      <c r="AK3" s="63"/>
      <c r="AL3" s="63"/>
      <c r="AM3" s="63" t="s">
        <v>41</v>
      </c>
    </row>
    <row r="4" customFormat="false" ht="12.75" hidden="false" customHeight="true" outlineLevel="0" collapsed="false">
      <c r="A4" s="64" t="s">
        <v>42</v>
      </c>
      <c r="B4" s="64"/>
      <c r="C4" s="64"/>
      <c r="D4" s="64"/>
      <c r="E4" s="65" t="n">
        <f aca="false">'2000'!$S$64</f>
        <v>9</v>
      </c>
      <c r="F4" s="65" t="n">
        <f aca="false">'2001'!$S$64</f>
        <v>17</v>
      </c>
      <c r="G4" s="65" t="n">
        <f aca="false">'2002'!$S$64</f>
        <v>11</v>
      </c>
      <c r="H4" s="65" t="n">
        <f aca="false">'2003'!$S$64</f>
        <v>21</v>
      </c>
      <c r="I4" s="65" t="n">
        <f aca="false">'2004'!$S$64</f>
        <v>14</v>
      </c>
      <c r="J4" s="65" t="n">
        <f aca="false">'2005'!$S$64</f>
        <v>16</v>
      </c>
      <c r="K4" s="65" t="n">
        <f aca="false">'2006'!$S$64</f>
        <v>32</v>
      </c>
      <c r="L4" s="65" t="n">
        <f aca="false">'2007'!$S$64</f>
        <v>62</v>
      </c>
      <c r="M4" s="65" t="n">
        <f aca="false">'2008'!$S$64</f>
        <v>72</v>
      </c>
      <c r="N4" s="65" t="n">
        <f aca="false">'2009'!$S$64</f>
        <v>68</v>
      </c>
      <c r="O4" s="65" t="n">
        <f aca="false">'2010'!$S$64</f>
        <v>46</v>
      </c>
      <c r="P4" s="65" t="n">
        <f aca="false">'2011'!$S$64</f>
        <v>44</v>
      </c>
      <c r="Q4" s="65" t="n">
        <f aca="false">'2012'!$S$64</f>
        <v>57</v>
      </c>
      <c r="R4" s="65" t="n">
        <f aca="false">'2013'!$S$64</f>
        <v>31</v>
      </c>
      <c r="S4" s="65" t="n">
        <f aca="false">'2014'!$S$64</f>
        <v>59</v>
      </c>
      <c r="T4" s="65" t="n">
        <f aca="false">'2015'!$S$64</f>
        <v>41</v>
      </c>
      <c r="U4" s="65" t="n">
        <f aca="false">'2016'!$S$64</f>
        <v>105</v>
      </c>
      <c r="V4" s="65" t="n">
        <f aca="false">'2017'!$S$64</f>
        <v>134</v>
      </c>
      <c r="W4" s="65" t="n">
        <f aca="false">'2018'!$S$64</f>
        <v>125</v>
      </c>
      <c r="X4" s="65" t="n">
        <f aca="false">'2019'!$S$64</f>
        <v>109</v>
      </c>
      <c r="Y4" s="65" t="n">
        <f aca="false">'2020'!$S$64</f>
        <v>1</v>
      </c>
      <c r="Z4" s="65" t="n">
        <f aca="false">'2021'!$S$65</f>
        <v>14</v>
      </c>
      <c r="AA4" s="65" t="n">
        <f aca="false">'2022'!S66</f>
        <v>1</v>
      </c>
      <c r="AB4" s="65" t="n">
        <f aca="false">'2023'!S68</f>
        <v>0</v>
      </c>
      <c r="AC4" s="65" t="n">
        <f aca="false">'2024'!S68</f>
        <v>3</v>
      </c>
      <c r="AD4" s="65" t="n">
        <f aca="false">'2025'!S70</f>
        <v>0</v>
      </c>
      <c r="AI4" s="66" t="n">
        <v>2008</v>
      </c>
      <c r="AJ4" s="66" t="n">
        <f aca="false">'2025'!P30</f>
        <v>2</v>
      </c>
      <c r="AK4" s="66"/>
      <c r="AL4" s="66"/>
      <c r="AM4" s="67" t="n">
        <f aca="false">(AJ4/$AJ$22)</f>
        <v>0.00219298245614035</v>
      </c>
    </row>
    <row r="5" customFormat="false" ht="12.75" hidden="false" customHeight="true" outlineLevel="0" collapsed="false">
      <c r="A5" s="64" t="s">
        <v>43</v>
      </c>
      <c r="B5" s="64"/>
      <c r="C5" s="64"/>
      <c r="D5" s="64"/>
      <c r="E5" s="65" t="n">
        <v>0</v>
      </c>
      <c r="F5" s="65" t="n">
        <f aca="false">'2001'!$S$65</f>
        <v>0</v>
      </c>
      <c r="G5" s="65" t="n">
        <f aca="false">'2002'!$S$65</f>
        <v>0</v>
      </c>
      <c r="H5" s="65" t="n">
        <f aca="false">'2003'!$S$65</f>
        <v>0</v>
      </c>
      <c r="I5" s="65" t="n">
        <f aca="false">'2004'!$S$65</f>
        <v>0</v>
      </c>
      <c r="J5" s="65" t="n">
        <f aca="false">'2005'!$S$65</f>
        <v>0</v>
      </c>
      <c r="K5" s="65" t="n">
        <f aca="false">'2006'!$S$65</f>
        <v>0</v>
      </c>
      <c r="L5" s="65" t="n">
        <f aca="false">'2007'!$S$65</f>
        <v>0</v>
      </c>
      <c r="M5" s="65" t="n">
        <f aca="false">'2008'!$S$65</f>
        <v>0</v>
      </c>
      <c r="N5" s="65" t="n">
        <f aca="false">'2009'!$S$65</f>
        <v>0</v>
      </c>
      <c r="O5" s="65" t="n">
        <f aca="false">'2010'!$S$65</f>
        <v>0</v>
      </c>
      <c r="P5" s="65" t="n">
        <f aca="false">'2011'!$S$65</f>
        <v>0</v>
      </c>
      <c r="Q5" s="65" t="n">
        <f aca="false">'2012'!$S$65</f>
        <v>0</v>
      </c>
      <c r="R5" s="65" t="n">
        <f aca="false">'2013'!$S$65</f>
        <v>0</v>
      </c>
      <c r="S5" s="65" t="n">
        <f aca="false">'2014'!$S$65</f>
        <v>0</v>
      </c>
      <c r="T5" s="65" t="n">
        <f aca="false">'2015'!$S$65</f>
        <v>0</v>
      </c>
      <c r="U5" s="65" t="n">
        <f aca="false">'2016'!$S$65</f>
        <v>0</v>
      </c>
      <c r="V5" s="65" t="n">
        <f aca="false">'2017'!$S$65</f>
        <v>0</v>
      </c>
      <c r="W5" s="65" t="n">
        <f aca="false">'2018'!$S$65</f>
        <v>0</v>
      </c>
      <c r="X5" s="65" t="n">
        <f aca="false">'2019'!$S$65</f>
        <v>0</v>
      </c>
      <c r="Y5" s="65" t="n">
        <f aca="false">'2020'!$S$65</f>
        <v>1</v>
      </c>
      <c r="Z5" s="65" t="n">
        <f aca="false">'2021'!$S$66</f>
        <v>0</v>
      </c>
      <c r="AA5" s="65" t="n">
        <f aca="false">'2022'!S67</f>
        <v>1</v>
      </c>
      <c r="AB5" s="65" t="n">
        <f aca="false">'2023'!S69</f>
        <v>4</v>
      </c>
      <c r="AC5" s="65" t="n">
        <f aca="false">'2024'!S69</f>
        <v>3</v>
      </c>
      <c r="AD5" s="65" t="n">
        <f aca="false">'2025'!S71</f>
        <v>4</v>
      </c>
      <c r="AI5" s="68" t="n">
        <v>2009</v>
      </c>
      <c r="AJ5" s="68" t="n">
        <f aca="false">'2025'!P31</f>
        <v>0</v>
      </c>
      <c r="AK5" s="68"/>
      <c r="AL5" s="68"/>
      <c r="AM5" s="67" t="n">
        <f aca="false">(AJ5/$AJ$22)</f>
        <v>0</v>
      </c>
    </row>
    <row r="6" customFormat="false" ht="12.75" hidden="false" customHeight="true" outlineLevel="0" collapsed="false">
      <c r="A6" s="64" t="s">
        <v>44</v>
      </c>
      <c r="B6" s="64"/>
      <c r="C6" s="64"/>
      <c r="D6" s="64"/>
      <c r="E6" s="65" t="n">
        <f aca="false">'2000'!$S$66</f>
        <v>0</v>
      </c>
      <c r="F6" s="65" t="n">
        <f aca="false">'2001'!$S$66</f>
        <v>0</v>
      </c>
      <c r="G6" s="65" t="n">
        <f aca="false">'2002'!$S$66</f>
        <v>0</v>
      </c>
      <c r="H6" s="65" t="n">
        <f aca="false">'2003'!$S$66</f>
        <v>0</v>
      </c>
      <c r="I6" s="65" t="n">
        <f aca="false">'2004'!$S$66</f>
        <v>0</v>
      </c>
      <c r="J6" s="65" t="n">
        <f aca="false">'2005'!$S$66</f>
        <v>0</v>
      </c>
      <c r="K6" s="65" t="n">
        <f aca="false">'2006'!$S$66</f>
        <v>0</v>
      </c>
      <c r="L6" s="65" t="n">
        <f aca="false">'2007'!$S$66</f>
        <v>0</v>
      </c>
      <c r="M6" s="65" t="n">
        <f aca="false">'2008'!$S$66</f>
        <v>0</v>
      </c>
      <c r="N6" s="65" t="n">
        <f aca="false">'2009'!$S$66</f>
        <v>0</v>
      </c>
      <c r="O6" s="65" t="n">
        <f aca="false">'2010'!$S$66</f>
        <v>0</v>
      </c>
      <c r="P6" s="65" t="n">
        <f aca="false">'2011'!$S$66</f>
        <v>0</v>
      </c>
      <c r="Q6" s="65" t="n">
        <f aca="false">'2012'!$S$66</f>
        <v>0</v>
      </c>
      <c r="R6" s="65" t="n">
        <f aca="false">'2013'!$S$66</f>
        <v>0</v>
      </c>
      <c r="S6" s="65" t="n">
        <f aca="false">'2014'!$S$66</f>
        <v>0</v>
      </c>
      <c r="T6" s="65" t="n">
        <f aca="false">'2015'!$S$66</f>
        <v>0</v>
      </c>
      <c r="U6" s="65" t="n">
        <f aca="false">'2016'!$S$66</f>
        <v>0</v>
      </c>
      <c r="V6" s="65" t="n">
        <f aca="false">'2017'!$S$66</f>
        <v>0</v>
      </c>
      <c r="W6" s="65" t="n">
        <f aca="false">'2018'!$S$66</f>
        <v>0</v>
      </c>
      <c r="X6" s="65" t="n">
        <f aca="false">'2019'!$S$66</f>
        <v>0</v>
      </c>
      <c r="Y6" s="65" t="n">
        <f aca="false">'2020'!$S$66</f>
        <v>13</v>
      </c>
      <c r="Z6" s="65" t="n">
        <f aca="false">'2021'!$S$67</f>
        <v>8</v>
      </c>
      <c r="AA6" s="65" t="n">
        <f aca="false">'2022'!S68</f>
        <v>10</v>
      </c>
      <c r="AB6" s="65" t="n">
        <f aca="false">'2023'!S70</f>
        <v>17</v>
      </c>
      <c r="AC6" s="65" t="n">
        <f aca="false">'2024'!S70</f>
        <v>15</v>
      </c>
      <c r="AD6" s="65" t="n">
        <f aca="false">'2025'!S72</f>
        <v>12</v>
      </c>
      <c r="AI6" s="66" t="n">
        <v>2010</v>
      </c>
      <c r="AJ6" s="66" t="n">
        <f aca="false">'2025'!P32</f>
        <v>0</v>
      </c>
      <c r="AK6" s="66"/>
      <c r="AL6" s="66"/>
      <c r="AM6" s="67" t="n">
        <f aca="false">(AJ6/$AJ$22)</f>
        <v>0</v>
      </c>
    </row>
    <row r="7" customFormat="false" ht="12.75" hidden="false" customHeight="true" outlineLevel="0" collapsed="false">
      <c r="A7" s="69" t="s">
        <v>45</v>
      </c>
      <c r="B7" s="69"/>
      <c r="C7" s="69"/>
      <c r="D7" s="69"/>
      <c r="E7" s="70" t="n">
        <f aca="false">'2000'!$S$67</f>
        <v>17</v>
      </c>
      <c r="F7" s="70" t="n">
        <f aca="false">'2001'!$S$67</f>
        <v>26</v>
      </c>
      <c r="G7" s="70" t="n">
        <f aca="false">'2002'!$S$67</f>
        <v>9</v>
      </c>
      <c r="H7" s="70" t="n">
        <f aca="false">'2003'!$S$67</f>
        <v>8</v>
      </c>
      <c r="I7" s="70" t="n">
        <f aca="false">'2004'!$S$67</f>
        <v>15</v>
      </c>
      <c r="J7" s="70" t="n">
        <f aca="false">'2005'!$S$67</f>
        <v>22</v>
      </c>
      <c r="K7" s="70" t="n">
        <f aca="false">'2006'!$S$67</f>
        <v>21</v>
      </c>
      <c r="L7" s="70" t="n">
        <f aca="false">'2007'!$S$67</f>
        <v>36</v>
      </c>
      <c r="M7" s="70" t="n">
        <f aca="false">'2008'!$S$67</f>
        <v>28</v>
      </c>
      <c r="N7" s="70" t="n">
        <f aca="false">'2009'!$S$67</f>
        <v>13</v>
      </c>
      <c r="O7" s="70" t="n">
        <f aca="false">'2010'!$S$67</f>
        <v>20</v>
      </c>
      <c r="P7" s="70" t="n">
        <f aca="false">'2011'!$S$67</f>
        <v>31</v>
      </c>
      <c r="Q7" s="70" t="n">
        <f aca="false">'2012'!$S$67</f>
        <v>44</v>
      </c>
      <c r="R7" s="70" t="n">
        <f aca="false">'2013'!$S$67</f>
        <v>22</v>
      </c>
      <c r="S7" s="70" t="n">
        <f aca="false">'2014'!$S$67</f>
        <v>22</v>
      </c>
      <c r="T7" s="70" t="n">
        <f aca="false">'2015'!$S$67</f>
        <v>16</v>
      </c>
      <c r="U7" s="70" t="n">
        <f aca="false">'2016'!$S$67</f>
        <v>35</v>
      </c>
      <c r="V7" s="70" t="n">
        <f aca="false">'2017'!$S$67</f>
        <v>56</v>
      </c>
      <c r="W7" s="70" t="n">
        <f aca="false">'2018'!$S$67</f>
        <v>58</v>
      </c>
      <c r="X7" s="70" t="n">
        <f aca="false">'2019'!$S$67</f>
        <v>47</v>
      </c>
      <c r="Y7" s="70" t="n">
        <f aca="false">'2020'!$S$67</f>
        <v>1</v>
      </c>
      <c r="Z7" s="70" t="n">
        <f aca="false">'2021'!$S$68</f>
        <v>0</v>
      </c>
      <c r="AA7" s="70" t="n">
        <f aca="false">'2022'!S69</f>
        <v>0</v>
      </c>
      <c r="AB7" s="70" t="n">
        <f aca="false">'2023'!S71</f>
        <v>1</v>
      </c>
      <c r="AC7" s="70" t="n">
        <f aca="false">'2024'!S71</f>
        <v>3</v>
      </c>
      <c r="AD7" s="70" t="n">
        <f aca="false">'2025'!S73</f>
        <v>1</v>
      </c>
      <c r="AI7" s="68" t="n">
        <v>2011</v>
      </c>
      <c r="AJ7" s="68" t="n">
        <f aca="false">'2025'!P33</f>
        <v>0</v>
      </c>
      <c r="AK7" s="68"/>
      <c r="AL7" s="68"/>
      <c r="AM7" s="67" t="n">
        <f aca="false">(AJ7/$AJ$22)</f>
        <v>0</v>
      </c>
    </row>
    <row r="8" customFormat="false" ht="12.75" hidden="false" customHeight="true" outlineLevel="0" collapsed="false">
      <c r="A8" s="69" t="s">
        <v>46</v>
      </c>
      <c r="B8" s="69"/>
      <c r="C8" s="69"/>
      <c r="D8" s="69"/>
      <c r="E8" s="70" t="n">
        <f aca="false">'2000'!$S$68</f>
        <v>0</v>
      </c>
      <c r="F8" s="70" t="n">
        <f aca="false">'2001'!$S$68</f>
        <v>0</v>
      </c>
      <c r="G8" s="70" t="n">
        <f aca="false">'2002'!$S$68</f>
        <v>0</v>
      </c>
      <c r="H8" s="70" t="n">
        <f aca="false">'2003'!$S$68</f>
        <v>0</v>
      </c>
      <c r="I8" s="70" t="n">
        <f aca="false">'2004'!$S$68</f>
        <v>0</v>
      </c>
      <c r="J8" s="70" t="n">
        <f aca="false">'2005'!$S$68</f>
        <v>0</v>
      </c>
      <c r="K8" s="70" t="n">
        <f aca="false">'2006'!$S$68</f>
        <v>0</v>
      </c>
      <c r="L8" s="70" t="n">
        <f aca="false">'2007'!$S$68</f>
        <v>0</v>
      </c>
      <c r="M8" s="70" t="n">
        <f aca="false">'2008'!$S$68</f>
        <v>0</v>
      </c>
      <c r="N8" s="70" t="n">
        <f aca="false">'2009'!$S$68</f>
        <v>0</v>
      </c>
      <c r="O8" s="70" t="n">
        <f aca="false">'2010'!$S$68</f>
        <v>0</v>
      </c>
      <c r="P8" s="70" t="n">
        <f aca="false">'2011'!$S$68</f>
        <v>0</v>
      </c>
      <c r="Q8" s="70" t="n">
        <f aca="false">'2012'!$S$68</f>
        <v>0</v>
      </c>
      <c r="R8" s="70" t="n">
        <f aca="false">'2013'!$S$68</f>
        <v>0</v>
      </c>
      <c r="S8" s="70" t="n">
        <f aca="false">'2014'!$S$68</f>
        <v>0</v>
      </c>
      <c r="T8" s="70" t="n">
        <f aca="false">'2015'!$S$68</f>
        <v>0</v>
      </c>
      <c r="U8" s="70" t="n">
        <f aca="false">'2016'!$S$68</f>
        <v>0</v>
      </c>
      <c r="V8" s="70" t="n">
        <f aca="false">'2017'!$S$68</f>
        <v>0</v>
      </c>
      <c r="W8" s="70" t="n">
        <f aca="false">'2018'!$S$68</f>
        <v>0</v>
      </c>
      <c r="X8" s="70" t="n">
        <f aca="false">'2019'!$S$68</f>
        <v>0</v>
      </c>
      <c r="Y8" s="70" t="n">
        <f aca="false">'2020'!$S$68</f>
        <v>9</v>
      </c>
      <c r="Z8" s="70" t="n">
        <f aca="false">'2021'!$S$69</f>
        <v>28</v>
      </c>
      <c r="AA8" s="70" t="n">
        <f aca="false">'2022'!S70</f>
        <v>20</v>
      </c>
      <c r="AB8" s="70" t="n">
        <f aca="false">'2023'!S72</f>
        <v>11</v>
      </c>
      <c r="AC8" s="70" t="n">
        <f aca="false">'2024'!S72</f>
        <v>18</v>
      </c>
      <c r="AD8" s="70" t="n">
        <f aca="false">'2025'!S74</f>
        <v>17</v>
      </c>
      <c r="AI8" s="66" t="n">
        <v>2012</v>
      </c>
      <c r="AJ8" s="66" t="n">
        <f aca="false">'2025'!P34</f>
        <v>2</v>
      </c>
      <c r="AK8" s="66"/>
      <c r="AL8" s="66"/>
      <c r="AM8" s="67" t="n">
        <f aca="false">(AJ8/$AJ$22)</f>
        <v>0.00219298245614035</v>
      </c>
    </row>
    <row r="9" customFormat="false" ht="12.75" hidden="false" customHeight="true" outlineLevel="0" collapsed="false">
      <c r="A9" s="71" t="s">
        <v>47</v>
      </c>
      <c r="B9" s="71"/>
      <c r="C9" s="71"/>
      <c r="D9" s="71"/>
      <c r="E9" s="72" t="n">
        <f aca="false">'2000'!$S$69</f>
        <v>34</v>
      </c>
      <c r="F9" s="72" t="n">
        <f aca="false">'2001'!$S$69</f>
        <v>49</v>
      </c>
      <c r="G9" s="72" t="n">
        <f aca="false">'2002'!$S$69</f>
        <v>21</v>
      </c>
      <c r="H9" s="72" t="n">
        <f aca="false">'2003'!$S$69</f>
        <v>39</v>
      </c>
      <c r="I9" s="72" t="n">
        <f aca="false">'2004'!$S$69</f>
        <v>32</v>
      </c>
      <c r="J9" s="72" t="n">
        <f aca="false">'2005'!$S$69</f>
        <v>39</v>
      </c>
      <c r="K9" s="72" t="n">
        <f aca="false">'2006'!$S$69</f>
        <v>43</v>
      </c>
      <c r="L9" s="72" t="n">
        <f aca="false">'2007'!$S$69</f>
        <v>87</v>
      </c>
      <c r="M9" s="72" t="n">
        <f aca="false">'2008'!$S$69</f>
        <v>76</v>
      </c>
      <c r="N9" s="72" t="n">
        <f aca="false">'2009'!$S$69</f>
        <v>51</v>
      </c>
      <c r="O9" s="72" t="n">
        <f aca="false">'2010'!$S$69</f>
        <v>33</v>
      </c>
      <c r="P9" s="72" t="n">
        <f aca="false">'2011'!$S$69</f>
        <v>56</v>
      </c>
      <c r="Q9" s="72" t="n">
        <f aca="false">'2012'!$S$69</f>
        <v>50</v>
      </c>
      <c r="R9" s="72" t="n">
        <f aca="false">'2013'!$S$69</f>
        <v>47</v>
      </c>
      <c r="S9" s="72" t="n">
        <f aca="false">'2014'!$S$69</f>
        <v>60</v>
      </c>
      <c r="T9" s="72" t="n">
        <f aca="false">'2015'!$S$69</f>
        <v>52</v>
      </c>
      <c r="U9" s="72" t="n">
        <f aca="false">'2016'!$S$69</f>
        <v>89</v>
      </c>
      <c r="V9" s="72" t="n">
        <f aca="false">'2017'!$S$69</f>
        <v>165</v>
      </c>
      <c r="W9" s="72" t="n">
        <f aca="false">'2018'!$S$69</f>
        <v>205</v>
      </c>
      <c r="X9" s="72" t="n">
        <f aca="false">'2019'!$S$69</f>
        <v>160</v>
      </c>
      <c r="Y9" s="72" t="n">
        <f aca="false">'2020'!$S$69</f>
        <v>5</v>
      </c>
      <c r="Z9" s="72" t="n">
        <f aca="false">'2021'!$S$70</f>
        <v>7</v>
      </c>
      <c r="AA9" s="72" t="n">
        <f aca="false">'2022'!S71</f>
        <v>5</v>
      </c>
      <c r="AB9" s="72" t="n">
        <f aca="false">'2023'!S73</f>
        <v>4</v>
      </c>
      <c r="AC9" s="72" t="n">
        <f aca="false">'2024'!S73</f>
        <v>2</v>
      </c>
      <c r="AD9" s="72" t="n">
        <f aca="false">'2025'!S75</f>
        <v>0</v>
      </c>
      <c r="AI9" s="68" t="n">
        <v>2013</v>
      </c>
      <c r="AJ9" s="68" t="n">
        <f aca="false">'2025'!P35</f>
        <v>3</v>
      </c>
      <c r="AK9" s="68"/>
      <c r="AL9" s="68"/>
      <c r="AM9" s="67" t="n">
        <f aca="false">(AJ9/$AJ$22)</f>
        <v>0.00328947368421053</v>
      </c>
    </row>
    <row r="10" customFormat="false" ht="12.75" hidden="false" customHeight="true" outlineLevel="0" collapsed="false">
      <c r="A10" s="71" t="s">
        <v>48</v>
      </c>
      <c r="B10" s="71"/>
      <c r="C10" s="71"/>
      <c r="D10" s="71"/>
      <c r="E10" s="72" t="n">
        <f aca="false">'2000'!$S$70</f>
        <v>0</v>
      </c>
      <c r="F10" s="72" t="n">
        <f aca="false">'2001'!$S$70</f>
        <v>0</v>
      </c>
      <c r="G10" s="72" t="n">
        <f aca="false">'2002'!$S$70</f>
        <v>0</v>
      </c>
      <c r="H10" s="72" t="n">
        <f aca="false">'2003'!$S$70</f>
        <v>0</v>
      </c>
      <c r="I10" s="72" t="n">
        <f aca="false">'2004'!$S$70</f>
        <v>0</v>
      </c>
      <c r="J10" s="72" t="n">
        <f aca="false">'2005'!$S$70</f>
        <v>0</v>
      </c>
      <c r="K10" s="72" t="n">
        <f aca="false">'2006'!$S$70</f>
        <v>0</v>
      </c>
      <c r="L10" s="72" t="n">
        <f aca="false">'2007'!$S$70</f>
        <v>0</v>
      </c>
      <c r="M10" s="72" t="n">
        <f aca="false">'2008'!$S$70</f>
        <v>0</v>
      </c>
      <c r="N10" s="72" t="n">
        <f aca="false">'2009'!$S$70</f>
        <v>0</v>
      </c>
      <c r="O10" s="72" t="n">
        <f aca="false">'2010'!$S$70</f>
        <v>0</v>
      </c>
      <c r="P10" s="72" t="n">
        <f aca="false">'2011'!$S$70</f>
        <v>0</v>
      </c>
      <c r="Q10" s="72" t="n">
        <f aca="false">'2012'!$S$70</f>
        <v>0</v>
      </c>
      <c r="R10" s="72" t="n">
        <f aca="false">'2013'!$S$70</f>
        <v>0</v>
      </c>
      <c r="S10" s="72" t="n">
        <f aca="false">'2014'!$S$70</f>
        <v>0</v>
      </c>
      <c r="T10" s="72" t="n">
        <f aca="false">'2015'!$S$70</f>
        <v>0</v>
      </c>
      <c r="U10" s="72" t="n">
        <f aca="false">'2016'!$S$70</f>
        <v>0</v>
      </c>
      <c r="V10" s="72" t="n">
        <f aca="false">'2017'!$S$70</f>
        <v>0</v>
      </c>
      <c r="W10" s="72" t="n">
        <f aca="false">'2018'!$S$70</f>
        <v>0</v>
      </c>
      <c r="X10" s="72" t="n">
        <f aca="false">'2019'!$S$70</f>
        <v>5</v>
      </c>
      <c r="Y10" s="72" t="n">
        <f aca="false">'2020'!$S$70</f>
        <v>74</v>
      </c>
      <c r="Z10" s="72" t="n">
        <f aca="false">'2021'!$S$71</f>
        <v>74</v>
      </c>
      <c r="AA10" s="72" t="n">
        <f aca="false">'2022'!S72</f>
        <v>81</v>
      </c>
      <c r="AB10" s="72" t="n">
        <f aca="false">'2023'!S74</f>
        <v>77</v>
      </c>
      <c r="AC10" s="72" t="n">
        <f aca="false">'2024'!S74</f>
        <v>100</v>
      </c>
      <c r="AD10" s="72" t="n">
        <f aca="false">'2025'!S76</f>
        <v>135</v>
      </c>
      <c r="AI10" s="66" t="n">
        <v>2014</v>
      </c>
      <c r="AJ10" s="66" t="n">
        <f aca="false">'2025'!P36</f>
        <v>6</v>
      </c>
      <c r="AK10" s="66"/>
      <c r="AL10" s="66"/>
      <c r="AM10" s="67" t="n">
        <f aca="false">(AJ10/$AJ$22)</f>
        <v>0.00657894736842105</v>
      </c>
    </row>
    <row r="11" customFormat="false" ht="12.75" hidden="false" customHeight="true" outlineLevel="0" collapsed="false">
      <c r="A11" s="71" t="s">
        <v>49</v>
      </c>
      <c r="B11" s="71"/>
      <c r="C11" s="71"/>
      <c r="D11" s="71"/>
      <c r="E11" s="72" t="n">
        <f aca="false">'2000'!$S$71</f>
        <v>0</v>
      </c>
      <c r="F11" s="72" t="n">
        <f aca="false">'2001'!$S$71</f>
        <v>0</v>
      </c>
      <c r="G11" s="72" t="n">
        <f aca="false">'2002'!$S$71</f>
        <v>0</v>
      </c>
      <c r="H11" s="72" t="n">
        <f aca="false">'2003'!$S$71</f>
        <v>0</v>
      </c>
      <c r="I11" s="72" t="n">
        <f aca="false">'2004'!$S$71</f>
        <v>0</v>
      </c>
      <c r="J11" s="72" t="n">
        <f aca="false">'2005'!$S$71</f>
        <v>0</v>
      </c>
      <c r="K11" s="72" t="n">
        <f aca="false">'2006'!$S$71</f>
        <v>0</v>
      </c>
      <c r="L11" s="72" t="n">
        <f aca="false">'2007'!$S$71</f>
        <v>0</v>
      </c>
      <c r="M11" s="72" t="n">
        <f aca="false">'2008'!$S$71</f>
        <v>0</v>
      </c>
      <c r="N11" s="72" t="n">
        <f aca="false">'2009'!$S$71</f>
        <v>0</v>
      </c>
      <c r="O11" s="72" t="n">
        <f aca="false">'2010'!$S$71</f>
        <v>0</v>
      </c>
      <c r="P11" s="72" t="n">
        <f aca="false">'2011'!$S$71</f>
        <v>0</v>
      </c>
      <c r="Q11" s="72" t="n">
        <f aca="false">'2012'!$S$71</f>
        <v>0</v>
      </c>
      <c r="R11" s="72" t="n">
        <f aca="false">'2013'!$S$71</f>
        <v>0</v>
      </c>
      <c r="S11" s="72" t="n">
        <f aca="false">'2014'!$S$71</f>
        <v>0</v>
      </c>
      <c r="T11" s="72" t="n">
        <f aca="false">'2015'!$S$71</f>
        <v>0</v>
      </c>
      <c r="U11" s="72" t="n">
        <f aca="false">'2016'!$S$71</f>
        <v>0</v>
      </c>
      <c r="V11" s="72" t="n">
        <f aca="false">'2017'!$S$71</f>
        <v>0</v>
      </c>
      <c r="W11" s="72" t="n">
        <f aca="false">'2018'!$S$71</f>
        <v>0</v>
      </c>
      <c r="X11" s="72" t="n">
        <f aca="false">'2019'!$S$71</f>
        <v>12</v>
      </c>
      <c r="Y11" s="72" t="n">
        <f aca="false">'2020'!$S$71</f>
        <v>161</v>
      </c>
      <c r="Z11" s="72" t="n">
        <f aca="false">'2021'!$S$72</f>
        <v>186</v>
      </c>
      <c r="AA11" s="72" t="n">
        <f aca="false">'2022'!S73</f>
        <v>210</v>
      </c>
      <c r="AB11" s="72" t="n">
        <f aca="false">'2023'!S75</f>
        <v>214</v>
      </c>
      <c r="AC11" s="72" t="n">
        <f aca="false">'2024'!S75</f>
        <v>287</v>
      </c>
      <c r="AD11" s="72" t="n">
        <f aca="false">'2025'!S77</f>
        <v>361</v>
      </c>
      <c r="AI11" s="68" t="n">
        <v>2015</v>
      </c>
      <c r="AJ11" s="68" t="n">
        <f aca="false">'2025'!P37</f>
        <v>9</v>
      </c>
      <c r="AK11" s="68"/>
      <c r="AL11" s="68"/>
      <c r="AM11" s="67" t="n">
        <f aca="false">(AJ11/$AJ$22)</f>
        <v>0.00986842105263158</v>
      </c>
    </row>
    <row r="12" customFormat="false" ht="12.75" hidden="false" customHeight="true" outlineLevel="0" collapsed="false">
      <c r="A12" s="73" t="s">
        <v>50</v>
      </c>
      <c r="B12" s="73"/>
      <c r="C12" s="73"/>
      <c r="D12" s="73"/>
      <c r="E12" s="74" t="n">
        <f aca="false">'2000'!$S$72</f>
        <v>22</v>
      </c>
      <c r="F12" s="74" t="n">
        <f aca="false">'2001'!$S$72</f>
        <v>23</v>
      </c>
      <c r="G12" s="74" t="n">
        <f aca="false">'2002'!$S$72</f>
        <v>12</v>
      </c>
      <c r="H12" s="74" t="n">
        <f aca="false">'2003'!$S$72</f>
        <v>9</v>
      </c>
      <c r="I12" s="74" t="n">
        <f aca="false">'2004'!$S$72</f>
        <v>23</v>
      </c>
      <c r="J12" s="74" t="n">
        <f aca="false">'2005'!$S$72</f>
        <v>12</v>
      </c>
      <c r="K12" s="74" t="n">
        <f aca="false">'2006'!$S$72</f>
        <v>13</v>
      </c>
      <c r="L12" s="74" t="n">
        <f aca="false">'2007'!$S$72</f>
        <v>17</v>
      </c>
      <c r="M12" s="74" t="n">
        <f aca="false">'2008'!$S$72</f>
        <v>15</v>
      </c>
      <c r="N12" s="74" t="n">
        <f aca="false">'2009'!$S$72</f>
        <v>5</v>
      </c>
      <c r="O12" s="74" t="n">
        <f aca="false">'2010'!$S$72</f>
        <v>3</v>
      </c>
      <c r="P12" s="74" t="n">
        <f aca="false">'2011'!$S$72</f>
        <v>10</v>
      </c>
      <c r="Q12" s="74" t="n">
        <f aca="false">'2012'!$S$72</f>
        <v>6</v>
      </c>
      <c r="R12" s="74" t="n">
        <f aca="false">'2013'!$S$72</f>
        <v>7</v>
      </c>
      <c r="S12" s="74" t="n">
        <f aca="false">'2014'!$S$72</f>
        <v>2</v>
      </c>
      <c r="T12" s="74" t="n">
        <f aca="false">'2015'!$S$72</f>
        <v>18</v>
      </c>
      <c r="U12" s="74" t="n">
        <f aca="false">'2016'!$S$72</f>
        <v>44</v>
      </c>
      <c r="V12" s="74" t="n">
        <f aca="false">'2017'!$S$72</f>
        <v>43</v>
      </c>
      <c r="W12" s="74" t="n">
        <f aca="false">'2018'!$S$72</f>
        <v>55</v>
      </c>
      <c r="X12" s="74" t="n">
        <f aca="false">'2019'!$S$72</f>
        <v>51</v>
      </c>
      <c r="Y12" s="74" t="n">
        <f aca="false">'2020'!$S$72</f>
        <v>5</v>
      </c>
      <c r="Z12" s="74" t="n">
        <f aca="false">'2021'!$S$73</f>
        <v>2</v>
      </c>
      <c r="AA12" s="74" t="n">
        <f aca="false">'2022'!S74</f>
        <v>0</v>
      </c>
      <c r="AB12" s="74" t="n">
        <f aca="false">'2023'!S76</f>
        <v>0</v>
      </c>
      <c r="AC12" s="74" t="n">
        <f aca="false">'2024'!S76</f>
        <v>1</v>
      </c>
      <c r="AD12" s="74" t="n">
        <f aca="false">'2025'!S78</f>
        <v>1</v>
      </c>
      <c r="AI12" s="66" t="n">
        <v>2016</v>
      </c>
      <c r="AJ12" s="66" t="n">
        <f aca="false">'2025'!P38</f>
        <v>23</v>
      </c>
      <c r="AK12" s="66"/>
      <c r="AL12" s="66"/>
      <c r="AM12" s="67" t="n">
        <f aca="false">(AJ12/$AJ$22)</f>
        <v>0.025219298245614</v>
      </c>
    </row>
    <row r="13" customFormat="false" ht="12.75" hidden="false" customHeight="true" outlineLevel="0" collapsed="false">
      <c r="A13" s="73" t="s">
        <v>51</v>
      </c>
      <c r="B13" s="73"/>
      <c r="C13" s="73"/>
      <c r="D13" s="73"/>
      <c r="E13" s="74" t="n">
        <f aca="false">'2000'!$S$73</f>
        <v>0</v>
      </c>
      <c r="F13" s="74" t="n">
        <f aca="false">'2001'!$S$73</f>
        <v>0</v>
      </c>
      <c r="G13" s="74" t="n">
        <f aca="false">'2002'!$S$73</f>
        <v>0</v>
      </c>
      <c r="H13" s="74" t="n">
        <f aca="false">'2003'!$S$73</f>
        <v>0</v>
      </c>
      <c r="I13" s="74" t="n">
        <f aca="false">'2004'!$S$73</f>
        <v>0</v>
      </c>
      <c r="J13" s="74" t="n">
        <f aca="false">'2005'!$S$73</f>
        <v>0</v>
      </c>
      <c r="K13" s="74" t="n">
        <f aca="false">'2006'!$S$73</f>
        <v>0</v>
      </c>
      <c r="L13" s="74" t="n">
        <f aca="false">'2007'!$S$73</f>
        <v>0</v>
      </c>
      <c r="M13" s="74" t="n">
        <f aca="false">'2008'!$S$73</f>
        <v>0</v>
      </c>
      <c r="N13" s="74" t="n">
        <f aca="false">'2009'!$S$73</f>
        <v>0</v>
      </c>
      <c r="O13" s="74" t="n">
        <f aca="false">'2010'!$S$73</f>
        <v>0</v>
      </c>
      <c r="P13" s="74" t="n">
        <f aca="false">'2011'!$S$73</f>
        <v>0</v>
      </c>
      <c r="Q13" s="74" t="n">
        <f aca="false">'2012'!$S$73</f>
        <v>0</v>
      </c>
      <c r="R13" s="74" t="n">
        <f aca="false">'2013'!$S$73</f>
        <v>0</v>
      </c>
      <c r="S13" s="74" t="n">
        <f aca="false">'2014'!$S$73</f>
        <v>0</v>
      </c>
      <c r="T13" s="74" t="n">
        <f aca="false">'2015'!$S$73</f>
        <v>0</v>
      </c>
      <c r="U13" s="74" t="n">
        <f aca="false">'2016'!$S$73</f>
        <v>0</v>
      </c>
      <c r="V13" s="74" t="n">
        <f aca="false">'2017'!$S$73</f>
        <v>0</v>
      </c>
      <c r="W13" s="74" t="n">
        <f aca="false">'2018'!$S$73</f>
        <v>0</v>
      </c>
      <c r="X13" s="74" t="n">
        <f aca="false">'2019'!$S$73</f>
        <v>5</v>
      </c>
      <c r="Y13" s="74" t="n">
        <f aca="false">'2020'!$S$73</f>
        <v>61</v>
      </c>
      <c r="Z13" s="74" t="n">
        <f aca="false">'2021'!$S$74</f>
        <v>61</v>
      </c>
      <c r="AA13" s="74" t="n">
        <f aca="false">'2022'!S75</f>
        <v>52</v>
      </c>
      <c r="AB13" s="74" t="n">
        <f aca="false">'2023'!S77+'2023'!S80</f>
        <v>48</v>
      </c>
      <c r="AC13" s="74" t="n">
        <f aca="false">'2024'!S77+'2024'!S80</f>
        <v>36</v>
      </c>
      <c r="AD13" s="74" t="n">
        <f aca="false">'2025'!S79+'2025'!S82</f>
        <v>68</v>
      </c>
      <c r="AI13" s="68" t="n">
        <v>2017</v>
      </c>
      <c r="AJ13" s="68" t="n">
        <f aca="false">'2025'!P39</f>
        <v>45</v>
      </c>
      <c r="AK13" s="68"/>
      <c r="AL13" s="68"/>
      <c r="AM13" s="67" t="n">
        <f aca="false">(AJ13/$AJ$22)</f>
        <v>0.0493421052631579</v>
      </c>
    </row>
    <row r="14" customFormat="false" ht="12.75" hidden="false" customHeight="true" outlineLevel="0" collapsed="false">
      <c r="A14" s="73" t="s">
        <v>52</v>
      </c>
      <c r="B14" s="73"/>
      <c r="C14" s="73"/>
      <c r="D14" s="73"/>
      <c r="E14" s="74" t="n">
        <f aca="false">'2000'!$S$74</f>
        <v>0</v>
      </c>
      <c r="F14" s="74" t="n">
        <f aca="false">'2001'!$S$74</f>
        <v>0</v>
      </c>
      <c r="G14" s="74" t="n">
        <f aca="false">'2002'!$S$74</f>
        <v>0</v>
      </c>
      <c r="H14" s="74" t="n">
        <f aca="false">'2003'!$S$74</f>
        <v>0</v>
      </c>
      <c r="I14" s="74" t="n">
        <f aca="false">'2004'!$S$74</f>
        <v>0</v>
      </c>
      <c r="J14" s="74" t="n">
        <f aca="false">'2005'!$S$74</f>
        <v>0</v>
      </c>
      <c r="K14" s="74" t="n">
        <f aca="false">'2006'!$S$74</f>
        <v>0</v>
      </c>
      <c r="L14" s="74" t="n">
        <f aca="false">'2007'!$S$74</f>
        <v>0</v>
      </c>
      <c r="M14" s="74" t="n">
        <f aca="false">'2008'!$S$74</f>
        <v>0</v>
      </c>
      <c r="N14" s="74" t="n">
        <f aca="false">'2009'!$S$74</f>
        <v>0</v>
      </c>
      <c r="O14" s="74" t="n">
        <f aca="false">'2010'!$S$74</f>
        <v>2</v>
      </c>
      <c r="P14" s="74" t="n">
        <f aca="false">'2011'!$S$74</f>
        <v>5</v>
      </c>
      <c r="Q14" s="74" t="n">
        <f aca="false">'2012'!$S$74</f>
        <v>11</v>
      </c>
      <c r="R14" s="74" t="n">
        <f aca="false">'2013'!$S$74</f>
        <v>3</v>
      </c>
      <c r="S14" s="74" t="n">
        <f aca="false">'2014'!$S$74</f>
        <v>5</v>
      </c>
      <c r="T14" s="74" t="n">
        <f aca="false">'2015'!$S$74</f>
        <v>12</v>
      </c>
      <c r="U14" s="74" t="n">
        <f aca="false">'2016'!$S$74</f>
        <v>4</v>
      </c>
      <c r="V14" s="74" t="n">
        <f aca="false">'2017'!$S$74</f>
        <v>6</v>
      </c>
      <c r="W14" s="74" t="n">
        <f aca="false">'2018'!$S$74</f>
        <v>6</v>
      </c>
      <c r="X14" s="74" t="n">
        <f aca="false">'2019'!$S$74</f>
        <v>2</v>
      </c>
      <c r="Y14" s="74" t="n">
        <f aca="false">'2020'!$S$74</f>
        <v>0</v>
      </c>
      <c r="Z14" s="74" t="n">
        <f aca="false">'2021'!$S$75</f>
        <v>0</v>
      </c>
      <c r="AA14" s="74" t="n">
        <f aca="false">'2022'!S76</f>
        <v>0</v>
      </c>
      <c r="AB14" s="74" t="n">
        <f aca="false">'2023'!S78</f>
        <v>0</v>
      </c>
      <c r="AC14" s="74" t="n">
        <f aca="false">'2024'!S78</f>
        <v>0</v>
      </c>
      <c r="AD14" s="74" t="n">
        <f aca="false">'2025'!S80</f>
        <v>1</v>
      </c>
      <c r="AI14" s="66" t="n">
        <v>2018</v>
      </c>
      <c r="AJ14" s="66" t="n">
        <f aca="false">'2025'!P40</f>
        <v>80</v>
      </c>
      <c r="AK14" s="66"/>
      <c r="AL14" s="66"/>
      <c r="AM14" s="67" t="n">
        <f aca="false">(AJ14/$AJ$22)</f>
        <v>0.087719298245614</v>
      </c>
    </row>
    <row r="15" customFormat="false" ht="12.75" hidden="false" customHeight="true" outlineLevel="0" collapsed="false">
      <c r="A15" s="73" t="s">
        <v>53</v>
      </c>
      <c r="B15" s="73"/>
      <c r="C15" s="73"/>
      <c r="D15" s="73"/>
      <c r="E15" s="74" t="n">
        <v>0</v>
      </c>
      <c r="F15" s="74" t="n">
        <v>0</v>
      </c>
      <c r="G15" s="74" t="n">
        <v>0</v>
      </c>
      <c r="H15" s="74" t="n">
        <v>0</v>
      </c>
      <c r="I15" s="74" t="n">
        <v>0</v>
      </c>
      <c r="J15" s="74" t="n">
        <v>0</v>
      </c>
      <c r="K15" s="74" t="n">
        <v>0</v>
      </c>
      <c r="L15" s="74" t="n">
        <v>0</v>
      </c>
      <c r="M15" s="74" t="n">
        <v>0</v>
      </c>
      <c r="N15" s="74" t="n">
        <v>0</v>
      </c>
      <c r="O15" s="74" t="n">
        <v>0</v>
      </c>
      <c r="P15" s="74" t="n">
        <v>0</v>
      </c>
      <c r="Q15" s="74" t="n">
        <v>0</v>
      </c>
      <c r="R15" s="74" t="n">
        <v>0</v>
      </c>
      <c r="S15" s="74" t="n">
        <v>0</v>
      </c>
      <c r="T15" s="74" t="n">
        <v>0</v>
      </c>
      <c r="U15" s="74" t="n">
        <v>0</v>
      </c>
      <c r="V15" s="74" t="n">
        <v>0</v>
      </c>
      <c r="W15" s="74" t="n">
        <f aca="false">'2018'!$S$75</f>
        <v>0</v>
      </c>
      <c r="X15" s="74" t="n">
        <f aca="false">'2019'!$S$75</f>
        <v>84</v>
      </c>
      <c r="Y15" s="74" t="n">
        <f aca="false">'2020'!$S$75</f>
        <v>162</v>
      </c>
      <c r="Z15" s="74" t="n">
        <f aca="false">'2021'!$S$76</f>
        <v>182</v>
      </c>
      <c r="AA15" s="74" t="n">
        <f aca="false">'2022'!S77</f>
        <v>272</v>
      </c>
      <c r="AB15" s="74" t="n">
        <f aca="false">'2023'!S79</f>
        <v>179</v>
      </c>
      <c r="AC15" s="74" t="n">
        <f aca="false">'2024'!S79</f>
        <v>195</v>
      </c>
      <c r="AD15" s="74" t="n">
        <f aca="false">'2025'!S81</f>
        <v>312</v>
      </c>
      <c r="AI15" s="68" t="n">
        <v>2019</v>
      </c>
      <c r="AJ15" s="68" t="n">
        <f aca="false">'2025'!P41</f>
        <v>111</v>
      </c>
      <c r="AK15" s="68"/>
      <c r="AL15" s="68"/>
      <c r="AM15" s="67" t="n">
        <f aca="false">(AJ15/$AJ$22)</f>
        <v>0.121710526315789</v>
      </c>
    </row>
    <row r="16" customFormat="false" ht="12.75" hidden="false" customHeight="true" outlineLevel="0" collapsed="false">
      <c r="A16" s="62" t="s">
        <v>54</v>
      </c>
      <c r="B16" s="62"/>
      <c r="C16" s="62"/>
      <c r="D16" s="62"/>
      <c r="E16" s="75" t="n">
        <f aca="false">SUM(E4:E15)</f>
        <v>82</v>
      </c>
      <c r="F16" s="75" t="n">
        <f aca="false">SUM(F4:F15)</f>
        <v>115</v>
      </c>
      <c r="G16" s="75" t="n">
        <f aca="false">SUM(G4:G15)</f>
        <v>53</v>
      </c>
      <c r="H16" s="75" t="n">
        <f aca="false">SUM(H4:H15)</f>
        <v>77</v>
      </c>
      <c r="I16" s="75" t="n">
        <f aca="false">SUM(I4:I15)</f>
        <v>84</v>
      </c>
      <c r="J16" s="75" t="n">
        <f aca="false">SUM(J4:J15)</f>
        <v>89</v>
      </c>
      <c r="K16" s="75" t="n">
        <f aca="false">SUM(K4:K15)</f>
        <v>109</v>
      </c>
      <c r="L16" s="75" t="n">
        <f aca="false">SUM(L4:L15)</f>
        <v>202</v>
      </c>
      <c r="M16" s="75" t="n">
        <f aca="false">SUM(M4:M15)</f>
        <v>191</v>
      </c>
      <c r="N16" s="75" t="n">
        <f aca="false">SUM(N4:N15)</f>
        <v>137</v>
      </c>
      <c r="O16" s="75" t="n">
        <f aca="false">SUM(O4:O15)</f>
        <v>104</v>
      </c>
      <c r="P16" s="75" t="n">
        <f aca="false">SUM(P4:P15)</f>
        <v>146</v>
      </c>
      <c r="Q16" s="75" t="n">
        <f aca="false">SUM(Q4:Q15)</f>
        <v>168</v>
      </c>
      <c r="R16" s="75" t="n">
        <f aca="false">SUM(R4:R15)</f>
        <v>110</v>
      </c>
      <c r="S16" s="75" t="n">
        <f aca="false">SUM(S4:S15)</f>
        <v>148</v>
      </c>
      <c r="T16" s="75" t="n">
        <f aca="false">SUM(T4:T15)</f>
        <v>139</v>
      </c>
      <c r="U16" s="75" t="n">
        <f aca="false">SUM(U4:U15)</f>
        <v>277</v>
      </c>
      <c r="V16" s="75" t="n">
        <f aca="false">SUM(V4:V15)</f>
        <v>404</v>
      </c>
      <c r="W16" s="75" t="n">
        <f aca="false">SUM(W4:W15)</f>
        <v>449</v>
      </c>
      <c r="X16" s="75" t="n">
        <f aca="false">SUM(X4:X15)</f>
        <v>475</v>
      </c>
      <c r="Y16" s="75" t="n">
        <f aca="false">SUM(Y4:Y15)</f>
        <v>493</v>
      </c>
      <c r="Z16" s="75" t="n">
        <f aca="false">SUM(Z4:Z15)</f>
        <v>562</v>
      </c>
      <c r="AA16" s="75" t="n">
        <f aca="false">SUM(AA4:AA15)</f>
        <v>652</v>
      </c>
      <c r="AB16" s="75" t="n">
        <f aca="false">SUM(AB4:AB15)</f>
        <v>555</v>
      </c>
      <c r="AC16" s="75" t="n">
        <f aca="false">SUM(AC4:AC15)</f>
        <v>663</v>
      </c>
      <c r="AD16" s="75" t="n">
        <f aca="false">SUM(AD4:AD15)</f>
        <v>912</v>
      </c>
      <c r="AI16" s="66" t="n">
        <v>2020</v>
      </c>
      <c r="AJ16" s="66" t="n">
        <f aca="false">'2025'!P42</f>
        <v>164</v>
      </c>
      <c r="AK16" s="66"/>
      <c r="AL16" s="66"/>
      <c r="AM16" s="67" t="n">
        <f aca="false">(AJ16/$AJ$22)</f>
        <v>0.179824561403509</v>
      </c>
    </row>
    <row r="17" customFormat="false" ht="12.75" hidden="false" customHeight="true" outlineLevel="0" collapsed="false">
      <c r="AI17" s="68" t="n">
        <v>2021</v>
      </c>
      <c r="AJ17" s="68" t="n">
        <f aca="false">'2025'!P43</f>
        <v>180</v>
      </c>
      <c r="AK17" s="68"/>
      <c r="AL17" s="68"/>
      <c r="AM17" s="67" t="n">
        <f aca="false">(AJ17/$AJ$22)</f>
        <v>0.197368421052632</v>
      </c>
    </row>
    <row r="18" customFormat="false" ht="12.75" hidden="false" customHeight="true" outlineLevel="0" collapsed="false">
      <c r="AI18" s="66" t="n">
        <v>2022</v>
      </c>
      <c r="AJ18" s="66" t="n">
        <f aca="false">'2025'!P44</f>
        <v>82</v>
      </c>
      <c r="AK18" s="66"/>
      <c r="AL18" s="66"/>
      <c r="AM18" s="67" t="n">
        <f aca="false">(AJ18/$AJ$22)</f>
        <v>0.0899122807017544</v>
      </c>
    </row>
    <row r="19" customFormat="false" ht="12.75" hidden="false" customHeight="true" outlineLevel="0" collapsed="false">
      <c r="A19" s="76" t="s">
        <v>55</v>
      </c>
      <c r="B19" s="76"/>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I19" s="68" t="n">
        <v>2023</v>
      </c>
      <c r="AJ19" s="68" t="n">
        <f aca="false">'2025'!P45</f>
        <v>73</v>
      </c>
      <c r="AK19" s="68"/>
      <c r="AL19" s="68"/>
      <c r="AM19" s="67" t="n">
        <f aca="false">(AJ19/$AJ$22)</f>
        <v>0.0800438596491228</v>
      </c>
    </row>
    <row r="20" customFormat="false" ht="12.75" hidden="false" customHeight="true" outlineLevel="0" collapsed="false">
      <c r="A20" s="76"/>
      <c r="B20" s="76"/>
      <c r="C20" s="76"/>
      <c r="D20" s="76"/>
      <c r="E20" s="76"/>
      <c r="F20" s="76"/>
      <c r="G20" s="76"/>
      <c r="H20" s="76"/>
      <c r="I20" s="76"/>
      <c r="J20" s="76"/>
      <c r="K20" s="76"/>
      <c r="L20" s="76"/>
      <c r="M20" s="76"/>
      <c r="N20" s="76"/>
      <c r="O20" s="76"/>
      <c r="P20" s="76"/>
      <c r="Q20" s="76"/>
      <c r="R20" s="76"/>
      <c r="S20" s="76"/>
      <c r="T20" s="76"/>
      <c r="U20" s="76"/>
      <c r="V20" s="76"/>
      <c r="W20" s="76"/>
      <c r="X20" s="76"/>
      <c r="Y20" s="76"/>
      <c r="Z20" s="76"/>
      <c r="AA20" s="76"/>
      <c r="AB20" s="76"/>
      <c r="AC20" s="76"/>
      <c r="AD20" s="76"/>
      <c r="AI20" s="66" t="n">
        <v>2024</v>
      </c>
      <c r="AJ20" s="66" t="n">
        <f aca="false">'2025'!P46</f>
        <v>124</v>
      </c>
      <c r="AK20" s="66"/>
      <c r="AL20" s="66"/>
      <c r="AM20" s="67" t="n">
        <f aca="false">(AJ20/$AJ$22)</f>
        <v>0.135964912280702</v>
      </c>
    </row>
    <row r="21" customFormat="false" ht="14.25" hidden="false" customHeight="true" outlineLevel="0" collapsed="false">
      <c r="A21" s="76"/>
      <c r="B21" s="76"/>
      <c r="C21" s="76"/>
      <c r="D21" s="76"/>
      <c r="E21" s="76"/>
      <c r="F21" s="76"/>
      <c r="G21" s="76"/>
      <c r="H21" s="76"/>
      <c r="I21" s="76"/>
      <c r="J21" s="76"/>
      <c r="K21" s="76"/>
      <c r="L21" s="76"/>
      <c r="M21" s="76"/>
      <c r="N21" s="76"/>
      <c r="O21" s="76"/>
      <c r="P21" s="76"/>
      <c r="Q21" s="76"/>
      <c r="R21" s="76"/>
      <c r="S21" s="76"/>
      <c r="T21" s="76"/>
      <c r="U21" s="76"/>
      <c r="V21" s="76"/>
      <c r="W21" s="76"/>
      <c r="X21" s="76"/>
      <c r="Y21" s="76"/>
      <c r="Z21" s="76"/>
      <c r="AA21" s="76"/>
      <c r="AB21" s="76"/>
      <c r="AC21" s="76"/>
      <c r="AD21" s="76"/>
      <c r="AI21" s="68" t="n">
        <v>2025</v>
      </c>
      <c r="AJ21" s="68" t="n">
        <f aca="false">'2025'!P47</f>
        <v>8</v>
      </c>
      <c r="AK21" s="68"/>
      <c r="AL21" s="68"/>
      <c r="AM21" s="67" t="n">
        <f aca="false">(AJ21/$AJ$22)</f>
        <v>0.0087719298245614</v>
      </c>
    </row>
    <row r="22" customFormat="false" ht="13.5" hidden="false" customHeight="true" outlineLevel="0" collapsed="false">
      <c r="A22" s="76"/>
      <c r="B22" s="76"/>
      <c r="C22" s="76"/>
      <c r="D22" s="76"/>
      <c r="E22" s="76"/>
      <c r="F22" s="76"/>
      <c r="G22" s="76"/>
      <c r="H22" s="76"/>
      <c r="I22" s="76"/>
      <c r="J22" s="76"/>
      <c r="K22" s="76"/>
      <c r="L22" s="76"/>
      <c r="M22" s="76"/>
      <c r="N22" s="76"/>
      <c r="O22" s="76"/>
      <c r="P22" s="76"/>
      <c r="Q22" s="76"/>
      <c r="R22" s="76"/>
      <c r="S22" s="76"/>
      <c r="T22" s="76"/>
      <c r="U22" s="76"/>
      <c r="V22" s="76"/>
      <c r="W22" s="76"/>
      <c r="X22" s="76"/>
      <c r="Y22" s="76"/>
      <c r="Z22" s="76"/>
      <c r="AA22" s="76"/>
      <c r="AB22" s="76"/>
      <c r="AC22" s="76"/>
      <c r="AD22" s="76"/>
      <c r="AI22" s="62" t="s">
        <v>56</v>
      </c>
      <c r="AJ22" s="62" t="n">
        <f aca="false">SUM(AJ4:AL21)</f>
        <v>912</v>
      </c>
      <c r="AK22" s="62"/>
      <c r="AL22" s="62"/>
      <c r="AM22" s="77" t="n">
        <f aca="false">(AJ22/$AJ$22)</f>
        <v>1</v>
      </c>
    </row>
    <row r="23" customFormat="false" ht="15.75" hidden="false" customHeight="true" outlineLevel="0" collapsed="false">
      <c r="A23" s="62" t="s">
        <v>38</v>
      </c>
      <c r="B23" s="62"/>
      <c r="C23" s="62"/>
      <c r="D23" s="62"/>
      <c r="E23" s="62" t="n">
        <v>2000</v>
      </c>
      <c r="F23" s="62" t="n">
        <v>2001</v>
      </c>
      <c r="G23" s="62" t="n">
        <v>2002</v>
      </c>
      <c r="H23" s="62" t="n">
        <v>2003</v>
      </c>
      <c r="I23" s="62" t="n">
        <v>2004</v>
      </c>
      <c r="J23" s="62" t="n">
        <v>2005</v>
      </c>
      <c r="K23" s="62" t="n">
        <v>2006</v>
      </c>
      <c r="L23" s="62" t="n">
        <v>2007</v>
      </c>
      <c r="M23" s="62" t="n">
        <v>2008</v>
      </c>
      <c r="N23" s="62" t="n">
        <v>2009</v>
      </c>
      <c r="O23" s="62" t="n">
        <v>2010</v>
      </c>
      <c r="P23" s="62" t="n">
        <v>2011</v>
      </c>
      <c r="Q23" s="62" t="n">
        <v>2012</v>
      </c>
      <c r="R23" s="62" t="n">
        <v>2013</v>
      </c>
      <c r="S23" s="62" t="n">
        <v>2014</v>
      </c>
      <c r="T23" s="62" t="n">
        <v>2015</v>
      </c>
      <c r="U23" s="62" t="n">
        <v>2016</v>
      </c>
      <c r="V23" s="62" t="n">
        <v>2017</v>
      </c>
      <c r="W23" s="62" t="n">
        <v>2018</v>
      </c>
      <c r="X23" s="62" t="n">
        <v>2019</v>
      </c>
      <c r="Y23" s="62" t="n">
        <v>2020</v>
      </c>
      <c r="Z23" s="62" t="n">
        <v>2021</v>
      </c>
      <c r="AA23" s="62" t="n">
        <v>2022</v>
      </c>
      <c r="AB23" s="62" t="n">
        <v>2023</v>
      </c>
      <c r="AC23" s="62" t="n">
        <v>2024</v>
      </c>
      <c r="AD23" s="78" t="n">
        <v>2025</v>
      </c>
    </row>
    <row r="24" customFormat="false" ht="15.75" hidden="false" customHeight="true" outlineLevel="0" collapsed="false">
      <c r="A24" s="64" t="s">
        <v>57</v>
      </c>
      <c r="B24" s="64"/>
      <c r="C24" s="64"/>
      <c r="D24" s="64"/>
      <c r="E24" s="65" t="n">
        <f aca="false">'2000'!$S$81</f>
        <v>0</v>
      </c>
      <c r="F24" s="65" t="n">
        <f aca="false">'2001'!$S$81</f>
        <v>2</v>
      </c>
      <c r="G24" s="65" t="n">
        <f aca="false">'2002'!$S$81</f>
        <v>1</v>
      </c>
      <c r="H24" s="65" t="n">
        <f aca="false">'2003'!$S$81</f>
        <v>2</v>
      </c>
      <c r="I24" s="65" t="n">
        <f aca="false">'2004'!$S$81</f>
        <v>0</v>
      </c>
      <c r="J24" s="65" t="n">
        <f aca="false">'2005'!$S$81</f>
        <v>1</v>
      </c>
      <c r="K24" s="65" t="n">
        <f aca="false">'2006'!$S$81</f>
        <v>3</v>
      </c>
      <c r="L24" s="65" t="n">
        <f aca="false">'2007'!$S$81</f>
        <v>3</v>
      </c>
      <c r="M24" s="65" t="n">
        <f aca="false">'2008'!$S$81</f>
        <v>4</v>
      </c>
      <c r="N24" s="65" t="n">
        <f aca="false">'2009'!$S$81</f>
        <v>2</v>
      </c>
      <c r="O24" s="65" t="n">
        <f aca="false">'2010'!$S$81</f>
        <v>9</v>
      </c>
      <c r="P24" s="65" t="n">
        <f aca="false">'2011'!$S$81</f>
        <v>6</v>
      </c>
      <c r="Q24" s="65" t="n">
        <f aca="false">'2012'!$S$81</f>
        <v>3</v>
      </c>
      <c r="R24" s="65" t="n">
        <f aca="false">'2013'!$S$81</f>
        <v>6</v>
      </c>
      <c r="S24" s="65" t="n">
        <f aca="false">'2014'!$S$81</f>
        <v>3</v>
      </c>
      <c r="T24" s="65" t="n">
        <f aca="false">'2015'!$S$81</f>
        <v>5</v>
      </c>
      <c r="U24" s="65" t="n">
        <f aca="false">'2016'!$S$81</f>
        <v>14</v>
      </c>
      <c r="V24" s="65" t="n">
        <f aca="false">'2017'!$S$81</f>
        <v>13</v>
      </c>
      <c r="W24" s="65" t="n">
        <f aca="false">'2018'!$S$81</f>
        <v>6</v>
      </c>
      <c r="X24" s="65" t="n">
        <f aca="false">'2019'!$S$81</f>
        <v>14</v>
      </c>
      <c r="Y24" s="65" t="n">
        <f aca="false">'2020'!$S$81</f>
        <v>16</v>
      </c>
      <c r="Z24" s="65" t="n">
        <f aca="false">'2021'!$S$82</f>
        <v>4</v>
      </c>
      <c r="AA24" s="65" t="n">
        <f aca="false">'2022'!S83</f>
        <v>20</v>
      </c>
      <c r="AB24" s="65" t="n">
        <f aca="false">'2023'!S86</f>
        <v>8</v>
      </c>
      <c r="AC24" s="65" t="n">
        <f aca="false">'2024'!S86</f>
        <v>12</v>
      </c>
      <c r="AD24" s="65" t="n">
        <f aca="false">'2025'!S88</f>
        <v>10</v>
      </c>
    </row>
    <row r="25" customFormat="false" ht="13.5" hidden="false" customHeight="true" outlineLevel="0" collapsed="false">
      <c r="A25" s="69" t="s">
        <v>58</v>
      </c>
      <c r="B25" s="69"/>
      <c r="C25" s="69"/>
      <c r="D25" s="69"/>
      <c r="E25" s="70" t="n">
        <f aca="false">'2000'!$S$82</f>
        <v>33</v>
      </c>
      <c r="F25" s="70" t="n">
        <f aca="false">'2001'!$S$82</f>
        <v>48</v>
      </c>
      <c r="G25" s="70" t="n">
        <f aca="false">'2002'!$S$82</f>
        <v>21</v>
      </c>
      <c r="H25" s="70" t="n">
        <f aca="false">'2003'!$S$82</f>
        <v>19</v>
      </c>
      <c r="I25" s="70" t="n">
        <f aca="false">'2004'!$S$82</f>
        <v>33</v>
      </c>
      <c r="J25" s="70" t="n">
        <f aca="false">'2005'!$S$82</f>
        <v>28</v>
      </c>
      <c r="K25" s="70" t="n">
        <f aca="false">'2006'!$S$82</f>
        <v>49</v>
      </c>
      <c r="L25" s="70" t="n">
        <f aca="false">'2007'!$S$82</f>
        <v>83</v>
      </c>
      <c r="M25" s="70" t="n">
        <f aca="false">'2008'!$S$82</f>
        <v>95</v>
      </c>
      <c r="N25" s="70" t="n">
        <f aca="false">'2009'!$S$82</f>
        <v>79</v>
      </c>
      <c r="O25" s="70" t="n">
        <f aca="false">'2010'!$S$82</f>
        <v>41</v>
      </c>
      <c r="P25" s="70" t="n">
        <f aca="false">'2011'!$S$82</f>
        <v>67</v>
      </c>
      <c r="Q25" s="70" t="n">
        <f aca="false">'2012'!$S$82</f>
        <v>89</v>
      </c>
      <c r="R25" s="70" t="n">
        <f aca="false">'2013'!$S$82</f>
        <v>51</v>
      </c>
      <c r="S25" s="70" t="n">
        <f aca="false">'2014'!$S$82</f>
        <v>65</v>
      </c>
      <c r="T25" s="70" t="n">
        <f aca="false">'2015'!$S$82</f>
        <v>52</v>
      </c>
      <c r="U25" s="70" t="n">
        <f aca="false">'2016'!$S$82</f>
        <v>122</v>
      </c>
      <c r="V25" s="70" t="n">
        <f aca="false">'2017'!$S$82</f>
        <v>202</v>
      </c>
      <c r="W25" s="70" t="n">
        <f aca="false">'2018'!$S$82</f>
        <v>228</v>
      </c>
      <c r="X25" s="70" t="n">
        <f aca="false">'2019'!$S$82</f>
        <v>233</v>
      </c>
      <c r="Y25" s="70" t="n">
        <f aca="false">'2020'!$S$82</f>
        <v>235</v>
      </c>
      <c r="Z25" s="70" t="n">
        <f aca="false">'2021'!$S$83</f>
        <v>273</v>
      </c>
      <c r="AA25" s="70" t="n">
        <f aca="false">'2022'!S84</f>
        <v>254</v>
      </c>
      <c r="AB25" s="70" t="n">
        <f aca="false">'2023'!S87</f>
        <v>237</v>
      </c>
      <c r="AC25" s="70" t="n">
        <f aca="false">'2024'!S87</f>
        <v>278</v>
      </c>
      <c r="AD25" s="70" t="n">
        <f aca="false">'2025'!S89</f>
        <v>382</v>
      </c>
      <c r="AI25" s="79" t="s">
        <v>59</v>
      </c>
      <c r="AJ25" s="79"/>
      <c r="AK25" s="79"/>
      <c r="AL25" s="79"/>
      <c r="AM25" s="79"/>
    </row>
    <row r="26" customFormat="false" ht="13.5" hidden="false" customHeight="true" outlineLevel="0" collapsed="false">
      <c r="A26" s="71" t="s">
        <v>60</v>
      </c>
      <c r="B26" s="71"/>
      <c r="C26" s="71"/>
      <c r="D26" s="71"/>
      <c r="E26" s="72" t="n">
        <f aca="false">'2000'!$S$83</f>
        <v>41</v>
      </c>
      <c r="F26" s="72" t="n">
        <f aca="false">'2001'!$S$83</f>
        <v>51</v>
      </c>
      <c r="G26" s="72" t="n">
        <f aca="false">'2002'!$S$83</f>
        <v>25</v>
      </c>
      <c r="H26" s="72" t="n">
        <f aca="false">'2003'!$S$83</f>
        <v>49</v>
      </c>
      <c r="I26" s="72" t="n">
        <f aca="false">'2004'!$S$83</f>
        <v>41</v>
      </c>
      <c r="J26" s="72" t="n">
        <f aca="false">'2005'!$S$83</f>
        <v>48</v>
      </c>
      <c r="K26" s="72" t="n">
        <f aca="false">'2006'!$S$83</f>
        <v>45</v>
      </c>
      <c r="L26" s="72" t="n">
        <f aca="false">'2007'!$S$83</f>
        <v>100</v>
      </c>
      <c r="M26" s="72" t="n">
        <f aca="false">'2008'!$S$83</f>
        <v>81</v>
      </c>
      <c r="N26" s="72" t="n">
        <f aca="false">'2009'!$S$83</f>
        <v>49</v>
      </c>
      <c r="O26" s="72" t="n">
        <f aca="false">'2010'!$S$83</f>
        <v>50</v>
      </c>
      <c r="P26" s="72" t="n">
        <f aca="false">'2011'!$S$83</f>
        <v>56</v>
      </c>
      <c r="Q26" s="72" t="n">
        <f aca="false">'2012'!$S$83</f>
        <v>59</v>
      </c>
      <c r="R26" s="72" t="n">
        <f aca="false">'2013'!$S$83</f>
        <v>41</v>
      </c>
      <c r="S26" s="72" t="n">
        <f aca="false">'2014'!$S$83</f>
        <v>70</v>
      </c>
      <c r="T26" s="72" t="n">
        <f aca="false">'2015'!$S$83</f>
        <v>50</v>
      </c>
      <c r="U26" s="72" t="n">
        <f aca="false">'2016'!$S$83</f>
        <v>102</v>
      </c>
      <c r="V26" s="72" t="n">
        <f aca="false">'2017'!$S$83</f>
        <v>141</v>
      </c>
      <c r="W26" s="72" t="n">
        <f aca="false">'2018'!$S$83</f>
        <v>163</v>
      </c>
      <c r="X26" s="72" t="n">
        <f aca="false">'2019'!$S$83</f>
        <v>183</v>
      </c>
      <c r="Y26" s="72" t="n">
        <f aca="false">'2020'!$S$83</f>
        <v>143</v>
      </c>
      <c r="Z26" s="72" t="n">
        <f aca="false">'2021'!$S$84</f>
        <v>190</v>
      </c>
      <c r="AA26" s="72" t="n">
        <f aca="false">'2022'!S85</f>
        <v>226</v>
      </c>
      <c r="AB26" s="72" t="n">
        <f aca="false">'2023'!S88</f>
        <v>201</v>
      </c>
      <c r="AC26" s="72" t="n">
        <f aca="false">'2024'!S88</f>
        <v>255</v>
      </c>
      <c r="AD26" s="72" t="n">
        <f aca="false">'2025'!S90</f>
        <v>326</v>
      </c>
      <c r="AI26" s="79"/>
      <c r="AJ26" s="79"/>
      <c r="AK26" s="79"/>
      <c r="AL26" s="79"/>
      <c r="AM26" s="79"/>
    </row>
    <row r="27" customFormat="false" ht="14.25" hidden="false" customHeight="true" outlineLevel="0" collapsed="false">
      <c r="A27" s="73" t="s">
        <v>61</v>
      </c>
      <c r="B27" s="73"/>
      <c r="C27" s="73"/>
      <c r="D27" s="73"/>
      <c r="E27" s="74" t="n">
        <f aca="false">'2000'!$S$84</f>
        <v>8</v>
      </c>
      <c r="F27" s="74" t="n">
        <f aca="false">'2001'!$S$84</f>
        <v>14</v>
      </c>
      <c r="G27" s="74" t="n">
        <f aca="false">'2002'!$S$84</f>
        <v>6</v>
      </c>
      <c r="H27" s="74" t="n">
        <f aca="false">'2003'!$S$84</f>
        <v>7</v>
      </c>
      <c r="I27" s="74" t="n">
        <f aca="false">'2004'!$S$84</f>
        <v>10</v>
      </c>
      <c r="J27" s="74" t="n">
        <f aca="false">'2005'!$S$84</f>
        <v>12</v>
      </c>
      <c r="K27" s="74" t="n">
        <f aca="false">'2006'!$S$84</f>
        <v>12</v>
      </c>
      <c r="L27" s="74" t="n">
        <f aca="false">'2007'!$S$84</f>
        <v>16</v>
      </c>
      <c r="M27" s="74" t="n">
        <f aca="false">'2008'!$S$84</f>
        <v>11</v>
      </c>
      <c r="N27" s="74" t="n">
        <f aca="false">'2009'!$S$84</f>
        <v>7</v>
      </c>
      <c r="O27" s="74" t="n">
        <f aca="false">'2010'!$S$84</f>
        <v>4</v>
      </c>
      <c r="P27" s="74" t="n">
        <f aca="false">'2011'!$S$84</f>
        <v>17</v>
      </c>
      <c r="Q27" s="74" t="n">
        <f aca="false">'2012'!$S$84</f>
        <v>17</v>
      </c>
      <c r="R27" s="74" t="n">
        <f aca="false">'2013'!$S$84</f>
        <v>12</v>
      </c>
      <c r="S27" s="74" t="n">
        <f aca="false">'2014'!$S$84</f>
        <v>10</v>
      </c>
      <c r="T27" s="74" t="n">
        <f aca="false">'2015'!$S$84</f>
        <v>32</v>
      </c>
      <c r="U27" s="74" t="n">
        <f aca="false">'2016'!$S$84</f>
        <v>39</v>
      </c>
      <c r="V27" s="74" t="n">
        <f aca="false">'2017'!$S$84</f>
        <v>48</v>
      </c>
      <c r="W27" s="74" t="n">
        <f aca="false">'2018'!$S$84</f>
        <v>52</v>
      </c>
      <c r="X27" s="74" t="n">
        <f aca="false">'2019'!$S$84</f>
        <v>45</v>
      </c>
      <c r="Y27" s="74" t="n">
        <f aca="false">'2020'!$S$84</f>
        <v>99</v>
      </c>
      <c r="Z27" s="74" t="n">
        <f aca="false">'2021'!$S$85</f>
        <v>95</v>
      </c>
      <c r="AA27" s="74" t="n">
        <f aca="false">'2022'!S86</f>
        <v>152</v>
      </c>
      <c r="AB27" s="74" t="n">
        <f aca="false">'2023'!S89</f>
        <v>109</v>
      </c>
      <c r="AC27" s="74" t="n">
        <f aca="false">'2024'!S89</f>
        <v>118</v>
      </c>
      <c r="AD27" s="74" t="n">
        <f aca="false">'2025'!S91</f>
        <v>194</v>
      </c>
      <c r="AI27" s="62" t="s">
        <v>62</v>
      </c>
      <c r="AJ27" s="62" t="s">
        <v>40</v>
      </c>
      <c r="AK27" s="62"/>
      <c r="AL27" s="62"/>
      <c r="AM27" s="62" t="s">
        <v>41</v>
      </c>
    </row>
    <row r="28" customFormat="false" ht="12.75" hidden="false" customHeight="true" outlineLevel="0" collapsed="false">
      <c r="A28" s="62" t="s">
        <v>54</v>
      </c>
      <c r="B28" s="62"/>
      <c r="C28" s="62"/>
      <c r="D28" s="62"/>
      <c r="E28" s="75" t="n">
        <f aca="false">SUM(E24:E27)</f>
        <v>82</v>
      </c>
      <c r="F28" s="75" t="n">
        <f aca="false">SUM(F24:F27)</f>
        <v>115</v>
      </c>
      <c r="G28" s="75" t="n">
        <f aca="false">SUM(G24:G27)</f>
        <v>53</v>
      </c>
      <c r="H28" s="75" t="n">
        <f aca="false">SUM(H24:H27)</f>
        <v>77</v>
      </c>
      <c r="I28" s="75" t="n">
        <f aca="false">SUM(I24:I27)</f>
        <v>84</v>
      </c>
      <c r="J28" s="75" t="n">
        <f aca="false">SUM(J24:J27)</f>
        <v>89</v>
      </c>
      <c r="K28" s="75" t="n">
        <f aca="false">SUM(K24:K27)</f>
        <v>109</v>
      </c>
      <c r="L28" s="75" t="n">
        <f aca="false">SUM(L24:L27)</f>
        <v>202</v>
      </c>
      <c r="M28" s="75" t="n">
        <f aca="false">SUM(M24:M27)</f>
        <v>191</v>
      </c>
      <c r="N28" s="75" t="n">
        <f aca="false">SUM(N24:N27)</f>
        <v>137</v>
      </c>
      <c r="O28" s="75" t="n">
        <f aca="false">SUM(O24:O27)</f>
        <v>104</v>
      </c>
      <c r="P28" s="75" t="n">
        <f aca="false">SUM(P24:P27)</f>
        <v>146</v>
      </c>
      <c r="Q28" s="75" t="n">
        <f aca="false">SUM(Q24:Q27)</f>
        <v>168</v>
      </c>
      <c r="R28" s="75" t="n">
        <f aca="false">SUM(R24:R27)</f>
        <v>110</v>
      </c>
      <c r="S28" s="75" t="n">
        <f aca="false">SUM(S24:S27)</f>
        <v>148</v>
      </c>
      <c r="T28" s="75" t="n">
        <f aca="false">SUM(T24:T27)</f>
        <v>139</v>
      </c>
      <c r="U28" s="75" t="n">
        <f aca="false">SUM(U24:U27)</f>
        <v>277</v>
      </c>
      <c r="V28" s="75" t="n">
        <f aca="false">SUM(V24:V27)</f>
        <v>404</v>
      </c>
      <c r="W28" s="75" t="n">
        <f aca="false">SUM(W24:W27)</f>
        <v>449</v>
      </c>
      <c r="X28" s="75" t="n">
        <f aca="false">SUM(X24:X27)</f>
        <v>475</v>
      </c>
      <c r="Y28" s="75" t="n">
        <f aca="false">SUM(Y24:Y27)</f>
        <v>493</v>
      </c>
      <c r="Z28" s="75" t="n">
        <f aca="false">SUM(Z24:Z27)</f>
        <v>562</v>
      </c>
      <c r="AA28" s="75" t="n">
        <f aca="false">SUM(AA24:AA27)</f>
        <v>652</v>
      </c>
      <c r="AB28" s="75" t="n">
        <f aca="false">SUM(AB24:AB27)</f>
        <v>555</v>
      </c>
      <c r="AC28" s="75" t="n">
        <f aca="false">SUM(AC24:AC27)</f>
        <v>663</v>
      </c>
      <c r="AD28" s="75" t="n">
        <f aca="false">SUM(AD24:AD27)</f>
        <v>912</v>
      </c>
      <c r="AI28" s="68" t="s">
        <v>63</v>
      </c>
      <c r="AJ28" s="68" t="n">
        <f aca="false">'2025'!P53</f>
        <v>42</v>
      </c>
      <c r="AK28" s="68"/>
      <c r="AL28" s="68"/>
      <c r="AM28" s="80" t="n">
        <f aca="false">(AJ28/AJ40)</f>
        <v>0.0460526315789474</v>
      </c>
    </row>
    <row r="29" customFormat="false" ht="12.75" hidden="false" customHeight="true" outlineLevel="0" collapsed="false">
      <c r="AI29" s="66" t="s">
        <v>64</v>
      </c>
      <c r="AJ29" s="66" t="n">
        <f aca="false">'2025'!P54</f>
        <v>73</v>
      </c>
      <c r="AK29" s="66"/>
      <c r="AL29" s="66"/>
      <c r="AM29" s="67" t="n">
        <f aca="false">(AJ29/AJ40)</f>
        <v>0.0800438596491228</v>
      </c>
    </row>
    <row r="30" customFormat="false" ht="12.75" hidden="false" customHeight="true" outlineLevel="0" collapsed="false">
      <c r="A30" s="81" t="s">
        <v>65</v>
      </c>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2"/>
      <c r="AI30" s="68" t="s">
        <v>66</v>
      </c>
      <c r="AJ30" s="68" t="n">
        <f aca="false">'2025'!P55</f>
        <v>43</v>
      </c>
      <c r="AK30" s="68"/>
      <c r="AL30" s="68"/>
      <c r="AM30" s="80" t="n">
        <f aca="false">(AJ30/AJ40)</f>
        <v>0.0471491228070175</v>
      </c>
    </row>
    <row r="31" customFormat="false" ht="13.5" hidden="false" customHeight="true" outlineLevel="0" collapsed="false">
      <c r="A31" s="81"/>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2"/>
      <c r="AI31" s="66" t="s">
        <v>67</v>
      </c>
      <c r="AJ31" s="66" t="n">
        <f aca="false">'2025'!P56</f>
        <v>63</v>
      </c>
      <c r="AK31" s="66"/>
      <c r="AL31" s="66"/>
      <c r="AM31" s="67" t="n">
        <f aca="false">(AJ31/AJ40)</f>
        <v>0.0690789473684211</v>
      </c>
    </row>
    <row r="32" customFormat="false" ht="14.25" hidden="false" customHeight="true" outlineLevel="0" collapsed="false">
      <c r="A32" s="81"/>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2"/>
      <c r="AI32" s="68" t="s">
        <v>68</v>
      </c>
      <c r="AJ32" s="68" t="n">
        <f aca="false">'2025'!P57</f>
        <v>114</v>
      </c>
      <c r="AK32" s="68"/>
      <c r="AL32" s="68"/>
      <c r="AM32" s="80" t="n">
        <f aca="false">(AJ32/AJ40)</f>
        <v>0.125</v>
      </c>
    </row>
    <row r="33" customFormat="false" ht="12.75" hidden="false" customHeight="true" outlineLevel="0" collapsed="false">
      <c r="A33" s="62" t="s">
        <v>69</v>
      </c>
      <c r="B33" s="62"/>
      <c r="C33" s="62"/>
      <c r="D33" s="62"/>
      <c r="E33" s="62" t="n">
        <v>2000</v>
      </c>
      <c r="F33" s="62" t="n">
        <v>2001</v>
      </c>
      <c r="G33" s="62" t="n">
        <v>2002</v>
      </c>
      <c r="H33" s="62" t="n">
        <v>2003</v>
      </c>
      <c r="I33" s="62" t="n">
        <v>2004</v>
      </c>
      <c r="J33" s="62" t="n">
        <v>2005</v>
      </c>
      <c r="K33" s="62" t="n">
        <v>2006</v>
      </c>
      <c r="L33" s="62" t="n">
        <v>2007</v>
      </c>
      <c r="M33" s="62" t="n">
        <v>2008</v>
      </c>
      <c r="N33" s="62" t="n">
        <v>2009</v>
      </c>
      <c r="O33" s="62" t="n">
        <v>2010</v>
      </c>
      <c r="P33" s="62" t="n">
        <v>2011</v>
      </c>
      <c r="Q33" s="62" t="n">
        <v>2012</v>
      </c>
      <c r="R33" s="62" t="n">
        <v>2013</v>
      </c>
      <c r="S33" s="62" t="n">
        <v>2014</v>
      </c>
      <c r="T33" s="62" t="n">
        <v>2015</v>
      </c>
      <c r="U33" s="62" t="n">
        <v>2016</v>
      </c>
      <c r="V33" s="62" t="n">
        <v>2017</v>
      </c>
      <c r="W33" s="62" t="n">
        <v>2018</v>
      </c>
      <c r="X33" s="62" t="n">
        <v>2019</v>
      </c>
      <c r="Y33" s="62" t="n">
        <v>2020</v>
      </c>
      <c r="Z33" s="62" t="n">
        <v>2021</v>
      </c>
      <c r="AA33" s="62" t="n">
        <v>2022</v>
      </c>
      <c r="AB33" s="62" t="n">
        <v>2023</v>
      </c>
      <c r="AC33" s="62" t="n">
        <v>2024</v>
      </c>
      <c r="AD33" s="83" t="n">
        <v>2025</v>
      </c>
      <c r="AI33" s="66" t="s">
        <v>70</v>
      </c>
      <c r="AJ33" s="66" t="n">
        <f aca="false">'2025'!P58</f>
        <v>80</v>
      </c>
      <c r="AK33" s="66"/>
      <c r="AL33" s="66"/>
      <c r="AM33" s="67" t="n">
        <f aca="false">(AJ33/AJ40)</f>
        <v>0.087719298245614</v>
      </c>
    </row>
    <row r="34" customFormat="false" ht="12.75" hidden="false" customHeight="true" outlineLevel="0" collapsed="false">
      <c r="A34" s="84" t="s">
        <v>71</v>
      </c>
      <c r="B34" s="84"/>
      <c r="C34" s="84"/>
      <c r="D34" s="84"/>
      <c r="E34" s="85" t="n">
        <f aca="false">'2000'!$P$90/30</f>
        <v>50.1368421052632</v>
      </c>
      <c r="F34" s="85" t="n">
        <f aca="false">'2001'!$P$90/30</f>
        <v>31.7217391304348</v>
      </c>
      <c r="G34" s="85" t="n">
        <f aca="false">'2002'!$P$90/30</f>
        <v>45.2358974358974</v>
      </c>
      <c r="H34" s="85" t="n">
        <f aca="false">'2003'!$P$90/30</f>
        <v>36.5253968253968</v>
      </c>
      <c r="I34" s="85" t="n">
        <f aca="false">'2004'!$P$90/30</f>
        <v>37.3079365079365</v>
      </c>
      <c r="J34" s="85" t="n">
        <f aca="false">'2005'!$P$91/30</f>
        <v>36.1246376811594</v>
      </c>
      <c r="K34" s="85" t="n">
        <f aca="false">'2006'!$P$90/30</f>
        <v>42.9555555555556</v>
      </c>
      <c r="L34" s="85" t="n">
        <f aca="false">'2007'!$P$90/30</f>
        <v>71.7333333333333</v>
      </c>
      <c r="M34" s="85" t="n">
        <f aca="false">'2008'!$P$90/30</f>
        <v>50.7555555555556</v>
      </c>
      <c r="N34" s="85" t="n">
        <f aca="false">'2009'!$P$90/30</f>
        <v>37.5</v>
      </c>
      <c r="O34" s="85" t="n">
        <f aca="false">'2010'!$P$90/30</f>
        <v>59.6666666666667</v>
      </c>
      <c r="P34" s="85" t="e">
        <f aca="false">#N/A</f>
        <v>#N/A</v>
      </c>
      <c r="Q34" s="85" t="e">
        <f aca="false">#N/A</f>
        <v>#N/A</v>
      </c>
      <c r="R34" s="85" t="n">
        <f aca="false">'2013'!$P$90/30</f>
        <v>81.2</v>
      </c>
      <c r="S34" s="85" t="e">
        <f aca="false">#N/A</f>
        <v>#N/A</v>
      </c>
      <c r="T34" s="85" t="e">
        <f aca="false">#N/A</f>
        <v>#N/A</v>
      </c>
      <c r="U34" s="85" t="n">
        <f aca="false">'2016'!$P$90/30</f>
        <v>103.6</v>
      </c>
      <c r="V34" s="85" t="e">
        <f aca="false">#N/A</f>
        <v>#N/A</v>
      </c>
      <c r="W34" s="85" t="e">
        <f aca="false">#N/A</f>
        <v>#N/A</v>
      </c>
      <c r="X34" s="85" t="n">
        <f aca="false">'2019'!$P$90/30</f>
        <v>62.7666666666667</v>
      </c>
      <c r="Y34" s="85" t="n">
        <f aca="false">'2020'!$P$90/30</f>
        <v>97.0888888888889</v>
      </c>
      <c r="Z34" s="85" t="n">
        <f aca="false">'2021'!$P$91/30</f>
        <v>85.6666666666667</v>
      </c>
      <c r="AA34" s="85" t="e">
        <f aca="false">#N/A</f>
        <v>#N/A</v>
      </c>
      <c r="AB34" s="85" t="e">
        <f aca="false">#N/A</f>
        <v>#N/A</v>
      </c>
      <c r="AC34" s="86" t="e">
        <f aca="false">#N/A</f>
        <v>#N/A</v>
      </c>
      <c r="AD34" s="87" t="n">
        <f aca="false">'2025'!P97/30</f>
        <v>17.6666666666667</v>
      </c>
      <c r="AE34" s="88"/>
      <c r="AI34" s="68" t="s">
        <v>72</v>
      </c>
      <c r="AJ34" s="68" t="n">
        <f aca="false">'2025'!P59</f>
        <v>45</v>
      </c>
      <c r="AK34" s="68"/>
      <c r="AL34" s="68"/>
      <c r="AM34" s="80" t="n">
        <f aca="false">(AJ34/AJ40)</f>
        <v>0.0493421052631579</v>
      </c>
    </row>
    <row r="35" customFormat="false" ht="12.75" hidden="false" customHeight="true" outlineLevel="0" collapsed="false">
      <c r="A35" s="89" t="s">
        <v>73</v>
      </c>
      <c r="B35" s="89"/>
      <c r="C35" s="89"/>
      <c r="D35" s="89"/>
      <c r="E35" s="90" t="n">
        <f aca="false">'2000'!$P$91/30</f>
        <v>20.6962962962963</v>
      </c>
      <c r="F35" s="90" t="n">
        <f aca="false">'2001'!$P$91/30</f>
        <v>27.5090909090909</v>
      </c>
      <c r="G35" s="90" t="n">
        <f aca="false">'2002'!$P$91/30</f>
        <v>25.4866666666667</v>
      </c>
      <c r="H35" s="90" t="n">
        <f aca="false">'2003'!$P$91/30</f>
        <v>24.1291666666667</v>
      </c>
      <c r="I35" s="90" t="n">
        <f aca="false">'2004'!$P$91/30</f>
        <v>35.2916666666667</v>
      </c>
      <c r="J35" s="90" t="n">
        <f aca="false">'2005'!$P$92/30</f>
        <v>27.8533333333333</v>
      </c>
      <c r="K35" s="90" t="n">
        <f aca="false">'2006'!$P$91/30</f>
        <v>36.0733333333333</v>
      </c>
      <c r="L35" s="90" t="n">
        <f aca="false">'2007'!$P$91/30</f>
        <v>30.5833333333333</v>
      </c>
      <c r="M35" s="90" t="n">
        <f aca="false">'2008'!$P$91/30</f>
        <v>44.3</v>
      </c>
      <c r="N35" s="90" t="n">
        <f aca="false">'2009'!$P$91/30</f>
        <v>43.225</v>
      </c>
      <c r="O35" s="90" t="e">
        <f aca="false">#N/A</f>
        <v>#N/A</v>
      </c>
      <c r="P35" s="90" t="n">
        <f aca="false">'2011'!$P$91/30</f>
        <v>56</v>
      </c>
      <c r="Q35" s="90" t="n">
        <f aca="false">'2012'!$P$91/30</f>
        <v>49</v>
      </c>
      <c r="R35" s="90" t="n">
        <f aca="false">'2013'!$P$91/30</f>
        <v>58.5</v>
      </c>
      <c r="S35" s="90" t="n">
        <f aca="false">'2014'!$P$91/30</f>
        <v>61.4</v>
      </c>
      <c r="T35" s="90" t="n">
        <f aca="false">'2015'!$P$91/30</f>
        <v>68.4</v>
      </c>
      <c r="U35" s="90" t="n">
        <f aca="false">'2016'!$P$91/30</f>
        <v>79.7666666666667</v>
      </c>
      <c r="V35" s="90" t="n">
        <f aca="false">'2017'!$P$91/30</f>
        <v>66.2266666666667</v>
      </c>
      <c r="W35" s="90" t="n">
        <f aca="false">'2018'!$P$91/30</f>
        <v>59.05</v>
      </c>
      <c r="X35" s="90" t="n">
        <f aca="false">'2019'!$P$91/30</f>
        <v>86.8333333333333</v>
      </c>
      <c r="Y35" s="90" t="n">
        <f aca="false">'2020'!$P$91/30</f>
        <v>99.1666666666667</v>
      </c>
      <c r="Z35" s="90" t="n">
        <f aca="false">'2021'!$P$92/30</f>
        <v>85.4142857142857</v>
      </c>
      <c r="AA35" s="90" t="n">
        <f aca="false">'2022'!P93/30</f>
        <v>87.5833333333333</v>
      </c>
      <c r="AB35" s="90" t="n">
        <f aca="false">'2023'!P96/30</f>
        <v>89.469696969697</v>
      </c>
      <c r="AC35" s="91" t="n">
        <f aca="false">'2024'!P96/30</f>
        <v>45.2666666666667</v>
      </c>
      <c r="AD35" s="92" t="n">
        <f aca="false">'2025'!P98/30</f>
        <v>66.8666666666667</v>
      </c>
      <c r="AI35" s="66" t="s">
        <v>74</v>
      </c>
      <c r="AJ35" s="66" t="n">
        <f aca="false">'2025'!P60</f>
        <v>62</v>
      </c>
      <c r="AK35" s="66"/>
      <c r="AL35" s="66"/>
      <c r="AM35" s="67" t="n">
        <f aca="false">(AJ35/AJ40)</f>
        <v>0.0679824561403509</v>
      </c>
    </row>
    <row r="36" customFormat="false" ht="12.75" hidden="false" customHeight="true" outlineLevel="0" collapsed="false">
      <c r="A36" s="84" t="s">
        <v>75</v>
      </c>
      <c r="B36" s="84"/>
      <c r="C36" s="84"/>
      <c r="D36" s="84"/>
      <c r="E36" s="85" t="e">
        <f aca="false">#N/A</f>
        <v>#N/A</v>
      </c>
      <c r="F36" s="85" t="e">
        <f aca="false">#N/A</f>
        <v>#N/A</v>
      </c>
      <c r="G36" s="85" t="e">
        <f aca="false">#N/A</f>
        <v>#N/A</v>
      </c>
      <c r="H36" s="85" t="e">
        <f aca="false">#N/A</f>
        <v>#N/A</v>
      </c>
      <c r="I36" s="85" t="e">
        <f aca="false">#N/A</f>
        <v>#N/A</v>
      </c>
      <c r="J36" s="85" t="e">
        <f aca="false">#N/A</f>
        <v>#N/A</v>
      </c>
      <c r="K36" s="85" t="n">
        <f aca="false">'2006'!$P$92/30</f>
        <v>27.5444444444444</v>
      </c>
      <c r="L36" s="85" t="n">
        <f aca="false">'2007'!$P$92/30</f>
        <v>31.2133333333333</v>
      </c>
      <c r="M36" s="85" t="n">
        <f aca="false">'2008'!$P$92/30</f>
        <v>19.8222222222222</v>
      </c>
      <c r="N36" s="85" t="n">
        <f aca="false">'2009'!$P$92/30</f>
        <v>19.5404761904762</v>
      </c>
      <c r="O36" s="85" t="n">
        <f aca="false">'2010'!$P$92/30</f>
        <v>25.9847619047619</v>
      </c>
      <c r="P36" s="85" t="n">
        <f aca="false">'2011'!$P$92/30</f>
        <v>30.925</v>
      </c>
      <c r="Q36" s="85" t="n">
        <f aca="false">'2012'!$P$92/30</f>
        <v>33.75</v>
      </c>
      <c r="R36" s="85" t="n">
        <f aca="false">'2013'!$P$92/30</f>
        <v>39.0318518518519</v>
      </c>
      <c r="S36" s="85" t="n">
        <f aca="false">'2014'!$P$92/30</f>
        <v>41.6936708860759</v>
      </c>
      <c r="T36" s="85" t="n">
        <f aca="false">'2015'!$P$92/30</f>
        <v>51.9050724637681</v>
      </c>
      <c r="U36" s="85" t="n">
        <f aca="false">'2016'!$P$92/30</f>
        <v>45.651875</v>
      </c>
      <c r="V36" s="85" t="n">
        <f aca="false">'2017'!$P$92/30</f>
        <v>51.2653483992467</v>
      </c>
      <c r="W36" s="85" t="n">
        <f aca="false">'2018'!$P$92/30</f>
        <v>51.7879101899827</v>
      </c>
      <c r="X36" s="85" t="n">
        <f aca="false">'2019'!$P$92/30</f>
        <v>48.3270136307311</v>
      </c>
      <c r="Y36" s="85" t="n">
        <f aca="false">'2020'!$P$92/30</f>
        <v>48.9705761316872</v>
      </c>
      <c r="Z36" s="85" t="n">
        <f aca="false">'2021'!$P$93/30</f>
        <v>49.9423076923077</v>
      </c>
      <c r="AA36" s="85" t="n">
        <f aca="false">'2022'!P94/30</f>
        <v>57.3717097170972</v>
      </c>
      <c r="AB36" s="85" t="n">
        <f aca="false">'2023'!P97/30</f>
        <v>58.6942271880819</v>
      </c>
      <c r="AC36" s="86" t="n">
        <f aca="false">'2024'!P97/30</f>
        <v>56.414358974359</v>
      </c>
      <c r="AD36" s="93" t="n">
        <f aca="false">'2025'!P99/30</f>
        <v>67.3673076923077</v>
      </c>
      <c r="AI36" s="68" t="s">
        <v>76</v>
      </c>
      <c r="AJ36" s="68" t="n">
        <f aca="false">'2025'!P61</f>
        <v>92</v>
      </c>
      <c r="AK36" s="68"/>
      <c r="AL36" s="68"/>
      <c r="AM36" s="80" t="n">
        <f aca="false">(AJ36/AJ40)</f>
        <v>0.100877192982456</v>
      </c>
    </row>
    <row r="37" customFormat="false" ht="12.75" hidden="false" customHeight="true" outlineLevel="0" collapsed="false">
      <c r="A37" s="89" t="s">
        <v>77</v>
      </c>
      <c r="B37" s="89"/>
      <c r="C37" s="89"/>
      <c r="D37" s="89"/>
      <c r="E37" s="90" t="n">
        <f aca="false">'2001'!$P$93/30</f>
        <v>25.4166666666667</v>
      </c>
      <c r="F37" s="90" t="n">
        <f aca="false">'2001'!$P$93/30</f>
        <v>25.4166666666667</v>
      </c>
      <c r="G37" s="90" t="e">
        <f aca="false">#N/A</f>
        <v>#N/A</v>
      </c>
      <c r="H37" s="90" t="e">
        <f aca="false">#N/A</f>
        <v>#N/A</v>
      </c>
      <c r="I37" s="90" t="n">
        <f aca="false">'2004'!$P$93/30</f>
        <v>31</v>
      </c>
      <c r="J37" s="90" t="n">
        <f aca="false">'2005'!$P$94/30</f>
        <v>6.53333333333333</v>
      </c>
      <c r="K37" s="90" t="n">
        <f aca="false">'2006'!$P$93/30</f>
        <v>32.8333333333333</v>
      </c>
      <c r="L37" s="90" t="e">
        <f aca="false">#N/A</f>
        <v>#N/A</v>
      </c>
      <c r="M37" s="90" t="e">
        <f aca="false">#N/A</f>
        <v>#N/A</v>
      </c>
      <c r="N37" s="90" t="e">
        <f aca="false">#N/A</f>
        <v>#N/A</v>
      </c>
      <c r="O37" s="90" t="n">
        <f aca="false">'2010'!$P$93/30</f>
        <v>57.8</v>
      </c>
      <c r="P37" s="90" t="e">
        <f aca="false">#N/A</f>
        <v>#N/A</v>
      </c>
      <c r="Q37" s="90" t="e">
        <f aca="false">#N/A</f>
        <v>#N/A</v>
      </c>
      <c r="R37" s="90" t="e">
        <f aca="false">#N/A</f>
        <v>#N/A</v>
      </c>
      <c r="S37" s="90" t="e">
        <f aca="false">#N/A</f>
        <v>#N/A</v>
      </c>
      <c r="T37" s="90" t="e">
        <f aca="false">#N/A</f>
        <v>#N/A</v>
      </c>
      <c r="U37" s="90" t="n">
        <f aca="false">'2016'!$P$93/30</f>
        <v>56.4</v>
      </c>
      <c r="V37" s="90" t="n">
        <f aca="false">'2017'!$P$93/30</f>
        <v>37.5833333333333</v>
      </c>
      <c r="W37" s="90" t="n">
        <f aca="false">'2018'!$P$93/30</f>
        <v>44.6</v>
      </c>
      <c r="X37" s="90" t="e">
        <f aca="false">#N/A</f>
        <v>#N/A</v>
      </c>
      <c r="Y37" s="90" t="n">
        <f aca="false">'2020'!$P$93/30</f>
        <v>62.5166666666667</v>
      </c>
      <c r="Z37" s="90" t="n">
        <f aca="false">'2021'!$P$94/30</f>
        <v>63.6666666666667</v>
      </c>
      <c r="AA37" s="90" t="e">
        <f aca="false">#N/A</f>
        <v>#N/A</v>
      </c>
      <c r="AB37" s="90" t="e">
        <f aca="false">#N/A</f>
        <v>#N/A</v>
      </c>
      <c r="AC37" s="91" t="n">
        <f aca="false">'2024'!P98/30</f>
        <v>49.0666666666667</v>
      </c>
      <c r="AD37" s="92" t="n">
        <f aca="false">'2025'!P100/30</f>
        <v>60.95</v>
      </c>
      <c r="AI37" s="66" t="s">
        <v>78</v>
      </c>
      <c r="AJ37" s="66" t="n">
        <f aca="false">'2025'!P62</f>
        <v>44</v>
      </c>
      <c r="AK37" s="66"/>
      <c r="AL37" s="66"/>
      <c r="AM37" s="67" t="n">
        <f aca="false">(AJ37/AJ40)</f>
        <v>0.0482456140350877</v>
      </c>
    </row>
    <row r="38" customFormat="false" ht="12.75" hidden="false" customHeight="true" outlineLevel="0" collapsed="false">
      <c r="A38" s="84" t="s">
        <v>79</v>
      </c>
      <c r="B38" s="84"/>
      <c r="C38" s="84"/>
      <c r="D38" s="84"/>
      <c r="E38" s="85" t="n">
        <f aca="false">'2000'!$P$94/30</f>
        <v>26.543137254902</v>
      </c>
      <c r="F38" s="85" t="n">
        <f aca="false">'2001'!$P$94/30</f>
        <v>35.7549019607843</v>
      </c>
      <c r="G38" s="85" t="n">
        <f aca="false">'2002'!$P$94/30</f>
        <v>36.6014492753623</v>
      </c>
      <c r="H38" s="85" t="n">
        <f aca="false">'2003'!$P$94/30</f>
        <v>39.1741666666667</v>
      </c>
      <c r="I38" s="85" t="n">
        <f aca="false">'2004'!$P$94/30</f>
        <v>35.7888888888889</v>
      </c>
      <c r="J38" s="85" t="n">
        <f aca="false">'2005'!$P$95/30</f>
        <v>39.6696296296296</v>
      </c>
      <c r="K38" s="85" t="n">
        <f aca="false">'2006'!$P$94/30</f>
        <v>48.4720238095238</v>
      </c>
      <c r="L38" s="85" t="n">
        <f aca="false">'2007'!$P$94/30</f>
        <v>43.7929824561404</v>
      </c>
      <c r="M38" s="85" t="n">
        <f aca="false">'2008'!$P$94/30</f>
        <v>36.3754385964912</v>
      </c>
      <c r="N38" s="85" t="n">
        <f aca="false">'2009'!$P$94/30</f>
        <v>42.5866666666667</v>
      </c>
      <c r="O38" s="85" t="n">
        <f aca="false">'2010'!$P$94/30</f>
        <v>63.2474358974359</v>
      </c>
      <c r="P38" s="85" t="n">
        <f aca="false">'2011'!$P$94/30</f>
        <v>41.828125</v>
      </c>
      <c r="Q38" s="85" t="n">
        <f aca="false">'2012'!$P$94/30</f>
        <v>52.5933333333333</v>
      </c>
      <c r="R38" s="85" t="n">
        <f aca="false">'2013'!$P$94/30</f>
        <v>53.6962962962963</v>
      </c>
      <c r="S38" s="85" t="n">
        <f aca="false">'2014'!$P$94/30</f>
        <v>67.7</v>
      </c>
      <c r="T38" s="85" t="n">
        <f aca="false">'2015'!$P$94/30</f>
        <v>71.6638888888889</v>
      </c>
      <c r="U38" s="85" t="n">
        <f aca="false">'2016'!$P$94/30</f>
        <v>50.1701754385965</v>
      </c>
      <c r="V38" s="85" t="n">
        <f aca="false">'2017'!$P$94/30</f>
        <v>59.5138888888889</v>
      </c>
      <c r="W38" s="85" t="n">
        <f aca="false">'2018'!$P$94/30</f>
        <v>58.8916666666667</v>
      </c>
      <c r="X38" s="85" t="n">
        <f aca="false">'2019'!$P$94/30</f>
        <v>68.6518518518519</v>
      </c>
      <c r="Y38" s="85" t="n">
        <f aca="false">'2020'!$P$94/30</f>
        <v>84.4176190476191</v>
      </c>
      <c r="Z38" s="85" t="n">
        <f aca="false">'2021'!$P$95/30</f>
        <v>67.6483333333333</v>
      </c>
      <c r="AA38" s="85" t="n">
        <f aca="false">'2022'!P96/30</f>
        <v>64.8540229885058</v>
      </c>
      <c r="AB38" s="85" t="n">
        <f aca="false">'2023'!P99/30</f>
        <v>47.4441666666667</v>
      </c>
      <c r="AC38" s="86" t="n">
        <f aca="false">'2024'!P99/30</f>
        <v>53.1754385964912</v>
      </c>
      <c r="AD38" s="94" t="n">
        <f aca="false">'2025'!P101/30</f>
        <v>55.1567567567568</v>
      </c>
      <c r="AI38" s="68" t="s">
        <v>80</v>
      </c>
      <c r="AJ38" s="68" t="n">
        <f aca="false">'2025'!P63</f>
        <v>92</v>
      </c>
      <c r="AK38" s="68"/>
      <c r="AL38" s="68"/>
      <c r="AM38" s="80" t="n">
        <f aca="false">(AJ38/AJ40)</f>
        <v>0.100877192982456</v>
      </c>
    </row>
    <row r="39" customFormat="false" ht="12.75" hidden="false" customHeight="true" outlineLevel="0" collapsed="false">
      <c r="A39" s="89" t="s">
        <v>81</v>
      </c>
      <c r="B39" s="89"/>
      <c r="C39" s="89"/>
      <c r="D39" s="89"/>
      <c r="E39" s="90" t="n">
        <f aca="false">'2000'!$P$95/30</f>
        <v>20.2972222222222</v>
      </c>
      <c r="F39" s="90" t="n">
        <f aca="false">'2001'!$P$95/30</f>
        <v>20.4285714285714</v>
      </c>
      <c r="G39" s="90" t="n">
        <f aca="false">'2002'!$P$95/30</f>
        <v>42.6722222222222</v>
      </c>
      <c r="H39" s="90" t="n">
        <f aca="false">'2003'!$P$95/30</f>
        <v>19.9444444444444</v>
      </c>
      <c r="I39" s="90" t="n">
        <f aca="false">'2004'!$P$95/30</f>
        <v>30.5571428571429</v>
      </c>
      <c r="J39" s="90" t="n">
        <f aca="false">'2005'!$P$96/30</f>
        <v>35.1066666666667</v>
      </c>
      <c r="K39" s="90" t="n">
        <f aca="false">'2006'!$P$95/30</f>
        <v>34.0761904761905</v>
      </c>
      <c r="L39" s="90" t="n">
        <f aca="false">'2007'!$P$95/30</f>
        <v>28.1866666666667</v>
      </c>
      <c r="M39" s="90" t="n">
        <f aca="false">'2008'!$P$95/30</f>
        <v>43.14</v>
      </c>
      <c r="N39" s="90" t="n">
        <f aca="false">'2009'!$P$95/30</f>
        <v>39.2761904761905</v>
      </c>
      <c r="O39" s="90" t="n">
        <f aca="false">'2010'!$P$95/30</f>
        <v>15.4333333333333</v>
      </c>
      <c r="P39" s="90" t="n">
        <f aca="false">'2011'!$P$95/30</f>
        <v>56.1</v>
      </c>
      <c r="Q39" s="90" t="n">
        <f aca="false">'2012'!$P$95/30</f>
        <v>24</v>
      </c>
      <c r="R39" s="90" t="n">
        <f aca="false">'2013'!$P$95/30</f>
        <v>52.5888888888889</v>
      </c>
      <c r="S39" s="90" t="n">
        <f aca="false">'2014'!$P$95/30</f>
        <v>54.7428571428571</v>
      </c>
      <c r="T39" s="90" t="n">
        <f aca="false">'2015'!$P$95/30</f>
        <v>53.8333333333333</v>
      </c>
      <c r="U39" s="90" t="n">
        <f aca="false">'2016'!$P$95/30</f>
        <v>59.5366666666667</v>
      </c>
      <c r="V39" s="90" t="n">
        <f aca="false">'2017'!$P$95/30</f>
        <v>49.2703703703704</v>
      </c>
      <c r="W39" s="90" t="n">
        <f aca="false">'2018'!$P$95/30</f>
        <v>26.825</v>
      </c>
      <c r="X39" s="90" t="n">
        <f aca="false">'2019'!$P$95/30</f>
        <v>53.9</v>
      </c>
      <c r="Y39" s="90" t="n">
        <f aca="false">'2020'!$P$95/30</f>
        <v>70.3592592592593</v>
      </c>
      <c r="Z39" s="90" t="n">
        <f aca="false">'2021'!$P$96/30</f>
        <v>70.6527777777778</v>
      </c>
      <c r="AA39" s="90" t="n">
        <f aca="false">'2022'!P97/30</f>
        <v>76.644</v>
      </c>
      <c r="AB39" s="90" t="n">
        <f aca="false">'2023'!P100/30</f>
        <v>74.0333333333333</v>
      </c>
      <c r="AC39" s="91" t="n">
        <f aca="false">'2024'!P100/30</f>
        <v>39.8083333333333</v>
      </c>
      <c r="AD39" s="95" t="n">
        <f aca="false">'2025'!P102/30</f>
        <v>54.9526315789474</v>
      </c>
      <c r="AI39" s="66" t="s">
        <v>82</v>
      </c>
      <c r="AJ39" s="66" t="n">
        <f aca="false">'2025'!P64</f>
        <v>162</v>
      </c>
      <c r="AK39" s="66"/>
      <c r="AL39" s="66"/>
      <c r="AM39" s="67" t="n">
        <f aca="false">(AJ39/AJ40)</f>
        <v>0.177631578947368</v>
      </c>
    </row>
    <row r="40" customFormat="false" ht="12.75" hidden="false" customHeight="true" outlineLevel="0" collapsed="false">
      <c r="A40" s="84" t="s">
        <v>83</v>
      </c>
      <c r="B40" s="84"/>
      <c r="C40" s="84"/>
      <c r="D40" s="84"/>
      <c r="E40" s="85" t="e">
        <f aca="false">#N/A</f>
        <v>#N/A</v>
      </c>
      <c r="F40" s="85" t="e">
        <f aca="false">#N/A</f>
        <v>#N/A</v>
      </c>
      <c r="G40" s="85" t="e">
        <f aca="false">#N/A</f>
        <v>#N/A</v>
      </c>
      <c r="H40" s="85" t="e">
        <f aca="false">#N/A</f>
        <v>#N/A</v>
      </c>
      <c r="I40" s="85" t="e">
        <f aca="false">#N/A</f>
        <v>#N/A</v>
      </c>
      <c r="J40" s="85" t="e">
        <f aca="false">#N/A</f>
        <v>#N/A</v>
      </c>
      <c r="K40" s="85" t="e">
        <f aca="false">#N/A</f>
        <v>#N/A</v>
      </c>
      <c r="L40" s="85" t="n">
        <f aca="false">'2007'!$P$96/30</f>
        <v>38.626582278481</v>
      </c>
      <c r="M40" s="85" t="n">
        <f aca="false">'2008'!$P$96/30</f>
        <v>29.2939814814815</v>
      </c>
      <c r="N40" s="85" t="n">
        <f aca="false">'2009'!$P$96/30</f>
        <v>28.0290322580645</v>
      </c>
      <c r="O40" s="85" t="n">
        <f aca="false">'2010'!$P$96/30</f>
        <v>31.7186274509804</v>
      </c>
      <c r="P40" s="85" t="n">
        <f aca="false">'2011'!$P$96/30</f>
        <v>32.5462962962963</v>
      </c>
      <c r="Q40" s="85" t="n">
        <f aca="false">'2012'!$P$96/30</f>
        <v>38.9493333333333</v>
      </c>
      <c r="R40" s="85" t="n">
        <f aca="false">'2013'!$P$96/30</f>
        <v>42.6944444444444</v>
      </c>
      <c r="S40" s="85" t="n">
        <f aca="false">'2014'!$P$96/30</f>
        <v>51.0444444444444</v>
      </c>
      <c r="T40" s="85" t="n">
        <f aca="false">'2015'!$P$96/30</f>
        <v>52.4148936170213</v>
      </c>
      <c r="U40" s="85" t="n">
        <f aca="false">'2016'!$P$96/30</f>
        <v>59.1876811594203</v>
      </c>
      <c r="V40" s="85" t="n">
        <f aca="false">'2017'!$P$96/30</f>
        <v>61.2399491094148</v>
      </c>
      <c r="W40" s="85" t="n">
        <f aca="false">'2018'!$P$96/30</f>
        <v>64.1463963963964</v>
      </c>
      <c r="X40" s="85" t="n">
        <f aca="false">'2019'!$P$96/30</f>
        <v>67.1913461538462</v>
      </c>
      <c r="Y40" s="85" t="n">
        <f aca="false">'2020'!$P$96/30</f>
        <v>63.0025821596244</v>
      </c>
      <c r="Z40" s="85" t="n">
        <f aca="false">'2021'!$P$97/30</f>
        <v>68.9032362459547</v>
      </c>
      <c r="AA40" s="85" t="n">
        <f aca="false">'2022'!P98/30</f>
        <v>68.3905109489051</v>
      </c>
      <c r="AB40" s="85" t="n">
        <f aca="false">'2023'!P101/30</f>
        <v>69.8541085271318</v>
      </c>
      <c r="AC40" s="96" t="n">
        <f aca="false">'2024'!P101/30</f>
        <v>67.0560652395515</v>
      </c>
      <c r="AD40" s="97" t="n">
        <f aca="false">'2025'!P103/30</f>
        <v>64.6610328067286</v>
      </c>
      <c r="AI40" s="62" t="s">
        <v>54</v>
      </c>
      <c r="AJ40" s="62" t="n">
        <f aca="false">SUM(AJ28:AL39)</f>
        <v>912</v>
      </c>
      <c r="AK40" s="62"/>
      <c r="AL40" s="62"/>
      <c r="AM40" s="98" t="n">
        <f aca="false">SUM(AM28:AM39)</f>
        <v>1</v>
      </c>
    </row>
    <row r="41" customFormat="false" ht="32.25" hidden="false" customHeight="true" outlineLevel="0" collapsed="false">
      <c r="A41" s="89" t="s">
        <v>84</v>
      </c>
      <c r="B41" s="89"/>
      <c r="C41" s="89"/>
      <c r="D41" s="89"/>
      <c r="E41" s="90" t="n">
        <f aca="false">'2000'!$P$97/30</f>
        <v>15.8</v>
      </c>
      <c r="F41" s="90" t="n">
        <f aca="false">'2001'!$P$97/30</f>
        <v>27.1363636363636</v>
      </c>
      <c r="G41" s="90" t="n">
        <f aca="false">'2002'!$P$97/30</f>
        <v>27.5722222222222</v>
      </c>
      <c r="H41" s="90" t="n">
        <f aca="false">'2003'!$P$97/30</f>
        <v>19.68</v>
      </c>
      <c r="I41" s="90" t="n">
        <f aca="false">'2004'!$P$97/30</f>
        <v>31.2666666666667</v>
      </c>
      <c r="J41" s="90" t="n">
        <f aca="false">'2005'!$P$98/30</f>
        <v>35.8433333333333</v>
      </c>
      <c r="K41" s="90" t="n">
        <f aca="false">'2006'!$P$97/30</f>
        <v>18.3285714285714</v>
      </c>
      <c r="L41" s="90" t="n">
        <f aca="false">'2007'!$P$97/30</f>
        <v>18.5619047619048</v>
      </c>
      <c r="M41" s="90" t="n">
        <f aca="false">'2008'!$P$97/30</f>
        <v>27.7111111111111</v>
      </c>
      <c r="N41" s="90" t="n">
        <f aca="false">'2009'!$P$97/30</f>
        <v>26.8</v>
      </c>
      <c r="O41" s="90" t="n">
        <f aca="false">'2010'!$P$97/30</f>
        <v>21.9416666666667</v>
      </c>
      <c r="P41" s="90" t="n">
        <f aca="false">'2011'!$P$97/30</f>
        <v>25.5128205128205</v>
      </c>
      <c r="Q41" s="90" t="n">
        <f aca="false">'2012'!$P$97/30</f>
        <v>31.64</v>
      </c>
      <c r="R41" s="90" t="n">
        <f aca="false">'2013'!$P$97/30</f>
        <v>34.7111111111111</v>
      </c>
      <c r="S41" s="90" t="n">
        <f aca="false">'2014'!$P$97/30</f>
        <v>30.9666666666667</v>
      </c>
      <c r="T41" s="90" t="n">
        <f aca="false">'2015'!$P$97/30</f>
        <v>24.2238095238095</v>
      </c>
      <c r="U41" s="90" t="n">
        <f aca="false">'2016'!$P$97/30</f>
        <v>22.9888888888889</v>
      </c>
      <c r="V41" s="90" t="n">
        <f aca="false">'2017'!$P$97/30</f>
        <v>23.7857142857143</v>
      </c>
      <c r="W41" s="90" t="n">
        <f aca="false">'2018'!$P$97/30</f>
        <v>16.0561904761905</v>
      </c>
      <c r="X41" s="90" t="n">
        <f aca="false">'2019'!$P$97/30</f>
        <v>11.1913978494624</v>
      </c>
      <c r="Y41" s="90" t="n">
        <f aca="false">'2020'!$P$97/30</f>
        <v>13.3089285714286</v>
      </c>
      <c r="Z41" s="90" t="n">
        <f aca="false">'2021'!$P$98/30</f>
        <v>11.8581196581197</v>
      </c>
      <c r="AA41" s="90" t="n">
        <f aca="false">'2022'!P99/30</f>
        <v>9.47543859649123</v>
      </c>
      <c r="AB41" s="91" t="n">
        <f aca="false">'2023'!P102/30</f>
        <v>11.5151515151515</v>
      </c>
      <c r="AC41" s="99" t="n">
        <f aca="false">'2024'!P102/30</f>
        <v>17.0051282051282</v>
      </c>
      <c r="AD41" s="95" t="n">
        <f aca="false">'2025'!P104/30</f>
        <v>15.8498084291188</v>
      </c>
    </row>
    <row r="42" customFormat="false" ht="31.5" hidden="false" customHeight="true" outlineLevel="0" collapsed="false">
      <c r="A42" s="84" t="s">
        <v>85</v>
      </c>
      <c r="B42" s="84"/>
      <c r="C42" s="84"/>
      <c r="D42" s="84"/>
      <c r="E42" s="85" t="e">
        <f aca="false">#N/A</f>
        <v>#N/A</v>
      </c>
      <c r="F42" s="85" t="e">
        <f aca="false">#N/A</f>
        <v>#N/A</v>
      </c>
      <c r="G42" s="85" t="e">
        <f aca="false">#N/A</f>
        <v>#N/A</v>
      </c>
      <c r="H42" s="85" t="e">
        <f aca="false">#N/A</f>
        <v>#N/A</v>
      </c>
      <c r="I42" s="85" t="e">
        <f aca="false">#N/A</f>
        <v>#N/A</v>
      </c>
      <c r="J42" s="85" t="e">
        <f aca="false">#N/A</f>
        <v>#N/A</v>
      </c>
      <c r="K42" s="85" t="e">
        <f aca="false">#N/A</f>
        <v>#N/A</v>
      </c>
      <c r="L42" s="85" t="e">
        <f aca="false">#N/A</f>
        <v>#N/A</v>
      </c>
      <c r="M42" s="85" t="e">
        <f aca="false">#N/A</f>
        <v>#N/A</v>
      </c>
      <c r="N42" s="85" t="e">
        <f aca="false">#N/A</f>
        <v>#N/A</v>
      </c>
      <c r="O42" s="85" t="e">
        <f aca="false">#N/A</f>
        <v>#N/A</v>
      </c>
      <c r="P42" s="85" t="n">
        <f aca="false">'2011'!$P$98/30</f>
        <v>3.32222222222222</v>
      </c>
      <c r="Q42" s="85" t="n">
        <f aca="false">'2012'!$P$98/30</f>
        <v>7.53333333333333</v>
      </c>
      <c r="R42" s="85" t="n">
        <f aca="false">'2013'!$P$98/30</f>
        <v>10.3066666666667</v>
      </c>
      <c r="S42" s="85" t="n">
        <f aca="false">'2014'!$P$98/30</f>
        <v>15.2</v>
      </c>
      <c r="T42" s="85" t="n">
        <f aca="false">'2015'!$P$98/30</f>
        <v>19.2611111111111</v>
      </c>
      <c r="U42" s="85" t="n">
        <f aca="false">'2016'!$P$98/30</f>
        <v>17.2513888888889</v>
      </c>
      <c r="V42" s="85" t="n">
        <f aca="false">'2017'!$P$98/30</f>
        <v>12.6111111111111</v>
      </c>
      <c r="W42" s="85" t="n">
        <f aca="false">'2018'!$P$98/30</f>
        <v>8.4921568627451</v>
      </c>
      <c r="X42" s="85" t="n">
        <f aca="false">'2019'!$P$98/30</f>
        <v>9.27777777777778</v>
      </c>
      <c r="Y42" s="85" t="n">
        <f aca="false">'2020'!$P$98/30</f>
        <v>7.89649122807018</v>
      </c>
      <c r="Z42" s="85" t="n">
        <f aca="false">'2021'!$P$99/30</f>
        <v>7.05359477124183</v>
      </c>
      <c r="AA42" s="85" t="n">
        <f aca="false">'2022'!P100/30</f>
        <v>7.88518518518518</v>
      </c>
      <c r="AB42" s="85" t="n">
        <f aca="false">'2023'!P103/30</f>
        <v>8.04857142857143</v>
      </c>
      <c r="AC42" s="100" t="n">
        <f aca="false">'2024'!P103/30</f>
        <v>10.658024691358</v>
      </c>
      <c r="AD42" s="101" t="n">
        <f aca="false">'2025'!P105/30</f>
        <v>12.9195555555556</v>
      </c>
    </row>
    <row r="43" customFormat="false" ht="12.75" hidden="false" customHeight="true" outlineLevel="0" collapsed="false">
      <c r="A43" s="62" t="s">
        <v>86</v>
      </c>
      <c r="B43" s="62"/>
      <c r="C43" s="62"/>
      <c r="D43" s="62"/>
      <c r="E43" s="102" t="n">
        <f aca="false">'2000'!$P$99/30</f>
        <v>30.4802631578947</v>
      </c>
      <c r="F43" s="102" t="n">
        <f aca="false">'2001'!$P$99/30</f>
        <v>31.1699404761905</v>
      </c>
      <c r="G43" s="102" t="n">
        <f aca="false">'2002'!$P$99/30</f>
        <v>37.3358490566038</v>
      </c>
      <c r="H43" s="102" t="n">
        <f aca="false">'2003'!$P$99/30</f>
        <v>34.8735930735931</v>
      </c>
      <c r="I43" s="102" t="n">
        <f aca="false">'2004'!$P$99/30</f>
        <v>35.3289682539683</v>
      </c>
      <c r="J43" s="102" t="n">
        <f aca="false">'2005'!$P$100/30</f>
        <v>37.0310861423221</v>
      </c>
      <c r="K43" s="102" t="n">
        <f aca="false">'2006'!$P$99/30</f>
        <v>41.1085626911315</v>
      </c>
      <c r="L43" s="102" t="n">
        <f aca="false">'2007'!$P$99/30</f>
        <v>37.543894389439</v>
      </c>
      <c r="M43" s="102" t="n">
        <f aca="false">'2008'!$P$99/30</f>
        <v>30.321815008726</v>
      </c>
      <c r="N43" s="102" t="n">
        <f aca="false">'2009'!$P$99/30</f>
        <v>30.7588807785888</v>
      </c>
      <c r="O43" s="102" t="n">
        <f aca="false">'2010'!$P$99/30</f>
        <v>38.1775641025641</v>
      </c>
      <c r="P43" s="102" t="n">
        <f aca="false">'2011'!$P$99/30</f>
        <v>33.0095890410959</v>
      </c>
      <c r="Q43" s="102" t="n">
        <f aca="false">'2012'!$P$99/30</f>
        <v>35.2900793650794</v>
      </c>
      <c r="R43" s="102" t="n">
        <f aca="false">'2013'!$P$99/30</f>
        <v>41.9960606060606</v>
      </c>
      <c r="S43" s="102" t="n">
        <f aca="false">'2014'!$P$99/30</f>
        <v>46.5475225225225</v>
      </c>
      <c r="T43" s="102" t="n">
        <f aca="false">'2015'!$P$99/30</f>
        <v>47.0040767386091</v>
      </c>
      <c r="U43" s="102" t="n">
        <f aca="false">'2016'!$P$99/30</f>
        <v>45.3941034897714</v>
      </c>
      <c r="V43" s="102" t="n">
        <f aca="false">'2017'!$P$99/30</f>
        <v>51.8023102310231</v>
      </c>
      <c r="W43" s="102" t="n">
        <f aca="false">'2018'!$P$99/30</f>
        <v>51.9743132887899</v>
      </c>
      <c r="X43" s="102" t="n">
        <f aca="false">'2019'!$P$99/30</f>
        <v>51.0841403508772</v>
      </c>
      <c r="Y43" s="102" t="n">
        <f aca="false">'2020'!$P$99/30</f>
        <v>52.2914634146341</v>
      </c>
      <c r="Z43" s="102" t="n">
        <f aca="false">'2021'!$P$100/30</f>
        <v>53.0881758764112</v>
      </c>
      <c r="AA43" s="102" t="n">
        <f aca="false">'2022'!$P$101/30</f>
        <v>53.7541518386714</v>
      </c>
      <c r="AB43" s="102" t="n">
        <f aca="false">'2023'!$P$104/30</f>
        <v>51.2941793755191</v>
      </c>
      <c r="AC43" s="102" t="n">
        <f aca="false">'2024'!P104/30</f>
        <v>42.3063352966943</v>
      </c>
      <c r="AD43" s="103" t="n">
        <f aca="false">'2025'!P106/30</f>
        <v>46.2656029058609</v>
      </c>
    </row>
    <row r="45" customFormat="false" ht="12.75" hidden="false" customHeight="true" outlineLevel="0" collapsed="false">
      <c r="A45" s="104" t="s">
        <v>87</v>
      </c>
      <c r="B45" s="104"/>
      <c r="C45" s="104"/>
      <c r="D45" s="104"/>
      <c r="E45" s="104"/>
      <c r="F45" s="104"/>
      <c r="G45" s="104"/>
      <c r="H45" s="104"/>
      <c r="I45" s="104"/>
      <c r="J45" s="104"/>
      <c r="K45" s="104"/>
      <c r="L45" s="104"/>
      <c r="M45" s="104"/>
      <c r="N45" s="104"/>
      <c r="O45" s="104"/>
      <c r="P45" s="104"/>
      <c r="Q45" s="104"/>
      <c r="R45" s="104"/>
      <c r="S45" s="104"/>
      <c r="T45" s="104"/>
      <c r="U45" s="104"/>
      <c r="V45" s="104"/>
      <c r="W45" s="104"/>
      <c r="X45" s="104"/>
      <c r="Y45" s="104"/>
      <c r="Z45" s="104"/>
      <c r="AA45" s="104"/>
      <c r="AB45" s="104"/>
      <c r="AC45" s="104"/>
      <c r="AD45" s="105"/>
      <c r="AE45" s="106" t="s">
        <v>88</v>
      </c>
    </row>
    <row r="46" customFormat="false" ht="12.75" hidden="false" customHeight="true" outlineLevel="0" collapsed="false">
      <c r="A46" s="104"/>
      <c r="B46" s="104"/>
      <c r="C46" s="104"/>
      <c r="D46" s="104"/>
      <c r="E46" s="104"/>
      <c r="F46" s="104"/>
      <c r="G46" s="104"/>
      <c r="H46" s="104"/>
      <c r="I46" s="104"/>
      <c r="J46" s="104"/>
      <c r="K46" s="104"/>
      <c r="L46" s="104"/>
      <c r="M46" s="104"/>
      <c r="N46" s="104"/>
      <c r="O46" s="104"/>
      <c r="P46" s="104"/>
      <c r="Q46" s="104"/>
      <c r="R46" s="104"/>
      <c r="S46" s="104"/>
      <c r="T46" s="104"/>
      <c r="U46" s="104"/>
      <c r="V46" s="104"/>
      <c r="W46" s="104"/>
      <c r="X46" s="104"/>
      <c r="Y46" s="104"/>
      <c r="Z46" s="104"/>
      <c r="AA46" s="104"/>
      <c r="AB46" s="104"/>
      <c r="AC46" s="104"/>
      <c r="AD46" s="105"/>
      <c r="AE46" s="106"/>
    </row>
    <row r="47" customFormat="false" ht="12.75" hidden="false" customHeight="true" outlineLevel="0" collapsed="false">
      <c r="A47" s="104"/>
      <c r="B47" s="104"/>
      <c r="C47" s="104"/>
      <c r="D47" s="104"/>
      <c r="E47" s="104"/>
      <c r="F47" s="104"/>
      <c r="G47" s="104"/>
      <c r="H47" s="104"/>
      <c r="I47" s="104"/>
      <c r="J47" s="104"/>
      <c r="K47" s="104"/>
      <c r="L47" s="104"/>
      <c r="M47" s="104"/>
      <c r="N47" s="104"/>
      <c r="O47" s="104"/>
      <c r="P47" s="104"/>
      <c r="Q47" s="104"/>
      <c r="R47" s="104"/>
      <c r="S47" s="104"/>
      <c r="T47" s="104"/>
      <c r="U47" s="104"/>
      <c r="V47" s="104"/>
      <c r="W47" s="104"/>
      <c r="X47" s="104"/>
      <c r="Y47" s="104"/>
      <c r="Z47" s="104"/>
      <c r="AA47" s="104"/>
      <c r="AB47" s="104"/>
      <c r="AC47" s="104"/>
      <c r="AD47" s="105"/>
      <c r="AE47" s="106"/>
    </row>
    <row r="48" customFormat="false" ht="17.25" hidden="false" customHeight="true" outlineLevel="0" collapsed="false">
      <c r="A48" s="107" t="s">
        <v>89</v>
      </c>
      <c r="B48" s="108"/>
      <c r="C48" s="108"/>
      <c r="D48" s="109"/>
      <c r="E48" s="110" t="s">
        <v>90</v>
      </c>
      <c r="F48" s="110"/>
      <c r="G48" s="110"/>
      <c r="H48" s="110"/>
      <c r="I48" s="110"/>
      <c r="J48" s="110"/>
      <c r="K48" s="110"/>
      <c r="L48" s="110"/>
      <c r="M48" s="110"/>
      <c r="N48" s="110"/>
      <c r="O48" s="110"/>
      <c r="P48" s="110"/>
      <c r="Q48" s="110"/>
      <c r="R48" s="110"/>
      <c r="S48" s="110"/>
      <c r="T48" s="110"/>
      <c r="U48" s="110"/>
      <c r="V48" s="110"/>
      <c r="W48" s="110"/>
      <c r="X48" s="110"/>
      <c r="Y48" s="110"/>
      <c r="Z48" s="110"/>
      <c r="AA48" s="110"/>
      <c r="AB48" s="110"/>
      <c r="AC48" s="110"/>
      <c r="AD48" s="111"/>
      <c r="AE48" s="106"/>
    </row>
    <row r="49" customFormat="false" ht="15" hidden="false" customHeight="false" outlineLevel="0" collapsed="false">
      <c r="A49" s="112" t="s">
        <v>89</v>
      </c>
      <c r="B49" s="112"/>
      <c r="C49" s="112"/>
      <c r="D49" s="112"/>
      <c r="E49" s="62" t="n">
        <v>2000</v>
      </c>
      <c r="F49" s="62" t="n">
        <v>2001</v>
      </c>
      <c r="G49" s="62" t="n">
        <v>2002</v>
      </c>
      <c r="H49" s="62" t="n">
        <v>2003</v>
      </c>
      <c r="I49" s="62" t="n">
        <v>2004</v>
      </c>
      <c r="J49" s="62" t="n">
        <v>2005</v>
      </c>
      <c r="K49" s="62" t="n">
        <v>2006</v>
      </c>
      <c r="L49" s="62" t="n">
        <v>2007</v>
      </c>
      <c r="M49" s="62" t="n">
        <v>2008</v>
      </c>
      <c r="N49" s="62" t="n">
        <v>2009</v>
      </c>
      <c r="O49" s="62" t="n">
        <v>2010</v>
      </c>
      <c r="P49" s="62" t="n">
        <v>2011</v>
      </c>
      <c r="Q49" s="62" t="n">
        <v>2012</v>
      </c>
      <c r="R49" s="62" t="n">
        <v>2013</v>
      </c>
      <c r="S49" s="62" t="n">
        <v>2014</v>
      </c>
      <c r="T49" s="62" t="n">
        <v>2015</v>
      </c>
      <c r="U49" s="62" t="n">
        <v>2016</v>
      </c>
      <c r="V49" s="62" t="n">
        <v>2017</v>
      </c>
      <c r="W49" s="62" t="n">
        <v>2018</v>
      </c>
      <c r="X49" s="62" t="n">
        <v>2019</v>
      </c>
      <c r="Y49" s="62" t="n">
        <v>2020</v>
      </c>
      <c r="Z49" s="62" t="n">
        <v>2021</v>
      </c>
      <c r="AA49" s="62" t="n">
        <v>2022</v>
      </c>
      <c r="AB49" s="113" t="n">
        <v>2023</v>
      </c>
      <c r="AC49" s="113" t="n">
        <v>2024</v>
      </c>
      <c r="AD49" s="78" t="n">
        <v>2025</v>
      </c>
      <c r="AE49" s="106"/>
    </row>
    <row r="50" customFormat="false" ht="12.75" hidden="false" customHeight="true" outlineLevel="0" collapsed="false">
      <c r="A50" s="114" t="n">
        <v>1990</v>
      </c>
      <c r="B50" s="114"/>
      <c r="C50" s="114"/>
      <c r="D50" s="114"/>
      <c r="E50" s="115" t="n">
        <f aca="false">'2000'!P31</f>
        <v>1</v>
      </c>
      <c r="F50" s="115" t="n">
        <f aca="false">'2001'!P30</f>
        <v>0</v>
      </c>
      <c r="G50" s="115" t="n">
        <f aca="false">'2002'!P29</f>
        <v>1</v>
      </c>
      <c r="H50" s="115" t="n">
        <v>0</v>
      </c>
      <c r="I50" s="115" t="n">
        <v>0</v>
      </c>
      <c r="J50" s="115" t="n">
        <v>0</v>
      </c>
      <c r="K50" s="115" t="n">
        <v>0</v>
      </c>
      <c r="L50" s="115" t="n">
        <v>0</v>
      </c>
      <c r="M50" s="115" t="n">
        <v>0</v>
      </c>
      <c r="N50" s="115" t="n">
        <v>0</v>
      </c>
      <c r="O50" s="115" t="n">
        <v>0</v>
      </c>
      <c r="P50" s="115" t="n">
        <v>0</v>
      </c>
      <c r="Q50" s="115" t="n">
        <v>0</v>
      </c>
      <c r="R50" s="115" t="n">
        <v>0</v>
      </c>
      <c r="S50" s="115" t="n">
        <v>0</v>
      </c>
      <c r="T50" s="115" t="n">
        <v>0</v>
      </c>
      <c r="U50" s="115" t="n">
        <v>0</v>
      </c>
      <c r="V50" s="115" t="n">
        <v>0</v>
      </c>
      <c r="W50" s="115" t="n">
        <v>0</v>
      </c>
      <c r="X50" s="115" t="n">
        <v>0</v>
      </c>
      <c r="Y50" s="115" t="n">
        <v>0</v>
      </c>
      <c r="Z50" s="115" t="n">
        <v>0</v>
      </c>
      <c r="AA50" s="115" t="n">
        <v>0</v>
      </c>
      <c r="AB50" s="116" t="n">
        <v>0</v>
      </c>
      <c r="AC50" s="116" t="n">
        <v>0</v>
      </c>
      <c r="AD50" s="116" t="n">
        <v>0</v>
      </c>
      <c r="AE50" s="117" t="n">
        <f aca="false">SUM(E50:AD50)</f>
        <v>2</v>
      </c>
    </row>
    <row r="51" customFormat="false" ht="12.75" hidden="false" customHeight="true" outlineLevel="0" collapsed="false">
      <c r="A51" s="118" t="n">
        <v>1991</v>
      </c>
      <c r="B51" s="118"/>
      <c r="C51" s="118"/>
      <c r="D51" s="118"/>
      <c r="E51" s="119" t="n">
        <f aca="false">'2000'!P32</f>
        <v>0</v>
      </c>
      <c r="F51" s="119" t="n">
        <f aca="false">'2001'!P31</f>
        <v>1</v>
      </c>
      <c r="G51" s="119" t="n">
        <f aca="false">'2002'!P30</f>
        <v>1</v>
      </c>
      <c r="H51" s="119" t="n">
        <v>0</v>
      </c>
      <c r="I51" s="119" t="n">
        <v>0</v>
      </c>
      <c r="J51" s="119" t="n">
        <v>0</v>
      </c>
      <c r="K51" s="119" t="n">
        <v>0</v>
      </c>
      <c r="L51" s="119" t="n">
        <v>0</v>
      </c>
      <c r="M51" s="119" t="n">
        <v>0</v>
      </c>
      <c r="N51" s="119" t="n">
        <v>0</v>
      </c>
      <c r="O51" s="119" t="n">
        <v>0</v>
      </c>
      <c r="P51" s="119" t="n">
        <v>0</v>
      </c>
      <c r="Q51" s="119" t="n">
        <v>0</v>
      </c>
      <c r="R51" s="119" t="n">
        <v>0</v>
      </c>
      <c r="S51" s="119" t="n">
        <v>0</v>
      </c>
      <c r="T51" s="119" t="n">
        <v>0</v>
      </c>
      <c r="U51" s="119" t="n">
        <v>0</v>
      </c>
      <c r="V51" s="119" t="n">
        <v>0</v>
      </c>
      <c r="W51" s="119" t="n">
        <v>0</v>
      </c>
      <c r="X51" s="119" t="n">
        <v>0</v>
      </c>
      <c r="Y51" s="119" t="n">
        <v>0</v>
      </c>
      <c r="Z51" s="119" t="n">
        <v>0</v>
      </c>
      <c r="AA51" s="119" t="n">
        <v>0</v>
      </c>
      <c r="AB51" s="120" t="n">
        <v>0</v>
      </c>
      <c r="AC51" s="120" t="n">
        <v>0</v>
      </c>
      <c r="AD51" s="120" t="n">
        <v>0</v>
      </c>
      <c r="AE51" s="117" t="n">
        <f aca="false">SUM(E51:AD51)</f>
        <v>2</v>
      </c>
    </row>
    <row r="52" customFormat="false" ht="12.75" hidden="false" customHeight="true" outlineLevel="0" collapsed="false">
      <c r="A52" s="114" t="n">
        <v>1992</v>
      </c>
      <c r="B52" s="114"/>
      <c r="C52" s="114"/>
      <c r="D52" s="114"/>
      <c r="E52" s="115" t="n">
        <f aca="false">'2000'!P33</f>
        <v>4</v>
      </c>
      <c r="F52" s="115" t="n">
        <f aca="false">'2001'!P32</f>
        <v>0</v>
      </c>
      <c r="G52" s="115" t="n">
        <f aca="false">'2002'!P31</f>
        <v>0</v>
      </c>
      <c r="H52" s="115" t="n">
        <v>0</v>
      </c>
      <c r="I52" s="115" t="n">
        <v>0</v>
      </c>
      <c r="J52" s="115" t="n">
        <v>0</v>
      </c>
      <c r="K52" s="115" t="n">
        <v>0</v>
      </c>
      <c r="L52" s="115" t="n">
        <v>0</v>
      </c>
      <c r="M52" s="115" t="n">
        <v>0</v>
      </c>
      <c r="N52" s="115" t="n">
        <v>0</v>
      </c>
      <c r="O52" s="115" t="n">
        <v>0</v>
      </c>
      <c r="P52" s="115" t="n">
        <v>0</v>
      </c>
      <c r="Q52" s="115" t="n">
        <v>0</v>
      </c>
      <c r="R52" s="115" t="n">
        <v>0</v>
      </c>
      <c r="S52" s="115" t="n">
        <v>0</v>
      </c>
      <c r="T52" s="115" t="n">
        <v>0</v>
      </c>
      <c r="U52" s="115" t="n">
        <v>0</v>
      </c>
      <c r="V52" s="115" t="n">
        <v>0</v>
      </c>
      <c r="W52" s="115" t="n">
        <v>0</v>
      </c>
      <c r="X52" s="115" t="n">
        <v>0</v>
      </c>
      <c r="Y52" s="115" t="n">
        <v>0</v>
      </c>
      <c r="Z52" s="115" t="n">
        <v>0</v>
      </c>
      <c r="AA52" s="115" t="n">
        <v>0</v>
      </c>
      <c r="AB52" s="116" t="n">
        <v>0</v>
      </c>
      <c r="AC52" s="116" t="n">
        <v>0</v>
      </c>
      <c r="AD52" s="116" t="n">
        <v>0</v>
      </c>
      <c r="AE52" s="117" t="n">
        <f aca="false">SUM(E52:AD52)</f>
        <v>4</v>
      </c>
    </row>
    <row r="53" customFormat="false" ht="12.75" hidden="false" customHeight="true" outlineLevel="0" collapsed="false">
      <c r="A53" s="118" t="n">
        <v>1993</v>
      </c>
      <c r="B53" s="118"/>
      <c r="C53" s="118"/>
      <c r="D53" s="118"/>
      <c r="E53" s="119" t="n">
        <f aca="false">'2000'!P34</f>
        <v>1</v>
      </c>
      <c r="F53" s="119" t="n">
        <f aca="false">'2001'!P33</f>
        <v>3</v>
      </c>
      <c r="G53" s="119" t="n">
        <f aca="false">'2002'!P32</f>
        <v>0</v>
      </c>
      <c r="H53" s="119" t="n">
        <f aca="false">'2003'!P31</f>
        <v>1</v>
      </c>
      <c r="I53" s="119" t="n">
        <f aca="false">'2004'!P30</f>
        <v>0</v>
      </c>
      <c r="J53" s="119" t="n">
        <f aca="false">'2005'!P29</f>
        <v>0</v>
      </c>
      <c r="K53" s="119" t="n">
        <v>0</v>
      </c>
      <c r="L53" s="119" t="n">
        <v>0</v>
      </c>
      <c r="M53" s="119" t="n">
        <v>0</v>
      </c>
      <c r="N53" s="119" t="n">
        <v>0</v>
      </c>
      <c r="O53" s="119" t="n">
        <v>0</v>
      </c>
      <c r="P53" s="119" t="n">
        <v>0</v>
      </c>
      <c r="Q53" s="119" t="n">
        <v>0</v>
      </c>
      <c r="R53" s="119" t="n">
        <v>0</v>
      </c>
      <c r="S53" s="119" t="n">
        <v>0</v>
      </c>
      <c r="T53" s="119" t="n">
        <v>0</v>
      </c>
      <c r="U53" s="119" t="n">
        <v>0</v>
      </c>
      <c r="V53" s="119" t="n">
        <v>0</v>
      </c>
      <c r="W53" s="119" t="n">
        <v>0</v>
      </c>
      <c r="X53" s="119" t="n">
        <v>0</v>
      </c>
      <c r="Y53" s="119" t="n">
        <v>0</v>
      </c>
      <c r="Z53" s="119" t="n">
        <v>0</v>
      </c>
      <c r="AA53" s="119" t="n">
        <v>0</v>
      </c>
      <c r="AB53" s="120" t="n">
        <v>0</v>
      </c>
      <c r="AC53" s="120" t="n">
        <v>0</v>
      </c>
      <c r="AD53" s="120" t="n">
        <v>0</v>
      </c>
      <c r="AE53" s="117" t="n">
        <f aca="false">SUM(E53:AD53)</f>
        <v>5</v>
      </c>
    </row>
    <row r="54" customFormat="false" ht="12.75" hidden="false" customHeight="true" outlineLevel="0" collapsed="false">
      <c r="A54" s="114" t="n">
        <v>1994</v>
      </c>
      <c r="B54" s="114"/>
      <c r="C54" s="114"/>
      <c r="D54" s="114"/>
      <c r="E54" s="115" t="n">
        <f aca="false">'2000'!P35</f>
        <v>1</v>
      </c>
      <c r="F54" s="115" t="n">
        <f aca="false">'2001'!P34</f>
        <v>0</v>
      </c>
      <c r="G54" s="115" t="n">
        <f aca="false">'2002'!P33</f>
        <v>4</v>
      </c>
      <c r="H54" s="115" t="n">
        <f aca="false">'2003'!P32</f>
        <v>1</v>
      </c>
      <c r="I54" s="115" t="n">
        <f aca="false">'2004'!P31</f>
        <v>0</v>
      </c>
      <c r="J54" s="115" t="n">
        <f aca="false">'2006'!P30</f>
        <v>2</v>
      </c>
      <c r="K54" s="115" t="n">
        <f aca="false">'2006'!P29</f>
        <v>1</v>
      </c>
      <c r="L54" s="115" t="n">
        <v>0</v>
      </c>
      <c r="M54" s="115" t="n">
        <v>0</v>
      </c>
      <c r="N54" s="115" t="n">
        <v>0</v>
      </c>
      <c r="O54" s="115" t="n">
        <v>0</v>
      </c>
      <c r="P54" s="115" t="n">
        <v>0</v>
      </c>
      <c r="Q54" s="115" t="n">
        <v>0</v>
      </c>
      <c r="R54" s="115" t="n">
        <v>0</v>
      </c>
      <c r="S54" s="115" t="n">
        <v>0</v>
      </c>
      <c r="T54" s="115" t="n">
        <v>0</v>
      </c>
      <c r="U54" s="115" t="n">
        <v>0</v>
      </c>
      <c r="V54" s="115" t="n">
        <v>0</v>
      </c>
      <c r="W54" s="115" t="n">
        <v>0</v>
      </c>
      <c r="X54" s="115" t="n">
        <v>0</v>
      </c>
      <c r="Y54" s="115" t="n">
        <v>0</v>
      </c>
      <c r="Z54" s="115" t="n">
        <v>0</v>
      </c>
      <c r="AA54" s="115" t="n">
        <v>0</v>
      </c>
      <c r="AB54" s="116" t="n">
        <v>0</v>
      </c>
      <c r="AC54" s="116" t="n">
        <v>0</v>
      </c>
      <c r="AD54" s="116" t="n">
        <v>0</v>
      </c>
      <c r="AE54" s="117" t="n">
        <f aca="false">SUM(E54:AD54)</f>
        <v>9</v>
      </c>
    </row>
    <row r="55" customFormat="false" ht="12.75" hidden="false" customHeight="true" outlineLevel="0" collapsed="false">
      <c r="A55" s="118" t="n">
        <v>1995</v>
      </c>
      <c r="B55" s="118"/>
      <c r="C55" s="118"/>
      <c r="D55" s="118"/>
      <c r="E55" s="119" t="n">
        <f aca="false">'2000'!P36</f>
        <v>4</v>
      </c>
      <c r="F55" s="119" t="n">
        <f aca="false">'2001'!P35</f>
        <v>9</v>
      </c>
      <c r="G55" s="119" t="n">
        <f aca="false">'2002'!P34</f>
        <v>0</v>
      </c>
      <c r="H55" s="119" t="n">
        <f aca="false">'2003'!P33</f>
        <v>3</v>
      </c>
      <c r="I55" s="119" t="n">
        <f aca="false">'2004'!P32</f>
        <v>1</v>
      </c>
      <c r="J55" s="119" t="n">
        <f aca="false">'2005'!P31</f>
        <v>1</v>
      </c>
      <c r="K55" s="119" t="n">
        <f aca="false">'2006'!P30</f>
        <v>2</v>
      </c>
      <c r="L55" s="119" t="n">
        <f aca="false">'2007'!P29</f>
        <v>1</v>
      </c>
      <c r="M55" s="119" t="n">
        <v>0</v>
      </c>
      <c r="N55" s="119" t="n">
        <v>0</v>
      </c>
      <c r="O55" s="119" t="n">
        <v>0</v>
      </c>
      <c r="P55" s="119" t="n">
        <v>0</v>
      </c>
      <c r="Q55" s="119" t="n">
        <v>0</v>
      </c>
      <c r="R55" s="119" t="n">
        <v>0</v>
      </c>
      <c r="S55" s="119" t="n">
        <v>0</v>
      </c>
      <c r="T55" s="119" t="n">
        <v>0</v>
      </c>
      <c r="U55" s="119" t="n">
        <v>0</v>
      </c>
      <c r="V55" s="119" t="n">
        <v>0</v>
      </c>
      <c r="W55" s="119" t="n">
        <v>0</v>
      </c>
      <c r="X55" s="119" t="n">
        <v>0</v>
      </c>
      <c r="Y55" s="119" t="n">
        <v>0</v>
      </c>
      <c r="Z55" s="119" t="n">
        <v>0</v>
      </c>
      <c r="AA55" s="119" t="n">
        <v>0</v>
      </c>
      <c r="AB55" s="120" t="n">
        <v>0</v>
      </c>
      <c r="AC55" s="120" t="n">
        <v>0</v>
      </c>
      <c r="AD55" s="120" t="n">
        <v>0</v>
      </c>
      <c r="AE55" s="117" t="n">
        <f aca="false">SUM(E55:AD55)</f>
        <v>21</v>
      </c>
    </row>
    <row r="56" customFormat="false" ht="12.75" hidden="false" customHeight="true" outlineLevel="0" collapsed="false">
      <c r="A56" s="114" t="n">
        <v>1996</v>
      </c>
      <c r="B56" s="114"/>
      <c r="C56" s="114"/>
      <c r="D56" s="114"/>
      <c r="E56" s="115" t="n">
        <f aca="false">'2000'!P37</f>
        <v>5</v>
      </c>
      <c r="F56" s="115" t="n">
        <f aca="false">'2001'!P36</f>
        <v>5</v>
      </c>
      <c r="G56" s="115" t="n">
        <f aca="false">'2002'!P35</f>
        <v>0</v>
      </c>
      <c r="H56" s="115" t="n">
        <f aca="false">'2003'!P34</f>
        <v>0</v>
      </c>
      <c r="I56" s="115" t="n">
        <f aca="false">'2004'!P33</f>
        <v>2</v>
      </c>
      <c r="J56" s="115" t="n">
        <f aca="false">'2006'!P32</f>
        <v>0</v>
      </c>
      <c r="K56" s="115" t="n">
        <f aca="false">'2006'!P31</f>
        <v>0</v>
      </c>
      <c r="L56" s="115" t="n">
        <f aca="false">'2007'!P30</f>
        <v>1</v>
      </c>
      <c r="M56" s="115" t="n">
        <f aca="false">'2008'!P29</f>
        <v>0</v>
      </c>
      <c r="N56" s="115" t="n">
        <v>0</v>
      </c>
      <c r="O56" s="115" t="n">
        <v>0</v>
      </c>
      <c r="P56" s="115" t="n">
        <v>0</v>
      </c>
      <c r="Q56" s="115" t="n">
        <v>0</v>
      </c>
      <c r="R56" s="115" t="n">
        <v>0</v>
      </c>
      <c r="S56" s="115" t="n">
        <v>0</v>
      </c>
      <c r="T56" s="115" t="n">
        <v>0</v>
      </c>
      <c r="U56" s="115" t="n">
        <v>0</v>
      </c>
      <c r="V56" s="115" t="n">
        <v>0</v>
      </c>
      <c r="W56" s="115" t="n">
        <v>0</v>
      </c>
      <c r="X56" s="115" t="n">
        <v>0</v>
      </c>
      <c r="Y56" s="115" t="n">
        <v>0</v>
      </c>
      <c r="Z56" s="115" t="n">
        <v>0</v>
      </c>
      <c r="AA56" s="115" t="n">
        <v>0</v>
      </c>
      <c r="AB56" s="116" t="n">
        <v>0</v>
      </c>
      <c r="AC56" s="116" t="n">
        <v>0</v>
      </c>
      <c r="AD56" s="116" t="n">
        <v>0</v>
      </c>
      <c r="AE56" s="117" t="n">
        <f aca="false">SUM(E56:AD56)</f>
        <v>13</v>
      </c>
    </row>
    <row r="57" customFormat="false" ht="12.75" hidden="false" customHeight="true" outlineLevel="0" collapsed="false">
      <c r="A57" s="118" t="n">
        <v>1997</v>
      </c>
      <c r="B57" s="118"/>
      <c r="C57" s="118"/>
      <c r="D57" s="118"/>
      <c r="E57" s="119" t="n">
        <f aca="false">'2000'!P38</f>
        <v>11</v>
      </c>
      <c r="F57" s="119" t="n">
        <f aca="false">'2001'!P37</f>
        <v>2</v>
      </c>
      <c r="G57" s="119" t="n">
        <f aca="false">'2002'!P36</f>
        <v>1</v>
      </c>
      <c r="H57" s="119" t="n">
        <f aca="false">'2003'!P35</f>
        <v>0</v>
      </c>
      <c r="I57" s="119" t="n">
        <f aca="false">'2004'!P34</f>
        <v>0</v>
      </c>
      <c r="J57" s="119" t="n">
        <f aca="false">'2005'!P33</f>
        <v>0</v>
      </c>
      <c r="K57" s="119" t="n">
        <f aca="false">'2006'!P32</f>
        <v>0</v>
      </c>
      <c r="L57" s="119" t="n">
        <f aca="false">'2007'!P31</f>
        <v>2</v>
      </c>
      <c r="M57" s="119" t="n">
        <f aca="false">'2008'!P30</f>
        <v>0</v>
      </c>
      <c r="N57" s="119" t="n">
        <f aca="false">'2009'!P29</f>
        <v>0</v>
      </c>
      <c r="O57" s="119" t="n">
        <v>0</v>
      </c>
      <c r="P57" s="119" t="n">
        <v>0</v>
      </c>
      <c r="Q57" s="119" t="n">
        <v>0</v>
      </c>
      <c r="R57" s="119" t="n">
        <v>0</v>
      </c>
      <c r="S57" s="119" t="n">
        <v>0</v>
      </c>
      <c r="T57" s="119" t="n">
        <v>0</v>
      </c>
      <c r="U57" s="119" t="n">
        <v>0</v>
      </c>
      <c r="V57" s="119" t="n">
        <v>0</v>
      </c>
      <c r="W57" s="119" t="n">
        <v>0</v>
      </c>
      <c r="X57" s="119" t="n">
        <v>0</v>
      </c>
      <c r="Y57" s="119" t="n">
        <v>0</v>
      </c>
      <c r="Z57" s="119" t="n">
        <v>0</v>
      </c>
      <c r="AA57" s="119" t="n">
        <v>0</v>
      </c>
      <c r="AB57" s="120" t="n">
        <v>0</v>
      </c>
      <c r="AC57" s="120" t="n">
        <v>0</v>
      </c>
      <c r="AD57" s="120" t="n">
        <v>0</v>
      </c>
      <c r="AE57" s="117" t="n">
        <f aca="false">SUM(E57:AD57)</f>
        <v>16</v>
      </c>
    </row>
    <row r="58" customFormat="false" ht="12.75" hidden="false" customHeight="true" outlineLevel="0" collapsed="false">
      <c r="A58" s="114" t="n">
        <v>1998</v>
      </c>
      <c r="B58" s="114"/>
      <c r="C58" s="114"/>
      <c r="D58" s="114"/>
      <c r="E58" s="115" t="n">
        <f aca="false">'2000'!P39</f>
        <v>24</v>
      </c>
      <c r="F58" s="115" t="n">
        <f aca="false">'2001'!P38</f>
        <v>21</v>
      </c>
      <c r="G58" s="115" t="n">
        <f aca="false">'2002'!P37</f>
        <v>5</v>
      </c>
      <c r="H58" s="115" t="n">
        <f aca="false">'2003'!P36</f>
        <v>6</v>
      </c>
      <c r="I58" s="115" t="n">
        <f aca="false">'2004'!P35</f>
        <v>3</v>
      </c>
      <c r="J58" s="115" t="n">
        <f aca="false">'2006'!P34</f>
        <v>5</v>
      </c>
      <c r="K58" s="115" t="n">
        <f aca="false">'2006'!P33</f>
        <v>1</v>
      </c>
      <c r="L58" s="115" t="n">
        <f aca="false">'2007'!P32</f>
        <v>1</v>
      </c>
      <c r="M58" s="115" t="n">
        <f aca="false">'2008'!P31</f>
        <v>0</v>
      </c>
      <c r="N58" s="115" t="n">
        <f aca="false">'2009'!P30</f>
        <v>2</v>
      </c>
      <c r="O58" s="115" t="n">
        <f aca="false">'2010'!P29</f>
        <v>1</v>
      </c>
      <c r="P58" s="115" t="n">
        <v>0</v>
      </c>
      <c r="Q58" s="115" t="n">
        <v>0</v>
      </c>
      <c r="R58" s="115" t="n">
        <v>0</v>
      </c>
      <c r="S58" s="115" t="n">
        <v>0</v>
      </c>
      <c r="T58" s="115" t="n">
        <v>0</v>
      </c>
      <c r="U58" s="115" t="n">
        <v>0</v>
      </c>
      <c r="V58" s="115" t="n">
        <v>0</v>
      </c>
      <c r="W58" s="115" t="n">
        <v>0</v>
      </c>
      <c r="X58" s="115" t="n">
        <v>0</v>
      </c>
      <c r="Y58" s="115" t="n">
        <v>0</v>
      </c>
      <c r="Z58" s="115" t="n">
        <v>0</v>
      </c>
      <c r="AA58" s="115" t="n">
        <v>0</v>
      </c>
      <c r="AB58" s="116" t="n">
        <v>0</v>
      </c>
      <c r="AC58" s="116" t="n">
        <v>0</v>
      </c>
      <c r="AD58" s="116" t="n">
        <v>0</v>
      </c>
      <c r="AE58" s="117" t="n">
        <f aca="false">SUM(E58:AD58)</f>
        <v>69</v>
      </c>
    </row>
    <row r="59" customFormat="false" ht="12.75" hidden="false" customHeight="true" outlineLevel="0" collapsed="false">
      <c r="A59" s="118" t="n">
        <v>1999</v>
      </c>
      <c r="B59" s="118"/>
      <c r="C59" s="118"/>
      <c r="D59" s="118"/>
      <c r="E59" s="119" t="n">
        <f aca="false">'2000'!P40</f>
        <v>29</v>
      </c>
      <c r="F59" s="119" t="n">
        <f aca="false">'2001'!P39</f>
        <v>47</v>
      </c>
      <c r="G59" s="119" t="n">
        <f aca="false">'2002'!P38</f>
        <v>12</v>
      </c>
      <c r="H59" s="119" t="n">
        <f aca="false">'2003'!P37</f>
        <v>6</v>
      </c>
      <c r="I59" s="119" t="n">
        <f aca="false">'2004'!P36</f>
        <v>4</v>
      </c>
      <c r="J59" s="119" t="n">
        <f aca="false">'2005'!P35</f>
        <v>2</v>
      </c>
      <c r="K59" s="119" t="n">
        <f aca="false">'2006'!P34</f>
        <v>5</v>
      </c>
      <c r="L59" s="119" t="n">
        <f aca="false">'2007'!P33</f>
        <v>4</v>
      </c>
      <c r="M59" s="119" t="n">
        <f aca="false">'2008'!P32</f>
        <v>0</v>
      </c>
      <c r="N59" s="119" t="n">
        <f aca="false">'2009'!P31</f>
        <v>1</v>
      </c>
      <c r="O59" s="119" t="n">
        <f aca="false">'2010'!P30</f>
        <v>3</v>
      </c>
      <c r="P59" s="119" t="n">
        <f aca="false">'2011'!P29</f>
        <v>0</v>
      </c>
      <c r="Q59" s="119" t="n">
        <v>0</v>
      </c>
      <c r="R59" s="119" t="n">
        <v>0</v>
      </c>
      <c r="S59" s="119" t="n">
        <v>0</v>
      </c>
      <c r="T59" s="119" t="n">
        <v>0</v>
      </c>
      <c r="U59" s="119" t="n">
        <v>0</v>
      </c>
      <c r="V59" s="119" t="n">
        <v>0</v>
      </c>
      <c r="W59" s="119" t="n">
        <v>0</v>
      </c>
      <c r="X59" s="119" t="n">
        <v>0</v>
      </c>
      <c r="Y59" s="119" t="n">
        <v>0</v>
      </c>
      <c r="Z59" s="119" t="n">
        <v>0</v>
      </c>
      <c r="AA59" s="119" t="n">
        <v>0</v>
      </c>
      <c r="AB59" s="120" t="n">
        <v>0</v>
      </c>
      <c r="AC59" s="120" t="n">
        <v>0</v>
      </c>
      <c r="AD59" s="120" t="n">
        <v>0</v>
      </c>
      <c r="AE59" s="117" t="n">
        <f aca="false">SUM(E59:AD59)</f>
        <v>113</v>
      </c>
    </row>
    <row r="60" customFormat="false" ht="12.75" hidden="false" customHeight="true" outlineLevel="0" collapsed="false">
      <c r="A60" s="114" t="n">
        <v>2000</v>
      </c>
      <c r="B60" s="114"/>
      <c r="C60" s="114"/>
      <c r="D60" s="114"/>
      <c r="E60" s="115" t="n">
        <f aca="false">'2000'!P41</f>
        <v>1</v>
      </c>
      <c r="F60" s="115" t="n">
        <f aca="false">'2001'!P40</f>
        <v>24</v>
      </c>
      <c r="G60" s="115" t="n">
        <f aca="false">'2002'!P39</f>
        <v>24</v>
      </c>
      <c r="H60" s="115" t="n">
        <f aca="false">'2003'!P38</f>
        <v>19</v>
      </c>
      <c r="I60" s="115" t="n">
        <f aca="false">'2004'!P37</f>
        <v>13</v>
      </c>
      <c r="J60" s="115" t="n">
        <f aca="false">'2006'!P36</f>
        <v>17</v>
      </c>
      <c r="K60" s="115" t="n">
        <f aca="false">'2006'!P35</f>
        <v>4</v>
      </c>
      <c r="L60" s="115" t="n">
        <f aca="false">'2007'!P34</f>
        <v>6</v>
      </c>
      <c r="M60" s="115" t="n">
        <f aca="false">'2008'!P33</f>
        <v>2</v>
      </c>
      <c r="N60" s="115" t="n">
        <f aca="false">'2009'!P32</f>
        <v>1</v>
      </c>
      <c r="O60" s="115" t="n">
        <f aca="false">'2010'!P31</f>
        <v>1</v>
      </c>
      <c r="P60" s="115" t="n">
        <f aca="false">'2011'!P30</f>
        <v>0</v>
      </c>
      <c r="Q60" s="115" t="n">
        <f aca="false">'2012'!P29</f>
        <v>0</v>
      </c>
      <c r="R60" s="115" t="n">
        <v>0</v>
      </c>
      <c r="S60" s="115" t="n">
        <v>0</v>
      </c>
      <c r="T60" s="115" t="n">
        <v>0</v>
      </c>
      <c r="U60" s="115" t="n">
        <v>0</v>
      </c>
      <c r="V60" s="115" t="n">
        <v>0</v>
      </c>
      <c r="W60" s="115" t="n">
        <v>0</v>
      </c>
      <c r="X60" s="115" t="n">
        <v>0</v>
      </c>
      <c r="Y60" s="115" t="n">
        <v>0</v>
      </c>
      <c r="Z60" s="115" t="n">
        <v>0</v>
      </c>
      <c r="AA60" s="115" t="n">
        <v>0</v>
      </c>
      <c r="AB60" s="116" t="n">
        <v>0</v>
      </c>
      <c r="AC60" s="116" t="n">
        <v>0</v>
      </c>
      <c r="AD60" s="116" t="n">
        <v>0</v>
      </c>
      <c r="AE60" s="117" t="n">
        <f aca="false">SUM(E60:AD60)</f>
        <v>112</v>
      </c>
    </row>
    <row r="61" customFormat="false" ht="12.75" hidden="false" customHeight="true" outlineLevel="0" collapsed="false">
      <c r="A61" s="118" t="n">
        <v>2001</v>
      </c>
      <c r="B61" s="118"/>
      <c r="C61" s="118"/>
      <c r="D61" s="118"/>
      <c r="E61" s="119" t="n">
        <v>0</v>
      </c>
      <c r="F61" s="119" t="n">
        <f aca="false">'2001'!P41</f>
        <v>2</v>
      </c>
      <c r="G61" s="119" t="n">
        <f aca="false">'2002'!P40</f>
        <v>4</v>
      </c>
      <c r="H61" s="119" t="n">
        <f aca="false">'2003'!P39</f>
        <v>31</v>
      </c>
      <c r="I61" s="119" t="n">
        <f aca="false">'2004'!P38</f>
        <v>28</v>
      </c>
      <c r="J61" s="119" t="n">
        <f aca="false">'2005'!P37</f>
        <v>14</v>
      </c>
      <c r="K61" s="119" t="n">
        <f aca="false">'2006'!P36</f>
        <v>17</v>
      </c>
      <c r="L61" s="119" t="n">
        <f aca="false">'2007'!P35</f>
        <v>15</v>
      </c>
      <c r="M61" s="119" t="n">
        <f aca="false">'2008'!P34</f>
        <v>12</v>
      </c>
      <c r="N61" s="119" t="n">
        <f aca="false">'2009'!P33</f>
        <v>2</v>
      </c>
      <c r="O61" s="119" t="n">
        <f aca="false">'2010'!P32</f>
        <v>2</v>
      </c>
      <c r="P61" s="119" t="n">
        <f aca="false">'2011'!P31</f>
        <v>1</v>
      </c>
      <c r="Q61" s="119" t="n">
        <f aca="false">'2012'!P30</f>
        <v>0</v>
      </c>
      <c r="R61" s="119" t="n">
        <f aca="false">'2013'!P29</f>
        <v>0</v>
      </c>
      <c r="S61" s="119" t="n">
        <v>0</v>
      </c>
      <c r="T61" s="119" t="n">
        <v>0</v>
      </c>
      <c r="U61" s="119" t="n">
        <v>0</v>
      </c>
      <c r="V61" s="119" t="n">
        <v>0</v>
      </c>
      <c r="W61" s="119" t="n">
        <v>0</v>
      </c>
      <c r="X61" s="119" t="n">
        <v>0</v>
      </c>
      <c r="Y61" s="119" t="n">
        <v>0</v>
      </c>
      <c r="Z61" s="119" t="n">
        <v>0</v>
      </c>
      <c r="AA61" s="119" t="n">
        <v>0</v>
      </c>
      <c r="AB61" s="120" t="n">
        <v>0</v>
      </c>
      <c r="AC61" s="120" t="n">
        <v>0</v>
      </c>
      <c r="AD61" s="120" t="n">
        <v>0</v>
      </c>
      <c r="AE61" s="117" t="n">
        <f aca="false">SUM(E61:AD61)</f>
        <v>128</v>
      </c>
    </row>
    <row r="62" customFormat="false" ht="12.75" hidden="false" customHeight="true" outlineLevel="0" collapsed="false">
      <c r="A62" s="114" t="n">
        <v>2002</v>
      </c>
      <c r="B62" s="114"/>
      <c r="C62" s="114"/>
      <c r="D62" s="114"/>
      <c r="E62" s="115" t="n">
        <v>0</v>
      </c>
      <c r="F62" s="115" t="n">
        <v>0</v>
      </c>
      <c r="G62" s="115" t="n">
        <f aca="false">'2002'!P41</f>
        <v>1</v>
      </c>
      <c r="H62" s="115" t="n">
        <f aca="false">'2003'!P40</f>
        <v>8</v>
      </c>
      <c r="I62" s="115" t="n">
        <f aca="false">'2004'!P39</f>
        <v>18</v>
      </c>
      <c r="J62" s="115" t="n">
        <f aca="false">'2006'!P38</f>
        <v>16</v>
      </c>
      <c r="K62" s="115" t="n">
        <f aca="false">'2006'!P37</f>
        <v>14</v>
      </c>
      <c r="L62" s="115" t="n">
        <f aca="false">'2007'!P36</f>
        <v>5</v>
      </c>
      <c r="M62" s="115" t="n">
        <f aca="false">'2008'!P35</f>
        <v>2</v>
      </c>
      <c r="N62" s="115" t="n">
        <f aca="false">'2009'!P34</f>
        <v>1</v>
      </c>
      <c r="O62" s="115" t="n">
        <f aca="false">'2010'!P33</f>
        <v>0</v>
      </c>
      <c r="P62" s="115" t="n">
        <f aca="false">'2011'!P32</f>
        <v>0</v>
      </c>
      <c r="Q62" s="115" t="n">
        <f aca="false">'2012'!P31</f>
        <v>0</v>
      </c>
      <c r="R62" s="115" t="n">
        <f aca="false">'2013'!P30</f>
        <v>0</v>
      </c>
      <c r="S62" s="115" t="n">
        <f aca="false">'2014'!P29</f>
        <v>0</v>
      </c>
      <c r="T62" s="115" t="n">
        <v>0</v>
      </c>
      <c r="U62" s="115" t="n">
        <v>0</v>
      </c>
      <c r="V62" s="115" t="n">
        <v>0</v>
      </c>
      <c r="W62" s="115" t="n">
        <v>0</v>
      </c>
      <c r="X62" s="115" t="n">
        <v>0</v>
      </c>
      <c r="Y62" s="115" t="n">
        <v>0</v>
      </c>
      <c r="Z62" s="115" t="n">
        <v>0</v>
      </c>
      <c r="AA62" s="115" t="n">
        <v>0</v>
      </c>
      <c r="AB62" s="116" t="n">
        <v>0</v>
      </c>
      <c r="AC62" s="116" t="n">
        <v>0</v>
      </c>
      <c r="AD62" s="116" t="n">
        <v>0</v>
      </c>
      <c r="AE62" s="117" t="n">
        <f aca="false">SUM(E62:AD62)</f>
        <v>65</v>
      </c>
    </row>
    <row r="63" customFormat="false" ht="12.75" hidden="false" customHeight="true" outlineLevel="0" collapsed="false">
      <c r="A63" s="118" t="n">
        <v>2003</v>
      </c>
      <c r="B63" s="118"/>
      <c r="C63" s="118"/>
      <c r="D63" s="118"/>
      <c r="E63" s="119" t="n">
        <v>0</v>
      </c>
      <c r="F63" s="119" t="n">
        <v>0</v>
      </c>
      <c r="G63" s="119" t="n">
        <v>0</v>
      </c>
      <c r="H63" s="119" t="n">
        <f aca="false">'2003'!P41</f>
        <v>2</v>
      </c>
      <c r="I63" s="119" t="n">
        <f aca="false">'2004'!P40</f>
        <v>13</v>
      </c>
      <c r="J63" s="119" t="n">
        <f aca="false">'2005'!P39</f>
        <v>25</v>
      </c>
      <c r="K63" s="119" t="n">
        <f aca="false">'2006'!P38</f>
        <v>16</v>
      </c>
      <c r="L63" s="119" t="n">
        <f aca="false">'2007'!P37</f>
        <v>24</v>
      </c>
      <c r="M63" s="119" t="n">
        <f aca="false">'2008'!P36</f>
        <v>3</v>
      </c>
      <c r="N63" s="119" t="n">
        <f aca="false">'2009'!P35</f>
        <v>3</v>
      </c>
      <c r="O63" s="119" t="n">
        <f aca="false">'2010'!P34</f>
        <v>0</v>
      </c>
      <c r="P63" s="119" t="n">
        <f aca="false">'2011'!P33</f>
        <v>0</v>
      </c>
      <c r="Q63" s="119" t="n">
        <f aca="false">'2012'!P32</f>
        <v>0</v>
      </c>
      <c r="R63" s="119" t="n">
        <f aca="false">'2013'!P31</f>
        <v>0</v>
      </c>
      <c r="S63" s="119" t="n">
        <f aca="false">'2014'!P30</f>
        <v>0</v>
      </c>
      <c r="T63" s="119" t="n">
        <f aca="false">'2015'!P29</f>
        <v>0</v>
      </c>
      <c r="U63" s="119" t="n">
        <f aca="false">'2015'!P29</f>
        <v>0</v>
      </c>
      <c r="V63" s="119" t="n">
        <v>0</v>
      </c>
      <c r="W63" s="119" t="n">
        <v>0</v>
      </c>
      <c r="X63" s="119" t="n">
        <v>0</v>
      </c>
      <c r="Y63" s="119" t="n">
        <v>0</v>
      </c>
      <c r="Z63" s="119" t="n">
        <v>0</v>
      </c>
      <c r="AA63" s="119" t="n">
        <v>0</v>
      </c>
      <c r="AB63" s="120" t="n">
        <v>0</v>
      </c>
      <c r="AC63" s="120" t="n">
        <v>0</v>
      </c>
      <c r="AD63" s="120" t="n">
        <v>0</v>
      </c>
      <c r="AE63" s="117" t="n">
        <f aca="false">SUM(E63:AD63)</f>
        <v>86</v>
      </c>
    </row>
    <row r="64" customFormat="false" ht="12.75" hidden="false" customHeight="true" outlineLevel="0" collapsed="false">
      <c r="A64" s="114" t="n">
        <v>2004</v>
      </c>
      <c r="B64" s="114"/>
      <c r="C64" s="114"/>
      <c r="D64" s="114"/>
      <c r="E64" s="115" t="n">
        <v>0</v>
      </c>
      <c r="F64" s="115" t="n">
        <v>0</v>
      </c>
      <c r="G64" s="115" t="n">
        <v>0</v>
      </c>
      <c r="H64" s="115" t="n">
        <v>0</v>
      </c>
      <c r="I64" s="115" t="n">
        <f aca="false">'2004'!P41</f>
        <v>2</v>
      </c>
      <c r="J64" s="115" t="n">
        <f aca="false">'2006'!P40</f>
        <v>17</v>
      </c>
      <c r="K64" s="115" t="n">
        <f aca="false">'2006'!P39</f>
        <v>29</v>
      </c>
      <c r="L64" s="115" t="n">
        <f aca="false">'2007'!P38</f>
        <v>46</v>
      </c>
      <c r="M64" s="115" t="n">
        <f aca="false">'2008'!P37</f>
        <v>18</v>
      </c>
      <c r="N64" s="115" t="n">
        <f aca="false">'2009'!P36</f>
        <v>2</v>
      </c>
      <c r="O64" s="115" t="n">
        <f aca="false">'2010'!P35</f>
        <v>2</v>
      </c>
      <c r="P64" s="115" t="n">
        <f aca="false">'2011'!P34</f>
        <v>2</v>
      </c>
      <c r="Q64" s="115" t="n">
        <f aca="false">'2012'!P33</f>
        <v>0</v>
      </c>
      <c r="R64" s="115" t="n">
        <f aca="false">'2013'!P32</f>
        <v>0</v>
      </c>
      <c r="S64" s="115" t="n">
        <f aca="false">'2014'!P31</f>
        <v>0</v>
      </c>
      <c r="T64" s="115" t="n">
        <f aca="false">'2015'!P30</f>
        <v>0</v>
      </c>
      <c r="U64" s="115" t="n">
        <f aca="false">'2016'!P29</f>
        <v>0</v>
      </c>
      <c r="V64" s="115" t="n">
        <v>0</v>
      </c>
      <c r="W64" s="115" t="n">
        <v>0</v>
      </c>
      <c r="X64" s="115" t="n">
        <v>0</v>
      </c>
      <c r="Y64" s="115" t="n">
        <v>0</v>
      </c>
      <c r="Z64" s="115" t="n">
        <v>0</v>
      </c>
      <c r="AA64" s="115" t="n">
        <v>0</v>
      </c>
      <c r="AB64" s="116" t="n">
        <v>0</v>
      </c>
      <c r="AC64" s="116" t="n">
        <v>0</v>
      </c>
      <c r="AD64" s="116" t="n">
        <v>0</v>
      </c>
      <c r="AE64" s="117" t="n">
        <f aca="false">SUM(E64:AD64)</f>
        <v>118</v>
      </c>
    </row>
    <row r="65" customFormat="false" ht="12.75" hidden="false" customHeight="true" outlineLevel="0" collapsed="false">
      <c r="A65" s="118" t="n">
        <v>2005</v>
      </c>
      <c r="B65" s="118"/>
      <c r="C65" s="118"/>
      <c r="D65" s="118"/>
      <c r="E65" s="119" t="n">
        <v>0</v>
      </c>
      <c r="F65" s="119" t="n">
        <v>0</v>
      </c>
      <c r="G65" s="119" t="n">
        <v>0</v>
      </c>
      <c r="H65" s="119" t="n">
        <v>0</v>
      </c>
      <c r="I65" s="119" t="n">
        <v>0</v>
      </c>
      <c r="J65" s="119" t="n">
        <f aca="false">'2005'!P41</f>
        <v>0</v>
      </c>
      <c r="K65" s="119" t="n">
        <f aca="false">'2006'!P40</f>
        <v>17</v>
      </c>
      <c r="L65" s="119" t="n">
        <f aca="false">'2007'!P39</f>
        <v>64</v>
      </c>
      <c r="M65" s="119" t="n">
        <f aca="false">'2008'!P38</f>
        <v>37</v>
      </c>
      <c r="N65" s="119" t="n">
        <f aca="false">'2009'!P37</f>
        <v>8</v>
      </c>
      <c r="O65" s="119" t="n">
        <f aca="false">'2010'!P36</f>
        <v>1</v>
      </c>
      <c r="P65" s="119" t="n">
        <f aca="false">'2011'!P35</f>
        <v>5</v>
      </c>
      <c r="Q65" s="119" t="n">
        <f aca="false">'2012'!P34</f>
        <v>1</v>
      </c>
      <c r="R65" s="119" t="n">
        <f aca="false">'2013'!P33</f>
        <v>0</v>
      </c>
      <c r="S65" s="119" t="n">
        <f aca="false">'2014'!P32</f>
        <v>0</v>
      </c>
      <c r="T65" s="119" t="n">
        <f aca="false">'2015'!P31</f>
        <v>0</v>
      </c>
      <c r="U65" s="119" t="n">
        <f aca="false">'2015'!P31</f>
        <v>0</v>
      </c>
      <c r="V65" s="119" t="n">
        <f aca="false">'2017'!P29</f>
        <v>0</v>
      </c>
      <c r="W65" s="119" t="n">
        <v>0</v>
      </c>
      <c r="X65" s="119" t="n">
        <v>0</v>
      </c>
      <c r="Y65" s="119" t="n">
        <v>0</v>
      </c>
      <c r="Z65" s="119" t="n">
        <v>0</v>
      </c>
      <c r="AA65" s="119" t="n">
        <v>0</v>
      </c>
      <c r="AB65" s="120" t="n">
        <v>0</v>
      </c>
      <c r="AC65" s="120" t="n">
        <v>0</v>
      </c>
      <c r="AD65" s="120" t="n">
        <v>0</v>
      </c>
      <c r="AE65" s="117" t="n">
        <f aca="false">SUM(E65:AD65)</f>
        <v>133</v>
      </c>
    </row>
    <row r="66" customFormat="false" ht="12.75" hidden="false" customHeight="true" outlineLevel="0" collapsed="false">
      <c r="A66" s="114" t="n">
        <v>2006</v>
      </c>
      <c r="B66" s="114"/>
      <c r="C66" s="114"/>
      <c r="D66" s="114"/>
      <c r="E66" s="115" t="n">
        <v>0</v>
      </c>
      <c r="F66" s="115" t="n">
        <v>0</v>
      </c>
      <c r="G66" s="115" t="n">
        <v>0</v>
      </c>
      <c r="H66" s="115" t="n">
        <v>0</v>
      </c>
      <c r="I66" s="115" t="n">
        <v>0</v>
      </c>
      <c r="J66" s="115" t="n">
        <v>0</v>
      </c>
      <c r="K66" s="115" t="n">
        <f aca="false">'2006'!P41</f>
        <v>3</v>
      </c>
      <c r="L66" s="115" t="n">
        <f aca="false">'2007'!P40</f>
        <v>28</v>
      </c>
      <c r="M66" s="115" t="n">
        <f aca="false">'2008'!P39</f>
        <v>66</v>
      </c>
      <c r="N66" s="115" t="n">
        <f aca="false">'2009'!P38</f>
        <v>35</v>
      </c>
      <c r="O66" s="115" t="n">
        <f aca="false">'2010'!P37</f>
        <v>17</v>
      </c>
      <c r="P66" s="115" t="n">
        <f aca="false">'2011'!P36</f>
        <v>8</v>
      </c>
      <c r="Q66" s="115" t="n">
        <f aca="false">'2012'!P35</f>
        <v>1</v>
      </c>
      <c r="R66" s="115" t="n">
        <f aca="false">'2013'!P34</f>
        <v>1</v>
      </c>
      <c r="S66" s="115" t="n">
        <f aca="false">'2014'!P33</f>
        <v>0</v>
      </c>
      <c r="T66" s="115" t="n">
        <f aca="false">'2015'!P32</f>
        <v>1</v>
      </c>
      <c r="U66" s="115" t="n">
        <f aca="false">'2016'!P31</f>
        <v>0</v>
      </c>
      <c r="V66" s="115" t="n">
        <f aca="false">'2017'!P30</f>
        <v>0</v>
      </c>
      <c r="W66" s="115" t="n">
        <f aca="false">'2018'!P29</f>
        <v>0</v>
      </c>
      <c r="X66" s="115" t="n">
        <v>0</v>
      </c>
      <c r="Y66" s="115" t="n">
        <v>0</v>
      </c>
      <c r="Z66" s="115" t="n">
        <v>0</v>
      </c>
      <c r="AA66" s="115" t="n">
        <v>0</v>
      </c>
      <c r="AB66" s="116" t="n">
        <v>0</v>
      </c>
      <c r="AC66" s="116" t="n">
        <v>0</v>
      </c>
      <c r="AD66" s="116" t="n">
        <v>0</v>
      </c>
      <c r="AE66" s="117" t="n">
        <f aca="false">SUM(E66:AD66)</f>
        <v>160</v>
      </c>
    </row>
    <row r="67" customFormat="false" ht="12.75" hidden="false" customHeight="true" outlineLevel="0" collapsed="false">
      <c r="A67" s="118" t="n">
        <v>2007</v>
      </c>
      <c r="B67" s="118"/>
      <c r="C67" s="118"/>
      <c r="D67" s="118"/>
      <c r="E67" s="119" t="n">
        <v>0</v>
      </c>
      <c r="F67" s="119" t="n">
        <v>0</v>
      </c>
      <c r="G67" s="119" t="n">
        <v>0</v>
      </c>
      <c r="H67" s="119" t="n">
        <v>0</v>
      </c>
      <c r="I67" s="119" t="n">
        <v>0</v>
      </c>
      <c r="J67" s="119" t="n">
        <v>0</v>
      </c>
      <c r="K67" s="119" t="n">
        <v>0</v>
      </c>
      <c r="L67" s="119" t="n">
        <f aca="false">'2007'!P41</f>
        <v>5</v>
      </c>
      <c r="M67" s="119" t="n">
        <f aca="false">'2008'!P40</f>
        <v>47</v>
      </c>
      <c r="N67" s="119" t="n">
        <f aca="false">'2009'!P39</f>
        <v>47</v>
      </c>
      <c r="O67" s="119" t="n">
        <f aca="false">'2010'!P38</f>
        <v>14</v>
      </c>
      <c r="P67" s="119" t="n">
        <f aca="false">'2011'!P37</f>
        <v>7</v>
      </c>
      <c r="Q67" s="119" t="n">
        <f aca="false">'2012'!P36</f>
        <v>13</v>
      </c>
      <c r="R67" s="119" t="n">
        <f aca="false">'2013'!P35</f>
        <v>9</v>
      </c>
      <c r="S67" s="119" t="n">
        <f aca="false">'2014'!P34</f>
        <v>5</v>
      </c>
      <c r="T67" s="119" t="n">
        <f aca="false">'2015'!P33</f>
        <v>3</v>
      </c>
      <c r="U67" s="119" t="n">
        <f aca="false">'2016'!P32</f>
        <v>1</v>
      </c>
      <c r="V67" s="119" t="n">
        <f aca="false">'2017'!P31</f>
        <v>0</v>
      </c>
      <c r="W67" s="119" t="n">
        <f aca="false">'2018'!P30</f>
        <v>0</v>
      </c>
      <c r="X67" s="119" t="n">
        <f aca="false">'2019'!P29</f>
        <v>1</v>
      </c>
      <c r="Y67" s="119" t="n">
        <v>0</v>
      </c>
      <c r="Z67" s="119" t="n">
        <v>0</v>
      </c>
      <c r="AA67" s="119" t="n">
        <v>0</v>
      </c>
      <c r="AB67" s="120" t="n">
        <v>0</v>
      </c>
      <c r="AC67" s="120" t="n">
        <v>0</v>
      </c>
      <c r="AD67" s="120" t="n">
        <v>0</v>
      </c>
      <c r="AE67" s="117" t="n">
        <f aca="false">SUM(E67:AD67)</f>
        <v>152</v>
      </c>
    </row>
    <row r="68" customFormat="false" ht="12.75" hidden="false" customHeight="true" outlineLevel="0" collapsed="false">
      <c r="A68" s="114" t="n">
        <v>2008</v>
      </c>
      <c r="B68" s="114"/>
      <c r="C68" s="114"/>
      <c r="D68" s="114"/>
      <c r="E68" s="115" t="n">
        <v>0</v>
      </c>
      <c r="F68" s="115" t="n">
        <v>0</v>
      </c>
      <c r="G68" s="115" t="n">
        <v>0</v>
      </c>
      <c r="H68" s="115" t="n">
        <v>0</v>
      </c>
      <c r="I68" s="115" t="n">
        <v>0</v>
      </c>
      <c r="J68" s="115" t="n">
        <v>0</v>
      </c>
      <c r="K68" s="115" t="n">
        <v>0</v>
      </c>
      <c r="L68" s="115" t="n">
        <v>0</v>
      </c>
      <c r="M68" s="115" t="n">
        <f aca="false">'2008'!P41</f>
        <v>4</v>
      </c>
      <c r="N68" s="115" t="n">
        <f aca="false">'2009'!P40</f>
        <v>35</v>
      </c>
      <c r="O68" s="115" t="n">
        <f aca="false">'2010'!P39</f>
        <v>43</v>
      </c>
      <c r="P68" s="115" t="n">
        <f aca="false">'2011'!P38</f>
        <v>46</v>
      </c>
      <c r="Q68" s="115" t="n">
        <f aca="false">'2012'!P37</f>
        <v>31</v>
      </c>
      <c r="R68" s="115" t="n">
        <f aca="false">'2013'!P36</f>
        <v>14</v>
      </c>
      <c r="S68" s="115" t="n">
        <f aca="false">'2014'!P35</f>
        <v>23</v>
      </c>
      <c r="T68" s="115" t="n">
        <f aca="false">'2015'!P34</f>
        <v>6</v>
      </c>
      <c r="U68" s="115" t="n">
        <f aca="false">'2016'!P33</f>
        <v>4</v>
      </c>
      <c r="V68" s="115" t="n">
        <f aca="false">'2017'!P32</f>
        <v>2</v>
      </c>
      <c r="W68" s="115" t="n">
        <f aca="false">'2018'!P31</f>
        <v>2</v>
      </c>
      <c r="X68" s="115" t="n">
        <f aca="false">'2019'!P30</f>
        <v>1</v>
      </c>
      <c r="Y68" s="115" t="n">
        <f aca="false">'2020'!P29</f>
        <v>2</v>
      </c>
      <c r="Z68" s="115" t="n">
        <f aca="false">'2021'!P29</f>
        <v>1</v>
      </c>
      <c r="AA68" s="66" t="n">
        <f aca="false">'2022'!P29</f>
        <v>1</v>
      </c>
      <c r="AB68" s="66" t="n">
        <f aca="false">'2023'!P29</f>
        <v>1</v>
      </c>
      <c r="AC68" s="66" t="n">
        <f aca="false">'2024'!P29</f>
        <v>0</v>
      </c>
      <c r="AD68" s="66" t="n">
        <f aca="false">'2025'!P30</f>
        <v>2</v>
      </c>
      <c r="AE68" s="117" t="n">
        <f aca="false">SUM(E68:AD68)</f>
        <v>218</v>
      </c>
    </row>
    <row r="69" customFormat="false" ht="12.75" hidden="false" customHeight="true" outlineLevel="0" collapsed="false">
      <c r="A69" s="118" t="n">
        <v>2009</v>
      </c>
      <c r="B69" s="118"/>
      <c r="C69" s="118"/>
      <c r="D69" s="118"/>
      <c r="E69" s="119" t="n">
        <v>0</v>
      </c>
      <c r="F69" s="119" t="n">
        <v>0</v>
      </c>
      <c r="G69" s="119" t="n">
        <v>0</v>
      </c>
      <c r="H69" s="119" t="n">
        <v>0</v>
      </c>
      <c r="I69" s="119" t="n">
        <v>0</v>
      </c>
      <c r="J69" s="119" t="n">
        <v>0</v>
      </c>
      <c r="K69" s="119" t="n">
        <v>0</v>
      </c>
      <c r="L69" s="119" t="n">
        <v>0</v>
      </c>
      <c r="M69" s="119" t="n">
        <v>0</v>
      </c>
      <c r="N69" s="119" t="n">
        <f aca="false">'2009'!P41</f>
        <v>0</v>
      </c>
      <c r="O69" s="119" t="n">
        <f aca="false">'2010'!P40</f>
        <v>19</v>
      </c>
      <c r="P69" s="119" t="n">
        <f aca="false">'2011'!P39</f>
        <v>58</v>
      </c>
      <c r="Q69" s="119" t="n">
        <f aca="false">'2012'!P38</f>
        <v>59</v>
      </c>
      <c r="R69" s="119" t="n">
        <f aca="false">'2013'!P37</f>
        <v>25</v>
      </c>
      <c r="S69" s="119" t="n">
        <f aca="false">'2014'!P36</f>
        <v>28</v>
      </c>
      <c r="T69" s="119" t="n">
        <f aca="false">'2015'!P35</f>
        <v>23</v>
      </c>
      <c r="U69" s="119" t="n">
        <f aca="false">'2016'!P34</f>
        <v>15</v>
      </c>
      <c r="V69" s="119" t="n">
        <f aca="false">'2017'!P33</f>
        <v>30</v>
      </c>
      <c r="W69" s="119" t="n">
        <f aca="false">'2018'!P32</f>
        <v>11</v>
      </c>
      <c r="X69" s="119" t="n">
        <f aca="false">'2019'!P31</f>
        <v>8</v>
      </c>
      <c r="Y69" s="119" t="n">
        <f aca="false">'2020'!P30</f>
        <v>1</v>
      </c>
      <c r="Z69" s="119" t="n">
        <f aca="false">'2021'!P30</f>
        <v>1</v>
      </c>
      <c r="AA69" s="119" t="n">
        <f aca="false">'2022'!P30</f>
        <v>2</v>
      </c>
      <c r="AB69" s="119" t="n">
        <f aca="false">'2023'!P30</f>
        <v>1</v>
      </c>
      <c r="AC69" s="119" t="n">
        <f aca="false">'2024'!P30</f>
        <v>0</v>
      </c>
      <c r="AD69" s="119" t="n">
        <f aca="false">'2025'!P31</f>
        <v>0</v>
      </c>
      <c r="AE69" s="117" t="n">
        <f aca="false">SUM(E69:AD69)</f>
        <v>281</v>
      </c>
    </row>
    <row r="70" customFormat="false" ht="12.75" hidden="false" customHeight="true" outlineLevel="0" collapsed="false">
      <c r="A70" s="114" t="n">
        <v>2010</v>
      </c>
      <c r="B70" s="114"/>
      <c r="C70" s="114"/>
      <c r="D70" s="114"/>
      <c r="E70" s="115" t="n">
        <v>0</v>
      </c>
      <c r="F70" s="115" t="n">
        <v>0</v>
      </c>
      <c r="G70" s="115" t="n">
        <v>0</v>
      </c>
      <c r="H70" s="115" t="n">
        <v>0</v>
      </c>
      <c r="I70" s="115" t="n">
        <v>0</v>
      </c>
      <c r="J70" s="115" t="n">
        <v>0</v>
      </c>
      <c r="K70" s="115" t="n">
        <v>0</v>
      </c>
      <c r="L70" s="115" t="n">
        <v>0</v>
      </c>
      <c r="M70" s="115" t="n">
        <v>0</v>
      </c>
      <c r="N70" s="115" t="n">
        <v>0</v>
      </c>
      <c r="O70" s="115" t="n">
        <f aca="false">'2010'!P41</f>
        <v>1</v>
      </c>
      <c r="P70" s="115" t="n">
        <f aca="false">'2011'!P40</f>
        <v>14</v>
      </c>
      <c r="Q70" s="115" t="n">
        <f aca="false">'2012'!P39</f>
        <v>38</v>
      </c>
      <c r="R70" s="115" t="n">
        <f aca="false">'2013'!P38</f>
        <v>40</v>
      </c>
      <c r="S70" s="115" t="n">
        <f aca="false">'2014'!P37</f>
        <v>37</v>
      </c>
      <c r="T70" s="115" t="n">
        <f aca="false">'2015'!P36</f>
        <v>31</v>
      </c>
      <c r="U70" s="115" t="n">
        <f aca="false">'2016'!P35</f>
        <v>46</v>
      </c>
      <c r="V70" s="115" t="n">
        <f aca="false">'2017'!P34</f>
        <v>39</v>
      </c>
      <c r="W70" s="115" t="n">
        <f aca="false">'2018'!P33</f>
        <v>31</v>
      </c>
      <c r="X70" s="115" t="n">
        <f aca="false">'2019'!P32</f>
        <v>5</v>
      </c>
      <c r="Y70" s="115" t="n">
        <f aca="false">'2020'!P31</f>
        <v>19</v>
      </c>
      <c r="Z70" s="115" t="n">
        <f aca="false">'2021'!P31</f>
        <v>3</v>
      </c>
      <c r="AA70" s="66" t="n">
        <f aca="false">'2022'!P31</f>
        <v>8</v>
      </c>
      <c r="AB70" s="66" t="n">
        <f aca="false">'2023'!P31</f>
        <v>5</v>
      </c>
      <c r="AC70" s="66" t="n">
        <f aca="false">'2024'!P31</f>
        <v>1</v>
      </c>
      <c r="AD70" s="66" t="n">
        <f aca="false">'2025'!P32</f>
        <v>0</v>
      </c>
      <c r="AE70" s="117" t="n">
        <f aca="false">SUM(E70:AD70)</f>
        <v>318</v>
      </c>
    </row>
    <row r="71" customFormat="false" ht="12.75" hidden="false" customHeight="true" outlineLevel="0" collapsed="false">
      <c r="A71" s="118" t="n">
        <v>2011</v>
      </c>
      <c r="B71" s="118"/>
      <c r="C71" s="118"/>
      <c r="D71" s="118"/>
      <c r="E71" s="119" t="n">
        <v>0</v>
      </c>
      <c r="F71" s="119" t="n">
        <v>0</v>
      </c>
      <c r="G71" s="119" t="n">
        <v>0</v>
      </c>
      <c r="H71" s="119" t="n">
        <v>0</v>
      </c>
      <c r="I71" s="119" t="n">
        <v>0</v>
      </c>
      <c r="J71" s="119" t="n">
        <v>0</v>
      </c>
      <c r="K71" s="119" t="n">
        <v>0</v>
      </c>
      <c r="L71" s="119" t="n">
        <v>0</v>
      </c>
      <c r="M71" s="119" t="n">
        <v>0</v>
      </c>
      <c r="N71" s="119" t="n">
        <v>0</v>
      </c>
      <c r="O71" s="119" t="n">
        <v>0</v>
      </c>
      <c r="P71" s="119" t="n">
        <f aca="false">'2011'!P41</f>
        <v>5</v>
      </c>
      <c r="Q71" s="119" t="n">
        <f aca="false">'2012'!P40</f>
        <v>19</v>
      </c>
      <c r="R71" s="119" t="n">
        <f aca="false">'2013'!P39</f>
        <v>14</v>
      </c>
      <c r="S71" s="119" t="n">
        <f aca="false">'2014'!P38</f>
        <v>17</v>
      </c>
      <c r="T71" s="119" t="n">
        <f aca="false">'2015'!P37</f>
        <v>16</v>
      </c>
      <c r="U71" s="119" t="n">
        <f aca="false">'2016'!P36</f>
        <v>35</v>
      </c>
      <c r="V71" s="119" t="n">
        <f aca="false">'2017'!P35</f>
        <v>59</v>
      </c>
      <c r="W71" s="119" t="n">
        <f aca="false">'2018'!P34</f>
        <v>46</v>
      </c>
      <c r="X71" s="119" t="n">
        <f aca="false">'2019'!P33</f>
        <v>27</v>
      </c>
      <c r="Y71" s="119" t="n">
        <f aca="false">'2020'!P32</f>
        <v>27</v>
      </c>
      <c r="Z71" s="119" t="n">
        <f aca="false">'2021'!P32</f>
        <v>11</v>
      </c>
      <c r="AA71" s="119" t="n">
        <f aca="false">'2022'!P32</f>
        <v>7</v>
      </c>
      <c r="AB71" s="119" t="n">
        <f aca="false">'2023'!P32</f>
        <v>8</v>
      </c>
      <c r="AC71" s="119" t="n">
        <f aca="false">'2024'!P32</f>
        <v>2</v>
      </c>
      <c r="AD71" s="119" t="n">
        <f aca="false">'2025'!P33</f>
        <v>0</v>
      </c>
      <c r="AE71" s="117" t="n">
        <f aca="false">SUM(E71:AD71)</f>
        <v>293</v>
      </c>
    </row>
    <row r="72" customFormat="false" ht="12.75" hidden="false" customHeight="true" outlineLevel="0" collapsed="false">
      <c r="A72" s="114" t="n">
        <v>2012</v>
      </c>
      <c r="B72" s="114"/>
      <c r="C72" s="114"/>
      <c r="D72" s="114"/>
      <c r="E72" s="115" t="n">
        <v>0</v>
      </c>
      <c r="F72" s="115" t="n">
        <v>0</v>
      </c>
      <c r="G72" s="115" t="n">
        <v>0</v>
      </c>
      <c r="H72" s="115" t="n">
        <v>0</v>
      </c>
      <c r="I72" s="115" t="n">
        <v>0</v>
      </c>
      <c r="J72" s="115" t="n">
        <v>0</v>
      </c>
      <c r="K72" s="115" t="n">
        <v>0</v>
      </c>
      <c r="L72" s="115" t="n">
        <v>0</v>
      </c>
      <c r="M72" s="115" t="n">
        <v>0</v>
      </c>
      <c r="N72" s="115" t="n">
        <v>0</v>
      </c>
      <c r="O72" s="115" t="n">
        <v>0</v>
      </c>
      <c r="P72" s="115" t="n">
        <v>0</v>
      </c>
      <c r="Q72" s="115" t="n">
        <f aca="false">'2012'!P41</f>
        <v>5</v>
      </c>
      <c r="R72" s="115" t="n">
        <f aca="false">'2013'!P40</f>
        <v>7</v>
      </c>
      <c r="S72" s="115" t="n">
        <f aca="false">'2014'!P39</f>
        <v>16</v>
      </c>
      <c r="T72" s="115" t="n">
        <f aca="false">'2015'!P38</f>
        <v>20</v>
      </c>
      <c r="U72" s="115" t="n">
        <f aca="false">'2016'!P37</f>
        <v>28</v>
      </c>
      <c r="V72" s="115" t="n">
        <f aca="false">'2017'!P36</f>
        <v>57</v>
      </c>
      <c r="W72" s="115" t="n">
        <f aca="false">'2018'!P35</f>
        <v>60</v>
      </c>
      <c r="X72" s="115" t="n">
        <f aca="false">'2019'!P34</f>
        <v>46</v>
      </c>
      <c r="Y72" s="115" t="n">
        <f aca="false">'2020'!P33</f>
        <v>32</v>
      </c>
      <c r="Z72" s="115" t="n">
        <f aca="false">'2021'!P33</f>
        <v>11</v>
      </c>
      <c r="AA72" s="66" t="n">
        <f aca="false">'2022'!P33</f>
        <v>13</v>
      </c>
      <c r="AB72" s="66" t="n">
        <f aca="false">'2023'!P33</f>
        <v>7</v>
      </c>
      <c r="AC72" s="66" t="n">
        <f aca="false">'2024'!P33</f>
        <v>8</v>
      </c>
      <c r="AD72" s="66" t="n">
        <f aca="false">'2025'!P34</f>
        <v>2</v>
      </c>
      <c r="AE72" s="117" t="n">
        <f aca="false">SUM(E72:AD72)</f>
        <v>312</v>
      </c>
    </row>
    <row r="73" customFormat="false" ht="12.75" hidden="false" customHeight="true" outlineLevel="0" collapsed="false">
      <c r="A73" s="118" t="n">
        <v>2013</v>
      </c>
      <c r="B73" s="118"/>
      <c r="C73" s="118"/>
      <c r="D73" s="118"/>
      <c r="E73" s="119" t="n">
        <v>0</v>
      </c>
      <c r="F73" s="119" t="n">
        <v>0</v>
      </c>
      <c r="G73" s="119" t="n">
        <v>0</v>
      </c>
      <c r="H73" s="119" t="n">
        <v>0</v>
      </c>
      <c r="I73" s="119" t="n">
        <v>0</v>
      </c>
      <c r="J73" s="119" t="n">
        <v>0</v>
      </c>
      <c r="K73" s="119" t="n">
        <v>0</v>
      </c>
      <c r="L73" s="119" t="n">
        <v>0</v>
      </c>
      <c r="M73" s="119" t="n">
        <v>0</v>
      </c>
      <c r="N73" s="119" t="n">
        <v>0</v>
      </c>
      <c r="O73" s="119" t="n">
        <v>0</v>
      </c>
      <c r="P73" s="119" t="n">
        <v>0</v>
      </c>
      <c r="Q73" s="119" t="n">
        <v>0</v>
      </c>
      <c r="R73" s="119" t="n">
        <f aca="false">'2013'!P41</f>
        <v>0</v>
      </c>
      <c r="S73" s="119" t="n">
        <f aca="false">'2014'!P40</f>
        <v>12</v>
      </c>
      <c r="T73" s="119" t="n">
        <f aca="false">'2015'!P39</f>
        <v>17</v>
      </c>
      <c r="U73" s="119" t="n">
        <f aca="false">'2016'!P38</f>
        <v>54</v>
      </c>
      <c r="V73" s="119" t="n">
        <f aca="false">'2017'!P37</f>
        <v>55</v>
      </c>
      <c r="W73" s="119" t="n">
        <f aca="false">'2018'!P36</f>
        <v>72</v>
      </c>
      <c r="X73" s="119" t="n">
        <f aca="false">'2019'!P35</f>
        <v>79</v>
      </c>
      <c r="Y73" s="119" t="n">
        <f aca="false">'2020'!P34</f>
        <v>50</v>
      </c>
      <c r="Z73" s="119" t="n">
        <f aca="false">'2021'!P34</f>
        <v>57</v>
      </c>
      <c r="AA73" s="119" t="n">
        <f aca="false">'2022'!P34</f>
        <v>15</v>
      </c>
      <c r="AB73" s="119" t="n">
        <f aca="false">'2023'!P34</f>
        <v>5</v>
      </c>
      <c r="AC73" s="119" t="n">
        <f aca="false">'2024'!P34</f>
        <v>6</v>
      </c>
      <c r="AD73" s="119" t="n">
        <f aca="false">'2025'!P35</f>
        <v>3</v>
      </c>
      <c r="AE73" s="117" t="n">
        <f aca="false">SUM(E73:AD73)</f>
        <v>425</v>
      </c>
    </row>
    <row r="74" customFormat="false" ht="12.75" hidden="false" customHeight="true" outlineLevel="0" collapsed="false">
      <c r="A74" s="114" t="n">
        <v>2014</v>
      </c>
      <c r="B74" s="114"/>
      <c r="C74" s="114"/>
      <c r="D74" s="114"/>
      <c r="E74" s="115" t="n">
        <v>0</v>
      </c>
      <c r="F74" s="115" t="n">
        <v>0</v>
      </c>
      <c r="G74" s="115" t="n">
        <v>0</v>
      </c>
      <c r="H74" s="115" t="n">
        <v>0</v>
      </c>
      <c r="I74" s="115" t="n">
        <v>0</v>
      </c>
      <c r="J74" s="115" t="n">
        <v>0</v>
      </c>
      <c r="K74" s="115" t="n">
        <v>0</v>
      </c>
      <c r="L74" s="115" t="n">
        <v>0</v>
      </c>
      <c r="M74" s="115" t="n">
        <v>0</v>
      </c>
      <c r="N74" s="115" t="n">
        <v>0</v>
      </c>
      <c r="O74" s="115" t="n">
        <v>0</v>
      </c>
      <c r="P74" s="115" t="n">
        <v>0</v>
      </c>
      <c r="Q74" s="115" t="n">
        <v>0</v>
      </c>
      <c r="R74" s="115" t="n">
        <v>0</v>
      </c>
      <c r="S74" s="115" t="n">
        <f aca="false">'2014'!P41</f>
        <v>10</v>
      </c>
      <c r="T74" s="115" t="n">
        <f aca="false">'2015'!P40</f>
        <v>15</v>
      </c>
      <c r="U74" s="115" t="n">
        <f aca="false">'2016'!P39</f>
        <v>55</v>
      </c>
      <c r="V74" s="115" t="n">
        <f aca="false">'2017'!P38</f>
        <v>61</v>
      </c>
      <c r="W74" s="115" t="n">
        <f aca="false">'2018'!P37</f>
        <v>56</v>
      </c>
      <c r="X74" s="115" t="n">
        <f aca="false">'2019'!P36</f>
        <v>53</v>
      </c>
      <c r="Y74" s="115" t="n">
        <f aca="false">'2020'!P35</f>
        <v>52</v>
      </c>
      <c r="Z74" s="115" t="n">
        <f aca="false">'2021'!P35</f>
        <v>85</v>
      </c>
      <c r="AA74" s="66" t="n">
        <f aca="false">'2022'!P35</f>
        <v>43</v>
      </c>
      <c r="AB74" s="66" t="n">
        <f aca="false">'2023'!P35</f>
        <v>15</v>
      </c>
      <c r="AC74" s="66" t="n">
        <f aca="false">'2024'!P35</f>
        <v>16</v>
      </c>
      <c r="AD74" s="66" t="n">
        <f aca="false">'2025'!P36</f>
        <v>6</v>
      </c>
      <c r="AE74" s="117" t="n">
        <f aca="false">SUM(E74:AD74)</f>
        <v>467</v>
      </c>
    </row>
    <row r="75" customFormat="false" ht="12.75" hidden="false" customHeight="true" outlineLevel="0" collapsed="false">
      <c r="A75" s="118" t="n">
        <v>2015</v>
      </c>
      <c r="B75" s="118"/>
      <c r="C75" s="118"/>
      <c r="D75" s="118"/>
      <c r="E75" s="119" t="n">
        <v>0</v>
      </c>
      <c r="F75" s="119" t="n">
        <v>0</v>
      </c>
      <c r="G75" s="119" t="n">
        <v>0</v>
      </c>
      <c r="H75" s="119" t="n">
        <v>0</v>
      </c>
      <c r="I75" s="119" t="n">
        <v>0</v>
      </c>
      <c r="J75" s="119" t="n">
        <v>0</v>
      </c>
      <c r="K75" s="119" t="n">
        <v>0</v>
      </c>
      <c r="L75" s="119" t="n">
        <v>0</v>
      </c>
      <c r="M75" s="119" t="n">
        <v>0</v>
      </c>
      <c r="N75" s="119" t="n">
        <v>0</v>
      </c>
      <c r="O75" s="119" t="n">
        <v>0</v>
      </c>
      <c r="P75" s="119" t="n">
        <v>0</v>
      </c>
      <c r="Q75" s="119" t="n">
        <v>0</v>
      </c>
      <c r="R75" s="115" t="n">
        <v>0</v>
      </c>
      <c r="S75" s="119" t="n">
        <v>0</v>
      </c>
      <c r="T75" s="119" t="n">
        <f aca="false">'2015'!P41</f>
        <v>7</v>
      </c>
      <c r="U75" s="119" t="n">
        <f aca="false">'2016'!P40</f>
        <v>34</v>
      </c>
      <c r="V75" s="119" t="n">
        <f aca="false">'2017'!P39</f>
        <v>51</v>
      </c>
      <c r="W75" s="119" t="n">
        <f aca="false">'2018'!P38</f>
        <v>53</v>
      </c>
      <c r="X75" s="119" t="n">
        <f aca="false">'2019'!P37</f>
        <v>65</v>
      </c>
      <c r="Y75" s="119" t="n">
        <f aca="false">'2020'!P36</f>
        <v>51</v>
      </c>
      <c r="Z75" s="119" t="n">
        <f aca="false">'2021'!P36</f>
        <v>64</v>
      </c>
      <c r="AA75" s="119" t="n">
        <f aca="false">'2022'!P36</f>
        <v>92</v>
      </c>
      <c r="AB75" s="119" t="n">
        <f aca="false">'2023'!P36</f>
        <v>28</v>
      </c>
      <c r="AC75" s="119" t="n">
        <f aca="false">'2024'!P36</f>
        <v>25</v>
      </c>
      <c r="AD75" s="119" t="n">
        <f aca="false">'2025'!P37</f>
        <v>9</v>
      </c>
      <c r="AE75" s="117" t="n">
        <f aca="false">SUM(E75:AD75)</f>
        <v>479</v>
      </c>
    </row>
    <row r="76" customFormat="false" ht="12.75" hidden="false" customHeight="true" outlineLevel="0" collapsed="false">
      <c r="A76" s="114" t="n">
        <v>2016</v>
      </c>
      <c r="B76" s="114"/>
      <c r="C76" s="114"/>
      <c r="D76" s="114"/>
      <c r="E76" s="115" t="n">
        <v>0</v>
      </c>
      <c r="F76" s="115" t="n">
        <v>0</v>
      </c>
      <c r="G76" s="115" t="n">
        <v>0</v>
      </c>
      <c r="H76" s="115" t="n">
        <v>0</v>
      </c>
      <c r="I76" s="115" t="n">
        <v>0</v>
      </c>
      <c r="J76" s="115" t="n">
        <v>0</v>
      </c>
      <c r="K76" s="115" t="n">
        <v>0</v>
      </c>
      <c r="L76" s="115" t="n">
        <v>0</v>
      </c>
      <c r="M76" s="115" t="n">
        <v>0</v>
      </c>
      <c r="N76" s="115" t="n">
        <v>0</v>
      </c>
      <c r="O76" s="115" t="n">
        <v>0</v>
      </c>
      <c r="P76" s="115" t="n">
        <v>0</v>
      </c>
      <c r="Q76" s="115" t="n">
        <v>0</v>
      </c>
      <c r="R76" s="115" t="n">
        <v>0</v>
      </c>
      <c r="S76" s="115" t="n">
        <v>0</v>
      </c>
      <c r="T76" s="115" t="n">
        <v>0</v>
      </c>
      <c r="U76" s="115" t="n">
        <f aca="false">'2016'!P41</f>
        <v>5</v>
      </c>
      <c r="V76" s="115" t="n">
        <f aca="false">'2017'!P40</f>
        <v>35</v>
      </c>
      <c r="W76" s="115" t="n">
        <f aca="false">'2018'!P39</f>
        <v>44</v>
      </c>
      <c r="X76" s="115" t="n">
        <f aca="false">'2019'!P38</f>
        <v>53</v>
      </c>
      <c r="Y76" s="115" t="n">
        <f aca="false">'2020'!P37</f>
        <v>45</v>
      </c>
      <c r="Z76" s="115" t="n">
        <f aca="false">'2021'!P37</f>
        <v>54</v>
      </c>
      <c r="AA76" s="66" t="n">
        <f aca="false">'2022'!P37</f>
        <v>75</v>
      </c>
      <c r="AB76" s="66" t="n">
        <f aca="false">'2023'!P37</f>
        <v>79</v>
      </c>
      <c r="AC76" s="66" t="n">
        <f aca="false">'2024'!P37</f>
        <v>33</v>
      </c>
      <c r="AD76" s="66" t="n">
        <f aca="false">'2025'!P38</f>
        <v>23</v>
      </c>
      <c r="AE76" s="117" t="n">
        <f aca="false">SUM(E76:AD76)</f>
        <v>446</v>
      </c>
    </row>
    <row r="77" customFormat="false" ht="12.75" hidden="false" customHeight="true" outlineLevel="0" collapsed="false">
      <c r="A77" s="118" t="n">
        <v>2017</v>
      </c>
      <c r="B77" s="118"/>
      <c r="C77" s="118"/>
      <c r="D77" s="118"/>
      <c r="E77" s="119" t="n">
        <v>0</v>
      </c>
      <c r="F77" s="119" t="n">
        <v>0</v>
      </c>
      <c r="G77" s="119" t="n">
        <v>0</v>
      </c>
      <c r="H77" s="119" t="n">
        <v>0</v>
      </c>
      <c r="I77" s="119" t="n">
        <v>0</v>
      </c>
      <c r="J77" s="119" t="n">
        <v>0</v>
      </c>
      <c r="K77" s="119" t="n">
        <v>0</v>
      </c>
      <c r="L77" s="119" t="n">
        <v>0</v>
      </c>
      <c r="M77" s="119" t="n">
        <v>0</v>
      </c>
      <c r="N77" s="119" t="n">
        <v>0</v>
      </c>
      <c r="O77" s="119" t="n">
        <v>0</v>
      </c>
      <c r="P77" s="119" t="n">
        <v>0</v>
      </c>
      <c r="Q77" s="119" t="n">
        <v>0</v>
      </c>
      <c r="R77" s="119" t="n">
        <v>0</v>
      </c>
      <c r="S77" s="119" t="n">
        <v>0</v>
      </c>
      <c r="T77" s="119" t="n">
        <v>0</v>
      </c>
      <c r="U77" s="115" t="n">
        <v>0</v>
      </c>
      <c r="V77" s="119" t="n">
        <f aca="false">'2017'!P41</f>
        <v>15</v>
      </c>
      <c r="W77" s="119" t="n">
        <f aca="false">'2018'!P40</f>
        <v>51</v>
      </c>
      <c r="X77" s="119" t="n">
        <f aca="false">'2019'!P39</f>
        <v>55</v>
      </c>
      <c r="Y77" s="119" t="n">
        <f aca="false">'2020'!P38</f>
        <v>51</v>
      </c>
      <c r="Z77" s="119" t="n">
        <f aca="false">'2021'!P38</f>
        <v>42</v>
      </c>
      <c r="AA77" s="119" t="n">
        <f aca="false">'2022'!P38</f>
        <v>65</v>
      </c>
      <c r="AB77" s="119" t="n">
        <f aca="false">'2023'!P38</f>
        <v>56</v>
      </c>
      <c r="AC77" s="119" t="n">
        <f aca="false">'2024'!P38</f>
        <v>48</v>
      </c>
      <c r="AD77" s="119" t="n">
        <f aca="false">'2025'!P39</f>
        <v>45</v>
      </c>
      <c r="AE77" s="117" t="n">
        <f aca="false">SUM(E77:AD77)</f>
        <v>428</v>
      </c>
    </row>
    <row r="78" customFormat="false" ht="12.75" hidden="false" customHeight="true" outlineLevel="0" collapsed="false">
      <c r="A78" s="114" t="n">
        <v>2018</v>
      </c>
      <c r="B78" s="114"/>
      <c r="C78" s="114"/>
      <c r="D78" s="114"/>
      <c r="E78" s="115" t="n">
        <v>0</v>
      </c>
      <c r="F78" s="115" t="n">
        <v>0</v>
      </c>
      <c r="G78" s="115" t="n">
        <v>0</v>
      </c>
      <c r="H78" s="115" t="n">
        <v>0</v>
      </c>
      <c r="I78" s="115" t="n">
        <v>0</v>
      </c>
      <c r="J78" s="115" t="n">
        <v>0</v>
      </c>
      <c r="K78" s="115" t="n">
        <v>0</v>
      </c>
      <c r="L78" s="115" t="n">
        <v>0</v>
      </c>
      <c r="M78" s="115" t="n">
        <v>0</v>
      </c>
      <c r="N78" s="115" t="n">
        <v>0</v>
      </c>
      <c r="O78" s="115" t="n">
        <v>0</v>
      </c>
      <c r="P78" s="115" t="n">
        <v>0</v>
      </c>
      <c r="Q78" s="115" t="n">
        <v>0</v>
      </c>
      <c r="R78" s="115" t="n">
        <v>0</v>
      </c>
      <c r="S78" s="115" t="n">
        <v>0</v>
      </c>
      <c r="T78" s="115" t="n">
        <v>0</v>
      </c>
      <c r="U78" s="115" t="n">
        <v>0</v>
      </c>
      <c r="V78" s="121" t="n">
        <v>0</v>
      </c>
      <c r="W78" s="115" t="n">
        <f aca="false">'2018'!P41</f>
        <v>23</v>
      </c>
      <c r="X78" s="115" t="n">
        <f aca="false">'2019'!P40</f>
        <v>59</v>
      </c>
      <c r="Y78" s="115" t="n">
        <f aca="false">'2020'!P39</f>
        <v>46</v>
      </c>
      <c r="Z78" s="115" t="n">
        <f aca="false">'2021'!P39</f>
        <v>74</v>
      </c>
      <c r="AA78" s="66" t="n">
        <f aca="false">'2022'!P39</f>
        <v>48</v>
      </c>
      <c r="AB78" s="66" t="n">
        <f aca="false">'2023'!P39</f>
        <v>74</v>
      </c>
      <c r="AC78" s="66" t="n">
        <f aca="false">'2024'!P39</f>
        <v>85</v>
      </c>
      <c r="AD78" s="66" t="n">
        <f aca="false">'2025'!P40</f>
        <v>80</v>
      </c>
      <c r="AE78" s="117" t="n">
        <f aca="false">SUM(E78:AD78)</f>
        <v>489</v>
      </c>
    </row>
    <row r="79" customFormat="false" ht="12.75" hidden="false" customHeight="true" outlineLevel="0" collapsed="false">
      <c r="A79" s="118" t="n">
        <v>2019</v>
      </c>
      <c r="B79" s="118"/>
      <c r="C79" s="118"/>
      <c r="D79" s="118"/>
      <c r="E79" s="119" t="n">
        <v>0</v>
      </c>
      <c r="F79" s="119" t="n">
        <v>0</v>
      </c>
      <c r="G79" s="119" t="n">
        <v>0</v>
      </c>
      <c r="H79" s="119" t="n">
        <v>0</v>
      </c>
      <c r="I79" s="119" t="n">
        <v>0</v>
      </c>
      <c r="J79" s="119" t="n">
        <v>0</v>
      </c>
      <c r="K79" s="119" t="n">
        <v>0</v>
      </c>
      <c r="L79" s="119" t="n">
        <v>0</v>
      </c>
      <c r="M79" s="119" t="n">
        <v>0</v>
      </c>
      <c r="N79" s="119" t="n">
        <v>0</v>
      </c>
      <c r="O79" s="119" t="n">
        <v>0</v>
      </c>
      <c r="P79" s="119" t="n">
        <v>0</v>
      </c>
      <c r="Q79" s="119" t="n">
        <v>0</v>
      </c>
      <c r="R79" s="119" t="n">
        <v>0</v>
      </c>
      <c r="S79" s="119" t="n">
        <v>0</v>
      </c>
      <c r="T79" s="119" t="n">
        <v>0</v>
      </c>
      <c r="U79" s="119" t="n">
        <v>0</v>
      </c>
      <c r="V79" s="119" t="n">
        <v>0</v>
      </c>
      <c r="W79" s="121" t="n">
        <v>0</v>
      </c>
      <c r="X79" s="119" t="n">
        <f aca="false">'2019'!P41</f>
        <v>23</v>
      </c>
      <c r="Y79" s="119" t="n">
        <f aca="false">'2020'!P40</f>
        <v>73</v>
      </c>
      <c r="Z79" s="119" t="n">
        <f aca="false">'2021'!P40</f>
        <v>38</v>
      </c>
      <c r="AA79" s="119" t="n">
        <f aca="false">'2022'!P40</f>
        <v>53</v>
      </c>
      <c r="AB79" s="119" t="n">
        <f aca="false">'2023'!P40</f>
        <v>59</v>
      </c>
      <c r="AC79" s="119" t="n">
        <f aca="false">'2024'!P40</f>
        <v>79</v>
      </c>
      <c r="AD79" s="119" t="n">
        <f aca="false">'2025'!P41</f>
        <v>111</v>
      </c>
      <c r="AE79" s="117" t="n">
        <f aca="false">SUM(E79:AD79)</f>
        <v>436</v>
      </c>
    </row>
    <row r="80" customFormat="false" ht="12.75" hidden="false" customHeight="true" outlineLevel="0" collapsed="false">
      <c r="A80" s="114" t="n">
        <v>2020</v>
      </c>
      <c r="B80" s="114"/>
      <c r="C80" s="114"/>
      <c r="D80" s="114"/>
      <c r="E80" s="115" t="n">
        <v>0</v>
      </c>
      <c r="F80" s="115" t="n">
        <v>0</v>
      </c>
      <c r="G80" s="115" t="n">
        <v>0</v>
      </c>
      <c r="H80" s="115" t="n">
        <v>0</v>
      </c>
      <c r="I80" s="115" t="n">
        <v>0</v>
      </c>
      <c r="J80" s="115" t="n">
        <v>0</v>
      </c>
      <c r="K80" s="115" t="n">
        <v>0</v>
      </c>
      <c r="L80" s="115" t="n">
        <v>0</v>
      </c>
      <c r="M80" s="115" t="n">
        <v>0</v>
      </c>
      <c r="N80" s="115" t="n">
        <v>0</v>
      </c>
      <c r="O80" s="115" t="n">
        <v>0</v>
      </c>
      <c r="P80" s="115" t="n">
        <v>0</v>
      </c>
      <c r="Q80" s="115" t="n">
        <v>0</v>
      </c>
      <c r="R80" s="115" t="n">
        <v>0</v>
      </c>
      <c r="S80" s="115" t="n">
        <v>0</v>
      </c>
      <c r="T80" s="115" t="n">
        <v>0</v>
      </c>
      <c r="U80" s="115" t="n">
        <v>0</v>
      </c>
      <c r="V80" s="115" t="n">
        <v>0</v>
      </c>
      <c r="W80" s="115" t="n">
        <v>0</v>
      </c>
      <c r="X80" s="121" t="n">
        <v>0</v>
      </c>
      <c r="Y80" s="115" t="n">
        <f aca="false">'2020'!P41</f>
        <v>44</v>
      </c>
      <c r="Z80" s="115" t="n">
        <f aca="false">'2021'!P41</f>
        <v>77</v>
      </c>
      <c r="AA80" s="66" t="n">
        <f aca="false">'2022'!P41</f>
        <v>58</v>
      </c>
      <c r="AB80" s="66" t="n">
        <f aca="false">'2023'!P41</f>
        <v>65</v>
      </c>
      <c r="AC80" s="66" t="n">
        <f aca="false">'2024'!P41</f>
        <v>101</v>
      </c>
      <c r="AD80" s="66" t="n">
        <f aca="false">'2025'!P42</f>
        <v>164</v>
      </c>
      <c r="AE80" s="117" t="n">
        <f aca="false">SUM(E80:AD80)</f>
        <v>509</v>
      </c>
    </row>
    <row r="81" customFormat="false" ht="12.75" hidden="false" customHeight="true" outlineLevel="0" collapsed="false">
      <c r="A81" s="118" t="n">
        <v>2021</v>
      </c>
      <c r="B81" s="118"/>
      <c r="C81" s="118"/>
      <c r="D81" s="118"/>
      <c r="E81" s="119" t="n">
        <v>0</v>
      </c>
      <c r="F81" s="119" t="n">
        <v>0</v>
      </c>
      <c r="G81" s="119" t="n">
        <v>0</v>
      </c>
      <c r="H81" s="119" t="n">
        <v>0</v>
      </c>
      <c r="I81" s="119" t="n">
        <v>0</v>
      </c>
      <c r="J81" s="119" t="n">
        <v>0</v>
      </c>
      <c r="K81" s="119" t="n">
        <v>0</v>
      </c>
      <c r="L81" s="119" t="n">
        <v>0</v>
      </c>
      <c r="M81" s="119" t="n">
        <v>0</v>
      </c>
      <c r="N81" s="119" t="n">
        <v>0</v>
      </c>
      <c r="O81" s="119" t="n">
        <v>0</v>
      </c>
      <c r="P81" s="119" t="n">
        <v>0</v>
      </c>
      <c r="Q81" s="119" t="n">
        <v>0</v>
      </c>
      <c r="R81" s="119" t="n">
        <v>0</v>
      </c>
      <c r="S81" s="119" t="n">
        <v>0</v>
      </c>
      <c r="T81" s="119" t="n">
        <v>0</v>
      </c>
      <c r="U81" s="119" t="n">
        <v>0</v>
      </c>
      <c r="V81" s="119" t="n">
        <v>0</v>
      </c>
      <c r="W81" s="119" t="n">
        <v>0</v>
      </c>
      <c r="X81" s="119" t="n">
        <v>0</v>
      </c>
      <c r="Y81" s="121" t="n">
        <v>0</v>
      </c>
      <c r="Z81" s="119" t="n">
        <f aca="false">'2021'!P42</f>
        <v>44</v>
      </c>
      <c r="AA81" s="119" t="n">
        <f aca="false">'2022'!P42</f>
        <v>123</v>
      </c>
      <c r="AB81" s="119" t="n">
        <f aca="false">'2023'!P42</f>
        <v>44</v>
      </c>
      <c r="AC81" s="119" t="n">
        <f aca="false">'2024'!P42</f>
        <v>110</v>
      </c>
      <c r="AD81" s="119" t="n">
        <f aca="false">'2025'!P43</f>
        <v>180</v>
      </c>
      <c r="AE81" s="117" t="n">
        <f aca="false">SUM(E81:AD81)</f>
        <v>501</v>
      </c>
    </row>
    <row r="82" customFormat="false" ht="12.75" hidden="false" customHeight="true" outlineLevel="0" collapsed="false">
      <c r="A82" s="114" t="n">
        <v>2022</v>
      </c>
      <c r="B82" s="114"/>
      <c r="C82" s="114"/>
      <c r="D82" s="114"/>
      <c r="E82" s="115" t="n">
        <v>0</v>
      </c>
      <c r="F82" s="115" t="n">
        <v>0</v>
      </c>
      <c r="G82" s="115" t="n">
        <v>0</v>
      </c>
      <c r="H82" s="115" t="n">
        <v>0</v>
      </c>
      <c r="I82" s="115" t="n">
        <v>0</v>
      </c>
      <c r="J82" s="115" t="n">
        <v>0</v>
      </c>
      <c r="K82" s="115" t="n">
        <v>0</v>
      </c>
      <c r="L82" s="115" t="n">
        <v>0</v>
      </c>
      <c r="M82" s="115" t="n">
        <v>0</v>
      </c>
      <c r="N82" s="115" t="n">
        <v>0</v>
      </c>
      <c r="O82" s="115" t="n">
        <v>0</v>
      </c>
      <c r="P82" s="115" t="n">
        <v>0</v>
      </c>
      <c r="Q82" s="115" t="n">
        <v>0</v>
      </c>
      <c r="R82" s="115" t="n">
        <v>0</v>
      </c>
      <c r="S82" s="115" t="n">
        <v>0</v>
      </c>
      <c r="T82" s="115" t="n">
        <v>0</v>
      </c>
      <c r="U82" s="115" t="n">
        <v>0</v>
      </c>
      <c r="V82" s="115" t="n">
        <v>0</v>
      </c>
      <c r="W82" s="115" t="n">
        <v>0</v>
      </c>
      <c r="X82" s="115" t="n">
        <v>0</v>
      </c>
      <c r="Y82" s="115" t="n">
        <v>0</v>
      </c>
      <c r="Z82" s="121" t="n">
        <v>0</v>
      </c>
      <c r="AA82" s="66" t="n">
        <f aca="false">'2022'!P43</f>
        <v>49</v>
      </c>
      <c r="AB82" s="66" t="n">
        <f aca="false">'2023'!P43</f>
        <v>79</v>
      </c>
      <c r="AC82" s="66" t="n">
        <f aca="false">'2024'!P43</f>
        <v>34</v>
      </c>
      <c r="AD82" s="66" t="n">
        <f aca="false">'2025'!P44</f>
        <v>82</v>
      </c>
      <c r="AE82" s="117" t="n">
        <f aca="false">SUM(E82:AD82)</f>
        <v>244</v>
      </c>
    </row>
    <row r="83" customFormat="false" ht="14.15" hidden="false" customHeight="false" outlineLevel="0" collapsed="false">
      <c r="A83" s="118" t="n">
        <v>2023</v>
      </c>
      <c r="B83" s="118"/>
      <c r="C83" s="118"/>
      <c r="D83" s="118"/>
      <c r="E83" s="119" t="n">
        <v>0</v>
      </c>
      <c r="F83" s="119" t="n">
        <v>0</v>
      </c>
      <c r="G83" s="119" t="n">
        <v>0</v>
      </c>
      <c r="H83" s="119" t="n">
        <v>0</v>
      </c>
      <c r="I83" s="119" t="n">
        <v>0</v>
      </c>
      <c r="J83" s="119" t="n">
        <v>0</v>
      </c>
      <c r="K83" s="119" t="n">
        <v>0</v>
      </c>
      <c r="L83" s="119" t="n">
        <v>0</v>
      </c>
      <c r="M83" s="119" t="n">
        <v>0</v>
      </c>
      <c r="N83" s="119" t="n">
        <v>0</v>
      </c>
      <c r="O83" s="119" t="n">
        <v>0</v>
      </c>
      <c r="P83" s="119" t="n">
        <v>0</v>
      </c>
      <c r="Q83" s="119" t="n">
        <v>0</v>
      </c>
      <c r="R83" s="119" t="n">
        <v>0</v>
      </c>
      <c r="S83" s="119" t="n">
        <v>0</v>
      </c>
      <c r="T83" s="119" t="n">
        <v>0</v>
      </c>
      <c r="U83" s="119" t="n">
        <v>0</v>
      </c>
      <c r="V83" s="119" t="n">
        <v>0</v>
      </c>
      <c r="W83" s="119" t="n">
        <v>0</v>
      </c>
      <c r="X83" s="119" t="n">
        <v>0</v>
      </c>
      <c r="Y83" s="119" t="n">
        <v>0</v>
      </c>
      <c r="Z83" s="119" t="n">
        <v>0</v>
      </c>
      <c r="AA83" s="119" t="n">
        <v>0</v>
      </c>
      <c r="AB83" s="119" t="n">
        <f aca="false">'2023'!P44</f>
        <v>29</v>
      </c>
      <c r="AC83" s="122" t="n">
        <f aca="false">'2024'!P44</f>
        <v>88</v>
      </c>
      <c r="AD83" s="122" t="n">
        <f aca="false">'2025'!P45</f>
        <v>73</v>
      </c>
      <c r="AE83" s="117" t="n">
        <f aca="false">SUM(E83:AD83)</f>
        <v>190</v>
      </c>
    </row>
    <row r="84" customFormat="false" ht="14.15" hidden="false" customHeight="false" outlineLevel="0" collapsed="false">
      <c r="A84" s="114" t="n">
        <v>2024</v>
      </c>
      <c r="B84" s="114"/>
      <c r="C84" s="114"/>
      <c r="D84" s="114"/>
      <c r="E84" s="115" t="n">
        <v>0</v>
      </c>
      <c r="F84" s="115" t="n">
        <v>0</v>
      </c>
      <c r="G84" s="115" t="n">
        <v>0</v>
      </c>
      <c r="H84" s="115" t="n">
        <v>0</v>
      </c>
      <c r="I84" s="115" t="n">
        <v>0</v>
      </c>
      <c r="J84" s="115" t="n">
        <v>0</v>
      </c>
      <c r="K84" s="115" t="n">
        <v>0</v>
      </c>
      <c r="L84" s="115" t="n">
        <v>0</v>
      </c>
      <c r="M84" s="115" t="n">
        <v>0</v>
      </c>
      <c r="N84" s="115" t="n">
        <v>0</v>
      </c>
      <c r="O84" s="115" t="n">
        <v>0</v>
      </c>
      <c r="P84" s="115" t="n">
        <v>0</v>
      </c>
      <c r="Q84" s="115" t="n">
        <v>0</v>
      </c>
      <c r="R84" s="115" t="n">
        <v>0</v>
      </c>
      <c r="S84" s="115" t="n">
        <v>0</v>
      </c>
      <c r="T84" s="115" t="n">
        <v>0</v>
      </c>
      <c r="U84" s="115" t="n">
        <v>0</v>
      </c>
      <c r="V84" s="115" t="n">
        <v>0</v>
      </c>
      <c r="W84" s="115" t="n">
        <v>0</v>
      </c>
      <c r="X84" s="115" t="n">
        <v>0</v>
      </c>
      <c r="Y84" s="115" t="n">
        <v>0</v>
      </c>
      <c r="Z84" s="115" t="n">
        <v>0</v>
      </c>
      <c r="AA84" s="121" t="n">
        <v>0</v>
      </c>
      <c r="AB84" s="121" t="n">
        <v>0</v>
      </c>
      <c r="AC84" s="121" t="n">
        <f aca="false">'2024'!P45</f>
        <v>27</v>
      </c>
      <c r="AD84" s="121" t="n">
        <f aca="false">'2025'!P46</f>
        <v>124</v>
      </c>
      <c r="AE84" s="117" t="n">
        <f aca="false">SUM(E84:AD84)</f>
        <v>151</v>
      </c>
    </row>
    <row r="85" customFormat="false" ht="14.15" hidden="false" customHeight="false" outlineLevel="0" collapsed="false">
      <c r="A85" s="118" t="n">
        <v>2025</v>
      </c>
      <c r="B85" s="118"/>
      <c r="C85" s="118"/>
      <c r="D85" s="118"/>
      <c r="E85" s="119" t="n">
        <v>0</v>
      </c>
      <c r="F85" s="119" t="n">
        <v>0</v>
      </c>
      <c r="G85" s="119" t="n">
        <v>0</v>
      </c>
      <c r="H85" s="119" t="n">
        <v>0</v>
      </c>
      <c r="I85" s="119" t="n">
        <v>0</v>
      </c>
      <c r="J85" s="119" t="n">
        <v>0</v>
      </c>
      <c r="K85" s="119" t="n">
        <v>0</v>
      </c>
      <c r="L85" s="119" t="n">
        <v>0</v>
      </c>
      <c r="M85" s="119" t="n">
        <v>0</v>
      </c>
      <c r="N85" s="119" t="n">
        <v>0</v>
      </c>
      <c r="O85" s="119" t="n">
        <v>0</v>
      </c>
      <c r="P85" s="119" t="n">
        <v>0</v>
      </c>
      <c r="Q85" s="119" t="n">
        <v>0</v>
      </c>
      <c r="R85" s="119" t="n">
        <v>0</v>
      </c>
      <c r="S85" s="119" t="n">
        <v>0</v>
      </c>
      <c r="T85" s="119" t="n">
        <v>0</v>
      </c>
      <c r="U85" s="119" t="n">
        <v>0</v>
      </c>
      <c r="V85" s="119" t="n">
        <v>0</v>
      </c>
      <c r="W85" s="119" t="n">
        <v>0</v>
      </c>
      <c r="X85" s="119" t="n">
        <v>0</v>
      </c>
      <c r="Y85" s="119" t="n">
        <v>0</v>
      </c>
      <c r="Z85" s="119" t="n">
        <v>0</v>
      </c>
      <c r="AA85" s="119" t="n">
        <v>0</v>
      </c>
      <c r="AB85" s="119" t="n">
        <v>0</v>
      </c>
      <c r="AC85" s="119" t="n">
        <v>0</v>
      </c>
      <c r="AD85" s="119" t="n">
        <f aca="false">'2025'!P47</f>
        <v>8</v>
      </c>
      <c r="AE85" s="117" t="n">
        <f aca="false">SUM(E85:AD85)</f>
        <v>8</v>
      </c>
    </row>
    <row r="86" customFormat="false" ht="12.75" hidden="false" customHeight="true" outlineLevel="0" collapsed="false">
      <c r="AE86" s="123" t="n">
        <f aca="false">SUM(AE51:AE85)</f>
        <v>7401</v>
      </c>
    </row>
    <row r="88" customFormat="false" ht="16.15" hidden="false" customHeight="false" outlineLevel="0" collapsed="false">
      <c r="V88" s="124" t="s">
        <v>91</v>
      </c>
      <c r="W88" s="124"/>
      <c r="X88" s="124"/>
    </row>
    <row r="89" customFormat="false" ht="12.75" hidden="false" customHeight="false" outlineLevel="0" collapsed="false"/>
  </sheetData>
  <mergeCells count="109">
    <mergeCell ref="A1:AD2"/>
    <mergeCell ref="AI1:AM2"/>
    <mergeCell ref="A3:D3"/>
    <mergeCell ref="AJ3:AL3"/>
    <mergeCell ref="A4:D4"/>
    <mergeCell ref="AJ4:AL4"/>
    <mergeCell ref="A5:D5"/>
    <mergeCell ref="AJ5:AL5"/>
    <mergeCell ref="A6:D6"/>
    <mergeCell ref="AJ6:AL6"/>
    <mergeCell ref="A7:D7"/>
    <mergeCell ref="AJ7:AL7"/>
    <mergeCell ref="A8:D8"/>
    <mergeCell ref="AJ8:AL8"/>
    <mergeCell ref="A9:D9"/>
    <mergeCell ref="AJ9:AL9"/>
    <mergeCell ref="A10:D10"/>
    <mergeCell ref="AJ10:AL10"/>
    <mergeCell ref="A11:D11"/>
    <mergeCell ref="AJ11:AL11"/>
    <mergeCell ref="A12:D12"/>
    <mergeCell ref="AJ12:AL12"/>
    <mergeCell ref="A13:D13"/>
    <mergeCell ref="AJ13:AL13"/>
    <mergeCell ref="A14:D14"/>
    <mergeCell ref="AJ14:AL14"/>
    <mergeCell ref="A15:D15"/>
    <mergeCell ref="AJ15:AL15"/>
    <mergeCell ref="A16:D16"/>
    <mergeCell ref="AJ16:AL16"/>
    <mergeCell ref="AJ17:AL17"/>
    <mergeCell ref="AJ18:AL18"/>
    <mergeCell ref="A19:AD22"/>
    <mergeCell ref="AJ19:AL19"/>
    <mergeCell ref="AJ20:AL20"/>
    <mergeCell ref="AJ21:AL21"/>
    <mergeCell ref="AJ22:AL22"/>
    <mergeCell ref="A23:D23"/>
    <mergeCell ref="A24:D24"/>
    <mergeCell ref="A25:D25"/>
    <mergeCell ref="AI25:AM26"/>
    <mergeCell ref="A26:D26"/>
    <mergeCell ref="A27:D27"/>
    <mergeCell ref="A28:D28"/>
    <mergeCell ref="AJ28:AL28"/>
    <mergeCell ref="AJ29:AL29"/>
    <mergeCell ref="A30:AC32"/>
    <mergeCell ref="AJ30:AL30"/>
    <mergeCell ref="AJ31:AL31"/>
    <mergeCell ref="AJ32:AL32"/>
    <mergeCell ref="A33:D33"/>
    <mergeCell ref="AJ33:AL33"/>
    <mergeCell ref="A34:D34"/>
    <mergeCell ref="AJ34:AL34"/>
    <mergeCell ref="A35:D35"/>
    <mergeCell ref="AJ35:AL35"/>
    <mergeCell ref="A36:D36"/>
    <mergeCell ref="AJ36:AL36"/>
    <mergeCell ref="A37:D37"/>
    <mergeCell ref="AJ37:AL37"/>
    <mergeCell ref="A38:D38"/>
    <mergeCell ref="AJ38:AL38"/>
    <mergeCell ref="A39:D39"/>
    <mergeCell ref="AJ39:AL39"/>
    <mergeCell ref="A40:D40"/>
    <mergeCell ref="AJ40:AL40"/>
    <mergeCell ref="A41:D41"/>
    <mergeCell ref="A42:D42"/>
    <mergeCell ref="A43:D43"/>
    <mergeCell ref="A45:AC47"/>
    <mergeCell ref="AE45:AE49"/>
    <mergeCell ref="E48:AC48"/>
    <mergeCell ref="A49:D49"/>
    <mergeCell ref="A50:D50"/>
    <mergeCell ref="A51:D51"/>
    <mergeCell ref="A52:D52"/>
    <mergeCell ref="A53:D53"/>
    <mergeCell ref="A54:D54"/>
    <mergeCell ref="A55:D55"/>
    <mergeCell ref="A56:D56"/>
    <mergeCell ref="A57:D57"/>
    <mergeCell ref="A58:D58"/>
    <mergeCell ref="A59:D59"/>
    <mergeCell ref="A60:D60"/>
    <mergeCell ref="A61:D61"/>
    <mergeCell ref="A62:D62"/>
    <mergeCell ref="A63:D63"/>
    <mergeCell ref="A64:D64"/>
    <mergeCell ref="A65:D65"/>
    <mergeCell ref="A66:D66"/>
    <mergeCell ref="A67:D67"/>
    <mergeCell ref="A68:D68"/>
    <mergeCell ref="A69:D69"/>
    <mergeCell ref="A70:D70"/>
    <mergeCell ref="A71:D71"/>
    <mergeCell ref="A72:D72"/>
    <mergeCell ref="A73:D73"/>
    <mergeCell ref="A74:D74"/>
    <mergeCell ref="A75:D75"/>
    <mergeCell ref="A76:D76"/>
    <mergeCell ref="A77:D77"/>
    <mergeCell ref="A78:D78"/>
    <mergeCell ref="A79:D79"/>
    <mergeCell ref="A80:D80"/>
    <mergeCell ref="A81:D81"/>
    <mergeCell ref="A82:D82"/>
    <mergeCell ref="A83:D83"/>
    <mergeCell ref="A84:D84"/>
    <mergeCell ref="A85:D85"/>
  </mergeCells>
  <printOptions headings="false" gridLines="false" gridLinesSet="true" horizontalCentered="false" verticalCentered="false"/>
  <pageMargins left="0.511805555555556" right="0.511805555555556" top="0.7875" bottom="0.78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V1001"/>
  <sheetViews>
    <sheetView showFormulas="false" showGridLines="true" showRowColHeaders="true" showZeros="true" rightToLeft="false" tabSelected="false" showOutlineSymbols="true" defaultGridColor="true" view="normal" topLeftCell="A1" colorId="64" zoomScale="59" zoomScaleNormal="59" zoomScalePageLayoutView="100" workbookViewId="0">
      <pane xSplit="1" ySplit="0" topLeftCell="B1" activePane="topRight" state="frozen"/>
      <selection pane="topLeft" activeCell="A1" activeCellId="0" sqref="A1"/>
      <selection pane="topRight" activeCell="G1002" activeCellId="0" sqref="G1002"/>
    </sheetView>
  </sheetViews>
  <sheetFormatPr defaultColWidth="14.2890625" defaultRowHeight="12.75" customHeight="false" zeroHeight="false" outlineLevelRow="0" outlineLevelCol="0"/>
  <cols>
    <col collapsed="false" customWidth="true" hidden="false" outlineLevel="0" max="1" min="1" style="0" width="22.14"/>
    <col collapsed="false" customWidth="true" hidden="false" outlineLevel="0" max="2" min="2" style="0" width="30.72"/>
    <col collapsed="false" customWidth="true" hidden="false" outlineLevel="0" max="3" min="3" style="0" width="24.85"/>
    <col collapsed="false" customWidth="true" hidden="false" outlineLevel="0" max="4" min="4" style="0" width="22.14"/>
    <col collapsed="false" customWidth="true" hidden="false" outlineLevel="0" max="5" min="5" style="125" width="81.71"/>
    <col collapsed="false" customWidth="true" hidden="false" outlineLevel="0" max="6" min="6" style="0" width="96.57"/>
    <col collapsed="false" customWidth="true" hidden="false" outlineLevel="0" max="7" min="7" style="0" width="15.42"/>
    <col collapsed="false" customWidth="true" hidden="false" outlineLevel="0" max="8" min="8" style="0" width="25.14"/>
    <col collapsed="false" customWidth="true" hidden="false" outlineLevel="0" max="9" min="9" style="0" width="24.57"/>
    <col collapsed="false" customWidth="true" hidden="false" outlineLevel="0" max="10" min="10" style="0" width="14.71"/>
    <col collapsed="false" customWidth="true" hidden="false" outlineLevel="0" max="11" min="11" style="0" width="62"/>
    <col collapsed="false" customWidth="true" hidden="false" outlineLevel="0" max="12" min="12" style="0" width="69.72"/>
    <col collapsed="false" customWidth="true" hidden="false" outlineLevel="0" max="13" min="13" style="0" width="45.29"/>
    <col collapsed="false" customWidth="true" hidden="false" outlineLevel="0" max="14" min="14" style="0" width="7.71"/>
    <col collapsed="false" customWidth="true" hidden="false" outlineLevel="0" max="15" min="15" style="0" width="29.85"/>
    <col collapsed="false" customWidth="true" hidden="false" outlineLevel="0" max="16" min="16" style="0" width="9.85"/>
    <col collapsed="false" customWidth="true" hidden="false" outlineLevel="0" max="17" min="17" style="0" width="3.42"/>
    <col collapsed="false" customWidth="true" hidden="false" outlineLevel="0" max="18" min="18" style="0" width="41.43"/>
    <col collapsed="false" customWidth="true" hidden="false" outlineLevel="0" max="19" min="19" style="0" width="30.42"/>
    <col collapsed="false" customWidth="true" hidden="false" outlineLevel="0" max="20" min="20" style="0" width="12.57"/>
    <col collapsed="false" customWidth="true" hidden="false" outlineLevel="0" max="22" min="21" style="0" width="9.14"/>
    <col collapsed="false" customWidth="true" hidden="false" outlineLevel="0" max="23" min="23" style="0" width="8.71"/>
    <col collapsed="false" customWidth="true" hidden="true" outlineLevel="0" max="26" min="24" style="0" width="8.71"/>
  </cols>
  <sheetData>
    <row r="1" customFormat="false" ht="15" hidden="false" customHeight="true" outlineLevel="0" collapsed="false">
      <c r="A1" s="126" t="s">
        <v>92</v>
      </c>
      <c r="B1" s="127" t="s">
        <v>93</v>
      </c>
      <c r="C1" s="128" t="s">
        <v>89</v>
      </c>
      <c r="D1" s="129" t="s">
        <v>94</v>
      </c>
      <c r="E1" s="130" t="s">
        <v>95</v>
      </c>
      <c r="F1" s="131" t="s">
        <v>96</v>
      </c>
      <c r="G1" s="132" t="s">
        <v>97</v>
      </c>
      <c r="H1" s="131" t="s">
        <v>98</v>
      </c>
      <c r="I1" s="133" t="s">
        <v>99</v>
      </c>
      <c r="J1" s="129" t="s">
        <v>100</v>
      </c>
      <c r="K1" s="132" t="s">
        <v>101</v>
      </c>
      <c r="L1" s="134" t="s">
        <v>102</v>
      </c>
      <c r="M1" s="135" t="s">
        <v>103</v>
      </c>
      <c r="N1" s="136"/>
      <c r="O1" s="137" t="s">
        <v>104</v>
      </c>
      <c r="P1" s="138"/>
      <c r="Q1" s="136"/>
      <c r="R1" s="136"/>
      <c r="S1" s="136"/>
      <c r="T1" s="136"/>
      <c r="U1" s="136"/>
      <c r="V1" s="136"/>
    </row>
    <row r="2" customFormat="false" ht="15" hidden="false" customHeight="false" outlineLevel="0" collapsed="false">
      <c r="A2" s="139" t="n">
        <v>126</v>
      </c>
      <c r="B2" s="140" t="s">
        <v>105</v>
      </c>
      <c r="C2" s="140" t="n">
        <v>2019</v>
      </c>
      <c r="D2" s="141" t="n">
        <v>43503</v>
      </c>
      <c r="E2" s="142" t="s">
        <v>106</v>
      </c>
      <c r="F2" s="142" t="s">
        <v>107</v>
      </c>
      <c r="G2" s="66" t="s">
        <v>108</v>
      </c>
      <c r="H2" s="142" t="s">
        <v>109</v>
      </c>
      <c r="I2" s="141" t="n">
        <v>46031</v>
      </c>
      <c r="J2" s="66" t="n">
        <v>1</v>
      </c>
      <c r="K2" s="143" t="s">
        <v>49</v>
      </c>
      <c r="L2" s="144" t="s">
        <v>60</v>
      </c>
      <c r="M2" s="145" t="n">
        <f aca="false">I2-D2</f>
        <v>2528</v>
      </c>
      <c r="N2" s="146"/>
      <c r="O2" s="147" t="s">
        <v>110</v>
      </c>
      <c r="P2" s="147" t="n">
        <f aca="false">COUNTIF($G$2:$G$1001,"PF")</f>
        <v>5</v>
      </c>
      <c r="Q2" s="146"/>
      <c r="R2" s="146"/>
      <c r="S2" s="146"/>
      <c r="T2" s="146"/>
      <c r="U2" s="146"/>
      <c r="V2" s="146"/>
    </row>
    <row r="3" customFormat="false" ht="15" hidden="false" customHeight="true" outlineLevel="0" collapsed="false">
      <c r="A3" s="148" t="n">
        <v>226</v>
      </c>
      <c r="B3" s="149" t="s">
        <v>111</v>
      </c>
      <c r="C3" s="149" t="n">
        <v>2018</v>
      </c>
      <c r="D3" s="150" t="n">
        <v>43371</v>
      </c>
      <c r="E3" s="151" t="s">
        <v>112</v>
      </c>
      <c r="F3" s="151" t="s">
        <v>113</v>
      </c>
      <c r="G3" s="68" t="s">
        <v>108</v>
      </c>
      <c r="H3" s="151" t="s">
        <v>114</v>
      </c>
      <c r="I3" s="150" t="n">
        <v>46031</v>
      </c>
      <c r="J3" s="68" t="n">
        <v>1</v>
      </c>
      <c r="K3" s="143" t="s">
        <v>48</v>
      </c>
      <c r="L3" s="151" t="s">
        <v>60</v>
      </c>
      <c r="M3" s="152" t="n">
        <f aca="false">I3-D3</f>
        <v>2660</v>
      </c>
      <c r="N3" s="153"/>
      <c r="O3" s="154" t="s">
        <v>115</v>
      </c>
      <c r="P3" s="154" t="n">
        <f aca="false">COUNTIF($G$2:$G$1001,"PFN")</f>
        <v>10</v>
      </c>
      <c r="Q3" s="153"/>
      <c r="R3" s="153"/>
      <c r="S3" s="153"/>
      <c r="T3" s="153"/>
      <c r="U3" s="153"/>
      <c r="V3" s="153"/>
    </row>
    <row r="4" customFormat="false" ht="14.15" hidden="false" customHeight="false" outlineLevel="0" collapsed="false">
      <c r="A4" s="139" t="n">
        <v>326</v>
      </c>
      <c r="B4" s="140" t="s">
        <v>116</v>
      </c>
      <c r="C4" s="140" t="n">
        <v>2023</v>
      </c>
      <c r="D4" s="141" t="n">
        <v>45279</v>
      </c>
      <c r="E4" s="155" t="s">
        <v>117</v>
      </c>
      <c r="F4" s="142" t="s">
        <v>118</v>
      </c>
      <c r="G4" s="66" t="s">
        <v>108</v>
      </c>
      <c r="H4" s="142" t="s">
        <v>119</v>
      </c>
      <c r="I4" s="141" t="n">
        <v>46031</v>
      </c>
      <c r="J4" s="66" t="n">
        <v>1</v>
      </c>
      <c r="K4" s="156" t="s">
        <v>44</v>
      </c>
      <c r="L4" s="144" t="s">
        <v>57</v>
      </c>
      <c r="M4" s="145" t="n">
        <f aca="false">I4-D4</f>
        <v>752</v>
      </c>
      <c r="N4" s="153"/>
      <c r="O4" s="147" t="s">
        <v>120</v>
      </c>
      <c r="P4" s="147" t="n">
        <f aca="false">COUNTIF($G$2:$G$1001,"PF|PTE")</f>
        <v>249</v>
      </c>
      <c r="Q4" s="153"/>
      <c r="R4" s="153"/>
      <c r="S4" s="153"/>
      <c r="T4" s="153"/>
      <c r="U4" s="153"/>
      <c r="V4" s="153"/>
    </row>
    <row r="5" customFormat="false" ht="12.75" hidden="false" customHeight="true" outlineLevel="0" collapsed="false">
      <c r="A5" s="148" t="n">
        <v>426</v>
      </c>
      <c r="B5" s="149" t="s">
        <v>121</v>
      </c>
      <c r="C5" s="149" t="n">
        <v>2017</v>
      </c>
      <c r="D5" s="150" t="n">
        <v>43095</v>
      </c>
      <c r="E5" s="151" t="s">
        <v>122</v>
      </c>
      <c r="F5" s="151" t="s">
        <v>123</v>
      </c>
      <c r="G5" s="68" t="s">
        <v>108</v>
      </c>
      <c r="H5" s="151" t="s">
        <v>124</v>
      </c>
      <c r="I5" s="150" t="n">
        <v>46034</v>
      </c>
      <c r="J5" s="68" t="n">
        <v>1</v>
      </c>
      <c r="K5" s="143" t="s">
        <v>49</v>
      </c>
      <c r="L5" s="151" t="s">
        <v>60</v>
      </c>
      <c r="M5" s="152" t="n">
        <f aca="false">I5-D5</f>
        <v>2939</v>
      </c>
      <c r="N5" s="153"/>
      <c r="O5" s="154" t="s">
        <v>125</v>
      </c>
      <c r="P5" s="154" t="n">
        <f aca="false">COUNTIF($G$2:$G$1001,"Bio")</f>
        <v>18</v>
      </c>
      <c r="Q5" s="153"/>
      <c r="R5" s="153"/>
      <c r="S5" s="153"/>
      <c r="T5" s="153"/>
      <c r="U5" s="153"/>
      <c r="V5" s="153"/>
    </row>
    <row r="6" customFormat="false" ht="12.75" hidden="false" customHeight="true" outlineLevel="0" collapsed="false">
      <c r="A6" s="139" t="n">
        <v>526</v>
      </c>
      <c r="B6" s="140" t="s">
        <v>126</v>
      </c>
      <c r="C6" s="140" t="n">
        <v>2021</v>
      </c>
      <c r="D6" s="141" t="n">
        <v>44286</v>
      </c>
      <c r="E6" s="142" t="s">
        <v>127</v>
      </c>
      <c r="F6" s="142" t="s">
        <v>128</v>
      </c>
      <c r="G6" s="66" t="s">
        <v>108</v>
      </c>
      <c r="H6" s="142" t="s">
        <v>129</v>
      </c>
      <c r="I6" s="141" t="n">
        <v>46034</v>
      </c>
      <c r="J6" s="66" t="n">
        <v>1</v>
      </c>
      <c r="K6" s="143" t="s">
        <v>49</v>
      </c>
      <c r="L6" s="144" t="s">
        <v>60</v>
      </c>
      <c r="M6" s="145" t="n">
        <f aca="false">I6-D6</f>
        <v>1748</v>
      </c>
      <c r="N6" s="153"/>
      <c r="O6" s="147" t="s">
        <v>130</v>
      </c>
      <c r="P6" s="147" t="n">
        <f aca="false">COUNTIF($G$2:$G$1001,"Bio/Org")</f>
        <v>41</v>
      </c>
      <c r="Q6" s="153"/>
      <c r="R6" s="153"/>
      <c r="S6" s="153"/>
      <c r="T6" s="153"/>
      <c r="U6" s="153"/>
      <c r="V6" s="153"/>
    </row>
    <row r="7" customFormat="false" ht="12.75" hidden="false" customHeight="true" outlineLevel="0" collapsed="false">
      <c r="A7" s="148" t="n">
        <v>626</v>
      </c>
      <c r="B7" s="149" t="s">
        <v>131</v>
      </c>
      <c r="C7" s="149" t="n">
        <v>2022</v>
      </c>
      <c r="D7" s="157" t="n">
        <v>44592</v>
      </c>
      <c r="E7" s="151" t="s">
        <v>132</v>
      </c>
      <c r="F7" s="151" t="s">
        <v>133</v>
      </c>
      <c r="G7" s="68" t="s">
        <v>108</v>
      </c>
      <c r="H7" s="151" t="s">
        <v>134</v>
      </c>
      <c r="I7" s="150" t="n">
        <v>46034</v>
      </c>
      <c r="J7" s="158" t="n">
        <v>1</v>
      </c>
      <c r="K7" s="143" t="s">
        <v>49</v>
      </c>
      <c r="L7" s="151" t="s">
        <v>60</v>
      </c>
      <c r="M7" s="152" t="n">
        <f aca="false">I7-D7</f>
        <v>1442</v>
      </c>
      <c r="N7" s="153"/>
      <c r="O7" s="154" t="s">
        <v>135</v>
      </c>
      <c r="P7" s="154" t="n">
        <f aca="false">COUNTIF($G$2:$G$1001,"PFI")</f>
        <v>0</v>
      </c>
      <c r="Q7" s="153"/>
      <c r="R7" s="153"/>
      <c r="S7" s="153"/>
      <c r="T7" s="153"/>
      <c r="U7" s="153"/>
      <c r="V7" s="153"/>
    </row>
    <row r="8" customFormat="false" ht="15" hidden="false" customHeight="true" outlineLevel="0" collapsed="false">
      <c r="A8" s="139" t="n">
        <v>726</v>
      </c>
      <c r="B8" s="140" t="s">
        <v>136</v>
      </c>
      <c r="C8" s="140" t="n">
        <v>2025</v>
      </c>
      <c r="D8" s="141" t="n">
        <v>45665</v>
      </c>
      <c r="E8" s="142" t="s">
        <v>137</v>
      </c>
      <c r="F8" s="142" t="s">
        <v>138</v>
      </c>
      <c r="G8" s="66" t="s">
        <v>108</v>
      </c>
      <c r="H8" s="142" t="s">
        <v>139</v>
      </c>
      <c r="I8" s="141" t="n">
        <v>46034</v>
      </c>
      <c r="J8" s="66" t="n">
        <v>1</v>
      </c>
      <c r="K8" s="143" t="s">
        <v>49</v>
      </c>
      <c r="L8" s="144" t="s">
        <v>60</v>
      </c>
      <c r="M8" s="145" t="n">
        <f aca="false">I8-D8</f>
        <v>369</v>
      </c>
      <c r="N8" s="153"/>
      <c r="O8" s="112" t="s">
        <v>140</v>
      </c>
      <c r="P8" s="112" t="n">
        <f aca="false">SUM(P2:P7)</f>
        <v>323</v>
      </c>
      <c r="Q8" s="153"/>
      <c r="R8" s="153"/>
      <c r="S8" s="153"/>
      <c r="T8" s="153"/>
      <c r="U8" s="153"/>
      <c r="V8" s="153"/>
    </row>
    <row r="9" customFormat="false" ht="15" hidden="false" customHeight="true" outlineLevel="0" collapsed="false">
      <c r="A9" s="148" t="n">
        <v>826</v>
      </c>
      <c r="B9" s="149" t="s">
        <v>141</v>
      </c>
      <c r="C9" s="149" t="n">
        <v>2025</v>
      </c>
      <c r="D9" s="150" t="n">
        <v>45663</v>
      </c>
      <c r="E9" s="151" t="s">
        <v>142</v>
      </c>
      <c r="F9" s="151" t="s">
        <v>143</v>
      </c>
      <c r="G9" s="68" t="s">
        <v>144</v>
      </c>
      <c r="H9" s="151" t="s">
        <v>145</v>
      </c>
      <c r="I9" s="150" t="n">
        <v>46034</v>
      </c>
      <c r="J9" s="158" t="n">
        <v>1</v>
      </c>
      <c r="K9" s="143" t="s">
        <v>49</v>
      </c>
      <c r="L9" s="151" t="s">
        <v>60</v>
      </c>
      <c r="M9" s="152" t="n">
        <f aca="false">I9-D9</f>
        <v>371</v>
      </c>
      <c r="N9" s="153"/>
      <c r="O9" s="153"/>
      <c r="P9" s="153"/>
      <c r="Q9" s="153"/>
      <c r="R9" s="153"/>
      <c r="S9" s="153"/>
      <c r="T9" s="153"/>
      <c r="U9" s="153"/>
      <c r="V9" s="153"/>
    </row>
    <row r="10" customFormat="false" ht="22.5" hidden="false" customHeight="true" outlineLevel="0" collapsed="false">
      <c r="A10" s="139" t="n">
        <v>926</v>
      </c>
      <c r="B10" s="140" t="s">
        <v>146</v>
      </c>
      <c r="C10" s="140" t="n">
        <v>2025</v>
      </c>
      <c r="D10" s="141" t="n">
        <v>45694</v>
      </c>
      <c r="E10" s="142" t="s">
        <v>147</v>
      </c>
      <c r="F10" s="142" t="s">
        <v>148</v>
      </c>
      <c r="G10" s="66" t="s">
        <v>125</v>
      </c>
      <c r="H10" s="142" t="s">
        <v>149</v>
      </c>
      <c r="I10" s="141" t="n">
        <v>46034</v>
      </c>
      <c r="J10" s="66" t="n">
        <v>1</v>
      </c>
      <c r="K10" s="143" t="s">
        <v>49</v>
      </c>
      <c r="L10" s="144" t="s">
        <v>150</v>
      </c>
      <c r="M10" s="145" t="n">
        <f aca="false">I10-D10</f>
        <v>340</v>
      </c>
      <c r="N10" s="153"/>
      <c r="O10" s="159" t="s">
        <v>151</v>
      </c>
      <c r="P10" s="159"/>
      <c r="Q10" s="159"/>
      <c r="R10" s="159"/>
      <c r="S10" s="159"/>
      <c r="T10" s="159"/>
      <c r="U10" s="159"/>
      <c r="V10" s="159"/>
    </row>
    <row r="11" customFormat="false" ht="15" hidden="false" customHeight="true" outlineLevel="0" collapsed="false">
      <c r="A11" s="148" t="n">
        <v>1026</v>
      </c>
      <c r="B11" s="149" t="s">
        <v>152</v>
      </c>
      <c r="C11" s="149" t="n">
        <v>2025</v>
      </c>
      <c r="D11" s="150" t="n">
        <v>45663</v>
      </c>
      <c r="E11" s="151" t="s">
        <v>153</v>
      </c>
      <c r="F11" s="151" t="s">
        <v>154</v>
      </c>
      <c r="G11" s="68" t="s">
        <v>108</v>
      </c>
      <c r="H11" s="151" t="s">
        <v>145</v>
      </c>
      <c r="I11" s="150" t="n">
        <v>46034</v>
      </c>
      <c r="J11" s="68" t="n">
        <v>1</v>
      </c>
      <c r="K11" s="143" t="s">
        <v>49</v>
      </c>
      <c r="L11" s="151" t="s">
        <v>150</v>
      </c>
      <c r="M11" s="152" t="n">
        <f aca="false">I11-D11</f>
        <v>371</v>
      </c>
      <c r="N11" s="153"/>
      <c r="O11" s="159"/>
      <c r="P11" s="159"/>
      <c r="Q11" s="159"/>
      <c r="R11" s="159"/>
      <c r="S11" s="159"/>
      <c r="T11" s="159"/>
      <c r="U11" s="159"/>
      <c r="V11" s="159"/>
    </row>
    <row r="12" customFormat="false" ht="15" hidden="false" customHeight="true" outlineLevel="0" collapsed="false">
      <c r="A12" s="139" t="n">
        <v>1126</v>
      </c>
      <c r="B12" s="140" t="s">
        <v>155</v>
      </c>
      <c r="C12" s="140" t="n">
        <v>2025</v>
      </c>
      <c r="D12" s="141" t="n">
        <v>45663</v>
      </c>
      <c r="E12" s="142" t="s">
        <v>156</v>
      </c>
      <c r="F12" s="142" t="s">
        <v>157</v>
      </c>
      <c r="G12" s="66" t="s">
        <v>108</v>
      </c>
      <c r="H12" s="142" t="s">
        <v>145</v>
      </c>
      <c r="I12" s="141" t="n">
        <v>46034</v>
      </c>
      <c r="J12" s="66" t="n">
        <v>1</v>
      </c>
      <c r="K12" s="143" t="s">
        <v>48</v>
      </c>
      <c r="L12" s="144" t="s">
        <v>150</v>
      </c>
      <c r="M12" s="145" t="n">
        <f aca="false">I12-D12</f>
        <v>371</v>
      </c>
      <c r="N12" s="160"/>
      <c r="O12" s="114" t="s">
        <v>21</v>
      </c>
      <c r="P12" s="114"/>
      <c r="Q12" s="114"/>
      <c r="R12" s="114"/>
      <c r="S12" s="114"/>
      <c r="T12" s="114"/>
      <c r="U12" s="114"/>
      <c r="V12" s="114"/>
    </row>
    <row r="13" customFormat="false" ht="15" hidden="false" customHeight="true" outlineLevel="0" collapsed="false">
      <c r="A13" s="148" t="n">
        <v>1226</v>
      </c>
      <c r="B13" s="149" t="s">
        <v>158</v>
      </c>
      <c r="C13" s="149" t="n">
        <v>2025</v>
      </c>
      <c r="D13" s="150" t="n">
        <v>45665</v>
      </c>
      <c r="E13" s="151" t="s">
        <v>159</v>
      </c>
      <c r="F13" s="151" t="s">
        <v>160</v>
      </c>
      <c r="G13" s="68" t="s">
        <v>108</v>
      </c>
      <c r="H13" s="151" t="s">
        <v>145</v>
      </c>
      <c r="I13" s="150" t="n">
        <v>46034</v>
      </c>
      <c r="J13" s="68" t="n">
        <v>1</v>
      </c>
      <c r="K13" s="143" t="s">
        <v>49</v>
      </c>
      <c r="L13" s="151" t="s">
        <v>150</v>
      </c>
      <c r="M13" s="152" t="n">
        <f aca="false">I13-D13</f>
        <v>369</v>
      </c>
      <c r="N13" s="160"/>
      <c r="O13" s="118" t="s">
        <v>161</v>
      </c>
      <c r="P13" s="118"/>
      <c r="Q13" s="118"/>
      <c r="R13" s="118"/>
      <c r="S13" s="118"/>
      <c r="T13" s="118"/>
      <c r="U13" s="118"/>
      <c r="V13" s="118"/>
    </row>
    <row r="14" customFormat="false" ht="15" hidden="false" customHeight="true" outlineLevel="0" collapsed="false">
      <c r="A14" s="139" t="n">
        <v>1326</v>
      </c>
      <c r="B14" s="140" t="s">
        <v>162</v>
      </c>
      <c r="C14" s="140" t="n">
        <v>2025</v>
      </c>
      <c r="D14" s="141" t="n">
        <v>45664</v>
      </c>
      <c r="E14" s="142" t="s">
        <v>163</v>
      </c>
      <c r="F14" s="142" t="s">
        <v>164</v>
      </c>
      <c r="G14" s="66" t="s">
        <v>108</v>
      </c>
      <c r="H14" s="142" t="s">
        <v>145</v>
      </c>
      <c r="I14" s="141" t="n">
        <v>46034</v>
      </c>
      <c r="J14" s="66" t="n">
        <v>1</v>
      </c>
      <c r="K14" s="143" t="s">
        <v>48</v>
      </c>
      <c r="L14" s="144" t="s">
        <v>150</v>
      </c>
      <c r="M14" s="145" t="n">
        <f aca="false">I14-D14</f>
        <v>370</v>
      </c>
      <c r="N14" s="153"/>
      <c r="O14" s="114" t="s">
        <v>165</v>
      </c>
      <c r="P14" s="114"/>
      <c r="Q14" s="114"/>
      <c r="R14" s="114"/>
      <c r="S14" s="114"/>
      <c r="T14" s="114"/>
      <c r="U14" s="114"/>
      <c r="V14" s="114"/>
    </row>
    <row r="15" customFormat="false" ht="15" hidden="false" customHeight="true" outlineLevel="0" collapsed="false">
      <c r="A15" s="148" t="n">
        <v>1426</v>
      </c>
      <c r="B15" s="149" t="s">
        <v>166</v>
      </c>
      <c r="C15" s="149" t="n">
        <v>2025</v>
      </c>
      <c r="D15" s="150" t="n">
        <v>45664</v>
      </c>
      <c r="E15" s="151" t="s">
        <v>167</v>
      </c>
      <c r="F15" s="151" t="s">
        <v>168</v>
      </c>
      <c r="G15" s="68" t="s">
        <v>108</v>
      </c>
      <c r="H15" s="151" t="s">
        <v>145</v>
      </c>
      <c r="I15" s="150" t="n">
        <v>46034</v>
      </c>
      <c r="J15" s="68" t="n">
        <v>1</v>
      </c>
      <c r="K15" s="143" t="s">
        <v>49</v>
      </c>
      <c r="L15" s="151" t="s">
        <v>150</v>
      </c>
      <c r="M15" s="152" t="n">
        <f aca="false">I15-D15</f>
        <v>370</v>
      </c>
      <c r="N15" s="153"/>
      <c r="O15" s="161" t="s">
        <v>169</v>
      </c>
      <c r="P15" s="161"/>
      <c r="Q15" s="161"/>
      <c r="R15" s="161"/>
      <c r="S15" s="161"/>
      <c r="T15" s="161"/>
      <c r="U15" s="161"/>
      <c r="V15" s="161"/>
    </row>
    <row r="16" customFormat="false" ht="15" hidden="false" customHeight="true" outlineLevel="0" collapsed="false">
      <c r="A16" s="139" t="n">
        <v>1526</v>
      </c>
      <c r="B16" s="140" t="s">
        <v>170</v>
      </c>
      <c r="C16" s="140" t="n">
        <v>2025</v>
      </c>
      <c r="D16" s="141" t="n">
        <v>45664</v>
      </c>
      <c r="E16" s="142" t="s">
        <v>171</v>
      </c>
      <c r="F16" s="142" t="s">
        <v>172</v>
      </c>
      <c r="G16" s="66" t="s">
        <v>108</v>
      </c>
      <c r="H16" s="142" t="s">
        <v>145</v>
      </c>
      <c r="I16" s="141" t="n">
        <v>46034</v>
      </c>
      <c r="J16" s="66" t="n">
        <v>1</v>
      </c>
      <c r="K16" s="143" t="s">
        <v>48</v>
      </c>
      <c r="L16" s="144" t="s">
        <v>150</v>
      </c>
      <c r="M16" s="145" t="n">
        <f aca="false">I16-D16</f>
        <v>370</v>
      </c>
      <c r="N16" s="153"/>
      <c r="O16" s="162" t="s">
        <v>173</v>
      </c>
      <c r="P16" s="162"/>
      <c r="Q16" s="162"/>
      <c r="R16" s="162"/>
      <c r="S16" s="162"/>
      <c r="T16" s="162"/>
      <c r="U16" s="162"/>
      <c r="V16" s="162"/>
    </row>
    <row r="17" customFormat="false" ht="15" hidden="false" customHeight="true" outlineLevel="0" collapsed="false">
      <c r="A17" s="148" t="n">
        <v>1626</v>
      </c>
      <c r="B17" s="149" t="s">
        <v>174</v>
      </c>
      <c r="C17" s="149" t="n">
        <v>2025</v>
      </c>
      <c r="D17" s="150" t="n">
        <v>45665</v>
      </c>
      <c r="E17" s="151" t="s">
        <v>175</v>
      </c>
      <c r="F17" s="151" t="s">
        <v>176</v>
      </c>
      <c r="G17" s="68" t="s">
        <v>108</v>
      </c>
      <c r="H17" s="151" t="s">
        <v>145</v>
      </c>
      <c r="I17" s="150" t="n">
        <v>46034</v>
      </c>
      <c r="J17" s="68" t="n">
        <v>1</v>
      </c>
      <c r="K17" s="143" t="s">
        <v>49</v>
      </c>
      <c r="L17" s="151" t="s">
        <v>150</v>
      </c>
      <c r="M17" s="152" t="n">
        <f aca="false">I17-D17</f>
        <v>369</v>
      </c>
      <c r="N17" s="153"/>
      <c r="O17" s="118" t="s">
        <v>177</v>
      </c>
      <c r="P17" s="118"/>
      <c r="Q17" s="118"/>
      <c r="R17" s="118"/>
      <c r="S17" s="118"/>
      <c r="T17" s="118"/>
      <c r="U17" s="118"/>
      <c r="V17" s="118"/>
    </row>
    <row r="18" customFormat="false" ht="15" hidden="false" customHeight="true" outlineLevel="0" collapsed="false">
      <c r="A18" s="139" t="n">
        <v>1726</v>
      </c>
      <c r="B18" s="140" t="s">
        <v>178</v>
      </c>
      <c r="C18" s="140" t="n">
        <v>2025</v>
      </c>
      <c r="D18" s="141" t="n">
        <v>45665</v>
      </c>
      <c r="E18" s="142" t="s">
        <v>179</v>
      </c>
      <c r="F18" s="142" t="s">
        <v>180</v>
      </c>
      <c r="G18" s="66" t="s">
        <v>108</v>
      </c>
      <c r="H18" s="142" t="s">
        <v>145</v>
      </c>
      <c r="I18" s="141" t="n">
        <v>46034</v>
      </c>
      <c r="J18" s="66" t="n">
        <v>1</v>
      </c>
      <c r="K18" s="143" t="s">
        <v>49</v>
      </c>
      <c r="L18" s="144" t="s">
        <v>150</v>
      </c>
      <c r="M18" s="145" t="n">
        <f aca="false">I18-D18</f>
        <v>369</v>
      </c>
      <c r="N18" s="153"/>
      <c r="O18" s="153"/>
      <c r="P18" s="153"/>
      <c r="Q18" s="153"/>
      <c r="R18" s="153"/>
      <c r="S18" s="153"/>
    </row>
    <row r="19" customFormat="false" ht="15" hidden="false" customHeight="true" outlineLevel="0" collapsed="false">
      <c r="A19" s="148" t="n">
        <v>1826</v>
      </c>
      <c r="B19" s="149" t="s">
        <v>181</v>
      </c>
      <c r="C19" s="149" t="n">
        <v>2018</v>
      </c>
      <c r="D19" s="150" t="n">
        <v>43299</v>
      </c>
      <c r="E19" s="151" t="s">
        <v>182</v>
      </c>
      <c r="F19" s="151" t="s">
        <v>183</v>
      </c>
      <c r="G19" s="68" t="s">
        <v>108</v>
      </c>
      <c r="H19" s="151" t="s">
        <v>184</v>
      </c>
      <c r="I19" s="150" t="n">
        <v>46038</v>
      </c>
      <c r="J19" s="68" t="n">
        <v>1</v>
      </c>
      <c r="K19" s="163" t="s">
        <v>46</v>
      </c>
      <c r="L19" s="151" t="s">
        <v>150</v>
      </c>
      <c r="M19" s="152" t="n">
        <f aca="false">I19-D19</f>
        <v>2739</v>
      </c>
      <c r="N19" s="153"/>
      <c r="O19" s="159" t="s">
        <v>185</v>
      </c>
      <c r="P19" s="159"/>
      <c r="Q19" s="159"/>
      <c r="R19" s="159"/>
      <c r="S19" s="159"/>
    </row>
    <row r="20" customFormat="false" ht="15" hidden="false" customHeight="true" outlineLevel="0" collapsed="false">
      <c r="A20" s="139" t="n">
        <v>1926</v>
      </c>
      <c r="B20" s="140" t="s">
        <v>186</v>
      </c>
      <c r="C20" s="140" t="n">
        <v>2021</v>
      </c>
      <c r="D20" s="141" t="n">
        <v>44236</v>
      </c>
      <c r="E20" s="142" t="s">
        <v>187</v>
      </c>
      <c r="F20" s="142" t="s">
        <v>188</v>
      </c>
      <c r="G20" s="66" t="s">
        <v>108</v>
      </c>
      <c r="H20" s="142" t="s">
        <v>139</v>
      </c>
      <c r="I20" s="141" t="n">
        <v>46041</v>
      </c>
      <c r="J20" s="66" t="n">
        <v>1</v>
      </c>
      <c r="K20" s="143" t="s">
        <v>49</v>
      </c>
      <c r="L20" s="144" t="s">
        <v>150</v>
      </c>
      <c r="M20" s="145" t="n">
        <f aca="false">I20-D20</f>
        <v>1805</v>
      </c>
      <c r="N20" s="153"/>
      <c r="O20" s="159"/>
      <c r="P20" s="159"/>
      <c r="Q20" s="159"/>
      <c r="R20" s="159"/>
      <c r="S20" s="159"/>
    </row>
    <row r="21" customFormat="false" ht="15" hidden="false" customHeight="true" outlineLevel="0" collapsed="false">
      <c r="A21" s="148" t="n">
        <v>2026</v>
      </c>
      <c r="B21" s="149" t="s">
        <v>189</v>
      </c>
      <c r="C21" s="149" t="n">
        <v>2021</v>
      </c>
      <c r="D21" s="150" t="n">
        <v>44252</v>
      </c>
      <c r="E21" s="151" t="s">
        <v>190</v>
      </c>
      <c r="F21" s="151" t="s">
        <v>191</v>
      </c>
      <c r="G21" s="68" t="s">
        <v>108</v>
      </c>
      <c r="H21" s="151" t="s">
        <v>192</v>
      </c>
      <c r="I21" s="150" t="n">
        <v>46041</v>
      </c>
      <c r="J21" s="68" t="n">
        <v>1</v>
      </c>
      <c r="K21" s="143" t="s">
        <v>49</v>
      </c>
      <c r="L21" s="151" t="s">
        <v>150</v>
      </c>
      <c r="M21" s="152" t="n">
        <f aca="false">I21-D21</f>
        <v>1789</v>
      </c>
      <c r="N21" s="153"/>
      <c r="O21" s="112" t="s">
        <v>39</v>
      </c>
      <c r="P21" s="112" t="s">
        <v>40</v>
      </c>
      <c r="Q21" s="112"/>
      <c r="R21" s="112"/>
      <c r="S21" s="112" t="s">
        <v>41</v>
      </c>
    </row>
    <row r="22" customFormat="false" ht="15" hidden="false" customHeight="true" outlineLevel="0" collapsed="false">
      <c r="A22" s="139" t="n">
        <v>2126</v>
      </c>
      <c r="B22" s="140" t="s">
        <v>193</v>
      </c>
      <c r="C22" s="140" t="n">
        <v>2023</v>
      </c>
      <c r="D22" s="141" t="n">
        <v>44960</v>
      </c>
      <c r="E22" s="142" t="s">
        <v>194</v>
      </c>
      <c r="F22" s="142" t="s">
        <v>195</v>
      </c>
      <c r="G22" s="66" t="s">
        <v>108</v>
      </c>
      <c r="H22" s="142" t="s">
        <v>196</v>
      </c>
      <c r="I22" s="141" t="n">
        <v>46041</v>
      </c>
      <c r="J22" s="66" t="n">
        <v>1</v>
      </c>
      <c r="K22" s="143" t="s">
        <v>49</v>
      </c>
      <c r="L22" s="144" t="s">
        <v>150</v>
      </c>
      <c r="M22" s="145" t="n">
        <f aca="false">I22-D22</f>
        <v>1081</v>
      </c>
      <c r="N22" s="153"/>
      <c r="O22" s="154" t="n">
        <v>2008</v>
      </c>
      <c r="P22" s="154" t="n">
        <f aca="false">COUNTIF($C$2:$C$1001,"2008")</f>
        <v>0</v>
      </c>
      <c r="Q22" s="154"/>
      <c r="R22" s="154"/>
      <c r="S22" s="164" t="n">
        <f aca="false">(P22/P41)</f>
        <v>0</v>
      </c>
    </row>
    <row r="23" customFormat="false" ht="15" hidden="false" customHeight="true" outlineLevel="0" collapsed="false">
      <c r="A23" s="148" t="n">
        <v>2226</v>
      </c>
      <c r="B23" s="149" t="s">
        <v>197</v>
      </c>
      <c r="C23" s="149" t="n">
        <v>2025</v>
      </c>
      <c r="D23" s="150" t="n">
        <v>45691</v>
      </c>
      <c r="E23" s="151" t="s">
        <v>198</v>
      </c>
      <c r="F23" s="151" t="s">
        <v>199</v>
      </c>
      <c r="G23" s="68" t="s">
        <v>130</v>
      </c>
      <c r="H23" s="151" t="s">
        <v>200</v>
      </c>
      <c r="I23" s="150" t="n">
        <v>46041</v>
      </c>
      <c r="J23" s="68" t="n">
        <v>1</v>
      </c>
      <c r="K23" s="143" t="s">
        <v>49</v>
      </c>
      <c r="L23" s="151" t="s">
        <v>150</v>
      </c>
      <c r="M23" s="152" t="n">
        <f aca="false">I23-D23</f>
        <v>350</v>
      </c>
      <c r="N23" s="153"/>
      <c r="O23" s="147" t="n">
        <v>2009</v>
      </c>
      <c r="P23" s="147" t="n">
        <f aca="false">COUNTIF($C$2:$C$1001,"2009")</f>
        <v>0</v>
      </c>
      <c r="Q23" s="147"/>
      <c r="R23" s="147"/>
      <c r="S23" s="165" t="n">
        <f aca="false">(P23/P41)</f>
        <v>0</v>
      </c>
    </row>
    <row r="24" customFormat="false" ht="22.5" hidden="false" customHeight="true" outlineLevel="0" collapsed="false">
      <c r="A24" s="139" t="n">
        <v>2326</v>
      </c>
      <c r="B24" s="140" t="s">
        <v>201</v>
      </c>
      <c r="C24" s="140" t="n">
        <v>2025</v>
      </c>
      <c r="D24" s="141" t="n">
        <v>45691</v>
      </c>
      <c r="E24" s="142" t="s">
        <v>202</v>
      </c>
      <c r="F24" s="142" t="s">
        <v>203</v>
      </c>
      <c r="G24" s="66" t="s">
        <v>130</v>
      </c>
      <c r="H24" s="142" t="s">
        <v>204</v>
      </c>
      <c r="I24" s="141" t="n">
        <v>46041</v>
      </c>
      <c r="J24" s="66" t="n">
        <v>1</v>
      </c>
      <c r="K24" s="143" t="s">
        <v>49</v>
      </c>
      <c r="L24" s="144" t="s">
        <v>150</v>
      </c>
      <c r="M24" s="145" t="n">
        <f aca="false">I24-D24</f>
        <v>350</v>
      </c>
      <c r="N24" s="153"/>
      <c r="O24" s="154" t="n">
        <v>2010</v>
      </c>
      <c r="P24" s="154" t="n">
        <f aca="false">COUNTIF($C$2:$C$1001,"2010")</f>
        <v>0</v>
      </c>
      <c r="Q24" s="154"/>
      <c r="R24" s="154"/>
      <c r="S24" s="164" t="n">
        <f aca="false">(P24/P41)</f>
        <v>0</v>
      </c>
    </row>
    <row r="25" customFormat="false" ht="15" hidden="false" customHeight="true" outlineLevel="0" collapsed="false">
      <c r="A25" s="148" t="n">
        <v>2426</v>
      </c>
      <c r="B25" s="149" t="s">
        <v>205</v>
      </c>
      <c r="C25" s="149" t="n">
        <v>2023</v>
      </c>
      <c r="D25" s="150" t="n">
        <v>45089</v>
      </c>
      <c r="E25" s="151" t="s">
        <v>206</v>
      </c>
      <c r="F25" s="151" t="s">
        <v>207</v>
      </c>
      <c r="G25" s="68" t="s">
        <v>108</v>
      </c>
      <c r="H25" s="151" t="s">
        <v>208</v>
      </c>
      <c r="I25" s="150" t="n">
        <v>46041</v>
      </c>
      <c r="J25" s="68" t="n">
        <v>1</v>
      </c>
      <c r="K25" s="143" t="s">
        <v>49</v>
      </c>
      <c r="L25" s="151" t="s">
        <v>150</v>
      </c>
      <c r="M25" s="152" t="n">
        <f aca="false">I25-D25</f>
        <v>952</v>
      </c>
      <c r="N25" s="153"/>
      <c r="O25" s="147" t="n">
        <v>2011</v>
      </c>
      <c r="P25" s="147" t="n">
        <f aca="false">COUNTIF($C$2:$C$1001,"2011")</f>
        <v>0</v>
      </c>
      <c r="Q25" s="147"/>
      <c r="R25" s="147"/>
      <c r="S25" s="165" t="n">
        <f aca="false">(P25/P41)</f>
        <v>0</v>
      </c>
    </row>
    <row r="26" customFormat="false" ht="15" hidden="false" customHeight="true" outlineLevel="0" collapsed="false">
      <c r="A26" s="139" t="n">
        <v>2526</v>
      </c>
      <c r="B26" s="140" t="s">
        <v>209</v>
      </c>
      <c r="C26" s="140" t="n">
        <v>2020</v>
      </c>
      <c r="D26" s="141" t="n">
        <v>44029</v>
      </c>
      <c r="E26" s="142" t="s">
        <v>210</v>
      </c>
      <c r="F26" s="142" t="s">
        <v>211</v>
      </c>
      <c r="G26" s="66" t="s">
        <v>108</v>
      </c>
      <c r="H26" s="142" t="s">
        <v>139</v>
      </c>
      <c r="I26" s="141" t="n">
        <v>46041</v>
      </c>
      <c r="J26" s="66" t="n">
        <v>1</v>
      </c>
      <c r="K26" s="143" t="s">
        <v>49</v>
      </c>
      <c r="L26" s="144" t="s">
        <v>150</v>
      </c>
      <c r="M26" s="145" t="n">
        <f aca="false">I26-D26</f>
        <v>2012</v>
      </c>
      <c r="N26" s="153"/>
      <c r="O26" s="154" t="n">
        <v>2012</v>
      </c>
      <c r="P26" s="154" t="n">
        <f aca="false">COUNTIF($C$2:$C$1001,"2012")</f>
        <v>0</v>
      </c>
      <c r="Q26" s="154"/>
      <c r="R26" s="154"/>
      <c r="S26" s="164" t="n">
        <f aca="false">(P26/P41)</f>
        <v>0</v>
      </c>
    </row>
    <row r="27" customFormat="false" ht="15" hidden="false" customHeight="true" outlineLevel="0" collapsed="false">
      <c r="A27" s="148" t="n">
        <v>2626</v>
      </c>
      <c r="B27" s="149" t="s">
        <v>212</v>
      </c>
      <c r="C27" s="149" t="n">
        <v>2021</v>
      </c>
      <c r="D27" s="150" t="n">
        <v>44315</v>
      </c>
      <c r="E27" s="151" t="s">
        <v>213</v>
      </c>
      <c r="F27" s="151" t="s">
        <v>214</v>
      </c>
      <c r="G27" s="68" t="s">
        <v>108</v>
      </c>
      <c r="H27" s="151" t="s">
        <v>139</v>
      </c>
      <c r="I27" s="150" t="n">
        <v>46041</v>
      </c>
      <c r="J27" s="68" t="n">
        <v>1</v>
      </c>
      <c r="K27" s="143" t="s">
        <v>48</v>
      </c>
      <c r="L27" s="151" t="s">
        <v>150</v>
      </c>
      <c r="M27" s="152" t="n">
        <f aca="false">I27-D27</f>
        <v>1726</v>
      </c>
      <c r="N27" s="153"/>
      <c r="O27" s="147" t="n">
        <v>2013</v>
      </c>
      <c r="P27" s="147" t="n">
        <f aca="false">COUNTIF($C$2:$C$1001,"2013")</f>
        <v>0</v>
      </c>
      <c r="Q27" s="147"/>
      <c r="R27" s="147"/>
      <c r="S27" s="165" t="n">
        <f aca="false">(P27/P41)</f>
        <v>0</v>
      </c>
    </row>
    <row r="28" customFormat="false" ht="15" hidden="false" customHeight="true" outlineLevel="0" collapsed="false">
      <c r="A28" s="139" t="n">
        <v>2726</v>
      </c>
      <c r="B28" s="140" t="s">
        <v>215</v>
      </c>
      <c r="C28" s="140" t="n">
        <v>2021</v>
      </c>
      <c r="D28" s="141" t="n">
        <v>44251</v>
      </c>
      <c r="E28" s="142" t="s">
        <v>216</v>
      </c>
      <c r="F28" s="142" t="s">
        <v>217</v>
      </c>
      <c r="G28" s="66" t="s">
        <v>108</v>
      </c>
      <c r="H28" s="142" t="s">
        <v>109</v>
      </c>
      <c r="I28" s="141" t="n">
        <v>46041</v>
      </c>
      <c r="J28" s="66" t="n">
        <v>1</v>
      </c>
      <c r="K28" s="143" t="s">
        <v>48</v>
      </c>
      <c r="L28" s="144" t="s">
        <v>150</v>
      </c>
      <c r="M28" s="145" t="n">
        <f aca="false">I28-D28</f>
        <v>1790</v>
      </c>
      <c r="N28" s="153"/>
      <c r="O28" s="154" t="n">
        <v>2014</v>
      </c>
      <c r="P28" s="154" t="n">
        <f aca="false">COUNTIF($C$2:$C$1001,"2014")</f>
        <v>1</v>
      </c>
      <c r="Q28" s="154"/>
      <c r="R28" s="154"/>
      <c r="S28" s="164" t="n">
        <f aca="false">(P28/P41)</f>
        <v>0.00309597523219814</v>
      </c>
    </row>
    <row r="29" customFormat="false" ht="15" hidden="false" customHeight="true" outlineLevel="0" collapsed="false">
      <c r="A29" s="148" t="n">
        <v>2826</v>
      </c>
      <c r="B29" s="149" t="s">
        <v>218</v>
      </c>
      <c r="C29" s="149" t="n">
        <v>2021</v>
      </c>
      <c r="D29" s="150" t="n">
        <v>44251</v>
      </c>
      <c r="E29" s="151" t="s">
        <v>219</v>
      </c>
      <c r="F29" s="151" t="s">
        <v>217</v>
      </c>
      <c r="G29" s="68" t="s">
        <v>108</v>
      </c>
      <c r="H29" s="151" t="s">
        <v>109</v>
      </c>
      <c r="I29" s="150" t="n">
        <v>46041</v>
      </c>
      <c r="J29" s="68" t="n">
        <v>1</v>
      </c>
      <c r="K29" s="143" t="s">
        <v>48</v>
      </c>
      <c r="L29" s="151" t="s">
        <v>150</v>
      </c>
      <c r="M29" s="152" t="n">
        <f aca="false">I29-D29</f>
        <v>1790</v>
      </c>
      <c r="N29" s="153"/>
      <c r="O29" s="147" t="n">
        <v>2015</v>
      </c>
      <c r="P29" s="147" t="n">
        <f aca="false">COUNTIF($C$2:$C$1001,"2015")</f>
        <v>2</v>
      </c>
      <c r="Q29" s="147"/>
      <c r="R29" s="147"/>
      <c r="S29" s="165" t="n">
        <f aca="false">(P29/P41)</f>
        <v>0.00619195046439629</v>
      </c>
    </row>
    <row r="30" customFormat="false" ht="15" hidden="false" customHeight="true" outlineLevel="0" collapsed="false">
      <c r="A30" s="139" t="n">
        <v>2926</v>
      </c>
      <c r="B30" s="140" t="s">
        <v>220</v>
      </c>
      <c r="C30" s="140" t="n">
        <v>2016</v>
      </c>
      <c r="D30" s="141" t="n">
        <v>42682</v>
      </c>
      <c r="E30" s="142" t="s">
        <v>221</v>
      </c>
      <c r="F30" s="142" t="s">
        <v>222</v>
      </c>
      <c r="G30" s="66" t="s">
        <v>108</v>
      </c>
      <c r="H30" s="142" t="s">
        <v>223</v>
      </c>
      <c r="I30" s="141" t="n">
        <v>46041</v>
      </c>
      <c r="J30" s="66" t="n">
        <v>1</v>
      </c>
      <c r="K30" s="143" t="s">
        <v>48</v>
      </c>
      <c r="L30" s="144" t="s">
        <v>150</v>
      </c>
      <c r="M30" s="145" t="n">
        <f aca="false">I30-D30</f>
        <v>3359</v>
      </c>
      <c r="N30" s="153"/>
      <c r="O30" s="154" t="n">
        <v>2016</v>
      </c>
      <c r="P30" s="154" t="n">
        <f aca="false">COUNTIF($C$2:$C$1001,"2016")</f>
        <v>5</v>
      </c>
      <c r="Q30" s="154"/>
      <c r="R30" s="154"/>
      <c r="S30" s="164" t="n">
        <f aca="false">(P30/P41)</f>
        <v>0.0154798761609907</v>
      </c>
    </row>
    <row r="31" customFormat="false" ht="15" hidden="false" customHeight="true" outlineLevel="0" collapsed="false">
      <c r="A31" s="148" t="n">
        <v>3026</v>
      </c>
      <c r="B31" s="149" t="s">
        <v>224</v>
      </c>
      <c r="C31" s="149" t="n">
        <v>2021</v>
      </c>
      <c r="D31" s="150" t="n">
        <v>44544</v>
      </c>
      <c r="E31" s="151" t="s">
        <v>225</v>
      </c>
      <c r="F31" s="151" t="s">
        <v>226</v>
      </c>
      <c r="G31" s="68" t="s">
        <v>108</v>
      </c>
      <c r="H31" s="151" t="s">
        <v>227</v>
      </c>
      <c r="I31" s="150" t="n">
        <v>46041</v>
      </c>
      <c r="J31" s="68" t="n">
        <v>1</v>
      </c>
      <c r="K31" s="143" t="s">
        <v>49</v>
      </c>
      <c r="L31" s="151" t="s">
        <v>150</v>
      </c>
      <c r="M31" s="152" t="n">
        <f aca="false">I31-D31</f>
        <v>1497</v>
      </c>
      <c r="N31" s="153"/>
      <c r="O31" s="147" t="n">
        <v>2017</v>
      </c>
      <c r="P31" s="147" t="n">
        <f aca="false">COUNTIF($C$2:$C$1001,"2017")</f>
        <v>4</v>
      </c>
      <c r="Q31" s="147"/>
      <c r="R31" s="147"/>
      <c r="S31" s="165" t="n">
        <f aca="false">(P31/P41)</f>
        <v>0.0123839009287926</v>
      </c>
    </row>
    <row r="32" customFormat="false" ht="15" hidden="false" customHeight="true" outlineLevel="0" collapsed="false">
      <c r="A32" s="139" t="n">
        <v>3126</v>
      </c>
      <c r="B32" s="140" t="s">
        <v>228</v>
      </c>
      <c r="C32" s="140" t="n">
        <v>2019</v>
      </c>
      <c r="D32" s="141" t="n">
        <v>43797</v>
      </c>
      <c r="E32" s="142" t="s">
        <v>229</v>
      </c>
      <c r="F32" s="142" t="s">
        <v>230</v>
      </c>
      <c r="G32" s="66" t="s">
        <v>108</v>
      </c>
      <c r="H32" s="142" t="s">
        <v>231</v>
      </c>
      <c r="I32" s="141" t="n">
        <v>46049</v>
      </c>
      <c r="J32" s="66" t="n">
        <v>1</v>
      </c>
      <c r="K32" s="156" t="s">
        <v>44</v>
      </c>
      <c r="L32" s="144" t="s">
        <v>150</v>
      </c>
      <c r="M32" s="145" t="n">
        <f aca="false">I32-D32</f>
        <v>2252</v>
      </c>
      <c r="N32" s="153"/>
      <c r="O32" s="154" t="n">
        <v>2018</v>
      </c>
      <c r="P32" s="154" t="n">
        <f aca="false">COUNTIF($C$2:$C$1001,"2018")</f>
        <v>6</v>
      </c>
      <c r="Q32" s="154"/>
      <c r="R32" s="154"/>
      <c r="S32" s="164" t="n">
        <f aca="false">(P32/P41)</f>
        <v>0.0185758513931889</v>
      </c>
    </row>
    <row r="33" customFormat="false" ht="15" hidden="false" customHeight="true" outlineLevel="0" collapsed="false">
      <c r="A33" s="148" t="n">
        <v>3226</v>
      </c>
      <c r="B33" s="149" t="s">
        <v>232</v>
      </c>
      <c r="C33" s="149" t="n">
        <v>2020</v>
      </c>
      <c r="D33" s="150" t="n">
        <v>44138</v>
      </c>
      <c r="E33" s="151" t="s">
        <v>233</v>
      </c>
      <c r="F33" s="151" t="s">
        <v>234</v>
      </c>
      <c r="G33" s="68" t="s">
        <v>108</v>
      </c>
      <c r="H33" s="151" t="s">
        <v>235</v>
      </c>
      <c r="I33" s="150" t="n">
        <v>46050</v>
      </c>
      <c r="J33" s="68" t="n">
        <v>1</v>
      </c>
      <c r="K33" s="143" t="s">
        <v>49</v>
      </c>
      <c r="L33" s="151" t="s">
        <v>150</v>
      </c>
      <c r="M33" s="152" t="n">
        <f aca="false">I33-D33</f>
        <v>1912</v>
      </c>
      <c r="N33" s="153"/>
      <c r="O33" s="147" t="n">
        <v>2019</v>
      </c>
      <c r="P33" s="147" t="n">
        <f aca="false">COUNTIF($C$2:$C$1001,"2019")</f>
        <v>24</v>
      </c>
      <c r="Q33" s="147"/>
      <c r="R33" s="147"/>
      <c r="S33" s="165" t="n">
        <f aca="false">(P33/P41)</f>
        <v>0.0743034055727554</v>
      </c>
    </row>
    <row r="34" customFormat="false" ht="15" hidden="false" customHeight="true" outlineLevel="0" collapsed="false">
      <c r="A34" s="139" t="n">
        <v>3326</v>
      </c>
      <c r="B34" s="140" t="s">
        <v>236</v>
      </c>
      <c r="C34" s="140" t="n">
        <v>2021</v>
      </c>
      <c r="D34" s="141" t="n">
        <v>44280</v>
      </c>
      <c r="E34" s="142" t="s">
        <v>237</v>
      </c>
      <c r="F34" s="142" t="s">
        <v>238</v>
      </c>
      <c r="G34" s="66" t="s">
        <v>108</v>
      </c>
      <c r="H34" s="142" t="s">
        <v>239</v>
      </c>
      <c r="I34" s="141" t="n">
        <v>46050</v>
      </c>
      <c r="J34" s="66" t="n">
        <v>1</v>
      </c>
      <c r="K34" s="143" t="s">
        <v>48</v>
      </c>
      <c r="L34" s="144" t="s">
        <v>150</v>
      </c>
      <c r="M34" s="145" t="n">
        <f aca="false">I34-D34</f>
        <v>1770</v>
      </c>
      <c r="N34" s="153"/>
      <c r="O34" s="154" t="n">
        <v>2020</v>
      </c>
      <c r="P34" s="154" t="n">
        <f aca="false">COUNTIF($C$2:$C$1001,"2020")</f>
        <v>20</v>
      </c>
      <c r="Q34" s="154"/>
      <c r="R34" s="154"/>
      <c r="S34" s="164" t="n">
        <f aca="false">(P34/P41)</f>
        <v>0.0619195046439629</v>
      </c>
    </row>
    <row r="35" customFormat="false" ht="15" hidden="false" customHeight="true" outlineLevel="0" collapsed="false">
      <c r="A35" s="148" t="n">
        <v>3426</v>
      </c>
      <c r="B35" s="149" t="s">
        <v>240</v>
      </c>
      <c r="C35" s="149" t="n">
        <v>2022</v>
      </c>
      <c r="D35" s="150" t="n">
        <v>44683</v>
      </c>
      <c r="E35" s="151" t="s">
        <v>241</v>
      </c>
      <c r="F35" s="151" t="s">
        <v>242</v>
      </c>
      <c r="G35" s="68" t="s">
        <v>108</v>
      </c>
      <c r="H35" s="151" t="s">
        <v>243</v>
      </c>
      <c r="I35" s="150" t="n">
        <v>46051</v>
      </c>
      <c r="J35" s="68" t="n">
        <v>1</v>
      </c>
      <c r="K35" s="143" t="s">
        <v>49</v>
      </c>
      <c r="L35" s="151" t="s">
        <v>150</v>
      </c>
      <c r="M35" s="152" t="n">
        <f aca="false">I35-D35</f>
        <v>1368</v>
      </c>
      <c r="N35" s="153"/>
      <c r="O35" s="147" t="n">
        <v>2021</v>
      </c>
      <c r="P35" s="147" t="n">
        <f aca="false">COUNTIF($C$2:$C$1001,"2021")</f>
        <v>72</v>
      </c>
      <c r="Q35" s="147"/>
      <c r="R35" s="147"/>
      <c r="S35" s="165" t="n">
        <f aca="false">(P35/P41)</f>
        <v>0.222910216718266</v>
      </c>
    </row>
    <row r="36" customFormat="false" ht="15" hidden="false" customHeight="true" outlineLevel="0" collapsed="false">
      <c r="A36" s="139" t="n">
        <v>3526</v>
      </c>
      <c r="B36" s="140" t="s">
        <v>244</v>
      </c>
      <c r="C36" s="140" t="n">
        <v>2021</v>
      </c>
      <c r="D36" s="141" t="n">
        <v>44221</v>
      </c>
      <c r="E36" s="142" t="s">
        <v>245</v>
      </c>
      <c r="F36" s="142" t="s">
        <v>246</v>
      </c>
      <c r="G36" s="66" t="s">
        <v>108</v>
      </c>
      <c r="H36" s="142" t="s">
        <v>184</v>
      </c>
      <c r="I36" s="141" t="n">
        <v>46051</v>
      </c>
      <c r="J36" s="66" t="n">
        <v>1</v>
      </c>
      <c r="K36" s="143" t="s">
        <v>48</v>
      </c>
      <c r="L36" s="144" t="s">
        <v>150</v>
      </c>
      <c r="M36" s="145" t="n">
        <f aca="false">I36-D36</f>
        <v>1830</v>
      </c>
      <c r="N36" s="153"/>
      <c r="O36" s="154" t="n">
        <v>2022</v>
      </c>
      <c r="P36" s="154" t="n">
        <f aca="false">COUNTIF($C$2:$C$1001,"2022")</f>
        <v>45</v>
      </c>
      <c r="Q36" s="154"/>
      <c r="R36" s="154"/>
      <c r="S36" s="164" t="n">
        <f aca="false">(P36/P41)</f>
        <v>0.139318885448916</v>
      </c>
    </row>
    <row r="37" customFormat="false" ht="15" hidden="false" customHeight="true" outlineLevel="0" collapsed="false">
      <c r="A37" s="148" t="n">
        <v>3626</v>
      </c>
      <c r="B37" s="149" t="s">
        <v>247</v>
      </c>
      <c r="C37" s="149" t="n">
        <v>2019</v>
      </c>
      <c r="D37" s="150" t="n">
        <v>43811</v>
      </c>
      <c r="E37" s="151" t="s">
        <v>248</v>
      </c>
      <c r="F37" s="151" t="s">
        <v>249</v>
      </c>
      <c r="G37" s="68" t="s">
        <v>108</v>
      </c>
      <c r="H37" s="151" t="s">
        <v>250</v>
      </c>
      <c r="I37" s="150" t="n">
        <v>46051</v>
      </c>
      <c r="J37" s="68" t="n">
        <v>1</v>
      </c>
      <c r="K37" s="143" t="s">
        <v>48</v>
      </c>
      <c r="L37" s="151" t="s">
        <v>150</v>
      </c>
      <c r="M37" s="152" t="n">
        <f aca="false">I37-D37</f>
        <v>2240</v>
      </c>
      <c r="N37" s="153"/>
      <c r="O37" s="147" t="n">
        <v>2023</v>
      </c>
      <c r="P37" s="147" t="n">
        <f aca="false">COUNTIF($C$2:$C$1001,"2023")</f>
        <v>28</v>
      </c>
      <c r="Q37" s="147"/>
      <c r="R37" s="147"/>
      <c r="S37" s="165" t="n">
        <f aca="false">(P37/P41)</f>
        <v>0.086687306501548</v>
      </c>
    </row>
    <row r="38" customFormat="false" ht="15" hidden="false" customHeight="true" outlineLevel="0" collapsed="false">
      <c r="A38" s="139" t="n">
        <v>3726</v>
      </c>
      <c r="B38" s="140" t="s">
        <v>251</v>
      </c>
      <c r="C38" s="140" t="n">
        <v>2019</v>
      </c>
      <c r="D38" s="141" t="n">
        <v>43630</v>
      </c>
      <c r="E38" s="142" t="s">
        <v>252</v>
      </c>
      <c r="F38" s="142" t="s">
        <v>253</v>
      </c>
      <c r="G38" s="66" t="s">
        <v>108</v>
      </c>
      <c r="H38" s="142" t="s">
        <v>254</v>
      </c>
      <c r="I38" s="141" t="n">
        <v>46051</v>
      </c>
      <c r="J38" s="66" t="n">
        <v>1</v>
      </c>
      <c r="K38" s="143" t="s">
        <v>48</v>
      </c>
      <c r="L38" s="144" t="s">
        <v>150</v>
      </c>
      <c r="M38" s="145" t="n">
        <f aca="false">I38-D38</f>
        <v>2421</v>
      </c>
      <c r="N38" s="153"/>
      <c r="O38" s="154" t="n">
        <v>2024</v>
      </c>
      <c r="P38" s="154" t="n">
        <f aca="false">COUNTIF($C$2:$C$1001,"2024")</f>
        <v>48</v>
      </c>
      <c r="Q38" s="154"/>
      <c r="R38" s="154"/>
      <c r="S38" s="164" t="n">
        <f aca="false">(P38/P41)</f>
        <v>0.148606811145511</v>
      </c>
    </row>
    <row r="39" customFormat="false" ht="15" hidden="false" customHeight="true" outlineLevel="0" collapsed="false">
      <c r="A39" s="148" t="n">
        <v>3826</v>
      </c>
      <c r="B39" s="149" t="s">
        <v>255</v>
      </c>
      <c r="C39" s="149" t="n">
        <v>2023</v>
      </c>
      <c r="D39" s="150" t="n">
        <v>45226</v>
      </c>
      <c r="E39" s="151" t="s">
        <v>256</v>
      </c>
      <c r="F39" s="151" t="s">
        <v>257</v>
      </c>
      <c r="G39" s="68" t="s">
        <v>115</v>
      </c>
      <c r="H39" s="151" t="s">
        <v>54</v>
      </c>
      <c r="I39" s="150" t="n">
        <v>46051</v>
      </c>
      <c r="J39" s="68" t="n">
        <v>1</v>
      </c>
      <c r="K39" s="143" t="s">
        <v>49</v>
      </c>
      <c r="L39" s="151" t="s">
        <v>150</v>
      </c>
      <c r="M39" s="152" t="n">
        <f aca="false">I39-D39</f>
        <v>825</v>
      </c>
      <c r="N39" s="153"/>
      <c r="O39" s="147" t="n">
        <v>2025</v>
      </c>
      <c r="P39" s="147" t="n">
        <f aca="false">COUNTIF($C$2:$C$1001,"2025")</f>
        <v>59</v>
      </c>
      <c r="Q39" s="147"/>
      <c r="R39" s="147"/>
      <c r="S39" s="165" t="n">
        <f aca="false">(P39/P41)</f>
        <v>0.18266253869969</v>
      </c>
    </row>
    <row r="40" customFormat="false" ht="15" hidden="false" customHeight="true" outlineLevel="0" collapsed="false">
      <c r="A40" s="139" t="n">
        <v>3926</v>
      </c>
      <c r="B40" s="140" t="s">
        <v>258</v>
      </c>
      <c r="C40" s="140" t="n">
        <v>2021</v>
      </c>
      <c r="D40" s="141" t="n">
        <v>44286</v>
      </c>
      <c r="E40" s="142" t="s">
        <v>259</v>
      </c>
      <c r="F40" s="142" t="s">
        <v>191</v>
      </c>
      <c r="G40" s="66" t="s">
        <v>108</v>
      </c>
      <c r="H40" s="142" t="s">
        <v>254</v>
      </c>
      <c r="I40" s="141" t="n">
        <v>46051</v>
      </c>
      <c r="J40" s="66" t="n">
        <v>1</v>
      </c>
      <c r="K40" s="143" t="s">
        <v>49</v>
      </c>
      <c r="L40" s="144" t="s">
        <v>150</v>
      </c>
      <c r="M40" s="145" t="n">
        <f aca="false">I40-D40</f>
        <v>1765</v>
      </c>
      <c r="N40" s="153"/>
      <c r="O40" s="147" t="n">
        <v>2026</v>
      </c>
      <c r="P40" s="147" t="n">
        <f aca="false">COUNTIF($C$2:$C$1001,"2026")</f>
        <v>9</v>
      </c>
      <c r="Q40" s="147"/>
      <c r="R40" s="147"/>
      <c r="S40" s="165" t="n">
        <f aca="false">P40/P41</f>
        <v>0.0278637770897833</v>
      </c>
    </row>
    <row r="41" customFormat="false" ht="15" hidden="false" customHeight="true" outlineLevel="0" collapsed="false">
      <c r="A41" s="148" t="n">
        <v>4026</v>
      </c>
      <c r="B41" s="149" t="s">
        <v>260</v>
      </c>
      <c r="C41" s="149" t="n">
        <v>2021</v>
      </c>
      <c r="D41" s="150" t="n">
        <v>44413</v>
      </c>
      <c r="E41" s="151" t="s">
        <v>261</v>
      </c>
      <c r="F41" s="151" t="s">
        <v>262</v>
      </c>
      <c r="G41" s="68" t="s">
        <v>108</v>
      </c>
      <c r="H41" s="151" t="s">
        <v>263</v>
      </c>
      <c r="I41" s="150" t="n">
        <v>46051</v>
      </c>
      <c r="J41" s="68" t="n">
        <v>1</v>
      </c>
      <c r="K41" s="143" t="s">
        <v>49</v>
      </c>
      <c r="L41" s="151" t="s">
        <v>150</v>
      </c>
      <c r="M41" s="152" t="n">
        <f aca="false">I41-D41</f>
        <v>1638</v>
      </c>
      <c r="N41" s="153"/>
      <c r="O41" s="112" t="s">
        <v>56</v>
      </c>
      <c r="P41" s="112" t="n">
        <f aca="false">SUM(P22:R40)</f>
        <v>323</v>
      </c>
      <c r="Q41" s="112"/>
      <c r="R41" s="112"/>
      <c r="S41" s="166" t="n">
        <f aca="false">SUM(S22:S40)</f>
        <v>1</v>
      </c>
    </row>
    <row r="42" customFormat="false" ht="15" hidden="false" customHeight="true" outlineLevel="0" collapsed="false">
      <c r="A42" s="139" t="n">
        <v>4126</v>
      </c>
      <c r="B42" s="140" t="s">
        <v>264</v>
      </c>
      <c r="C42" s="140" t="n">
        <v>2022</v>
      </c>
      <c r="D42" s="141" t="n">
        <v>44615</v>
      </c>
      <c r="E42" s="142" t="s">
        <v>265</v>
      </c>
      <c r="F42" s="142" t="s">
        <v>266</v>
      </c>
      <c r="G42" s="66" t="s">
        <v>108</v>
      </c>
      <c r="H42" s="142" t="s">
        <v>267</v>
      </c>
      <c r="I42" s="141" t="n">
        <v>46052</v>
      </c>
      <c r="J42" s="66" t="n">
        <v>1</v>
      </c>
      <c r="K42" s="143" t="s">
        <v>48</v>
      </c>
      <c r="L42" s="144" t="s">
        <v>150</v>
      </c>
      <c r="M42" s="145" t="n">
        <f aca="false">I42-D42</f>
        <v>1437</v>
      </c>
      <c r="N42" s="153"/>
      <c r="O42" s="153"/>
      <c r="P42" s="153"/>
      <c r="Q42" s="153"/>
      <c r="R42" s="153"/>
      <c r="S42" s="153"/>
    </row>
    <row r="43" customFormat="false" ht="15" hidden="false" customHeight="true" outlineLevel="0" collapsed="false">
      <c r="A43" s="148" t="n">
        <v>4226</v>
      </c>
      <c r="B43" s="149" t="s">
        <v>268</v>
      </c>
      <c r="C43" s="149" t="n">
        <v>2021</v>
      </c>
      <c r="D43" s="150" t="n">
        <v>44471</v>
      </c>
      <c r="E43" s="151" t="s">
        <v>269</v>
      </c>
      <c r="F43" s="151" t="s">
        <v>270</v>
      </c>
      <c r="G43" s="68" t="s">
        <v>108</v>
      </c>
      <c r="H43" s="151" t="s">
        <v>271</v>
      </c>
      <c r="I43" s="150" t="n">
        <v>46052</v>
      </c>
      <c r="J43" s="68" t="n">
        <v>1</v>
      </c>
      <c r="K43" s="143" t="s">
        <v>49</v>
      </c>
      <c r="L43" s="151" t="s">
        <v>150</v>
      </c>
      <c r="M43" s="152" t="n">
        <f aca="false">I43-D43</f>
        <v>1581</v>
      </c>
      <c r="N43" s="153"/>
      <c r="O43" s="79" t="s">
        <v>272</v>
      </c>
      <c r="P43" s="79"/>
      <c r="Q43" s="79"/>
      <c r="R43" s="79"/>
      <c r="S43" s="79"/>
    </row>
    <row r="44" customFormat="false" ht="15" hidden="false" customHeight="true" outlineLevel="0" collapsed="false">
      <c r="A44" s="139" t="n">
        <v>4326</v>
      </c>
      <c r="B44" s="140" t="s">
        <v>273</v>
      </c>
      <c r="C44" s="140" t="n">
        <v>2021</v>
      </c>
      <c r="D44" s="141" t="n">
        <v>44382</v>
      </c>
      <c r="E44" s="142" t="s">
        <v>274</v>
      </c>
      <c r="F44" s="142" t="s">
        <v>275</v>
      </c>
      <c r="G44" s="66" t="s">
        <v>108</v>
      </c>
      <c r="H44" s="142" t="s">
        <v>119</v>
      </c>
      <c r="I44" s="141" t="n">
        <v>46052</v>
      </c>
      <c r="J44" s="66" t="n">
        <v>1</v>
      </c>
      <c r="K44" s="143" t="s">
        <v>48</v>
      </c>
      <c r="L44" s="144" t="s">
        <v>150</v>
      </c>
      <c r="M44" s="145" t="n">
        <f aca="false">I44-D44</f>
        <v>1670</v>
      </c>
      <c r="N44" s="153"/>
      <c r="O44" s="79"/>
      <c r="P44" s="79"/>
      <c r="Q44" s="79"/>
      <c r="R44" s="79"/>
      <c r="S44" s="79"/>
    </row>
    <row r="45" customFormat="false" ht="15" hidden="false" customHeight="true" outlineLevel="0" collapsed="false">
      <c r="A45" s="148" t="n">
        <v>4426</v>
      </c>
      <c r="B45" s="149" t="s">
        <v>276</v>
      </c>
      <c r="C45" s="149" t="n">
        <v>2024</v>
      </c>
      <c r="D45" s="150" t="n">
        <v>45411</v>
      </c>
      <c r="E45" s="151" t="s">
        <v>277</v>
      </c>
      <c r="F45" s="151" t="s">
        <v>211</v>
      </c>
      <c r="G45" s="68" t="s">
        <v>108</v>
      </c>
      <c r="H45" s="151" t="s">
        <v>208</v>
      </c>
      <c r="I45" s="150" t="n">
        <v>46052</v>
      </c>
      <c r="J45" s="68" t="n">
        <v>1</v>
      </c>
      <c r="K45" s="143" t="s">
        <v>49</v>
      </c>
      <c r="L45" s="151" t="s">
        <v>150</v>
      </c>
      <c r="M45" s="152" t="n">
        <f aca="false">I45-D45</f>
        <v>641</v>
      </c>
      <c r="N45" s="153"/>
      <c r="O45" s="112" t="s">
        <v>62</v>
      </c>
      <c r="P45" s="112" t="s">
        <v>40</v>
      </c>
      <c r="Q45" s="112"/>
      <c r="R45" s="112"/>
      <c r="S45" s="112" t="s">
        <v>41</v>
      </c>
    </row>
    <row r="46" customFormat="false" ht="15" hidden="false" customHeight="true" outlineLevel="0" collapsed="false">
      <c r="A46" s="139" t="n">
        <v>4526</v>
      </c>
      <c r="B46" s="140" t="s">
        <v>278</v>
      </c>
      <c r="C46" s="140" t="n">
        <v>2025</v>
      </c>
      <c r="D46" s="141" t="n">
        <v>45691</v>
      </c>
      <c r="E46" s="142" t="s">
        <v>279</v>
      </c>
      <c r="F46" s="167" t="s">
        <v>280</v>
      </c>
      <c r="G46" s="66" t="s">
        <v>130</v>
      </c>
      <c r="H46" s="142" t="s">
        <v>281</v>
      </c>
      <c r="I46" s="141" t="n">
        <v>46052</v>
      </c>
      <c r="J46" s="66" t="n">
        <v>1</v>
      </c>
      <c r="K46" s="143" t="s">
        <v>49</v>
      </c>
      <c r="L46" s="144" t="s">
        <v>150</v>
      </c>
      <c r="M46" s="145" t="n">
        <f aca="false">I46-D46</f>
        <v>361</v>
      </c>
      <c r="N46" s="153"/>
      <c r="O46" s="147" t="s">
        <v>63</v>
      </c>
      <c r="P46" s="147" t="n">
        <f aca="false">COUNTIF($J$2:$J$1001,"1")</f>
        <v>45</v>
      </c>
      <c r="Q46" s="147"/>
      <c r="R46" s="147"/>
      <c r="S46" s="165" t="n">
        <f aca="false">(P46/P58)</f>
        <v>0.139318885448916</v>
      </c>
    </row>
    <row r="47" customFormat="false" ht="15" hidden="false" customHeight="true" outlineLevel="0" collapsed="false">
      <c r="A47" s="148" t="n">
        <v>4626</v>
      </c>
      <c r="B47" s="149" t="s">
        <v>282</v>
      </c>
      <c r="C47" s="149" t="n">
        <v>2021</v>
      </c>
      <c r="D47" s="150" t="n">
        <v>44377</v>
      </c>
      <c r="E47" s="151" t="s">
        <v>283</v>
      </c>
      <c r="F47" s="151" t="s">
        <v>284</v>
      </c>
      <c r="G47" s="68" t="s">
        <v>108</v>
      </c>
      <c r="H47" s="151" t="s">
        <v>285</v>
      </c>
      <c r="I47" s="150" t="n">
        <v>46056</v>
      </c>
      <c r="J47" s="68" t="n">
        <v>2</v>
      </c>
      <c r="K47" s="143" t="s">
        <v>48</v>
      </c>
      <c r="L47" s="151" t="s">
        <v>150</v>
      </c>
      <c r="M47" s="152" t="n">
        <f aca="false">I47-D47</f>
        <v>1679</v>
      </c>
      <c r="N47" s="153"/>
      <c r="O47" s="154" t="s">
        <v>64</v>
      </c>
      <c r="P47" s="154" t="n">
        <f aca="false">COUNTIF($J$2:$J$1001,"2")</f>
        <v>36</v>
      </c>
      <c r="Q47" s="154"/>
      <c r="R47" s="154"/>
      <c r="S47" s="164" t="n">
        <f aca="false">(P47/P58)</f>
        <v>0.111455108359133</v>
      </c>
    </row>
    <row r="48" customFormat="false" ht="15" hidden="false" customHeight="true" outlineLevel="0" collapsed="false">
      <c r="A48" s="139" t="n">
        <v>4726</v>
      </c>
      <c r="B48" s="140" t="s">
        <v>286</v>
      </c>
      <c r="C48" s="140" t="n">
        <v>2025</v>
      </c>
      <c r="D48" s="141" t="n">
        <v>45771</v>
      </c>
      <c r="E48" s="142" t="s">
        <v>287</v>
      </c>
      <c r="F48" s="168" t="s">
        <v>288</v>
      </c>
      <c r="G48" s="66" t="s">
        <v>130</v>
      </c>
      <c r="H48" s="142" t="s">
        <v>289</v>
      </c>
      <c r="I48" s="141" t="n">
        <v>46059</v>
      </c>
      <c r="J48" s="66" t="n">
        <v>2</v>
      </c>
      <c r="K48" s="169" t="s">
        <v>290</v>
      </c>
      <c r="L48" s="144" t="s">
        <v>150</v>
      </c>
      <c r="M48" s="145" t="n">
        <f aca="false">I48-D48</f>
        <v>288</v>
      </c>
      <c r="N48" s="160"/>
      <c r="O48" s="147" t="s">
        <v>66</v>
      </c>
      <c r="P48" s="147" t="n">
        <f aca="false">COUNTIF($J$2:$J$1001,"3")</f>
        <v>45</v>
      </c>
      <c r="Q48" s="147"/>
      <c r="R48" s="147"/>
      <c r="S48" s="165" t="n">
        <f aca="false">(P48/P58)</f>
        <v>0.139318885448916</v>
      </c>
    </row>
    <row r="49" customFormat="false" ht="15" hidden="false" customHeight="true" outlineLevel="0" collapsed="false">
      <c r="A49" s="148" t="n">
        <v>4826</v>
      </c>
      <c r="B49" s="149" t="s">
        <v>291</v>
      </c>
      <c r="C49" s="149" t="n">
        <v>2025</v>
      </c>
      <c r="D49" s="150" t="n">
        <v>45730</v>
      </c>
      <c r="E49" s="151" t="s">
        <v>292</v>
      </c>
      <c r="F49" s="170" t="s">
        <v>293</v>
      </c>
      <c r="G49" s="68" t="s">
        <v>130</v>
      </c>
      <c r="H49" s="151" t="s">
        <v>294</v>
      </c>
      <c r="I49" s="150" t="n">
        <v>46059</v>
      </c>
      <c r="J49" s="68" t="n">
        <v>2</v>
      </c>
      <c r="K49" s="143" t="s">
        <v>49</v>
      </c>
      <c r="L49" s="151" t="s">
        <v>150</v>
      </c>
      <c r="M49" s="152" t="n">
        <f aca="false">I49-D49</f>
        <v>329</v>
      </c>
      <c r="N49" s="153"/>
      <c r="O49" s="154" t="s">
        <v>67</v>
      </c>
      <c r="P49" s="154" t="n">
        <f aca="false">COUNTIF($J$2:$J$1001,"4")</f>
        <v>39</v>
      </c>
      <c r="Q49" s="154"/>
      <c r="R49" s="154"/>
      <c r="S49" s="164" t="n">
        <f aca="false">(P49/P58)</f>
        <v>0.120743034055728</v>
      </c>
    </row>
    <row r="50" customFormat="false" ht="15" hidden="false" customHeight="true" outlineLevel="0" collapsed="false">
      <c r="A50" s="139" t="n">
        <v>4926</v>
      </c>
      <c r="B50" s="140" t="s">
        <v>295</v>
      </c>
      <c r="C50" s="140" t="n">
        <v>2025</v>
      </c>
      <c r="D50" s="141" t="n">
        <v>45786</v>
      </c>
      <c r="E50" s="142" t="s">
        <v>296</v>
      </c>
      <c r="F50" s="168" t="s">
        <v>288</v>
      </c>
      <c r="G50" s="66" t="s">
        <v>130</v>
      </c>
      <c r="H50" s="142" t="s">
        <v>297</v>
      </c>
      <c r="I50" s="141" t="n">
        <v>46059</v>
      </c>
      <c r="J50" s="66" t="n">
        <v>2</v>
      </c>
      <c r="K50" s="169" t="s">
        <v>290</v>
      </c>
      <c r="L50" s="144" t="s">
        <v>150</v>
      </c>
      <c r="M50" s="145" t="n">
        <f aca="false">I50-D50</f>
        <v>273</v>
      </c>
      <c r="N50" s="153"/>
      <c r="O50" s="147" t="s">
        <v>68</v>
      </c>
      <c r="P50" s="147" t="n">
        <f aca="false">COUNTIF($J$2:$J$1001,"5")</f>
        <v>50</v>
      </c>
      <c r="Q50" s="147"/>
      <c r="R50" s="147"/>
      <c r="S50" s="165" t="n">
        <f aca="false">(P50/P58)</f>
        <v>0.154798761609907</v>
      </c>
    </row>
    <row r="51" customFormat="false" ht="15" hidden="false" customHeight="true" outlineLevel="0" collapsed="false">
      <c r="A51" s="148" t="n">
        <v>5026</v>
      </c>
      <c r="B51" s="149" t="s">
        <v>298</v>
      </c>
      <c r="C51" s="149" t="n">
        <v>2020</v>
      </c>
      <c r="D51" s="150" t="n">
        <v>43909</v>
      </c>
      <c r="E51" s="151" t="s">
        <v>299</v>
      </c>
      <c r="F51" s="151" t="s">
        <v>300</v>
      </c>
      <c r="G51" s="68" t="s">
        <v>108</v>
      </c>
      <c r="H51" s="151" t="s">
        <v>119</v>
      </c>
      <c r="I51" s="150" t="n">
        <v>46065</v>
      </c>
      <c r="J51" s="68" t="n">
        <v>2</v>
      </c>
      <c r="K51" s="143" t="s">
        <v>49</v>
      </c>
      <c r="L51" s="151" t="s">
        <v>150</v>
      </c>
      <c r="M51" s="152" t="n">
        <f aca="false">I51-D51</f>
        <v>2156</v>
      </c>
      <c r="N51" s="153"/>
      <c r="O51" s="154" t="s">
        <v>70</v>
      </c>
      <c r="P51" s="154" t="n">
        <f aca="false">COUNTIF($J$2:$J$1001,"6")</f>
        <v>43</v>
      </c>
      <c r="Q51" s="154"/>
      <c r="R51" s="154"/>
      <c r="S51" s="164" t="n">
        <f aca="false">(P51/P58)</f>
        <v>0.13312693498452</v>
      </c>
    </row>
    <row r="52" customFormat="false" ht="15" hidden="false" customHeight="true" outlineLevel="0" collapsed="false">
      <c r="A52" s="139" t="n">
        <v>5126</v>
      </c>
      <c r="B52" s="140" t="s">
        <v>301</v>
      </c>
      <c r="C52" s="140" t="n">
        <v>2021</v>
      </c>
      <c r="D52" s="141" t="n">
        <v>44461</v>
      </c>
      <c r="E52" s="142" t="s">
        <v>302</v>
      </c>
      <c r="F52" s="142" t="s">
        <v>303</v>
      </c>
      <c r="G52" s="66" t="s">
        <v>108</v>
      </c>
      <c r="H52" s="142" t="s">
        <v>119</v>
      </c>
      <c r="I52" s="141" t="n">
        <v>46065</v>
      </c>
      <c r="J52" s="66" t="n">
        <v>2</v>
      </c>
      <c r="K52" s="169" t="s">
        <v>290</v>
      </c>
      <c r="L52" s="144" t="s">
        <v>150</v>
      </c>
      <c r="M52" s="145" t="n">
        <f aca="false">I52-D52</f>
        <v>1604</v>
      </c>
      <c r="N52" s="153"/>
      <c r="O52" s="147" t="s">
        <v>72</v>
      </c>
      <c r="P52" s="147" t="n">
        <f aca="false">COUNTIF($J$2:$J$1001,"7")</f>
        <v>61</v>
      </c>
      <c r="Q52" s="147"/>
      <c r="R52" s="147"/>
      <c r="S52" s="165" t="n">
        <f aca="false">(P52/P58)</f>
        <v>0.188854489164087</v>
      </c>
    </row>
    <row r="53" customFormat="false" ht="15" hidden="false" customHeight="true" outlineLevel="0" collapsed="false">
      <c r="A53" s="148" t="n">
        <v>5226</v>
      </c>
      <c r="B53" s="149" t="s">
        <v>304</v>
      </c>
      <c r="C53" s="149" t="n">
        <v>2025</v>
      </c>
      <c r="D53" s="150" t="n">
        <v>45807</v>
      </c>
      <c r="E53" s="151" t="s">
        <v>305</v>
      </c>
      <c r="F53" s="151" t="s">
        <v>306</v>
      </c>
      <c r="G53" s="68" t="s">
        <v>108</v>
      </c>
      <c r="H53" s="151" t="s">
        <v>134</v>
      </c>
      <c r="I53" s="150" t="n">
        <v>46065</v>
      </c>
      <c r="J53" s="68" t="n">
        <v>2</v>
      </c>
      <c r="K53" s="143" t="s">
        <v>49</v>
      </c>
      <c r="L53" s="151" t="s">
        <v>150</v>
      </c>
      <c r="M53" s="152" t="n">
        <f aca="false">I53-D53</f>
        <v>258</v>
      </c>
      <c r="N53" s="153"/>
      <c r="O53" s="154" t="s">
        <v>74</v>
      </c>
      <c r="P53" s="154" t="n">
        <f aca="false">COUNTIF($J$2:$J$1001,"8")</f>
        <v>4</v>
      </c>
      <c r="Q53" s="154"/>
      <c r="R53" s="154"/>
      <c r="S53" s="164" t="n">
        <f aca="false">(P53/P58)</f>
        <v>0.0123839009287926</v>
      </c>
      <c r="T53" s="153"/>
    </row>
    <row r="54" customFormat="false" ht="15" hidden="false" customHeight="true" outlineLevel="0" collapsed="false">
      <c r="A54" s="139" t="n">
        <v>5326</v>
      </c>
      <c r="B54" s="140" t="s">
        <v>307</v>
      </c>
      <c r="C54" s="140" t="n">
        <v>2025</v>
      </c>
      <c r="D54" s="141" t="n">
        <v>45945</v>
      </c>
      <c r="E54" s="142" t="s">
        <v>308</v>
      </c>
      <c r="F54" s="142" t="s">
        <v>309</v>
      </c>
      <c r="G54" s="66" t="s">
        <v>108</v>
      </c>
      <c r="H54" s="142" t="s">
        <v>310</v>
      </c>
      <c r="I54" s="141" t="n">
        <v>46066</v>
      </c>
      <c r="J54" s="66" t="n">
        <v>2</v>
      </c>
      <c r="K54" s="143" t="s">
        <v>49</v>
      </c>
      <c r="L54" s="144" t="s">
        <v>150</v>
      </c>
      <c r="M54" s="145" t="n">
        <f aca="false">I54-D54</f>
        <v>121</v>
      </c>
      <c r="N54" s="153"/>
      <c r="O54" s="147" t="s">
        <v>76</v>
      </c>
      <c r="P54" s="147" t="n">
        <f aca="false">COUNTIF($J$2:$J$1001,"9")</f>
        <v>0</v>
      </c>
      <c r="Q54" s="147"/>
      <c r="R54" s="147"/>
      <c r="S54" s="165" t="n">
        <f aca="false">(P54/P58)</f>
        <v>0</v>
      </c>
      <c r="T54" s="153"/>
    </row>
    <row r="55" customFormat="false" ht="15" hidden="false" customHeight="true" outlineLevel="0" collapsed="false">
      <c r="A55" s="148" t="n">
        <v>5426</v>
      </c>
      <c r="B55" s="149" t="s">
        <v>311</v>
      </c>
      <c r="C55" s="149" t="n">
        <v>2025</v>
      </c>
      <c r="D55" s="150" t="n">
        <v>45925</v>
      </c>
      <c r="E55" s="151" t="s">
        <v>312</v>
      </c>
      <c r="F55" s="151" t="s">
        <v>313</v>
      </c>
      <c r="G55" s="68" t="s">
        <v>108</v>
      </c>
      <c r="H55" s="151" t="s">
        <v>314</v>
      </c>
      <c r="I55" s="150" t="n">
        <v>46066</v>
      </c>
      <c r="J55" s="68" t="n">
        <v>2</v>
      </c>
      <c r="K55" s="143" t="s">
        <v>48</v>
      </c>
      <c r="L55" s="151" t="s">
        <v>150</v>
      </c>
      <c r="M55" s="152" t="n">
        <f aca="false">I55-D55</f>
        <v>141</v>
      </c>
      <c r="N55" s="153"/>
      <c r="O55" s="154" t="s">
        <v>78</v>
      </c>
      <c r="P55" s="154" t="n">
        <f aca="false">COUNTIF($J$2:$J$1001,"10")</f>
        <v>0</v>
      </c>
      <c r="Q55" s="154"/>
      <c r="R55" s="154"/>
      <c r="S55" s="164" t="n">
        <f aca="false">(P55/P58)</f>
        <v>0</v>
      </c>
      <c r="T55" s="153"/>
    </row>
    <row r="56" customFormat="false" ht="15" hidden="false" customHeight="true" outlineLevel="0" collapsed="false">
      <c r="A56" s="139" t="n">
        <v>5526</v>
      </c>
      <c r="B56" s="140" t="s">
        <v>315</v>
      </c>
      <c r="C56" s="140" t="n">
        <v>2018</v>
      </c>
      <c r="D56" s="141" t="n">
        <v>43371</v>
      </c>
      <c r="E56" s="142" t="s">
        <v>316</v>
      </c>
      <c r="F56" s="142" t="s">
        <v>317</v>
      </c>
      <c r="G56" s="66" t="s">
        <v>108</v>
      </c>
      <c r="H56" s="142" t="s">
        <v>318</v>
      </c>
      <c r="I56" s="141" t="n">
        <v>46066</v>
      </c>
      <c r="J56" s="66" t="n">
        <v>2</v>
      </c>
      <c r="K56" s="143" t="s">
        <v>49</v>
      </c>
      <c r="L56" s="144" t="s">
        <v>150</v>
      </c>
      <c r="M56" s="145" t="n">
        <f aca="false">I56-D56</f>
        <v>2695</v>
      </c>
      <c r="N56" s="153"/>
      <c r="O56" s="147" t="s">
        <v>80</v>
      </c>
      <c r="P56" s="147" t="n">
        <f aca="false">COUNTIF($J$2:$J$1001,"11")</f>
        <v>0</v>
      </c>
      <c r="Q56" s="147"/>
      <c r="R56" s="147"/>
      <c r="S56" s="165" t="n">
        <f aca="false">(P56/P58)</f>
        <v>0</v>
      </c>
      <c r="T56" s="153"/>
    </row>
    <row r="57" customFormat="false" ht="15" hidden="false" customHeight="true" outlineLevel="0" collapsed="false">
      <c r="A57" s="148" t="n">
        <v>5626</v>
      </c>
      <c r="B57" s="149" t="s">
        <v>319</v>
      </c>
      <c r="C57" s="149" t="n">
        <v>2025</v>
      </c>
      <c r="D57" s="150" t="n">
        <v>45720</v>
      </c>
      <c r="E57" s="151" t="s">
        <v>320</v>
      </c>
      <c r="F57" s="170" t="s">
        <v>321</v>
      </c>
      <c r="G57" s="68" t="s">
        <v>125</v>
      </c>
      <c r="H57" s="151" t="s">
        <v>322</v>
      </c>
      <c r="I57" s="150" t="n">
        <v>46066</v>
      </c>
      <c r="J57" s="68" t="n">
        <v>2</v>
      </c>
      <c r="K57" s="143" t="s">
        <v>49</v>
      </c>
      <c r="L57" s="151" t="s">
        <v>150</v>
      </c>
      <c r="M57" s="152" t="n">
        <f aca="false">I57-D57</f>
        <v>346</v>
      </c>
      <c r="N57" s="160"/>
      <c r="O57" s="154" t="s">
        <v>82</v>
      </c>
      <c r="P57" s="154" t="n">
        <f aca="false">COUNTIF($J$2:$J$1001,"12")</f>
        <v>0</v>
      </c>
      <c r="Q57" s="154"/>
      <c r="R57" s="154"/>
      <c r="S57" s="164" t="n">
        <f aca="false">(P57/P58)</f>
        <v>0</v>
      </c>
      <c r="T57" s="153"/>
    </row>
    <row r="58" customFormat="false" ht="15" hidden="false" customHeight="true" outlineLevel="0" collapsed="false">
      <c r="A58" s="139" t="n">
        <v>5726</v>
      </c>
      <c r="B58" s="140" t="s">
        <v>323</v>
      </c>
      <c r="C58" s="140" t="n">
        <v>2024</v>
      </c>
      <c r="D58" s="141" t="n">
        <v>45505</v>
      </c>
      <c r="E58" s="142" t="s">
        <v>324</v>
      </c>
      <c r="F58" s="167" t="s">
        <v>325</v>
      </c>
      <c r="G58" s="66" t="s">
        <v>125</v>
      </c>
      <c r="H58" s="142" t="s">
        <v>326</v>
      </c>
      <c r="I58" s="141" t="n">
        <v>46073</v>
      </c>
      <c r="J58" s="66" t="n">
        <v>2</v>
      </c>
      <c r="K58" s="169" t="s">
        <v>290</v>
      </c>
      <c r="L58" s="144" t="s">
        <v>150</v>
      </c>
      <c r="M58" s="145" t="n">
        <f aca="false">I58-D58</f>
        <v>568</v>
      </c>
      <c r="N58" s="153"/>
      <c r="O58" s="112" t="s">
        <v>54</v>
      </c>
      <c r="P58" s="112" t="n">
        <f aca="false">SUM(P46:R57)</f>
        <v>323</v>
      </c>
      <c r="Q58" s="112"/>
      <c r="R58" s="112"/>
      <c r="S58" s="166" t="n">
        <f aca="false">SUM(S46:S57)</f>
        <v>1</v>
      </c>
      <c r="T58" s="153"/>
    </row>
    <row r="59" customFormat="false" ht="15" hidden="false" customHeight="true" outlineLevel="0" collapsed="false">
      <c r="A59" s="148" t="n">
        <v>5826</v>
      </c>
      <c r="B59" s="149" t="s">
        <v>327</v>
      </c>
      <c r="C59" s="149" t="n">
        <v>2025</v>
      </c>
      <c r="D59" s="150" t="n">
        <v>45803</v>
      </c>
      <c r="E59" s="151" t="s">
        <v>328</v>
      </c>
      <c r="F59" s="170" t="s">
        <v>329</v>
      </c>
      <c r="G59" s="68" t="s">
        <v>125</v>
      </c>
      <c r="H59" s="151" t="s">
        <v>330</v>
      </c>
      <c r="I59" s="150" t="n">
        <v>46073</v>
      </c>
      <c r="J59" s="68" t="n">
        <v>2</v>
      </c>
      <c r="K59" s="143" t="s">
        <v>49</v>
      </c>
      <c r="L59" s="151" t="s">
        <v>150</v>
      </c>
      <c r="M59" s="152" t="n">
        <f aca="false">I59-D59</f>
        <v>270</v>
      </c>
      <c r="N59" s="153"/>
      <c r="O59" s="153"/>
      <c r="P59" s="153"/>
      <c r="Q59" s="153"/>
      <c r="R59" s="153"/>
      <c r="S59" s="153"/>
      <c r="T59" s="153"/>
    </row>
    <row r="60" customFormat="false" ht="15" hidden="false" customHeight="true" outlineLevel="0" collapsed="false">
      <c r="A60" s="139" t="n">
        <v>5926</v>
      </c>
      <c r="B60" s="140" t="s">
        <v>331</v>
      </c>
      <c r="C60" s="140" t="n">
        <v>2017</v>
      </c>
      <c r="D60" s="141" t="n">
        <v>43077</v>
      </c>
      <c r="E60" s="142" t="s">
        <v>332</v>
      </c>
      <c r="F60" s="142" t="s">
        <v>333</v>
      </c>
      <c r="G60" s="66" t="s">
        <v>108</v>
      </c>
      <c r="H60" s="142" t="s">
        <v>334</v>
      </c>
      <c r="I60" s="141" t="n">
        <v>46078</v>
      </c>
      <c r="J60" s="66" t="n">
        <v>2</v>
      </c>
      <c r="K60" s="143" t="s">
        <v>49</v>
      </c>
      <c r="L60" s="144" t="s">
        <v>150</v>
      </c>
      <c r="M60" s="145" t="n">
        <f aca="false">I60-D60</f>
        <v>3001</v>
      </c>
      <c r="N60" s="153"/>
      <c r="O60" s="79" t="s">
        <v>335</v>
      </c>
      <c r="P60" s="79"/>
      <c r="Q60" s="79"/>
      <c r="R60" s="79"/>
      <c r="S60" s="79"/>
      <c r="T60" s="79"/>
    </row>
    <row r="61" customFormat="false" ht="15" hidden="false" customHeight="true" outlineLevel="0" collapsed="false">
      <c r="A61" s="148" t="n">
        <v>6026</v>
      </c>
      <c r="B61" s="149" t="s">
        <v>336</v>
      </c>
      <c r="C61" s="149" t="n">
        <v>2019</v>
      </c>
      <c r="D61" s="150" t="n">
        <v>43794</v>
      </c>
      <c r="E61" s="151" t="s">
        <v>337</v>
      </c>
      <c r="F61" s="151" t="s">
        <v>338</v>
      </c>
      <c r="G61" s="68" t="s">
        <v>108</v>
      </c>
      <c r="H61" s="151" t="s">
        <v>267</v>
      </c>
      <c r="I61" s="150" t="n">
        <v>46078</v>
      </c>
      <c r="J61" s="68" t="n">
        <v>2</v>
      </c>
      <c r="K61" s="143" t="s">
        <v>48</v>
      </c>
      <c r="L61" s="151" t="s">
        <v>150</v>
      </c>
      <c r="M61" s="152" t="n">
        <f aca="false">I61-D61</f>
        <v>2284</v>
      </c>
      <c r="N61" s="153"/>
      <c r="O61" s="79"/>
      <c r="P61" s="79"/>
      <c r="Q61" s="79"/>
      <c r="R61" s="79"/>
      <c r="S61" s="79"/>
      <c r="T61" s="79"/>
    </row>
    <row r="62" customFormat="false" ht="15" hidden="false" customHeight="true" outlineLevel="0" collapsed="false">
      <c r="A62" s="139" t="n">
        <v>6126</v>
      </c>
      <c r="B62" s="140" t="s">
        <v>339</v>
      </c>
      <c r="C62" s="140" t="n">
        <v>2019</v>
      </c>
      <c r="D62" s="141" t="n">
        <v>43759</v>
      </c>
      <c r="E62" s="142" t="s">
        <v>340</v>
      </c>
      <c r="F62" s="142" t="s">
        <v>341</v>
      </c>
      <c r="G62" s="66" t="s">
        <v>108</v>
      </c>
      <c r="H62" s="142" t="s">
        <v>342</v>
      </c>
      <c r="I62" s="141" t="n">
        <v>46078</v>
      </c>
      <c r="J62" s="66" t="n">
        <v>2</v>
      </c>
      <c r="K62" s="143" t="s">
        <v>49</v>
      </c>
      <c r="L62" s="142" t="s">
        <v>150</v>
      </c>
      <c r="M62" s="145" t="n">
        <f aca="false">I62-D62</f>
        <v>2319</v>
      </c>
      <c r="N62" s="153"/>
      <c r="O62" s="112" t="s">
        <v>38</v>
      </c>
      <c r="P62" s="112"/>
      <c r="Q62" s="112"/>
      <c r="R62" s="112"/>
      <c r="S62" s="112" t="s">
        <v>343</v>
      </c>
      <c r="T62" s="112" t="s">
        <v>41</v>
      </c>
    </row>
    <row r="63" customFormat="false" ht="15" hidden="false" customHeight="true" outlineLevel="0" collapsed="false">
      <c r="A63" s="148" t="n">
        <v>6226</v>
      </c>
      <c r="B63" s="149" t="s">
        <v>344</v>
      </c>
      <c r="C63" s="149" t="n">
        <v>2018</v>
      </c>
      <c r="D63" s="150" t="n">
        <v>43306</v>
      </c>
      <c r="E63" s="151" t="s">
        <v>345</v>
      </c>
      <c r="F63" s="151" t="s">
        <v>346</v>
      </c>
      <c r="G63" s="68" t="s">
        <v>108</v>
      </c>
      <c r="H63" s="151" t="s">
        <v>192</v>
      </c>
      <c r="I63" s="150" t="n">
        <v>46078</v>
      </c>
      <c r="J63" s="68" t="n">
        <v>2</v>
      </c>
      <c r="K63" s="143" t="s">
        <v>49</v>
      </c>
      <c r="L63" s="151" t="s">
        <v>150</v>
      </c>
      <c r="M63" s="152" t="n">
        <f aca="false">I63-D63</f>
        <v>2772</v>
      </c>
      <c r="N63" s="153"/>
      <c r="O63" s="64" t="s">
        <v>42</v>
      </c>
      <c r="P63" s="64"/>
      <c r="Q63" s="64"/>
      <c r="R63" s="64"/>
      <c r="S63" s="64" t="n">
        <f aca="false">COUNTIF($K$2:$K$1001,"I - Extremamente tóxico")</f>
        <v>0</v>
      </c>
      <c r="T63" s="171" t="n">
        <f aca="false">(S63/S73)</f>
        <v>0</v>
      </c>
    </row>
    <row r="64" customFormat="false" ht="15" hidden="false" customHeight="true" outlineLevel="0" collapsed="false">
      <c r="A64" s="139" t="n">
        <v>6326</v>
      </c>
      <c r="B64" s="140" t="s">
        <v>347</v>
      </c>
      <c r="C64" s="140" t="n">
        <v>2020</v>
      </c>
      <c r="D64" s="141" t="n">
        <v>44127</v>
      </c>
      <c r="E64" s="142" t="s">
        <v>348</v>
      </c>
      <c r="F64" s="142" t="s">
        <v>349</v>
      </c>
      <c r="G64" s="66" t="s">
        <v>108</v>
      </c>
      <c r="H64" s="142" t="s">
        <v>350</v>
      </c>
      <c r="I64" s="141" t="n">
        <v>46078</v>
      </c>
      <c r="J64" s="66" t="n">
        <v>2</v>
      </c>
      <c r="K64" s="143" t="s">
        <v>48</v>
      </c>
      <c r="L64" s="142" t="s">
        <v>150</v>
      </c>
      <c r="M64" s="145" t="n">
        <f aca="false">I64-D64</f>
        <v>1951</v>
      </c>
      <c r="N64" s="153"/>
      <c r="O64" s="64" t="s">
        <v>43</v>
      </c>
      <c r="P64" s="64"/>
      <c r="Q64" s="64"/>
      <c r="R64" s="64"/>
      <c r="S64" s="64" t="n">
        <f aca="false">COUNTIF($K$2:$K$1001,"Categoria 1 - Produto Extremamente Tóxico")</f>
        <v>0</v>
      </c>
      <c r="T64" s="171" t="n">
        <f aca="false">(S64/S73)</f>
        <v>0</v>
      </c>
    </row>
    <row r="65" customFormat="false" ht="15" hidden="false" customHeight="true" outlineLevel="0" collapsed="false">
      <c r="A65" s="148" t="n">
        <v>6426</v>
      </c>
      <c r="B65" s="149" t="s">
        <v>351</v>
      </c>
      <c r="C65" s="149" t="n">
        <v>2020</v>
      </c>
      <c r="D65" s="150" t="n">
        <v>43861</v>
      </c>
      <c r="E65" s="151" t="s">
        <v>352</v>
      </c>
      <c r="F65" s="151" t="s">
        <v>353</v>
      </c>
      <c r="G65" s="68" t="s">
        <v>108</v>
      </c>
      <c r="H65" s="151" t="s">
        <v>354</v>
      </c>
      <c r="I65" s="150" t="n">
        <v>46078</v>
      </c>
      <c r="J65" s="68" t="n">
        <v>2</v>
      </c>
      <c r="K65" s="143" t="s">
        <v>49</v>
      </c>
      <c r="L65" s="151" t="s">
        <v>150</v>
      </c>
      <c r="M65" s="152" t="n">
        <f aca="false">I65-D65</f>
        <v>2217</v>
      </c>
      <c r="N65" s="153"/>
      <c r="O65" s="64" t="s">
        <v>44</v>
      </c>
      <c r="P65" s="64"/>
      <c r="Q65" s="64"/>
      <c r="R65" s="64"/>
      <c r="S65" s="64" t="n">
        <f aca="false">COUNTIF($K$2:$K$1001,"Categoria 2 - Produto Altamente Tóxico")</f>
        <v>9</v>
      </c>
      <c r="T65" s="171" t="n">
        <f aca="false">(S65/S73)</f>
        <v>0.0278637770897833</v>
      </c>
    </row>
    <row r="66" customFormat="false" ht="15" hidden="false" customHeight="true" outlineLevel="0" collapsed="false">
      <c r="A66" s="139" t="n">
        <v>6526</v>
      </c>
      <c r="B66" s="140" t="s">
        <v>355</v>
      </c>
      <c r="C66" s="140" t="n">
        <v>2023</v>
      </c>
      <c r="D66" s="141" t="n">
        <v>44957</v>
      </c>
      <c r="E66" s="142" t="s">
        <v>356</v>
      </c>
      <c r="F66" s="142" t="s">
        <v>357</v>
      </c>
      <c r="G66" s="66" t="s">
        <v>108</v>
      </c>
      <c r="H66" s="142" t="s">
        <v>358</v>
      </c>
      <c r="I66" s="141" t="n">
        <v>46078</v>
      </c>
      <c r="J66" s="66" t="n">
        <v>2</v>
      </c>
      <c r="K66" s="143" t="s">
        <v>48</v>
      </c>
      <c r="L66" s="142" t="s">
        <v>150</v>
      </c>
      <c r="M66" s="145" t="n">
        <f aca="false">I66-D66</f>
        <v>1121</v>
      </c>
      <c r="N66" s="153"/>
      <c r="O66" s="69" t="s">
        <v>45</v>
      </c>
      <c r="P66" s="69"/>
      <c r="Q66" s="69"/>
      <c r="R66" s="69"/>
      <c r="S66" s="69" t="n">
        <f aca="false">COUNTIF($K$2:$K$1001,"II - Altamente tóxico")</f>
        <v>0</v>
      </c>
      <c r="T66" s="172" t="n">
        <f aca="false">(S66/S73)</f>
        <v>0</v>
      </c>
    </row>
    <row r="67" customFormat="false" ht="15" hidden="false" customHeight="true" outlineLevel="0" collapsed="false">
      <c r="A67" s="148" t="n">
        <v>6626</v>
      </c>
      <c r="B67" s="149" t="s">
        <v>359</v>
      </c>
      <c r="C67" s="149" t="n">
        <v>2022</v>
      </c>
      <c r="D67" s="150" t="n">
        <v>44719</v>
      </c>
      <c r="E67" s="151" t="s">
        <v>360</v>
      </c>
      <c r="F67" s="151" t="s">
        <v>361</v>
      </c>
      <c r="G67" s="68" t="s">
        <v>108</v>
      </c>
      <c r="H67" s="151" t="s">
        <v>362</v>
      </c>
      <c r="I67" s="150" t="n">
        <v>46078</v>
      </c>
      <c r="J67" s="68" t="n">
        <v>2</v>
      </c>
      <c r="K67" s="143" t="s">
        <v>49</v>
      </c>
      <c r="L67" s="151" t="s">
        <v>150</v>
      </c>
      <c r="M67" s="152" t="n">
        <f aca="false">I67-D67</f>
        <v>1359</v>
      </c>
      <c r="N67" s="153"/>
      <c r="O67" s="69" t="s">
        <v>46</v>
      </c>
      <c r="P67" s="69"/>
      <c r="Q67" s="69"/>
      <c r="R67" s="69"/>
      <c r="S67" s="69" t="n">
        <f aca="false">COUNTIF($K$2:$K$1001,"Categoria 3 - Produto Moderadamente Tóxico")</f>
        <v>11</v>
      </c>
      <c r="T67" s="172" t="n">
        <f aca="false">(S67/S73)</f>
        <v>0.0340557275541796</v>
      </c>
    </row>
    <row r="68" customFormat="false" ht="15" hidden="false" customHeight="true" outlineLevel="0" collapsed="false">
      <c r="A68" s="139" t="n">
        <v>6726</v>
      </c>
      <c r="B68" s="140" t="s">
        <v>363</v>
      </c>
      <c r="C68" s="140" t="n">
        <v>2022</v>
      </c>
      <c r="D68" s="141" t="n">
        <v>44922</v>
      </c>
      <c r="E68" s="142" t="s">
        <v>364</v>
      </c>
      <c r="F68" s="142" t="s">
        <v>365</v>
      </c>
      <c r="G68" s="66" t="s">
        <v>108</v>
      </c>
      <c r="H68" s="142" t="s">
        <v>366</v>
      </c>
      <c r="I68" s="141" t="n">
        <v>46078</v>
      </c>
      <c r="J68" s="66" t="n">
        <v>2</v>
      </c>
      <c r="K68" s="143" t="s">
        <v>48</v>
      </c>
      <c r="L68" s="144" t="s">
        <v>150</v>
      </c>
      <c r="M68" s="145" t="n">
        <f aca="false">I68-D68</f>
        <v>1156</v>
      </c>
      <c r="N68" s="153"/>
      <c r="O68" s="71" t="s">
        <v>47</v>
      </c>
      <c r="P68" s="71"/>
      <c r="Q68" s="71"/>
      <c r="R68" s="71"/>
      <c r="S68" s="71" t="n">
        <f aca="false">COUNTIF($K$2:$K$1001,"III - Medianamente tóxico")</f>
        <v>0</v>
      </c>
      <c r="T68" s="173" t="n">
        <f aca="false">(S68/S73)</f>
        <v>0</v>
      </c>
    </row>
    <row r="69" customFormat="false" ht="15" hidden="false" customHeight="true" outlineLevel="0" collapsed="false">
      <c r="A69" s="148" t="n">
        <v>6826</v>
      </c>
      <c r="B69" s="149" t="s">
        <v>367</v>
      </c>
      <c r="C69" s="149" t="n">
        <v>2024</v>
      </c>
      <c r="D69" s="150" t="n">
        <v>45397</v>
      </c>
      <c r="E69" s="151" t="s">
        <v>368</v>
      </c>
      <c r="F69" s="151" t="s">
        <v>353</v>
      </c>
      <c r="G69" s="68" t="s">
        <v>108</v>
      </c>
      <c r="H69" s="151" t="s">
        <v>369</v>
      </c>
      <c r="I69" s="150" t="n">
        <v>46078</v>
      </c>
      <c r="J69" s="68" t="n">
        <v>2</v>
      </c>
      <c r="K69" s="143" t="s">
        <v>49</v>
      </c>
      <c r="L69" s="151" t="s">
        <v>150</v>
      </c>
      <c r="M69" s="152" t="n">
        <f aca="false">I69-D69</f>
        <v>681</v>
      </c>
      <c r="N69" s="153"/>
      <c r="O69" s="71" t="s">
        <v>48</v>
      </c>
      <c r="P69" s="71"/>
      <c r="Q69" s="71"/>
      <c r="R69" s="71"/>
      <c r="S69" s="71" t="n">
        <f aca="false">COUNTIF($K$2:$K$1001,"Categoria 4 - Produto Pouco Tóxico")</f>
        <v>64</v>
      </c>
      <c r="T69" s="173" t="n">
        <f aca="false">(S69/S73)</f>
        <v>0.198142414860681</v>
      </c>
    </row>
    <row r="70" customFormat="false" ht="15" hidden="false" customHeight="true" outlineLevel="0" collapsed="false">
      <c r="A70" s="139" t="n">
        <v>6926</v>
      </c>
      <c r="B70" s="140" t="s">
        <v>370</v>
      </c>
      <c r="C70" s="140" t="n">
        <v>2022</v>
      </c>
      <c r="D70" s="141" t="n">
        <v>44651</v>
      </c>
      <c r="E70" s="142" t="s">
        <v>371</v>
      </c>
      <c r="F70" s="142" t="s">
        <v>372</v>
      </c>
      <c r="G70" s="66" t="s">
        <v>108</v>
      </c>
      <c r="H70" s="142" t="s">
        <v>373</v>
      </c>
      <c r="I70" s="141" t="n">
        <v>46078</v>
      </c>
      <c r="J70" s="66" t="n">
        <v>2</v>
      </c>
      <c r="K70" s="169" t="s">
        <v>290</v>
      </c>
      <c r="L70" s="144" t="s">
        <v>150</v>
      </c>
      <c r="M70" s="145" t="n">
        <f aca="false">I70-D70</f>
        <v>1427</v>
      </c>
      <c r="N70" s="153"/>
      <c r="O70" s="71" t="s">
        <v>49</v>
      </c>
      <c r="P70" s="71"/>
      <c r="Q70" s="71"/>
      <c r="R70" s="71"/>
      <c r="S70" s="71" t="n">
        <f aca="false">COUNTIF($K$2:$K$1001,"Categoria 5 - Produto Improvável de Causar Dano Agudo")</f>
        <v>217</v>
      </c>
      <c r="T70" s="173" t="n">
        <f aca="false">(S70/S73)</f>
        <v>0.671826625386997</v>
      </c>
    </row>
    <row r="71" customFormat="false" ht="15" hidden="false" customHeight="true" outlineLevel="0" collapsed="false">
      <c r="A71" s="148" t="n">
        <v>7026</v>
      </c>
      <c r="B71" s="149" t="s">
        <v>374</v>
      </c>
      <c r="C71" s="149" t="n">
        <v>2025</v>
      </c>
      <c r="D71" s="150" t="n">
        <v>45691</v>
      </c>
      <c r="E71" s="151" t="s">
        <v>375</v>
      </c>
      <c r="F71" s="151" t="s">
        <v>376</v>
      </c>
      <c r="G71" s="68" t="s">
        <v>130</v>
      </c>
      <c r="H71" s="151" t="s">
        <v>281</v>
      </c>
      <c r="I71" s="150" t="n">
        <v>46078</v>
      </c>
      <c r="J71" s="68" t="n">
        <v>2</v>
      </c>
      <c r="K71" s="143" t="s">
        <v>49</v>
      </c>
      <c r="L71" s="151" t="s">
        <v>150</v>
      </c>
      <c r="M71" s="152" t="n">
        <f aca="false">I71-D71</f>
        <v>387</v>
      </c>
      <c r="N71" s="153"/>
      <c r="O71" s="73" t="s">
        <v>50</v>
      </c>
      <c r="P71" s="73"/>
      <c r="Q71" s="73"/>
      <c r="R71" s="73"/>
      <c r="S71" s="73" t="n">
        <f aca="false">COUNTIF($K$2:$K$1001,"IV - Pouco tóxico")</f>
        <v>0</v>
      </c>
      <c r="T71" s="174" t="n">
        <f aca="false">(S71/S73)</f>
        <v>0</v>
      </c>
    </row>
    <row r="72" customFormat="false" ht="15" hidden="false" customHeight="true" outlineLevel="0" collapsed="false">
      <c r="A72" s="139" t="n">
        <v>7126</v>
      </c>
      <c r="B72" s="140" t="s">
        <v>377</v>
      </c>
      <c r="C72" s="140" t="n">
        <v>2019</v>
      </c>
      <c r="D72" s="141" t="n">
        <v>43614</v>
      </c>
      <c r="E72" s="142" t="s">
        <v>378</v>
      </c>
      <c r="F72" s="142" t="s">
        <v>379</v>
      </c>
      <c r="G72" s="66" t="s">
        <v>108</v>
      </c>
      <c r="H72" s="142" t="s">
        <v>362</v>
      </c>
      <c r="I72" s="141" t="n">
        <v>46078</v>
      </c>
      <c r="J72" s="66" t="n">
        <v>2</v>
      </c>
      <c r="K72" s="143" t="s">
        <v>49</v>
      </c>
      <c r="L72" s="142" t="s">
        <v>150</v>
      </c>
      <c r="M72" s="145" t="n">
        <f aca="false">I72-D72</f>
        <v>2464</v>
      </c>
      <c r="N72" s="153"/>
      <c r="O72" s="73" t="s">
        <v>290</v>
      </c>
      <c r="P72" s="73"/>
      <c r="Q72" s="73"/>
      <c r="R72" s="73"/>
      <c r="S72" s="73" t="n">
        <f aca="false">COUNTIF($K$2:$K$1001,"Não Classificado - Produto Não Classificado")</f>
        <v>22</v>
      </c>
      <c r="T72" s="174" t="n">
        <f aca="false">(S72/S73)</f>
        <v>0.0681114551083591</v>
      </c>
    </row>
    <row r="73" customFormat="false" ht="15" hidden="false" customHeight="true" outlineLevel="0" collapsed="false">
      <c r="A73" s="148" t="n">
        <v>7226</v>
      </c>
      <c r="B73" s="149" t="s">
        <v>380</v>
      </c>
      <c r="C73" s="149" t="n">
        <v>2022</v>
      </c>
      <c r="D73" s="150" t="n">
        <v>44580</v>
      </c>
      <c r="E73" s="151" t="s">
        <v>381</v>
      </c>
      <c r="F73" s="151" t="s">
        <v>382</v>
      </c>
      <c r="G73" s="68" t="s">
        <v>108</v>
      </c>
      <c r="H73" s="151" t="s">
        <v>383</v>
      </c>
      <c r="I73" s="150" t="n">
        <v>46078</v>
      </c>
      <c r="J73" s="68" t="n">
        <v>2</v>
      </c>
      <c r="K73" s="143" t="s">
        <v>49</v>
      </c>
      <c r="L73" s="151" t="s">
        <v>150</v>
      </c>
      <c r="M73" s="152" t="n">
        <f aca="false">I73-D73</f>
        <v>1498</v>
      </c>
      <c r="N73" s="153"/>
      <c r="O73" s="112" t="s">
        <v>54</v>
      </c>
      <c r="P73" s="112"/>
      <c r="Q73" s="112"/>
      <c r="R73" s="112"/>
      <c r="S73" s="112" t="n">
        <f aca="false">SUM(S63:S72)</f>
        <v>323</v>
      </c>
      <c r="T73" s="175" t="n">
        <f aca="false">(S73/S73)</f>
        <v>1</v>
      </c>
    </row>
    <row r="74" customFormat="false" ht="15" hidden="false" customHeight="true" outlineLevel="0" collapsed="false">
      <c r="A74" s="139" t="n">
        <v>7326</v>
      </c>
      <c r="B74" s="140" t="s">
        <v>384</v>
      </c>
      <c r="C74" s="140" t="n">
        <v>2025</v>
      </c>
      <c r="D74" s="141" t="n">
        <v>45691</v>
      </c>
      <c r="E74" s="142" t="s">
        <v>385</v>
      </c>
      <c r="F74" s="142" t="s">
        <v>386</v>
      </c>
      <c r="G74" s="66" t="s">
        <v>130</v>
      </c>
      <c r="H74" s="142" t="s">
        <v>387</v>
      </c>
      <c r="I74" s="141" t="n">
        <v>46078</v>
      </c>
      <c r="J74" s="66" t="n">
        <v>2</v>
      </c>
      <c r="K74" s="143" t="s">
        <v>49</v>
      </c>
      <c r="L74" s="142" t="s">
        <v>150</v>
      </c>
      <c r="M74" s="145" t="n">
        <f aca="false">I74-D74</f>
        <v>387</v>
      </c>
      <c r="N74" s="153"/>
      <c r="O74" s="153"/>
      <c r="P74" s="153"/>
      <c r="Q74" s="153"/>
      <c r="R74" s="153"/>
      <c r="S74" s="153"/>
      <c r="T74" s="153"/>
    </row>
    <row r="75" customFormat="false" ht="15" hidden="false" customHeight="true" outlineLevel="0" collapsed="false">
      <c r="A75" s="148" t="n">
        <v>7426</v>
      </c>
      <c r="B75" s="149" t="s">
        <v>388</v>
      </c>
      <c r="C75" s="149" t="n">
        <v>2025</v>
      </c>
      <c r="D75" s="150" t="n">
        <v>45755</v>
      </c>
      <c r="E75" s="151" t="s">
        <v>389</v>
      </c>
      <c r="F75" s="151" t="s">
        <v>390</v>
      </c>
      <c r="G75" s="68" t="s">
        <v>130</v>
      </c>
      <c r="H75" s="151" t="s">
        <v>391</v>
      </c>
      <c r="I75" s="150" t="n">
        <v>46078</v>
      </c>
      <c r="J75" s="68" t="n">
        <v>2</v>
      </c>
      <c r="K75" s="143" t="s">
        <v>49</v>
      </c>
      <c r="L75" s="151" t="s">
        <v>150</v>
      </c>
      <c r="M75" s="152" t="n">
        <f aca="false">I75-D75</f>
        <v>323</v>
      </c>
      <c r="N75" s="153"/>
      <c r="O75" s="79" t="s">
        <v>102</v>
      </c>
      <c r="P75" s="79"/>
      <c r="Q75" s="79"/>
      <c r="R75" s="79"/>
      <c r="S75" s="79"/>
      <c r="T75" s="79"/>
    </row>
    <row r="76" customFormat="false" ht="15" hidden="false" customHeight="true" outlineLevel="0" collapsed="false">
      <c r="A76" s="139" t="n">
        <v>7526</v>
      </c>
      <c r="B76" s="140" t="s">
        <v>392</v>
      </c>
      <c r="C76" s="140" t="n">
        <v>2023</v>
      </c>
      <c r="D76" s="141" t="n">
        <v>44970</v>
      </c>
      <c r="E76" s="142" t="s">
        <v>393</v>
      </c>
      <c r="F76" s="142" t="s">
        <v>164</v>
      </c>
      <c r="G76" s="66" t="s">
        <v>108</v>
      </c>
      <c r="H76" s="142" t="s">
        <v>394</v>
      </c>
      <c r="I76" s="141" t="n">
        <v>46078</v>
      </c>
      <c r="J76" s="66" t="n">
        <v>2</v>
      </c>
      <c r="K76" s="143" t="s">
        <v>48</v>
      </c>
      <c r="L76" s="142" t="s">
        <v>150</v>
      </c>
      <c r="M76" s="145" t="n">
        <f aca="false">I76-D76</f>
        <v>1108</v>
      </c>
      <c r="N76" s="153"/>
      <c r="O76" s="79"/>
      <c r="P76" s="79"/>
      <c r="Q76" s="79"/>
      <c r="R76" s="79"/>
      <c r="S76" s="79"/>
      <c r="T76" s="79"/>
    </row>
    <row r="77" customFormat="false" ht="15" hidden="false" customHeight="true" outlineLevel="0" collapsed="false">
      <c r="A77" s="148" t="n">
        <v>7626</v>
      </c>
      <c r="B77" s="149" t="s">
        <v>395</v>
      </c>
      <c r="C77" s="149" t="n">
        <v>2024</v>
      </c>
      <c r="D77" s="150" t="n">
        <v>45504</v>
      </c>
      <c r="E77" s="151" t="s">
        <v>396</v>
      </c>
      <c r="F77" s="151" t="s">
        <v>397</v>
      </c>
      <c r="G77" s="68" t="s">
        <v>130</v>
      </c>
      <c r="H77" s="151" t="s">
        <v>398</v>
      </c>
      <c r="I77" s="150" t="n">
        <v>46078</v>
      </c>
      <c r="J77" s="68" t="n">
        <v>2</v>
      </c>
      <c r="K77" s="169" t="s">
        <v>290</v>
      </c>
      <c r="L77" s="151" t="s">
        <v>150</v>
      </c>
      <c r="M77" s="152" t="n">
        <f aca="false">I77-D77</f>
        <v>574</v>
      </c>
      <c r="N77" s="153"/>
      <c r="O77" s="112" t="s">
        <v>38</v>
      </c>
      <c r="P77" s="112"/>
      <c r="Q77" s="112"/>
      <c r="R77" s="112"/>
      <c r="S77" s="112" t="s">
        <v>343</v>
      </c>
      <c r="T77" s="112" t="s">
        <v>41</v>
      </c>
    </row>
    <row r="78" customFormat="false" ht="15" hidden="false" customHeight="true" outlineLevel="0" collapsed="false">
      <c r="A78" s="139" t="n">
        <v>7726</v>
      </c>
      <c r="B78" s="140" t="s">
        <v>399</v>
      </c>
      <c r="C78" s="140" t="n">
        <v>2019</v>
      </c>
      <c r="D78" s="141" t="n">
        <v>43745</v>
      </c>
      <c r="E78" s="142" t="s">
        <v>400</v>
      </c>
      <c r="F78" s="142" t="s">
        <v>401</v>
      </c>
      <c r="G78" s="66" t="s">
        <v>108</v>
      </c>
      <c r="H78" s="142" t="s">
        <v>402</v>
      </c>
      <c r="I78" s="141" t="n">
        <v>46078</v>
      </c>
      <c r="J78" s="66" t="n">
        <v>2</v>
      </c>
      <c r="K78" s="143" t="s">
        <v>49</v>
      </c>
      <c r="L78" s="142" t="s">
        <v>150</v>
      </c>
      <c r="M78" s="145" t="n">
        <f aca="false">I78-D78</f>
        <v>2333</v>
      </c>
      <c r="N78" s="153"/>
      <c r="O78" s="176" t="s">
        <v>57</v>
      </c>
      <c r="P78" s="176"/>
      <c r="Q78" s="176"/>
      <c r="R78" s="176"/>
      <c r="S78" s="176" t="n">
        <f aca="false">COUNTIF($L$2:$L$1001, "I - Produto altamente perigoso ao meio ambiente")</f>
        <v>1</v>
      </c>
      <c r="T78" s="177" t="n">
        <f aca="false">(S78/S82)</f>
        <v>0.00309597523219814</v>
      </c>
    </row>
    <row r="79" customFormat="false" ht="15" hidden="false" customHeight="true" outlineLevel="0" collapsed="false">
      <c r="A79" s="148" t="n">
        <v>7826</v>
      </c>
      <c r="B79" s="149" t="s">
        <v>403</v>
      </c>
      <c r="C79" s="149" t="n">
        <v>2021</v>
      </c>
      <c r="D79" s="150" t="n">
        <v>44470</v>
      </c>
      <c r="E79" s="151" t="s">
        <v>404</v>
      </c>
      <c r="F79" s="151" t="s">
        <v>405</v>
      </c>
      <c r="G79" s="68" t="s">
        <v>108</v>
      </c>
      <c r="H79" s="151" t="s">
        <v>373</v>
      </c>
      <c r="I79" s="150" t="n">
        <v>46078</v>
      </c>
      <c r="J79" s="68" t="n">
        <v>2</v>
      </c>
      <c r="K79" s="143" t="s">
        <v>48</v>
      </c>
      <c r="L79" s="151" t="s">
        <v>150</v>
      </c>
      <c r="M79" s="152" t="n">
        <f aca="false">I79-D79</f>
        <v>1608</v>
      </c>
      <c r="N79" s="153"/>
      <c r="O79" s="178" t="s">
        <v>58</v>
      </c>
      <c r="P79" s="178"/>
      <c r="Q79" s="178"/>
      <c r="R79" s="178"/>
      <c r="S79" s="178" t="n">
        <f aca="false">COUNTIF($L$2:$L$1001, "II - Produto muito perigoso ao meio ambiente")</f>
        <v>10</v>
      </c>
      <c r="T79" s="179" t="n">
        <f aca="false">(S79/S82)</f>
        <v>0.0309597523219814</v>
      </c>
    </row>
    <row r="80" customFormat="false" ht="15" hidden="false" customHeight="true" outlineLevel="0" collapsed="false">
      <c r="A80" s="139" t="n">
        <v>7926</v>
      </c>
      <c r="B80" s="140" t="s">
        <v>406</v>
      </c>
      <c r="C80" s="140" t="n">
        <v>2023</v>
      </c>
      <c r="D80" s="141" t="n">
        <v>45183</v>
      </c>
      <c r="E80" s="142" t="s">
        <v>407</v>
      </c>
      <c r="F80" s="142" t="s">
        <v>408</v>
      </c>
      <c r="G80" s="66" t="s">
        <v>108</v>
      </c>
      <c r="H80" s="142" t="s">
        <v>409</v>
      </c>
      <c r="I80" s="141" t="n">
        <v>46078</v>
      </c>
      <c r="J80" s="66" t="n">
        <v>2</v>
      </c>
      <c r="K80" s="143" t="s">
        <v>49</v>
      </c>
      <c r="L80" s="142" t="s">
        <v>150</v>
      </c>
      <c r="M80" s="145" t="n">
        <f aca="false">I80-D80</f>
        <v>895</v>
      </c>
      <c r="N80" s="153"/>
      <c r="O80" s="143" t="s">
        <v>60</v>
      </c>
      <c r="P80" s="143"/>
      <c r="Q80" s="143"/>
      <c r="R80" s="143"/>
      <c r="S80" s="143" t="n">
        <f aca="false">COUNTIF($L$2:$L$1001, "III - Produto perigoso ao meio ambiente")</f>
        <v>11</v>
      </c>
      <c r="T80" s="180" t="n">
        <f aca="false">(S80/S82)</f>
        <v>0.0340557275541796</v>
      </c>
    </row>
    <row r="81" customFormat="false" ht="15" hidden="false" customHeight="true" outlineLevel="0" collapsed="false">
      <c r="A81" s="148" t="n">
        <v>8026</v>
      </c>
      <c r="B81" s="149" t="s">
        <v>410</v>
      </c>
      <c r="C81" s="149" t="n">
        <v>2025</v>
      </c>
      <c r="D81" s="150" t="n">
        <v>45688</v>
      </c>
      <c r="E81" s="151" t="s">
        <v>411</v>
      </c>
      <c r="F81" s="151" t="s">
        <v>412</v>
      </c>
      <c r="G81" s="68" t="s">
        <v>108</v>
      </c>
      <c r="H81" s="151" t="s">
        <v>413</v>
      </c>
      <c r="I81" s="150" t="n">
        <v>46078</v>
      </c>
      <c r="J81" s="158" t="n">
        <v>2</v>
      </c>
      <c r="K81" s="143" t="s">
        <v>49</v>
      </c>
      <c r="L81" s="151" t="s">
        <v>150</v>
      </c>
      <c r="M81" s="152" t="n">
        <f aca="false">I81-D81</f>
        <v>390</v>
      </c>
      <c r="N81" s="153"/>
      <c r="O81" s="181" t="s">
        <v>61</v>
      </c>
      <c r="P81" s="181"/>
      <c r="Q81" s="181"/>
      <c r="R81" s="181"/>
      <c r="S81" s="181" t="n">
        <v>301</v>
      </c>
      <c r="T81" s="182" t="n">
        <f aca="false">(S81/S82)</f>
        <v>0.931888544891641</v>
      </c>
    </row>
    <row r="82" customFormat="false" ht="15" hidden="false" customHeight="true" outlineLevel="0" collapsed="false">
      <c r="A82" s="139" t="n">
        <v>8126</v>
      </c>
      <c r="B82" s="140" t="s">
        <v>414</v>
      </c>
      <c r="C82" s="140" t="n">
        <v>2024</v>
      </c>
      <c r="D82" s="141" t="n">
        <v>45377</v>
      </c>
      <c r="E82" s="142" t="s">
        <v>415</v>
      </c>
      <c r="F82" s="142" t="s">
        <v>416</v>
      </c>
      <c r="G82" s="66" t="s">
        <v>125</v>
      </c>
      <c r="H82" s="142" t="s">
        <v>417</v>
      </c>
      <c r="I82" s="141" t="n">
        <v>46079</v>
      </c>
      <c r="J82" s="66" t="n">
        <v>2</v>
      </c>
      <c r="K82" s="143" t="s">
        <v>49</v>
      </c>
      <c r="L82" s="142" t="s">
        <v>150</v>
      </c>
      <c r="M82" s="145" t="n">
        <f aca="false">I82-D82</f>
        <v>702</v>
      </c>
      <c r="N82" s="153"/>
      <c r="O82" s="112" t="s">
        <v>54</v>
      </c>
      <c r="P82" s="112"/>
      <c r="Q82" s="112"/>
      <c r="R82" s="112"/>
      <c r="S82" s="112" t="n">
        <f aca="false">SUM(S78:S81)</f>
        <v>323</v>
      </c>
      <c r="T82" s="175" t="n">
        <f aca="false">(S82/S82)</f>
        <v>1</v>
      </c>
    </row>
    <row r="83" customFormat="false" ht="15" hidden="false" customHeight="true" outlineLevel="0" collapsed="false">
      <c r="A83" s="148" t="n">
        <v>8226</v>
      </c>
      <c r="B83" s="149" t="s">
        <v>418</v>
      </c>
      <c r="C83" s="149" t="n">
        <v>2025</v>
      </c>
      <c r="D83" s="150" t="n">
        <v>45730</v>
      </c>
      <c r="E83" s="151" t="s">
        <v>419</v>
      </c>
      <c r="F83" s="170" t="s">
        <v>420</v>
      </c>
      <c r="G83" s="68" t="s">
        <v>130</v>
      </c>
      <c r="H83" s="151" t="s">
        <v>421</v>
      </c>
      <c r="I83" s="150" t="n">
        <v>46084</v>
      </c>
      <c r="J83" s="68" t="n">
        <v>3</v>
      </c>
      <c r="K83" s="143" t="s">
        <v>49</v>
      </c>
      <c r="L83" s="151" t="s">
        <v>150</v>
      </c>
      <c r="M83" s="152" t="n">
        <f aca="false">I83-D83</f>
        <v>354</v>
      </c>
      <c r="N83" s="153"/>
      <c r="O83" s="153"/>
      <c r="P83" s="153"/>
      <c r="Q83" s="153"/>
      <c r="R83" s="153"/>
      <c r="S83" s="153"/>
      <c r="T83" s="153"/>
    </row>
    <row r="84" customFormat="false" ht="15" hidden="false" customHeight="true" outlineLevel="0" collapsed="false">
      <c r="A84" s="139" t="n">
        <v>8326</v>
      </c>
      <c r="B84" s="140" t="s">
        <v>422</v>
      </c>
      <c r="C84" s="140" t="n">
        <v>2025</v>
      </c>
      <c r="D84" s="141" t="n">
        <v>45694</v>
      </c>
      <c r="E84" s="142" t="s">
        <v>423</v>
      </c>
      <c r="F84" s="167" t="s">
        <v>420</v>
      </c>
      <c r="G84" s="66" t="s">
        <v>130</v>
      </c>
      <c r="H84" s="142" t="s">
        <v>424</v>
      </c>
      <c r="I84" s="141" t="n">
        <v>46084</v>
      </c>
      <c r="J84" s="66" t="n">
        <v>3</v>
      </c>
      <c r="K84" s="143" t="s">
        <v>49</v>
      </c>
      <c r="L84" s="142" t="s">
        <v>150</v>
      </c>
      <c r="M84" s="145" t="n">
        <f aca="false">I84-D84</f>
        <v>390</v>
      </c>
      <c r="N84" s="153"/>
      <c r="O84" s="71" t="s">
        <v>425</v>
      </c>
      <c r="P84" s="71"/>
      <c r="Q84" s="71"/>
      <c r="R84" s="71"/>
      <c r="S84" s="71"/>
      <c r="T84" s="153"/>
    </row>
    <row r="85" customFormat="false" ht="15" hidden="false" customHeight="true" outlineLevel="0" collapsed="false">
      <c r="A85" s="148" t="n">
        <v>8426</v>
      </c>
      <c r="B85" s="149" t="s">
        <v>426</v>
      </c>
      <c r="C85" s="149" t="n">
        <v>2024</v>
      </c>
      <c r="D85" s="150" t="n">
        <v>45602</v>
      </c>
      <c r="E85" s="151" t="s">
        <v>427</v>
      </c>
      <c r="F85" s="151" t="s">
        <v>428</v>
      </c>
      <c r="G85" s="68" t="s">
        <v>130</v>
      </c>
      <c r="H85" s="151" t="s">
        <v>429</v>
      </c>
      <c r="I85" s="150" t="n">
        <v>46084</v>
      </c>
      <c r="J85" s="68" t="n">
        <v>3</v>
      </c>
      <c r="K85" s="143" t="s">
        <v>49</v>
      </c>
      <c r="L85" s="151" t="s">
        <v>150</v>
      </c>
      <c r="M85" s="152" t="n">
        <f aca="false">I85-D85</f>
        <v>482</v>
      </c>
      <c r="N85" s="153"/>
      <c r="O85" s="71"/>
      <c r="P85" s="71"/>
      <c r="Q85" s="71"/>
      <c r="R85" s="71"/>
      <c r="S85" s="71"/>
    </row>
    <row r="86" customFormat="false" ht="15" hidden="false" customHeight="true" outlineLevel="0" collapsed="false">
      <c r="A86" s="139" t="n">
        <v>8526</v>
      </c>
      <c r="B86" s="140" t="s">
        <v>430</v>
      </c>
      <c r="C86" s="140" t="n">
        <v>2026</v>
      </c>
      <c r="D86" s="141" t="n">
        <v>46057</v>
      </c>
      <c r="E86" s="142" t="s">
        <v>431</v>
      </c>
      <c r="F86" s="142" t="s">
        <v>270</v>
      </c>
      <c r="G86" s="66" t="s">
        <v>108</v>
      </c>
      <c r="H86" s="142" t="s">
        <v>432</v>
      </c>
      <c r="I86" s="141" t="n">
        <v>46098</v>
      </c>
      <c r="J86" s="66" t="n">
        <v>3</v>
      </c>
      <c r="K86" s="143" t="s">
        <v>49</v>
      </c>
      <c r="L86" s="142" t="s">
        <v>150</v>
      </c>
      <c r="M86" s="145" t="n">
        <f aca="false">I86-D86</f>
        <v>41</v>
      </c>
      <c r="N86" s="153"/>
      <c r="O86" s="112" t="s">
        <v>69</v>
      </c>
      <c r="P86" s="112" t="s">
        <v>433</v>
      </c>
      <c r="Q86" s="112"/>
      <c r="R86" s="112"/>
      <c r="S86" s="112"/>
    </row>
    <row r="87" customFormat="false" ht="15" hidden="false" customHeight="true" outlineLevel="0" collapsed="false">
      <c r="A87" s="148" t="n">
        <v>8626</v>
      </c>
      <c r="B87" s="149" t="s">
        <v>434</v>
      </c>
      <c r="C87" s="149" t="n">
        <v>2026</v>
      </c>
      <c r="D87" s="150" t="n">
        <v>46057</v>
      </c>
      <c r="E87" s="151" t="s">
        <v>435</v>
      </c>
      <c r="F87" s="151" t="s">
        <v>436</v>
      </c>
      <c r="G87" s="68" t="s">
        <v>108</v>
      </c>
      <c r="H87" s="151" t="s">
        <v>432</v>
      </c>
      <c r="I87" s="150" t="n">
        <v>46098</v>
      </c>
      <c r="J87" s="68" t="n">
        <v>3</v>
      </c>
      <c r="K87" s="143" t="s">
        <v>49</v>
      </c>
      <c r="L87" s="151" t="s">
        <v>150</v>
      </c>
      <c r="M87" s="152" t="n">
        <f aca="false">I87-D87</f>
        <v>41</v>
      </c>
      <c r="N87" s="153"/>
      <c r="O87" s="142" t="s">
        <v>144</v>
      </c>
      <c r="P87" s="183" t="n">
        <f aca="false">AVERAGEIF(G2:G1001,"PF",M2:M1001)</f>
        <v>619.8</v>
      </c>
      <c r="Q87" s="183"/>
      <c r="R87" s="183"/>
      <c r="S87" s="183"/>
    </row>
    <row r="88" customFormat="false" ht="15" hidden="false" customHeight="true" outlineLevel="0" collapsed="false">
      <c r="A88" s="139" t="n">
        <v>8726</v>
      </c>
      <c r="B88" s="140" t="s">
        <v>437</v>
      </c>
      <c r="C88" s="140" t="n">
        <v>2021</v>
      </c>
      <c r="D88" s="141" t="n">
        <v>44287</v>
      </c>
      <c r="E88" s="142" t="s">
        <v>438</v>
      </c>
      <c r="F88" s="142" t="s">
        <v>303</v>
      </c>
      <c r="G88" s="66" t="s">
        <v>115</v>
      </c>
      <c r="H88" s="142" t="s">
        <v>119</v>
      </c>
      <c r="I88" s="141" t="n">
        <v>46098</v>
      </c>
      <c r="J88" s="66" t="n">
        <v>3</v>
      </c>
      <c r="K88" s="143" t="s">
        <v>49</v>
      </c>
      <c r="L88" s="142" t="s">
        <v>150</v>
      </c>
      <c r="M88" s="145" t="n">
        <f aca="false">I88-D88</f>
        <v>1811</v>
      </c>
      <c r="N88" s="153"/>
      <c r="O88" s="151" t="s">
        <v>115</v>
      </c>
      <c r="P88" s="184" t="n">
        <f aca="false">AVERAGEIF(G2:G1001,"PFN",M2:M1001)</f>
        <v>1530.2</v>
      </c>
      <c r="Q88" s="184"/>
      <c r="R88" s="184"/>
      <c r="S88" s="184"/>
    </row>
    <row r="89" customFormat="false" ht="15" hidden="false" customHeight="true" outlineLevel="0" collapsed="false">
      <c r="A89" s="148" t="n">
        <v>8826</v>
      </c>
      <c r="B89" s="149" t="s">
        <v>439</v>
      </c>
      <c r="C89" s="149" t="n">
        <v>2021</v>
      </c>
      <c r="D89" s="150" t="n">
        <v>44287</v>
      </c>
      <c r="E89" s="151" t="s">
        <v>440</v>
      </c>
      <c r="F89" s="151" t="s">
        <v>303</v>
      </c>
      <c r="G89" s="68" t="s">
        <v>115</v>
      </c>
      <c r="H89" s="151" t="s">
        <v>119</v>
      </c>
      <c r="I89" s="150" t="n">
        <v>46098</v>
      </c>
      <c r="J89" s="68" t="n">
        <v>3</v>
      </c>
      <c r="K89" s="143" t="s">
        <v>49</v>
      </c>
      <c r="L89" s="151" t="s">
        <v>150</v>
      </c>
      <c r="M89" s="152" t="n">
        <f aca="false">I89-D89</f>
        <v>1811</v>
      </c>
      <c r="N89" s="153"/>
      <c r="O89" s="142" t="s">
        <v>441</v>
      </c>
      <c r="P89" s="183" t="n">
        <f aca="false">AVERAGEIF(G2:G1001,"PF|PTE",M2:M1001)</f>
        <v>1538.16064257028</v>
      </c>
      <c r="Q89" s="183"/>
      <c r="R89" s="183"/>
      <c r="S89" s="183"/>
    </row>
    <row r="90" customFormat="false" ht="15" hidden="false" customHeight="true" outlineLevel="0" collapsed="false">
      <c r="A90" s="139" t="n">
        <v>8926</v>
      </c>
      <c r="B90" s="140" t="s">
        <v>442</v>
      </c>
      <c r="C90" s="140" t="n">
        <v>2021</v>
      </c>
      <c r="D90" s="141" t="n">
        <v>44286</v>
      </c>
      <c r="E90" s="142" t="s">
        <v>443</v>
      </c>
      <c r="F90" s="142" t="s">
        <v>303</v>
      </c>
      <c r="G90" s="66" t="s">
        <v>115</v>
      </c>
      <c r="H90" s="142" t="s">
        <v>119</v>
      </c>
      <c r="I90" s="141" t="n">
        <v>46098</v>
      </c>
      <c r="J90" s="66" t="n">
        <v>3</v>
      </c>
      <c r="K90" s="143" t="s">
        <v>49</v>
      </c>
      <c r="L90" s="142" t="s">
        <v>150</v>
      </c>
      <c r="M90" s="145" t="n">
        <f aca="false">I90-D90</f>
        <v>1812</v>
      </c>
      <c r="N90" s="153"/>
      <c r="O90" s="151" t="s">
        <v>135</v>
      </c>
      <c r="P90" s="184" t="e">
        <f aca="false">AVERAGEIF(G2:G1001,"PFI",M2:M1001)</f>
        <v>#DIV/0!</v>
      </c>
      <c r="Q90" s="184"/>
      <c r="R90" s="184"/>
      <c r="S90" s="184"/>
    </row>
    <row r="91" customFormat="false" ht="15" hidden="false" customHeight="true" outlineLevel="0" collapsed="false">
      <c r="A91" s="148" t="n">
        <v>9026</v>
      </c>
      <c r="B91" s="149" t="s">
        <v>444</v>
      </c>
      <c r="C91" s="149" t="n">
        <v>2026</v>
      </c>
      <c r="D91" s="150" t="n">
        <v>46052</v>
      </c>
      <c r="E91" s="151" t="s">
        <v>445</v>
      </c>
      <c r="F91" s="151" t="s">
        <v>446</v>
      </c>
      <c r="G91" s="68" t="s">
        <v>108</v>
      </c>
      <c r="H91" s="151" t="s">
        <v>432</v>
      </c>
      <c r="I91" s="150" t="n">
        <v>46099</v>
      </c>
      <c r="J91" s="68" t="n">
        <v>3</v>
      </c>
      <c r="K91" s="143" t="s">
        <v>49</v>
      </c>
      <c r="L91" s="151" t="s">
        <v>150</v>
      </c>
      <c r="M91" s="152" t="n">
        <f aca="false">I91-D91</f>
        <v>47</v>
      </c>
      <c r="N91" s="153"/>
      <c r="O91" s="151" t="s">
        <v>125</v>
      </c>
      <c r="P91" s="184" t="n">
        <f aca="false">AVERAGEIF(G2:G1001,"Bio",M2:M1001)</f>
        <v>538.888888888889</v>
      </c>
      <c r="Q91" s="184"/>
      <c r="R91" s="184"/>
      <c r="S91" s="184"/>
    </row>
    <row r="92" customFormat="false" ht="15" hidden="false" customHeight="true" outlineLevel="0" collapsed="false">
      <c r="A92" s="139" t="n">
        <v>9126</v>
      </c>
      <c r="B92" s="140" t="s">
        <v>447</v>
      </c>
      <c r="C92" s="140" t="n">
        <v>2019</v>
      </c>
      <c r="D92" s="141" t="n">
        <v>43642</v>
      </c>
      <c r="E92" s="142" t="s">
        <v>448</v>
      </c>
      <c r="F92" s="142" t="s">
        <v>449</v>
      </c>
      <c r="G92" s="66" t="s">
        <v>108</v>
      </c>
      <c r="H92" s="142" t="s">
        <v>450</v>
      </c>
      <c r="I92" s="141" t="n">
        <v>46099</v>
      </c>
      <c r="J92" s="66" t="n">
        <v>3</v>
      </c>
      <c r="K92" s="143" t="s">
        <v>48</v>
      </c>
      <c r="L92" s="142" t="s">
        <v>150</v>
      </c>
      <c r="M92" s="145" t="n">
        <f aca="false">I92-D92</f>
        <v>2457</v>
      </c>
      <c r="N92" s="153"/>
      <c r="O92" s="142" t="s">
        <v>130</v>
      </c>
      <c r="P92" s="183" t="n">
        <f aca="false">AVERAGEIF(G2:G1001,"Bio/Org",M2:M1001)</f>
        <v>419.780487804878</v>
      </c>
      <c r="Q92" s="183"/>
      <c r="R92" s="183"/>
      <c r="S92" s="183"/>
    </row>
    <row r="93" customFormat="false" ht="15" hidden="false" customHeight="true" outlineLevel="0" collapsed="false">
      <c r="A93" s="148" t="n">
        <v>9226</v>
      </c>
      <c r="B93" s="149" t="s">
        <v>451</v>
      </c>
      <c r="C93" s="149" t="n">
        <v>2021</v>
      </c>
      <c r="D93" s="150" t="n">
        <v>44286</v>
      </c>
      <c r="E93" s="151" t="s">
        <v>452</v>
      </c>
      <c r="F93" s="151" t="s">
        <v>303</v>
      </c>
      <c r="G93" s="68" t="s">
        <v>115</v>
      </c>
      <c r="H93" s="151" t="s">
        <v>453</v>
      </c>
      <c r="I93" s="150" t="n">
        <v>46099</v>
      </c>
      <c r="J93" s="68" t="n">
        <v>3</v>
      </c>
      <c r="K93" s="143" t="s">
        <v>49</v>
      </c>
      <c r="L93" s="151" t="s">
        <v>150</v>
      </c>
      <c r="M93" s="152" t="n">
        <f aca="false">I93-D93</f>
        <v>1813</v>
      </c>
      <c r="N93" s="153"/>
      <c r="O93" s="112" t="s">
        <v>86</v>
      </c>
      <c r="P93" s="185" t="n">
        <f aca="false">AVERAGEIF(M2:M601,"&gt;0",M2:M1001)</f>
        <v>1326.04953560372</v>
      </c>
      <c r="Q93" s="185"/>
      <c r="R93" s="185"/>
      <c r="S93" s="185"/>
    </row>
    <row r="94" customFormat="false" ht="15" hidden="false" customHeight="true" outlineLevel="0" collapsed="false">
      <c r="A94" s="139" t="n">
        <v>9326</v>
      </c>
      <c r="B94" s="140" t="s">
        <v>454</v>
      </c>
      <c r="C94" s="140" t="n">
        <v>2026</v>
      </c>
      <c r="D94" s="141" t="n">
        <v>46057</v>
      </c>
      <c r="E94" s="142" t="s">
        <v>455</v>
      </c>
      <c r="F94" s="142" t="s">
        <v>456</v>
      </c>
      <c r="G94" s="66" t="s">
        <v>108</v>
      </c>
      <c r="H94" s="142" t="s">
        <v>432</v>
      </c>
      <c r="I94" s="141" t="n">
        <v>46099</v>
      </c>
      <c r="J94" s="66" t="n">
        <v>3</v>
      </c>
      <c r="K94" s="143" t="s">
        <v>49</v>
      </c>
      <c r="L94" s="142" t="s">
        <v>150</v>
      </c>
      <c r="M94" s="145" t="n">
        <f aca="false">I94-D94</f>
        <v>42</v>
      </c>
      <c r="N94" s="153"/>
      <c r="O94" s="112"/>
      <c r="P94" s="185"/>
      <c r="Q94" s="185"/>
      <c r="R94" s="185"/>
      <c r="S94" s="185"/>
    </row>
    <row r="95" customFormat="false" ht="15" hidden="false" customHeight="true" outlineLevel="0" collapsed="false">
      <c r="A95" s="148" t="n">
        <v>9426</v>
      </c>
      <c r="B95" s="149" t="s">
        <v>457</v>
      </c>
      <c r="C95" s="149" t="n">
        <v>2021</v>
      </c>
      <c r="D95" s="150" t="n">
        <v>44488</v>
      </c>
      <c r="E95" s="151" t="s">
        <v>458</v>
      </c>
      <c r="F95" s="151" t="s">
        <v>459</v>
      </c>
      <c r="G95" s="68" t="s">
        <v>108</v>
      </c>
      <c r="H95" s="151" t="s">
        <v>460</v>
      </c>
      <c r="I95" s="150" t="n">
        <v>46099</v>
      </c>
      <c r="J95" s="68" t="n">
        <v>3</v>
      </c>
      <c r="K95" s="163" t="s">
        <v>46</v>
      </c>
      <c r="L95" s="151" t="s">
        <v>150</v>
      </c>
      <c r="M95" s="152" t="n">
        <f aca="false">I95-D95</f>
        <v>1611</v>
      </c>
      <c r="N95" s="153"/>
    </row>
    <row r="96" customFormat="false" ht="15" hidden="false" customHeight="true" outlineLevel="0" collapsed="false">
      <c r="A96" s="139" t="n">
        <v>9526</v>
      </c>
      <c r="B96" s="140" t="s">
        <v>461</v>
      </c>
      <c r="C96" s="140" t="n">
        <v>2024</v>
      </c>
      <c r="D96" s="141" t="n">
        <v>45425</v>
      </c>
      <c r="E96" s="142" t="s">
        <v>462</v>
      </c>
      <c r="F96" s="142" t="s">
        <v>463</v>
      </c>
      <c r="G96" s="66" t="s">
        <v>125</v>
      </c>
      <c r="H96" s="142" t="s">
        <v>464</v>
      </c>
      <c r="I96" s="141" t="n">
        <v>46100</v>
      </c>
      <c r="J96" s="66" t="n">
        <v>3</v>
      </c>
      <c r="K96" s="169" t="s">
        <v>290</v>
      </c>
      <c r="L96" s="142" t="s">
        <v>150</v>
      </c>
      <c r="M96" s="145" t="n">
        <f aca="false">I96-D96</f>
        <v>675</v>
      </c>
      <c r="N96" s="153"/>
      <c r="O96" s="153"/>
      <c r="P96" s="153"/>
      <c r="Q96" s="153"/>
      <c r="R96" s="153"/>
      <c r="S96" s="153"/>
    </row>
    <row r="97" customFormat="false" ht="15" hidden="false" customHeight="true" outlineLevel="0" collapsed="false">
      <c r="A97" s="148" t="n">
        <v>9626</v>
      </c>
      <c r="B97" s="149" t="s">
        <v>465</v>
      </c>
      <c r="C97" s="149" t="n">
        <v>2022</v>
      </c>
      <c r="D97" s="150" t="n">
        <v>44776</v>
      </c>
      <c r="E97" s="151" t="s">
        <v>466</v>
      </c>
      <c r="F97" s="151" t="s">
        <v>467</v>
      </c>
      <c r="G97" s="68" t="s">
        <v>108</v>
      </c>
      <c r="H97" s="151" t="s">
        <v>208</v>
      </c>
      <c r="I97" s="150" t="n">
        <v>46100</v>
      </c>
      <c r="J97" s="68" t="n">
        <v>3</v>
      </c>
      <c r="K97" s="143" t="s">
        <v>49</v>
      </c>
      <c r="L97" s="151" t="s">
        <v>150</v>
      </c>
      <c r="M97" s="152" t="n">
        <f aca="false">I97-D97</f>
        <v>1324</v>
      </c>
      <c r="N97" s="153"/>
      <c r="O97" s="153"/>
      <c r="P97" s="153"/>
      <c r="Q97" s="153"/>
      <c r="R97" s="153"/>
      <c r="S97" s="153"/>
    </row>
    <row r="98" customFormat="false" ht="19.5" hidden="false" customHeight="true" outlineLevel="0" collapsed="false">
      <c r="A98" s="139" t="n">
        <v>9726</v>
      </c>
      <c r="B98" s="140" t="s">
        <v>468</v>
      </c>
      <c r="C98" s="140" t="n">
        <v>2023</v>
      </c>
      <c r="D98" s="141" t="n">
        <v>44932</v>
      </c>
      <c r="E98" s="142" t="s">
        <v>469</v>
      </c>
      <c r="F98" s="142" t="s">
        <v>470</v>
      </c>
      <c r="G98" s="66" t="s">
        <v>108</v>
      </c>
      <c r="H98" s="142" t="s">
        <v>471</v>
      </c>
      <c r="I98" s="141" t="n">
        <v>46100</v>
      </c>
      <c r="J98" s="66" t="n">
        <v>3</v>
      </c>
      <c r="K98" s="143" t="s">
        <v>49</v>
      </c>
      <c r="L98" s="142" t="s">
        <v>150</v>
      </c>
      <c r="M98" s="145" t="n">
        <f aca="false">I98-D98</f>
        <v>1168</v>
      </c>
      <c r="O98" s="153"/>
      <c r="P98" s="153"/>
      <c r="Q98" s="153"/>
      <c r="R98" s="153"/>
      <c r="S98" s="153"/>
    </row>
    <row r="99" customFormat="false" ht="15" hidden="false" customHeight="true" outlineLevel="0" collapsed="false">
      <c r="A99" s="148" t="n">
        <v>9826</v>
      </c>
      <c r="B99" s="149" t="s">
        <v>472</v>
      </c>
      <c r="C99" s="149" t="n">
        <v>2020</v>
      </c>
      <c r="D99" s="150" t="n">
        <v>43958</v>
      </c>
      <c r="E99" s="151" t="s">
        <v>473</v>
      </c>
      <c r="F99" s="151" t="s">
        <v>474</v>
      </c>
      <c r="G99" s="68" t="s">
        <v>108</v>
      </c>
      <c r="H99" s="151" t="s">
        <v>471</v>
      </c>
      <c r="I99" s="150" t="n">
        <v>46100</v>
      </c>
      <c r="J99" s="68" t="n">
        <v>3</v>
      </c>
      <c r="K99" s="143" t="s">
        <v>49</v>
      </c>
      <c r="L99" s="151" t="s">
        <v>150</v>
      </c>
      <c r="M99" s="152" t="n">
        <f aca="false">I99-D99</f>
        <v>2142</v>
      </c>
    </row>
    <row r="100" customFormat="false" ht="15" hidden="false" customHeight="true" outlineLevel="0" collapsed="false">
      <c r="A100" s="139" t="n">
        <v>9926</v>
      </c>
      <c r="B100" s="140" t="s">
        <v>475</v>
      </c>
      <c r="C100" s="140" t="n">
        <v>2019</v>
      </c>
      <c r="D100" s="141" t="n">
        <v>43822</v>
      </c>
      <c r="E100" s="142" t="s">
        <v>476</v>
      </c>
      <c r="F100" s="142" t="s">
        <v>477</v>
      </c>
      <c r="G100" s="66" t="s">
        <v>108</v>
      </c>
      <c r="H100" s="142" t="s">
        <v>471</v>
      </c>
      <c r="I100" s="141" t="n">
        <v>46100</v>
      </c>
      <c r="J100" s="66" t="n">
        <v>3</v>
      </c>
      <c r="K100" s="143" t="s">
        <v>48</v>
      </c>
      <c r="L100" s="142" t="s">
        <v>150</v>
      </c>
      <c r="M100" s="145" t="n">
        <f aca="false">I100-D100</f>
        <v>2278</v>
      </c>
    </row>
    <row r="101" customFormat="false" ht="15" hidden="false" customHeight="true" outlineLevel="0" collapsed="false">
      <c r="A101" s="148" t="n">
        <v>10026</v>
      </c>
      <c r="B101" s="149" t="s">
        <v>478</v>
      </c>
      <c r="C101" s="149" t="n">
        <v>2019</v>
      </c>
      <c r="D101" s="150" t="n">
        <v>43804</v>
      </c>
      <c r="E101" s="151" t="s">
        <v>479</v>
      </c>
      <c r="F101" s="151" t="s">
        <v>191</v>
      </c>
      <c r="G101" s="68" t="s">
        <v>108</v>
      </c>
      <c r="H101" s="151" t="s">
        <v>471</v>
      </c>
      <c r="I101" s="150" t="n">
        <v>46100</v>
      </c>
      <c r="J101" s="68" t="n">
        <v>3</v>
      </c>
      <c r="K101" s="143" t="s">
        <v>49</v>
      </c>
      <c r="L101" s="151" t="s">
        <v>150</v>
      </c>
      <c r="M101" s="152" t="n">
        <f aca="false">I101-D101</f>
        <v>2296</v>
      </c>
    </row>
    <row r="102" customFormat="false" ht="18" hidden="false" customHeight="true" outlineLevel="0" collapsed="false">
      <c r="A102" s="139" t="n">
        <v>10126</v>
      </c>
      <c r="B102" s="140" t="s">
        <v>480</v>
      </c>
      <c r="C102" s="140" t="n">
        <v>2019</v>
      </c>
      <c r="D102" s="141" t="n">
        <v>43543</v>
      </c>
      <c r="E102" s="142" t="s">
        <v>481</v>
      </c>
      <c r="F102" s="142" t="s">
        <v>482</v>
      </c>
      <c r="G102" s="66" t="s">
        <v>108</v>
      </c>
      <c r="H102" s="142" t="s">
        <v>471</v>
      </c>
      <c r="I102" s="141" t="n">
        <v>46100</v>
      </c>
      <c r="J102" s="66" t="n">
        <v>3</v>
      </c>
      <c r="K102" s="143" t="s">
        <v>49</v>
      </c>
      <c r="L102" s="142" t="s">
        <v>150</v>
      </c>
      <c r="M102" s="145" t="n">
        <f aca="false">I102-D102</f>
        <v>2557</v>
      </c>
    </row>
    <row r="103" customFormat="false" ht="18.75" hidden="false" customHeight="true" outlineLevel="0" collapsed="false">
      <c r="A103" s="148" t="n">
        <v>10226</v>
      </c>
      <c r="B103" s="149" t="s">
        <v>483</v>
      </c>
      <c r="C103" s="149" t="n">
        <v>2016</v>
      </c>
      <c r="D103" s="150" t="n">
        <v>42557</v>
      </c>
      <c r="E103" s="151" t="s">
        <v>484</v>
      </c>
      <c r="F103" s="151" t="s">
        <v>485</v>
      </c>
      <c r="G103" s="68" t="s">
        <v>108</v>
      </c>
      <c r="H103" s="151" t="s">
        <v>471</v>
      </c>
      <c r="I103" s="150" t="n">
        <v>46100</v>
      </c>
      <c r="J103" s="68" t="n">
        <v>3</v>
      </c>
      <c r="K103" s="143" t="s">
        <v>48</v>
      </c>
      <c r="L103" s="151" t="s">
        <v>150</v>
      </c>
      <c r="M103" s="152" t="n">
        <f aca="false">I103-D103</f>
        <v>3543</v>
      </c>
    </row>
    <row r="104" customFormat="false" ht="15" hidden="false" customHeight="true" outlineLevel="0" collapsed="false">
      <c r="A104" s="139" t="n">
        <v>10326</v>
      </c>
      <c r="B104" s="140" t="s">
        <v>486</v>
      </c>
      <c r="C104" s="140" t="n">
        <v>2019</v>
      </c>
      <c r="D104" s="141" t="n">
        <v>43763</v>
      </c>
      <c r="E104" s="142" t="s">
        <v>487</v>
      </c>
      <c r="F104" s="142" t="s">
        <v>488</v>
      </c>
      <c r="G104" s="66" t="s">
        <v>108</v>
      </c>
      <c r="H104" s="142" t="s">
        <v>471</v>
      </c>
      <c r="I104" s="141" t="n">
        <v>46101</v>
      </c>
      <c r="J104" s="66" t="n">
        <v>3</v>
      </c>
      <c r="K104" s="143" t="s">
        <v>49</v>
      </c>
      <c r="L104" s="142" t="s">
        <v>150</v>
      </c>
      <c r="M104" s="145" t="n">
        <f aca="false">I104-D104</f>
        <v>2338</v>
      </c>
    </row>
    <row r="105" customFormat="false" ht="15" hidden="false" customHeight="true" outlineLevel="0" collapsed="false">
      <c r="A105" s="148" t="n">
        <v>10426</v>
      </c>
      <c r="B105" s="149" t="s">
        <v>489</v>
      </c>
      <c r="C105" s="149" t="n">
        <v>2019</v>
      </c>
      <c r="D105" s="150" t="n">
        <v>43649</v>
      </c>
      <c r="E105" s="151" t="s">
        <v>490</v>
      </c>
      <c r="F105" s="151" t="s">
        <v>491</v>
      </c>
      <c r="G105" s="68" t="s">
        <v>108</v>
      </c>
      <c r="H105" s="151" t="s">
        <v>471</v>
      </c>
      <c r="I105" s="150" t="n">
        <v>46101</v>
      </c>
      <c r="J105" s="68" t="n">
        <v>3</v>
      </c>
      <c r="K105" s="143" t="s">
        <v>49</v>
      </c>
      <c r="L105" s="151" t="s">
        <v>150</v>
      </c>
      <c r="M105" s="152" t="n">
        <f aca="false">I105-D105</f>
        <v>2452</v>
      </c>
    </row>
    <row r="106" customFormat="false" ht="15" hidden="false" customHeight="true" outlineLevel="0" collapsed="false">
      <c r="A106" s="139" t="n">
        <v>10526</v>
      </c>
      <c r="B106" s="140" t="s">
        <v>492</v>
      </c>
      <c r="C106" s="140" t="n">
        <v>2019</v>
      </c>
      <c r="D106" s="141" t="n">
        <v>43731</v>
      </c>
      <c r="E106" s="142" t="s">
        <v>493</v>
      </c>
      <c r="F106" s="142" t="s">
        <v>488</v>
      </c>
      <c r="G106" s="66" t="s">
        <v>108</v>
      </c>
      <c r="H106" s="142" t="s">
        <v>471</v>
      </c>
      <c r="I106" s="141" t="n">
        <v>46101</v>
      </c>
      <c r="J106" s="66" t="n">
        <v>3</v>
      </c>
      <c r="K106" s="143" t="s">
        <v>49</v>
      </c>
      <c r="L106" s="142" t="s">
        <v>150</v>
      </c>
      <c r="M106" s="145" t="n">
        <f aca="false">I106-D106</f>
        <v>2370</v>
      </c>
    </row>
    <row r="107" customFormat="false" ht="15" hidden="false" customHeight="true" outlineLevel="0" collapsed="false">
      <c r="A107" s="148" t="n">
        <v>10626</v>
      </c>
      <c r="B107" s="149" t="s">
        <v>494</v>
      </c>
      <c r="C107" s="149" t="n">
        <v>2019</v>
      </c>
      <c r="D107" s="150" t="n">
        <v>43796</v>
      </c>
      <c r="E107" s="151" t="s">
        <v>495</v>
      </c>
      <c r="F107" s="151" t="s">
        <v>496</v>
      </c>
      <c r="G107" s="68" t="s">
        <v>108</v>
      </c>
      <c r="H107" s="151" t="s">
        <v>471</v>
      </c>
      <c r="I107" s="150" t="n">
        <v>46101</v>
      </c>
      <c r="J107" s="68" t="n">
        <v>3</v>
      </c>
      <c r="K107" s="143" t="s">
        <v>49</v>
      </c>
      <c r="L107" s="151" t="s">
        <v>150</v>
      </c>
      <c r="M107" s="152" t="n">
        <f aca="false">I107-D107</f>
        <v>2305</v>
      </c>
    </row>
    <row r="108" customFormat="false" ht="15" hidden="false" customHeight="true" outlineLevel="0" collapsed="false">
      <c r="A108" s="139" t="n">
        <v>10726</v>
      </c>
      <c r="B108" s="140" t="s">
        <v>497</v>
      </c>
      <c r="C108" s="140" t="n">
        <v>2024</v>
      </c>
      <c r="D108" s="141" t="n">
        <v>45477</v>
      </c>
      <c r="E108" s="142" t="s">
        <v>498</v>
      </c>
      <c r="F108" s="142" t="s">
        <v>157</v>
      </c>
      <c r="G108" s="66" t="s">
        <v>108</v>
      </c>
      <c r="H108" s="142" t="s">
        <v>369</v>
      </c>
      <c r="I108" s="141" t="n">
        <v>46101</v>
      </c>
      <c r="J108" s="66" t="n">
        <v>3</v>
      </c>
      <c r="K108" s="143" t="s">
        <v>49</v>
      </c>
      <c r="L108" s="142" t="s">
        <v>150</v>
      </c>
      <c r="M108" s="145" t="n">
        <f aca="false">I108-D108</f>
        <v>624</v>
      </c>
    </row>
    <row r="109" customFormat="false" ht="15" hidden="false" customHeight="true" outlineLevel="0" collapsed="false">
      <c r="A109" s="148" t="n">
        <v>10826</v>
      </c>
      <c r="B109" s="149" t="s">
        <v>499</v>
      </c>
      <c r="C109" s="149" t="n">
        <v>2024</v>
      </c>
      <c r="D109" s="150" t="n">
        <v>45462</v>
      </c>
      <c r="E109" s="151" t="s">
        <v>500</v>
      </c>
      <c r="F109" s="151" t="s">
        <v>467</v>
      </c>
      <c r="G109" s="68" t="s">
        <v>108</v>
      </c>
      <c r="H109" s="151" t="s">
        <v>369</v>
      </c>
      <c r="I109" s="150" t="n">
        <v>46101</v>
      </c>
      <c r="J109" s="68" t="n">
        <v>3</v>
      </c>
      <c r="K109" s="143" t="s">
        <v>49</v>
      </c>
      <c r="L109" s="151" t="s">
        <v>150</v>
      </c>
      <c r="M109" s="152" t="n">
        <f aca="false">I109-D109</f>
        <v>639</v>
      </c>
    </row>
    <row r="110" customFormat="false" ht="15" hidden="false" customHeight="true" outlineLevel="0" collapsed="false">
      <c r="A110" s="139" t="n">
        <v>10926</v>
      </c>
      <c r="B110" s="140" t="s">
        <v>501</v>
      </c>
      <c r="C110" s="140" t="n">
        <v>2021</v>
      </c>
      <c r="D110" s="141" t="n">
        <v>44553</v>
      </c>
      <c r="E110" s="142" t="s">
        <v>502</v>
      </c>
      <c r="F110" s="142" t="s">
        <v>503</v>
      </c>
      <c r="G110" s="66" t="s">
        <v>108</v>
      </c>
      <c r="H110" s="142" t="s">
        <v>342</v>
      </c>
      <c r="I110" s="141" t="n">
        <v>46108</v>
      </c>
      <c r="J110" s="186" t="n">
        <v>3</v>
      </c>
      <c r="K110" s="143" t="s">
        <v>49</v>
      </c>
      <c r="L110" s="142" t="s">
        <v>150</v>
      </c>
      <c r="M110" s="145" t="n">
        <f aca="false">I110-D110</f>
        <v>1555</v>
      </c>
    </row>
    <row r="111" customFormat="false" ht="15" hidden="false" customHeight="true" outlineLevel="0" collapsed="false">
      <c r="A111" s="148" t="n">
        <v>11026</v>
      </c>
      <c r="B111" s="149" t="s">
        <v>504</v>
      </c>
      <c r="C111" s="149" t="n">
        <v>2024</v>
      </c>
      <c r="D111" s="150" t="n">
        <v>45538</v>
      </c>
      <c r="E111" s="151" t="s">
        <v>505</v>
      </c>
      <c r="F111" s="151" t="s">
        <v>107</v>
      </c>
      <c r="G111" s="68" t="s">
        <v>108</v>
      </c>
      <c r="H111" s="151" t="s">
        <v>506</v>
      </c>
      <c r="I111" s="150" t="n">
        <v>46108</v>
      </c>
      <c r="J111" s="158" t="n">
        <v>3</v>
      </c>
      <c r="K111" s="143" t="s">
        <v>49</v>
      </c>
      <c r="L111" s="151" t="s">
        <v>150</v>
      </c>
      <c r="M111" s="152" t="n">
        <f aca="false">I111-D111</f>
        <v>570</v>
      </c>
    </row>
    <row r="112" customFormat="false" ht="15" hidden="false" customHeight="true" outlineLevel="0" collapsed="false">
      <c r="A112" s="139" t="n">
        <v>11126</v>
      </c>
      <c r="B112" s="140" t="s">
        <v>507</v>
      </c>
      <c r="C112" s="140" t="n">
        <v>2021</v>
      </c>
      <c r="D112" s="141" t="n">
        <v>44545</v>
      </c>
      <c r="E112" s="142" t="s">
        <v>508</v>
      </c>
      <c r="F112" s="142" t="s">
        <v>509</v>
      </c>
      <c r="G112" s="66" t="s">
        <v>108</v>
      </c>
      <c r="H112" s="142" t="s">
        <v>129</v>
      </c>
      <c r="I112" s="141" t="n">
        <v>46108</v>
      </c>
      <c r="J112" s="66" t="n">
        <v>3</v>
      </c>
      <c r="K112" s="143" t="s">
        <v>48</v>
      </c>
      <c r="L112" s="142" t="s">
        <v>150</v>
      </c>
      <c r="M112" s="145" t="n">
        <f aca="false">I112-D112</f>
        <v>1563</v>
      </c>
    </row>
    <row r="113" customFormat="false" ht="15" hidden="false" customHeight="true" outlineLevel="0" collapsed="false">
      <c r="A113" s="148" t="n">
        <v>11226</v>
      </c>
      <c r="B113" s="149" t="s">
        <v>510</v>
      </c>
      <c r="C113" s="149" t="n">
        <v>2023</v>
      </c>
      <c r="D113" s="150" t="n">
        <v>45230</v>
      </c>
      <c r="E113" s="151" t="s">
        <v>511</v>
      </c>
      <c r="F113" s="151" t="s">
        <v>512</v>
      </c>
      <c r="G113" s="68" t="s">
        <v>108</v>
      </c>
      <c r="H113" s="151" t="s">
        <v>513</v>
      </c>
      <c r="I113" s="150" t="n">
        <v>46108</v>
      </c>
      <c r="J113" s="68" t="n">
        <v>3</v>
      </c>
      <c r="K113" s="143" t="s">
        <v>49</v>
      </c>
      <c r="L113" s="151" t="s">
        <v>150</v>
      </c>
      <c r="M113" s="152" t="n">
        <f aca="false">I113-D113</f>
        <v>878</v>
      </c>
    </row>
    <row r="114" customFormat="false" ht="15" hidden="false" customHeight="true" outlineLevel="0" collapsed="false">
      <c r="A114" s="139" t="n">
        <v>11326</v>
      </c>
      <c r="B114" s="140" t="s">
        <v>514</v>
      </c>
      <c r="C114" s="140" t="n">
        <v>2020</v>
      </c>
      <c r="D114" s="141" t="n">
        <v>44161</v>
      </c>
      <c r="E114" s="142" t="s">
        <v>515</v>
      </c>
      <c r="F114" s="142" t="s">
        <v>446</v>
      </c>
      <c r="G114" s="66" t="s">
        <v>108</v>
      </c>
      <c r="H114" s="142" t="s">
        <v>516</v>
      </c>
      <c r="I114" s="141" t="n">
        <v>46108</v>
      </c>
      <c r="J114" s="66" t="n">
        <v>3</v>
      </c>
      <c r="K114" s="143" t="s">
        <v>49</v>
      </c>
      <c r="L114" s="142" t="s">
        <v>150</v>
      </c>
      <c r="M114" s="145" t="n">
        <f aca="false">I114-D114</f>
        <v>1947</v>
      </c>
    </row>
    <row r="115" customFormat="false" ht="15" hidden="false" customHeight="true" outlineLevel="0" collapsed="false">
      <c r="A115" s="148" t="n">
        <v>11426</v>
      </c>
      <c r="B115" s="149" t="s">
        <v>517</v>
      </c>
      <c r="C115" s="149" t="n">
        <v>2022</v>
      </c>
      <c r="D115" s="150" t="n">
        <v>44589</v>
      </c>
      <c r="E115" s="151" t="s">
        <v>518</v>
      </c>
      <c r="F115" s="151" t="s">
        <v>176</v>
      </c>
      <c r="G115" s="68" t="s">
        <v>108</v>
      </c>
      <c r="H115" s="151" t="s">
        <v>471</v>
      </c>
      <c r="I115" s="150" t="n">
        <v>46108</v>
      </c>
      <c r="J115" s="68" t="n">
        <v>3</v>
      </c>
      <c r="K115" s="143" t="s">
        <v>49</v>
      </c>
      <c r="L115" s="151" t="s">
        <v>150</v>
      </c>
      <c r="M115" s="152" t="n">
        <f aca="false">I115-D115</f>
        <v>1519</v>
      </c>
    </row>
    <row r="116" customFormat="false" ht="15" hidden="false" customHeight="true" outlineLevel="0" collapsed="false">
      <c r="A116" s="139" t="n">
        <v>11526</v>
      </c>
      <c r="B116" s="140" t="s">
        <v>519</v>
      </c>
      <c r="C116" s="140" t="n">
        <v>2015</v>
      </c>
      <c r="D116" s="141" t="n">
        <v>43670</v>
      </c>
      <c r="E116" s="142" t="s">
        <v>520</v>
      </c>
      <c r="F116" s="142" t="s">
        <v>521</v>
      </c>
      <c r="G116" s="66" t="s">
        <v>108</v>
      </c>
      <c r="H116" s="142" t="s">
        <v>522</v>
      </c>
      <c r="I116" s="141" t="n">
        <v>46108</v>
      </c>
      <c r="J116" s="66" t="n">
        <v>3</v>
      </c>
      <c r="K116" s="143" t="s">
        <v>49</v>
      </c>
      <c r="L116" s="142" t="s">
        <v>150</v>
      </c>
      <c r="M116" s="145" t="n">
        <f aca="false">I116-D116</f>
        <v>2438</v>
      </c>
    </row>
    <row r="117" customFormat="false" ht="15" hidden="false" customHeight="true" outlineLevel="0" collapsed="false">
      <c r="A117" s="148" t="n">
        <v>11626</v>
      </c>
      <c r="B117" s="149" t="s">
        <v>523</v>
      </c>
      <c r="C117" s="149" t="n">
        <v>2021</v>
      </c>
      <c r="D117" s="150" t="n">
        <v>44519</v>
      </c>
      <c r="E117" s="151" t="s">
        <v>524</v>
      </c>
      <c r="F117" s="151" t="s">
        <v>525</v>
      </c>
      <c r="G117" s="68" t="s">
        <v>108</v>
      </c>
      <c r="H117" s="151" t="s">
        <v>526</v>
      </c>
      <c r="I117" s="150" t="n">
        <v>46108</v>
      </c>
      <c r="J117" s="68" t="n">
        <v>3</v>
      </c>
      <c r="K117" s="143" t="s">
        <v>48</v>
      </c>
      <c r="L117" s="151" t="s">
        <v>150</v>
      </c>
      <c r="M117" s="152" t="n">
        <f aca="false">I117-D117</f>
        <v>1589</v>
      </c>
    </row>
    <row r="118" customFormat="false" ht="15" hidden="false" customHeight="true" outlineLevel="0" collapsed="false">
      <c r="A118" s="139" t="n">
        <v>11726</v>
      </c>
      <c r="B118" s="140" t="s">
        <v>527</v>
      </c>
      <c r="C118" s="140" t="n">
        <v>2024</v>
      </c>
      <c r="D118" s="141" t="n">
        <v>45362</v>
      </c>
      <c r="E118" s="142" t="s">
        <v>528</v>
      </c>
      <c r="F118" s="142" t="s">
        <v>529</v>
      </c>
      <c r="G118" s="66" t="s">
        <v>108</v>
      </c>
      <c r="H118" s="142" t="s">
        <v>119</v>
      </c>
      <c r="I118" s="141" t="n">
        <v>46112</v>
      </c>
      <c r="J118" s="66" t="n">
        <v>3</v>
      </c>
      <c r="K118" s="163" t="s">
        <v>46</v>
      </c>
      <c r="L118" s="142" t="s">
        <v>150</v>
      </c>
      <c r="M118" s="145" t="n">
        <f aca="false">I118-D118</f>
        <v>750</v>
      </c>
    </row>
    <row r="119" customFormat="false" ht="15" hidden="false" customHeight="true" outlineLevel="0" collapsed="false">
      <c r="A119" s="148" t="n">
        <v>11826</v>
      </c>
      <c r="B119" s="149" t="s">
        <v>530</v>
      </c>
      <c r="C119" s="149" t="n">
        <v>2024</v>
      </c>
      <c r="D119" s="150" t="n">
        <v>45314</v>
      </c>
      <c r="E119" s="151" t="s">
        <v>531</v>
      </c>
      <c r="F119" s="151" t="s">
        <v>154</v>
      </c>
      <c r="G119" s="68" t="s">
        <v>108</v>
      </c>
      <c r="H119" s="151" t="s">
        <v>532</v>
      </c>
      <c r="I119" s="150" t="n">
        <v>46112</v>
      </c>
      <c r="J119" s="68" t="n">
        <v>3</v>
      </c>
      <c r="K119" s="143" t="s">
        <v>49</v>
      </c>
      <c r="L119" s="151" t="s">
        <v>150</v>
      </c>
      <c r="M119" s="152" t="n">
        <f aca="false">I119-D119</f>
        <v>798</v>
      </c>
    </row>
    <row r="120" customFormat="false" ht="15" hidden="false" customHeight="true" outlineLevel="0" collapsed="false">
      <c r="A120" s="139" t="n">
        <v>11926</v>
      </c>
      <c r="B120" s="140" t="s">
        <v>533</v>
      </c>
      <c r="C120" s="140" t="n">
        <v>2021</v>
      </c>
      <c r="D120" s="141" t="n">
        <v>44461</v>
      </c>
      <c r="E120" s="142" t="s">
        <v>534</v>
      </c>
      <c r="F120" s="142" t="s">
        <v>303</v>
      </c>
      <c r="G120" s="66" t="s">
        <v>115</v>
      </c>
      <c r="H120" s="142" t="s">
        <v>119</v>
      </c>
      <c r="I120" s="141" t="n">
        <v>46112</v>
      </c>
      <c r="J120" s="66" t="n">
        <v>3</v>
      </c>
      <c r="K120" s="169" t="s">
        <v>290</v>
      </c>
      <c r="L120" s="142" t="s">
        <v>150</v>
      </c>
      <c r="M120" s="145" t="n">
        <f aca="false">I120-D120</f>
        <v>1651</v>
      </c>
    </row>
    <row r="121" customFormat="false" ht="15" hidden="false" customHeight="true" outlineLevel="0" collapsed="false">
      <c r="A121" s="148" t="n">
        <v>12026</v>
      </c>
      <c r="B121" s="149" t="s">
        <v>535</v>
      </c>
      <c r="C121" s="149" t="n">
        <v>2018</v>
      </c>
      <c r="D121" s="150" t="n">
        <v>43238</v>
      </c>
      <c r="E121" s="151" t="s">
        <v>536</v>
      </c>
      <c r="F121" s="151" t="s">
        <v>537</v>
      </c>
      <c r="G121" s="68" t="s">
        <v>108</v>
      </c>
      <c r="H121" s="151" t="s">
        <v>538</v>
      </c>
      <c r="I121" s="150" t="n">
        <v>46112</v>
      </c>
      <c r="J121" s="68" t="n">
        <v>3</v>
      </c>
      <c r="K121" s="143" t="s">
        <v>49</v>
      </c>
      <c r="L121" s="151" t="s">
        <v>150</v>
      </c>
      <c r="M121" s="152" t="n">
        <f aca="false">I121-D121</f>
        <v>2874</v>
      </c>
    </row>
    <row r="122" customFormat="false" ht="15" hidden="false" customHeight="true" outlineLevel="0" collapsed="false">
      <c r="A122" s="139" t="n">
        <v>12126</v>
      </c>
      <c r="B122" s="140" t="s">
        <v>539</v>
      </c>
      <c r="C122" s="140" t="n">
        <v>2019</v>
      </c>
      <c r="D122" s="141" t="n">
        <v>43774</v>
      </c>
      <c r="E122" s="142" t="s">
        <v>540</v>
      </c>
      <c r="F122" s="142" t="s">
        <v>541</v>
      </c>
      <c r="G122" s="66" t="s">
        <v>108</v>
      </c>
      <c r="H122" s="142" t="s">
        <v>538</v>
      </c>
      <c r="I122" s="141" t="n">
        <v>46112</v>
      </c>
      <c r="J122" s="66" t="n">
        <v>3</v>
      </c>
      <c r="K122" s="143" t="s">
        <v>49</v>
      </c>
      <c r="L122" s="142" t="s">
        <v>150</v>
      </c>
      <c r="M122" s="145" t="n">
        <f aca="false">I122-D122</f>
        <v>2338</v>
      </c>
    </row>
    <row r="123" customFormat="false" ht="15" hidden="false" customHeight="true" outlineLevel="0" collapsed="false">
      <c r="A123" s="148" t="n">
        <v>12226</v>
      </c>
      <c r="B123" s="149" t="s">
        <v>542</v>
      </c>
      <c r="C123" s="149" t="n">
        <v>2024</v>
      </c>
      <c r="D123" s="150" t="n">
        <v>45412</v>
      </c>
      <c r="E123" s="151" t="s">
        <v>543</v>
      </c>
      <c r="F123" s="151" t="s">
        <v>154</v>
      </c>
      <c r="G123" s="68" t="s">
        <v>108</v>
      </c>
      <c r="H123" s="151" t="s">
        <v>544</v>
      </c>
      <c r="I123" s="150" t="n">
        <v>46112</v>
      </c>
      <c r="J123" s="68" t="n">
        <v>3</v>
      </c>
      <c r="K123" s="143" t="s">
        <v>49</v>
      </c>
      <c r="L123" s="151" t="s">
        <v>150</v>
      </c>
      <c r="M123" s="187" t="n">
        <f aca="false">I123-D123</f>
        <v>700</v>
      </c>
    </row>
    <row r="124" customFormat="false" ht="15" hidden="false" customHeight="true" outlineLevel="0" collapsed="false">
      <c r="A124" s="139" t="n">
        <v>12326</v>
      </c>
      <c r="B124" s="140" t="s">
        <v>545</v>
      </c>
      <c r="C124" s="140" t="n">
        <v>2022</v>
      </c>
      <c r="D124" s="141" t="n">
        <v>44684</v>
      </c>
      <c r="E124" s="142" t="s">
        <v>546</v>
      </c>
      <c r="F124" s="142" t="s">
        <v>164</v>
      </c>
      <c r="G124" s="66" t="s">
        <v>108</v>
      </c>
      <c r="H124" s="142" t="s">
        <v>208</v>
      </c>
      <c r="I124" s="141" t="n">
        <v>46112</v>
      </c>
      <c r="J124" s="66" t="n">
        <v>3</v>
      </c>
      <c r="K124" s="143" t="s">
        <v>48</v>
      </c>
      <c r="L124" s="142" t="s">
        <v>150</v>
      </c>
      <c r="M124" s="145" t="n">
        <f aca="false">I124-D124</f>
        <v>1428</v>
      </c>
    </row>
    <row r="125" customFormat="false" ht="15" hidden="false" customHeight="true" outlineLevel="0" collapsed="false">
      <c r="A125" s="148" t="n">
        <v>12426</v>
      </c>
      <c r="B125" s="149" t="s">
        <v>547</v>
      </c>
      <c r="C125" s="149" t="n">
        <v>2021</v>
      </c>
      <c r="D125" s="150" t="n">
        <v>44440</v>
      </c>
      <c r="E125" s="151" t="s">
        <v>548</v>
      </c>
      <c r="F125" s="151" t="s">
        <v>549</v>
      </c>
      <c r="G125" s="68" t="s">
        <v>108</v>
      </c>
      <c r="H125" s="151" t="s">
        <v>516</v>
      </c>
      <c r="I125" s="150" t="n">
        <v>46112</v>
      </c>
      <c r="J125" s="68" t="n">
        <v>3</v>
      </c>
      <c r="K125" s="143" t="s">
        <v>48</v>
      </c>
      <c r="L125" s="151" t="s">
        <v>150</v>
      </c>
      <c r="M125" s="152" t="n">
        <f aca="false">I125-D125</f>
        <v>1672</v>
      </c>
    </row>
    <row r="126" customFormat="false" ht="12.75" hidden="false" customHeight="true" outlineLevel="0" collapsed="false">
      <c r="A126" s="139" t="n">
        <v>12526</v>
      </c>
      <c r="B126" s="140" t="s">
        <v>550</v>
      </c>
      <c r="C126" s="140" t="n">
        <v>2024</v>
      </c>
      <c r="D126" s="141" t="n">
        <v>45495</v>
      </c>
      <c r="E126" s="142" t="s">
        <v>551</v>
      </c>
      <c r="F126" s="142" t="s">
        <v>552</v>
      </c>
      <c r="G126" s="66" t="s">
        <v>108</v>
      </c>
      <c r="H126" s="142" t="s">
        <v>394</v>
      </c>
      <c r="I126" s="141" t="n">
        <v>46112</v>
      </c>
      <c r="J126" s="66" t="n">
        <v>3</v>
      </c>
      <c r="K126" s="163" t="s">
        <v>46</v>
      </c>
      <c r="L126" s="142" t="s">
        <v>150</v>
      </c>
      <c r="M126" s="145" t="n">
        <f aca="false">I126-D126</f>
        <v>617</v>
      </c>
    </row>
    <row r="127" customFormat="false" ht="15" hidden="false" customHeight="true" outlineLevel="0" collapsed="false">
      <c r="A127" s="148" t="n">
        <v>12626</v>
      </c>
      <c r="B127" s="149" t="s">
        <v>553</v>
      </c>
      <c r="C127" s="149" t="n">
        <v>2024</v>
      </c>
      <c r="D127" s="150" t="n">
        <v>45541</v>
      </c>
      <c r="E127" s="151" t="s">
        <v>554</v>
      </c>
      <c r="F127" s="151" t="s">
        <v>555</v>
      </c>
      <c r="G127" s="68" t="s">
        <v>108</v>
      </c>
      <c r="H127" s="151" t="s">
        <v>556</v>
      </c>
      <c r="I127" s="150" t="n">
        <v>46112</v>
      </c>
      <c r="J127" s="68" t="n">
        <v>3</v>
      </c>
      <c r="K127" s="143" t="s">
        <v>49</v>
      </c>
      <c r="L127" s="151" t="s">
        <v>150</v>
      </c>
      <c r="M127" s="152" t="n">
        <f aca="false">I127-D127</f>
        <v>571</v>
      </c>
    </row>
    <row r="128" customFormat="false" ht="15" hidden="false" customHeight="true" outlineLevel="0" collapsed="false">
      <c r="A128" s="139" t="n">
        <v>12726</v>
      </c>
      <c r="B128" s="140" t="s">
        <v>557</v>
      </c>
      <c r="C128" s="140" t="n">
        <v>2022</v>
      </c>
      <c r="D128" s="141" t="n">
        <v>44685</v>
      </c>
      <c r="E128" s="142" t="s">
        <v>558</v>
      </c>
      <c r="F128" s="142" t="s">
        <v>559</v>
      </c>
      <c r="G128" s="66" t="s">
        <v>108</v>
      </c>
      <c r="H128" s="142" t="s">
        <v>254</v>
      </c>
      <c r="I128" s="141" t="n">
        <v>46135</v>
      </c>
      <c r="J128" s="66" t="n">
        <v>4</v>
      </c>
      <c r="K128" s="143" t="s">
        <v>49</v>
      </c>
      <c r="L128" s="142" t="s">
        <v>150</v>
      </c>
      <c r="M128" s="145" t="n">
        <f aca="false">I128-D128</f>
        <v>1450</v>
      </c>
    </row>
    <row r="129" customFormat="false" ht="15" hidden="false" customHeight="true" outlineLevel="0" collapsed="false">
      <c r="A129" s="148" t="n">
        <v>12826</v>
      </c>
      <c r="B129" s="149" t="s">
        <v>560</v>
      </c>
      <c r="C129" s="149" t="n">
        <v>2022</v>
      </c>
      <c r="D129" s="150" t="n">
        <v>44865</v>
      </c>
      <c r="E129" s="151" t="s">
        <v>561</v>
      </c>
      <c r="F129" s="151" t="s">
        <v>562</v>
      </c>
      <c r="G129" s="68" t="s">
        <v>108</v>
      </c>
      <c r="H129" s="151" t="s">
        <v>563</v>
      </c>
      <c r="I129" s="150" t="n">
        <v>46135</v>
      </c>
      <c r="J129" s="68" t="n">
        <v>4</v>
      </c>
      <c r="K129" s="143" t="s">
        <v>49</v>
      </c>
      <c r="L129" s="151" t="s">
        <v>150</v>
      </c>
      <c r="M129" s="152" t="n">
        <f aca="false">I129-D129</f>
        <v>1270</v>
      </c>
    </row>
    <row r="130" customFormat="false" ht="15" hidden="false" customHeight="true" outlineLevel="0" collapsed="false">
      <c r="A130" s="139" t="n">
        <v>12926</v>
      </c>
      <c r="B130" s="140" t="s">
        <v>564</v>
      </c>
      <c r="C130" s="140" t="n">
        <v>2021</v>
      </c>
      <c r="D130" s="141" t="n">
        <v>44468</v>
      </c>
      <c r="E130" s="142" t="s">
        <v>565</v>
      </c>
      <c r="F130" s="142" t="s">
        <v>566</v>
      </c>
      <c r="G130" s="66" t="s">
        <v>108</v>
      </c>
      <c r="H130" s="142" t="s">
        <v>373</v>
      </c>
      <c r="I130" s="141" t="n">
        <v>46135</v>
      </c>
      <c r="J130" s="66" t="n">
        <v>4</v>
      </c>
      <c r="K130" s="169" t="s">
        <v>290</v>
      </c>
      <c r="L130" s="142" t="s">
        <v>150</v>
      </c>
      <c r="M130" s="145" t="n">
        <f aca="false">I130-D130</f>
        <v>1667</v>
      </c>
    </row>
    <row r="131" customFormat="false" ht="15" hidden="false" customHeight="true" outlineLevel="0" collapsed="false">
      <c r="A131" s="148" t="n">
        <v>13026</v>
      </c>
      <c r="B131" s="149" t="s">
        <v>567</v>
      </c>
      <c r="C131" s="149" t="n">
        <v>2019</v>
      </c>
      <c r="D131" s="150" t="n">
        <v>43615</v>
      </c>
      <c r="E131" s="151" t="s">
        <v>568</v>
      </c>
      <c r="F131" s="151" t="s">
        <v>569</v>
      </c>
      <c r="G131" s="68" t="s">
        <v>108</v>
      </c>
      <c r="H131" s="151" t="s">
        <v>570</v>
      </c>
      <c r="I131" s="150" t="n">
        <v>46141</v>
      </c>
      <c r="J131" s="68" t="n">
        <v>4</v>
      </c>
      <c r="K131" s="188" t="s">
        <v>49</v>
      </c>
      <c r="L131" s="189" t="s">
        <v>150</v>
      </c>
      <c r="M131" s="152" t="n">
        <f aca="false">I131-D131</f>
        <v>2526</v>
      </c>
    </row>
    <row r="132" customFormat="false" ht="15" hidden="false" customHeight="true" outlineLevel="0" collapsed="false">
      <c r="A132" s="139" t="n">
        <v>13126</v>
      </c>
      <c r="B132" s="140" t="s">
        <v>571</v>
      </c>
      <c r="C132" s="140" t="n">
        <v>2022</v>
      </c>
      <c r="D132" s="141" t="n">
        <v>44914</v>
      </c>
      <c r="E132" s="142" t="s">
        <v>572</v>
      </c>
      <c r="F132" s="142" t="s">
        <v>211</v>
      </c>
      <c r="G132" s="66" t="s">
        <v>108</v>
      </c>
      <c r="H132" s="142" t="s">
        <v>573</v>
      </c>
      <c r="I132" s="141" t="n">
        <v>46135</v>
      </c>
      <c r="J132" s="66" t="n">
        <v>4</v>
      </c>
      <c r="K132" s="143" t="s">
        <v>49</v>
      </c>
      <c r="L132" s="142" t="s">
        <v>150</v>
      </c>
      <c r="M132" s="145" t="n">
        <f aca="false">I132-D132</f>
        <v>1221</v>
      </c>
    </row>
    <row r="133" customFormat="false" ht="15" hidden="false" customHeight="true" outlineLevel="0" collapsed="false">
      <c r="A133" s="148" t="n">
        <v>13226</v>
      </c>
      <c r="B133" s="149" t="s">
        <v>574</v>
      </c>
      <c r="C133" s="149" t="n">
        <v>2024</v>
      </c>
      <c r="D133" s="150" t="n">
        <v>45457</v>
      </c>
      <c r="E133" s="151" t="s">
        <v>575</v>
      </c>
      <c r="F133" s="151" t="s">
        <v>576</v>
      </c>
      <c r="G133" s="68" t="s">
        <v>108</v>
      </c>
      <c r="H133" s="151" t="s">
        <v>573</v>
      </c>
      <c r="I133" s="150" t="n">
        <v>46136</v>
      </c>
      <c r="J133" s="68" t="n">
        <v>4</v>
      </c>
      <c r="K133" s="143" t="s">
        <v>48</v>
      </c>
      <c r="L133" s="151" t="s">
        <v>150</v>
      </c>
      <c r="M133" s="152" t="n">
        <f aca="false">I133-D133</f>
        <v>679</v>
      </c>
    </row>
    <row r="134" customFormat="false" ht="15" hidden="false" customHeight="true" outlineLevel="0" collapsed="false">
      <c r="A134" s="139" t="n">
        <v>13326</v>
      </c>
      <c r="B134" s="140" t="s">
        <v>577</v>
      </c>
      <c r="C134" s="140" t="n">
        <v>2023</v>
      </c>
      <c r="D134" s="141" t="n">
        <v>44991</v>
      </c>
      <c r="E134" s="142" t="s">
        <v>578</v>
      </c>
      <c r="F134" s="142" t="s">
        <v>579</v>
      </c>
      <c r="G134" s="66" t="s">
        <v>108</v>
      </c>
      <c r="H134" s="142" t="s">
        <v>580</v>
      </c>
      <c r="I134" s="141" t="n">
        <v>46136</v>
      </c>
      <c r="J134" s="66" t="n">
        <v>4</v>
      </c>
      <c r="K134" s="143" t="s">
        <v>48</v>
      </c>
      <c r="L134" s="142" t="s">
        <v>150</v>
      </c>
      <c r="M134" s="145" t="n">
        <f aca="false">I134-D134</f>
        <v>1145</v>
      </c>
    </row>
    <row r="135" customFormat="false" ht="15" hidden="false" customHeight="true" outlineLevel="0" collapsed="false">
      <c r="A135" s="148" t="n">
        <v>13426</v>
      </c>
      <c r="B135" s="149" t="s">
        <v>581</v>
      </c>
      <c r="C135" s="149" t="n">
        <v>2022</v>
      </c>
      <c r="D135" s="150" t="n">
        <v>44629</v>
      </c>
      <c r="E135" s="151" t="s">
        <v>582</v>
      </c>
      <c r="F135" s="151" t="s">
        <v>467</v>
      </c>
      <c r="G135" s="68" t="s">
        <v>108</v>
      </c>
      <c r="H135" s="151" t="s">
        <v>583</v>
      </c>
      <c r="I135" s="150" t="n">
        <v>46136</v>
      </c>
      <c r="J135" s="68" t="n">
        <v>4</v>
      </c>
      <c r="K135" s="143" t="s">
        <v>49</v>
      </c>
      <c r="L135" s="151" t="s">
        <v>150</v>
      </c>
      <c r="M135" s="152" t="n">
        <f aca="false">I135-D135</f>
        <v>1507</v>
      </c>
    </row>
    <row r="136" customFormat="false" ht="15" hidden="false" customHeight="true" outlineLevel="0" collapsed="false">
      <c r="A136" s="139" t="n">
        <v>13526</v>
      </c>
      <c r="B136" s="140" t="s">
        <v>584</v>
      </c>
      <c r="C136" s="140" t="n">
        <v>2023</v>
      </c>
      <c r="D136" s="141" t="n">
        <v>45279</v>
      </c>
      <c r="E136" s="142" t="s">
        <v>585</v>
      </c>
      <c r="F136" s="142" t="s">
        <v>586</v>
      </c>
      <c r="G136" s="66" t="s">
        <v>108</v>
      </c>
      <c r="H136" s="142" t="s">
        <v>119</v>
      </c>
      <c r="I136" s="141" t="n">
        <v>46136</v>
      </c>
      <c r="J136" s="66" t="n">
        <v>4</v>
      </c>
      <c r="K136" s="143" t="s">
        <v>49</v>
      </c>
      <c r="L136" s="142" t="s">
        <v>150</v>
      </c>
      <c r="M136" s="145" t="n">
        <f aca="false">I136-D136</f>
        <v>857</v>
      </c>
    </row>
    <row r="137" customFormat="false" ht="15" hidden="false" customHeight="true" outlineLevel="0" collapsed="false">
      <c r="A137" s="148" t="n">
        <v>13626</v>
      </c>
      <c r="B137" s="149" t="s">
        <v>587</v>
      </c>
      <c r="C137" s="149" t="n">
        <v>2021</v>
      </c>
      <c r="D137" s="150" t="n">
        <v>44462</v>
      </c>
      <c r="E137" s="151" t="s">
        <v>588</v>
      </c>
      <c r="F137" s="151" t="s">
        <v>303</v>
      </c>
      <c r="G137" s="68" t="s">
        <v>115</v>
      </c>
      <c r="H137" s="151" t="s">
        <v>589</v>
      </c>
      <c r="I137" s="150" t="n">
        <v>46136</v>
      </c>
      <c r="J137" s="68" t="n">
        <v>4</v>
      </c>
      <c r="K137" s="169" t="s">
        <v>290</v>
      </c>
      <c r="L137" s="151" t="s">
        <v>150</v>
      </c>
      <c r="M137" s="152" t="n">
        <f aca="false">I137-D137</f>
        <v>1674</v>
      </c>
    </row>
    <row r="138" customFormat="false" ht="15" hidden="false" customHeight="true" outlineLevel="0" collapsed="false">
      <c r="A138" s="139" t="n">
        <v>13726</v>
      </c>
      <c r="B138" s="140" t="s">
        <v>590</v>
      </c>
      <c r="C138" s="140" t="n">
        <v>2021</v>
      </c>
      <c r="D138" s="141" t="n">
        <v>44461</v>
      </c>
      <c r="E138" s="142" t="s">
        <v>591</v>
      </c>
      <c r="F138" s="142" t="s">
        <v>592</v>
      </c>
      <c r="G138" s="66" t="s">
        <v>115</v>
      </c>
      <c r="H138" s="142" t="s">
        <v>119</v>
      </c>
      <c r="I138" s="141" t="n">
        <v>46136</v>
      </c>
      <c r="J138" s="66" t="n">
        <v>4</v>
      </c>
      <c r="K138" s="169" t="s">
        <v>290</v>
      </c>
      <c r="L138" s="142" t="s">
        <v>150</v>
      </c>
      <c r="M138" s="145" t="n">
        <f aca="false">I138-D138</f>
        <v>1675</v>
      </c>
    </row>
    <row r="139" customFormat="false" ht="15" hidden="false" customHeight="true" outlineLevel="0" collapsed="false">
      <c r="A139" s="148" t="n">
        <v>13826</v>
      </c>
      <c r="B139" s="149" t="s">
        <v>593</v>
      </c>
      <c r="C139" s="149" t="n">
        <v>2020</v>
      </c>
      <c r="D139" s="150" t="n">
        <v>44053</v>
      </c>
      <c r="E139" s="151" t="s">
        <v>594</v>
      </c>
      <c r="F139" s="151" t="s">
        <v>595</v>
      </c>
      <c r="G139" s="68" t="s">
        <v>108</v>
      </c>
      <c r="H139" s="151" t="s">
        <v>596</v>
      </c>
      <c r="I139" s="150" t="n">
        <v>46136</v>
      </c>
      <c r="J139" s="68" t="n">
        <v>4</v>
      </c>
      <c r="K139" s="143" t="s">
        <v>49</v>
      </c>
      <c r="L139" s="151" t="s">
        <v>150</v>
      </c>
      <c r="M139" s="152" t="n">
        <f aca="false">I139-D139</f>
        <v>2083</v>
      </c>
    </row>
    <row r="140" customFormat="false" ht="15" hidden="false" customHeight="true" outlineLevel="0" collapsed="false">
      <c r="A140" s="139" t="n">
        <v>13926</v>
      </c>
      <c r="B140" s="140" t="s">
        <v>597</v>
      </c>
      <c r="C140" s="140" t="n">
        <v>2019</v>
      </c>
      <c r="D140" s="141" t="n">
        <v>43714</v>
      </c>
      <c r="E140" s="142" t="s">
        <v>598</v>
      </c>
      <c r="F140" s="142" t="s">
        <v>525</v>
      </c>
      <c r="G140" s="66" t="s">
        <v>108</v>
      </c>
      <c r="H140" s="142" t="s">
        <v>267</v>
      </c>
      <c r="I140" s="141" t="n">
        <v>46136</v>
      </c>
      <c r="J140" s="66" t="n">
        <v>4</v>
      </c>
      <c r="K140" s="163" t="s">
        <v>46</v>
      </c>
      <c r="L140" s="142" t="s">
        <v>150</v>
      </c>
      <c r="M140" s="145" t="n">
        <f aca="false">I140-D140</f>
        <v>2422</v>
      </c>
    </row>
    <row r="141" customFormat="false" ht="15" hidden="false" customHeight="true" outlineLevel="0" collapsed="false">
      <c r="A141" s="148" t="n">
        <v>14026</v>
      </c>
      <c r="B141" s="149" t="s">
        <v>599</v>
      </c>
      <c r="C141" s="149" t="n">
        <v>2019</v>
      </c>
      <c r="D141" s="150" t="n">
        <v>43585</v>
      </c>
      <c r="E141" s="151" t="s">
        <v>600</v>
      </c>
      <c r="F141" s="151" t="s">
        <v>488</v>
      </c>
      <c r="G141" s="68" t="s">
        <v>108</v>
      </c>
      <c r="H141" s="151" t="s">
        <v>267</v>
      </c>
      <c r="I141" s="150" t="n">
        <v>46136</v>
      </c>
      <c r="J141" s="68" t="n">
        <v>4</v>
      </c>
      <c r="K141" s="188" t="s">
        <v>48</v>
      </c>
      <c r="L141" s="151" t="s">
        <v>150</v>
      </c>
      <c r="M141" s="152" t="n">
        <f aca="false">I141-D141</f>
        <v>2551</v>
      </c>
    </row>
    <row r="142" customFormat="false" ht="15" hidden="false" customHeight="true" outlineLevel="0" collapsed="false">
      <c r="A142" s="139" t="n">
        <v>14126</v>
      </c>
      <c r="B142" s="140" t="s">
        <v>601</v>
      </c>
      <c r="C142" s="140" t="n">
        <v>2024</v>
      </c>
      <c r="D142" s="141" t="n">
        <v>45637</v>
      </c>
      <c r="E142" s="142" t="s">
        <v>602</v>
      </c>
      <c r="F142" s="142" t="s">
        <v>603</v>
      </c>
      <c r="G142" s="66" t="s">
        <v>144</v>
      </c>
      <c r="H142" s="142" t="s">
        <v>254</v>
      </c>
      <c r="I142" s="141" t="n">
        <v>46139</v>
      </c>
      <c r="J142" s="66" t="n">
        <v>4</v>
      </c>
      <c r="K142" s="143" t="s">
        <v>49</v>
      </c>
      <c r="L142" s="142" t="s">
        <v>150</v>
      </c>
      <c r="M142" s="145" t="n">
        <f aca="false">I142-D142</f>
        <v>502</v>
      </c>
    </row>
    <row r="143" customFormat="false" ht="15" hidden="false" customHeight="true" outlineLevel="0" collapsed="false">
      <c r="A143" s="148" t="n">
        <v>14226</v>
      </c>
      <c r="B143" s="149" t="s">
        <v>604</v>
      </c>
      <c r="C143" s="149" t="n">
        <v>2018</v>
      </c>
      <c r="D143" s="150" t="n">
        <v>43273</v>
      </c>
      <c r="E143" s="151" t="s">
        <v>605</v>
      </c>
      <c r="F143" s="151" t="s">
        <v>606</v>
      </c>
      <c r="G143" s="68" t="s">
        <v>108</v>
      </c>
      <c r="H143" s="151" t="s">
        <v>184</v>
      </c>
      <c r="I143" s="150" t="n">
        <v>46139</v>
      </c>
      <c r="J143" s="68" t="n">
        <v>4</v>
      </c>
      <c r="K143" s="169" t="s">
        <v>290</v>
      </c>
      <c r="L143" s="151" t="s">
        <v>150</v>
      </c>
      <c r="M143" s="152" t="n">
        <f aca="false">I143-D143</f>
        <v>2866</v>
      </c>
    </row>
    <row r="144" customFormat="false" ht="15" hidden="false" customHeight="true" outlineLevel="0" collapsed="false">
      <c r="A144" s="139" t="n">
        <v>14326</v>
      </c>
      <c r="B144" s="140" t="s">
        <v>607</v>
      </c>
      <c r="C144" s="140" t="n">
        <v>2025</v>
      </c>
      <c r="D144" s="141" t="n">
        <v>45700</v>
      </c>
      <c r="E144" s="142" t="s">
        <v>608</v>
      </c>
      <c r="F144" s="142" t="s">
        <v>609</v>
      </c>
      <c r="G144" s="66" t="s">
        <v>125</v>
      </c>
      <c r="H144" s="142" t="s">
        <v>610</v>
      </c>
      <c r="I144" s="141" t="n">
        <v>46139</v>
      </c>
      <c r="J144" s="66" t="n">
        <v>4</v>
      </c>
      <c r="K144" s="143" t="s">
        <v>49</v>
      </c>
      <c r="L144" s="142" t="s">
        <v>150</v>
      </c>
      <c r="M144" s="145" t="n">
        <f aca="false">I144-D144</f>
        <v>439</v>
      </c>
    </row>
    <row r="145" customFormat="false" ht="15" hidden="false" customHeight="true" outlineLevel="0" collapsed="false">
      <c r="A145" s="148" t="n">
        <v>14426</v>
      </c>
      <c r="B145" s="149" t="s">
        <v>611</v>
      </c>
      <c r="C145" s="149" t="n">
        <v>2025</v>
      </c>
      <c r="D145" s="150" t="n">
        <v>45832</v>
      </c>
      <c r="E145" s="151" t="s">
        <v>612</v>
      </c>
      <c r="F145" s="151" t="s">
        <v>613</v>
      </c>
      <c r="G145" s="68" t="s">
        <v>130</v>
      </c>
      <c r="H145" s="151" t="s">
        <v>614</v>
      </c>
      <c r="I145" s="150" t="n">
        <v>46139</v>
      </c>
      <c r="J145" s="68" t="n">
        <v>4</v>
      </c>
      <c r="K145" s="188" t="s">
        <v>49</v>
      </c>
      <c r="L145" s="151" t="s">
        <v>150</v>
      </c>
      <c r="M145" s="152" t="n">
        <f aca="false">I145-D145</f>
        <v>307</v>
      </c>
    </row>
    <row r="146" customFormat="false" ht="15" hidden="false" customHeight="true" outlineLevel="0" collapsed="false">
      <c r="A146" s="139" t="n">
        <v>14526</v>
      </c>
      <c r="B146" s="140" t="s">
        <v>615</v>
      </c>
      <c r="C146" s="140" t="n">
        <v>2024</v>
      </c>
      <c r="D146" s="141" t="n">
        <v>45574</v>
      </c>
      <c r="E146" s="142" t="s">
        <v>616</v>
      </c>
      <c r="F146" s="142" t="s">
        <v>617</v>
      </c>
      <c r="G146" s="66" t="s">
        <v>130</v>
      </c>
      <c r="H146" s="142" t="s">
        <v>618</v>
      </c>
      <c r="I146" s="141" t="n">
        <v>46139</v>
      </c>
      <c r="J146" s="66" t="n">
        <v>4</v>
      </c>
      <c r="K146" s="169" t="s">
        <v>290</v>
      </c>
      <c r="L146" s="142" t="s">
        <v>150</v>
      </c>
      <c r="M146" s="145" t="n">
        <f aca="false">I146-D146</f>
        <v>565</v>
      </c>
    </row>
    <row r="147" customFormat="false" ht="15" hidden="false" customHeight="true" outlineLevel="0" collapsed="false">
      <c r="A147" s="148" t="n">
        <v>14626</v>
      </c>
      <c r="B147" s="149" t="s">
        <v>619</v>
      </c>
      <c r="C147" s="149" t="n">
        <v>2024</v>
      </c>
      <c r="D147" s="150" t="n">
        <v>45429</v>
      </c>
      <c r="E147" s="151" t="s">
        <v>620</v>
      </c>
      <c r="F147" s="151" t="s">
        <v>621</v>
      </c>
      <c r="G147" s="68" t="s">
        <v>130</v>
      </c>
      <c r="H147" s="151" t="s">
        <v>622</v>
      </c>
      <c r="I147" s="150" t="n">
        <v>46139</v>
      </c>
      <c r="J147" s="68" t="n">
        <v>4</v>
      </c>
      <c r="K147" s="169" t="s">
        <v>290</v>
      </c>
      <c r="L147" s="151" t="s">
        <v>150</v>
      </c>
      <c r="M147" s="152" t="n">
        <f aca="false">I147-D147</f>
        <v>710</v>
      </c>
    </row>
    <row r="148" customFormat="false" ht="15" hidden="false" customHeight="true" outlineLevel="0" collapsed="false">
      <c r="A148" s="139" t="n">
        <v>14726</v>
      </c>
      <c r="B148" s="140" t="s">
        <v>623</v>
      </c>
      <c r="C148" s="140" t="n">
        <v>2024</v>
      </c>
      <c r="D148" s="141" t="n">
        <v>45649</v>
      </c>
      <c r="E148" s="142" t="s">
        <v>624</v>
      </c>
      <c r="F148" s="142" t="s">
        <v>625</v>
      </c>
      <c r="G148" s="66" t="s">
        <v>144</v>
      </c>
      <c r="H148" s="142" t="s">
        <v>54</v>
      </c>
      <c r="I148" s="141" t="n">
        <v>46139</v>
      </c>
      <c r="J148" s="66" t="n">
        <v>4</v>
      </c>
      <c r="K148" s="143" t="s">
        <v>49</v>
      </c>
      <c r="L148" s="142" t="s">
        <v>150</v>
      </c>
      <c r="M148" s="145" t="n">
        <f aca="false">I148-D148</f>
        <v>490</v>
      </c>
    </row>
    <row r="149" customFormat="false" ht="15" hidden="false" customHeight="true" outlineLevel="0" collapsed="false">
      <c r="A149" s="148" t="n">
        <v>14826</v>
      </c>
      <c r="B149" s="149" t="s">
        <v>626</v>
      </c>
      <c r="C149" s="149" t="n">
        <v>2023</v>
      </c>
      <c r="D149" s="150" t="n">
        <v>45210</v>
      </c>
      <c r="E149" s="151" t="s">
        <v>627</v>
      </c>
      <c r="F149" s="151" t="s">
        <v>628</v>
      </c>
      <c r="G149" s="68" t="s">
        <v>125</v>
      </c>
      <c r="H149" s="151" t="s">
        <v>629</v>
      </c>
      <c r="I149" s="150" t="n">
        <v>46139</v>
      </c>
      <c r="J149" s="68" t="n">
        <v>4</v>
      </c>
      <c r="K149" s="143" t="s">
        <v>49</v>
      </c>
      <c r="L149" s="151" t="s">
        <v>150</v>
      </c>
      <c r="M149" s="152" t="n">
        <f aca="false">I149-D149</f>
        <v>929</v>
      </c>
    </row>
    <row r="150" customFormat="false" ht="15" hidden="false" customHeight="true" outlineLevel="0" collapsed="false">
      <c r="A150" s="139" t="n">
        <v>14926</v>
      </c>
      <c r="B150" s="140" t="s">
        <v>630</v>
      </c>
      <c r="C150" s="140" t="n">
        <v>2023</v>
      </c>
      <c r="D150" s="141" t="n">
        <v>44959</v>
      </c>
      <c r="E150" s="142" t="s">
        <v>631</v>
      </c>
      <c r="F150" s="142" t="s">
        <v>632</v>
      </c>
      <c r="G150" s="66" t="s">
        <v>108</v>
      </c>
      <c r="H150" s="142" t="s">
        <v>633</v>
      </c>
      <c r="I150" s="141" t="n">
        <v>46139</v>
      </c>
      <c r="J150" s="66" t="n">
        <v>4</v>
      </c>
      <c r="K150" s="143" t="s">
        <v>49</v>
      </c>
      <c r="L150" s="142" t="s">
        <v>150</v>
      </c>
      <c r="M150" s="145" t="n">
        <f aca="false">I150-D150</f>
        <v>1180</v>
      </c>
    </row>
    <row r="151" customFormat="false" ht="15" hidden="false" customHeight="true" outlineLevel="0" collapsed="false">
      <c r="A151" s="148" t="n">
        <v>15026</v>
      </c>
      <c r="B151" s="149" t="s">
        <v>634</v>
      </c>
      <c r="C151" s="149" t="n">
        <v>2025</v>
      </c>
      <c r="D151" s="150" t="n">
        <v>45787</v>
      </c>
      <c r="E151" s="151" t="s">
        <v>635</v>
      </c>
      <c r="F151" s="151" t="s">
        <v>636</v>
      </c>
      <c r="G151" s="68" t="s">
        <v>130</v>
      </c>
      <c r="H151" s="68" t="s">
        <v>398</v>
      </c>
      <c r="I151" s="150" t="n">
        <v>46139</v>
      </c>
      <c r="J151" s="68" t="n">
        <v>4</v>
      </c>
      <c r="K151" s="143" t="s">
        <v>49</v>
      </c>
      <c r="L151" s="151" t="s">
        <v>150</v>
      </c>
      <c r="M151" s="152" t="n">
        <f aca="false">I151-D151</f>
        <v>352</v>
      </c>
    </row>
    <row r="152" customFormat="false" ht="15" hidden="false" customHeight="true" outlineLevel="0" collapsed="false">
      <c r="A152" s="139" t="n">
        <v>15126</v>
      </c>
      <c r="B152" s="140" t="s">
        <v>637</v>
      </c>
      <c r="C152" s="140" t="n">
        <v>2025</v>
      </c>
      <c r="D152" s="141" t="n">
        <v>45789</v>
      </c>
      <c r="E152" s="142" t="s">
        <v>638</v>
      </c>
      <c r="F152" s="142" t="s">
        <v>376</v>
      </c>
      <c r="G152" s="66" t="s">
        <v>130</v>
      </c>
      <c r="H152" s="142" t="s">
        <v>639</v>
      </c>
      <c r="I152" s="141" t="n">
        <v>46139</v>
      </c>
      <c r="J152" s="66" t="n">
        <v>4</v>
      </c>
      <c r="K152" s="143" t="s">
        <v>49</v>
      </c>
      <c r="L152" s="142" t="s">
        <v>150</v>
      </c>
      <c r="M152" s="145" t="n">
        <f aca="false">I152-D152</f>
        <v>350</v>
      </c>
    </row>
    <row r="153" customFormat="false" ht="15" hidden="false" customHeight="true" outlineLevel="0" collapsed="false">
      <c r="A153" s="148" t="n">
        <v>15226</v>
      </c>
      <c r="B153" s="149" t="s">
        <v>640</v>
      </c>
      <c r="C153" s="149" t="n">
        <v>2024</v>
      </c>
      <c r="D153" s="150" t="n">
        <v>45505</v>
      </c>
      <c r="E153" s="151" t="s">
        <v>641</v>
      </c>
      <c r="F153" s="151" t="s">
        <v>642</v>
      </c>
      <c r="G153" s="68" t="s">
        <v>130</v>
      </c>
      <c r="H153" s="151" t="s">
        <v>643</v>
      </c>
      <c r="I153" s="150" t="n">
        <v>46139</v>
      </c>
      <c r="J153" s="68" t="n">
        <v>4</v>
      </c>
      <c r="K153" s="169" t="s">
        <v>290</v>
      </c>
      <c r="L153" s="151" t="s">
        <v>150</v>
      </c>
      <c r="M153" s="152" t="n">
        <f aca="false">I153-D153</f>
        <v>634</v>
      </c>
    </row>
    <row r="154" customFormat="false" ht="15" hidden="false" customHeight="true" outlineLevel="0" collapsed="false">
      <c r="A154" s="139" t="n">
        <v>15326</v>
      </c>
      <c r="B154" s="140" t="s">
        <v>644</v>
      </c>
      <c r="C154" s="140" t="n">
        <v>2024</v>
      </c>
      <c r="D154" s="141" t="n">
        <v>45377</v>
      </c>
      <c r="E154" s="142" t="s">
        <v>645</v>
      </c>
      <c r="F154" s="142" t="s">
        <v>646</v>
      </c>
      <c r="G154" s="66" t="s">
        <v>130</v>
      </c>
      <c r="H154" s="142" t="s">
        <v>647</v>
      </c>
      <c r="I154" s="141" t="n">
        <v>46139</v>
      </c>
      <c r="J154" s="66" t="n">
        <v>4</v>
      </c>
      <c r="K154" s="169" t="s">
        <v>290</v>
      </c>
      <c r="L154" s="142" t="s">
        <v>150</v>
      </c>
      <c r="M154" s="145" t="n">
        <f aca="false">I154-D154</f>
        <v>762</v>
      </c>
    </row>
    <row r="155" customFormat="false" ht="15" hidden="false" customHeight="true" outlineLevel="0" collapsed="false">
      <c r="A155" s="148" t="n">
        <v>15426</v>
      </c>
      <c r="B155" s="149" t="s">
        <v>648</v>
      </c>
      <c r="C155" s="149" t="n">
        <v>2022</v>
      </c>
      <c r="D155" s="150" t="n">
        <v>44865</v>
      </c>
      <c r="E155" s="151" t="s">
        <v>649</v>
      </c>
      <c r="F155" s="151" t="s">
        <v>650</v>
      </c>
      <c r="G155" s="68" t="s">
        <v>108</v>
      </c>
      <c r="H155" s="151" t="s">
        <v>522</v>
      </c>
      <c r="I155" s="150" t="n">
        <v>46139</v>
      </c>
      <c r="J155" s="68" t="n">
        <v>4</v>
      </c>
      <c r="K155" s="188" t="s">
        <v>48</v>
      </c>
      <c r="L155" s="151" t="s">
        <v>150</v>
      </c>
      <c r="M155" s="152" t="n">
        <f aca="false">I155-D155</f>
        <v>1274</v>
      </c>
    </row>
    <row r="156" customFormat="false" ht="15" hidden="false" customHeight="true" outlineLevel="0" collapsed="false">
      <c r="A156" s="139" t="n">
        <v>15526</v>
      </c>
      <c r="B156" s="140" t="s">
        <v>651</v>
      </c>
      <c r="C156" s="140" t="n">
        <v>2025</v>
      </c>
      <c r="D156" s="141" t="n">
        <v>45695</v>
      </c>
      <c r="E156" s="142" t="s">
        <v>652</v>
      </c>
      <c r="F156" s="142" t="s">
        <v>653</v>
      </c>
      <c r="G156" s="66" t="s">
        <v>130</v>
      </c>
      <c r="H156" s="142" t="s">
        <v>654</v>
      </c>
      <c r="I156" s="141" t="n">
        <v>46139</v>
      </c>
      <c r="J156" s="66" t="n">
        <v>4</v>
      </c>
      <c r="K156" s="143" t="s">
        <v>49</v>
      </c>
      <c r="L156" s="142" t="s">
        <v>150</v>
      </c>
      <c r="M156" s="145" t="n">
        <f aca="false">I156-D156</f>
        <v>444</v>
      </c>
    </row>
    <row r="157" customFormat="false" ht="15" hidden="false" customHeight="true" outlineLevel="0" collapsed="false">
      <c r="A157" s="148" t="n">
        <v>15626</v>
      </c>
      <c r="B157" s="149" t="s">
        <v>655</v>
      </c>
      <c r="C157" s="149" t="n">
        <v>2025</v>
      </c>
      <c r="D157" s="150" t="n">
        <v>45786</v>
      </c>
      <c r="E157" s="151" t="s">
        <v>656</v>
      </c>
      <c r="F157" s="151" t="s">
        <v>657</v>
      </c>
      <c r="G157" s="68" t="s">
        <v>130</v>
      </c>
      <c r="H157" s="151" t="s">
        <v>658</v>
      </c>
      <c r="I157" s="150" t="n">
        <v>46139</v>
      </c>
      <c r="J157" s="68" t="n">
        <v>4</v>
      </c>
      <c r="K157" s="143" t="s">
        <v>49</v>
      </c>
      <c r="L157" s="151" t="s">
        <v>150</v>
      </c>
      <c r="M157" s="152" t="n">
        <f aca="false">I157-D157</f>
        <v>353</v>
      </c>
    </row>
    <row r="158" customFormat="false" ht="36" hidden="false" customHeight="true" outlineLevel="0" collapsed="false">
      <c r="A158" s="139" t="n">
        <v>15726</v>
      </c>
      <c r="B158" s="140" t="s">
        <v>659</v>
      </c>
      <c r="C158" s="140" t="n">
        <v>2023</v>
      </c>
      <c r="D158" s="141" t="n">
        <v>45237</v>
      </c>
      <c r="E158" s="142" t="s">
        <v>660</v>
      </c>
      <c r="F158" s="142" t="s">
        <v>661</v>
      </c>
      <c r="G158" s="66" t="s">
        <v>130</v>
      </c>
      <c r="H158" s="142" t="s">
        <v>662</v>
      </c>
      <c r="I158" s="141" t="n">
        <v>46139</v>
      </c>
      <c r="J158" s="66" t="n">
        <v>4</v>
      </c>
      <c r="K158" s="143" t="s">
        <v>49</v>
      </c>
      <c r="L158" s="142" t="s">
        <v>150</v>
      </c>
      <c r="M158" s="145" t="n">
        <f aca="false">I158-D158</f>
        <v>902</v>
      </c>
    </row>
    <row r="159" customFormat="false" ht="15" hidden="false" customHeight="true" outlineLevel="0" collapsed="false">
      <c r="A159" s="148" t="n">
        <v>15826</v>
      </c>
      <c r="B159" s="149" t="s">
        <v>663</v>
      </c>
      <c r="C159" s="149" t="n">
        <v>2025</v>
      </c>
      <c r="D159" s="150" t="n">
        <v>45800</v>
      </c>
      <c r="E159" s="151" t="s">
        <v>664</v>
      </c>
      <c r="F159" s="151" t="s">
        <v>636</v>
      </c>
      <c r="G159" s="68" t="s">
        <v>130</v>
      </c>
      <c r="H159" s="151" t="s">
        <v>665</v>
      </c>
      <c r="I159" s="150" t="n">
        <v>46139</v>
      </c>
      <c r="J159" s="68" t="n">
        <v>4</v>
      </c>
      <c r="K159" s="188" t="s">
        <v>49</v>
      </c>
      <c r="L159" s="151" t="s">
        <v>150</v>
      </c>
      <c r="M159" s="152" t="n">
        <f aca="false">I159-D159</f>
        <v>339</v>
      </c>
    </row>
    <row r="160" customFormat="false" ht="15" hidden="false" customHeight="true" outlineLevel="0" collapsed="false">
      <c r="A160" s="139" t="n">
        <v>15926</v>
      </c>
      <c r="B160" s="140" t="s">
        <v>666</v>
      </c>
      <c r="C160" s="140" t="n">
        <v>2024</v>
      </c>
      <c r="D160" s="141" t="n">
        <v>45471</v>
      </c>
      <c r="E160" s="142" t="s">
        <v>667</v>
      </c>
      <c r="F160" s="142" t="s">
        <v>668</v>
      </c>
      <c r="G160" s="66" t="s">
        <v>108</v>
      </c>
      <c r="H160" s="142" t="s">
        <v>409</v>
      </c>
      <c r="I160" s="141" t="n">
        <v>46139</v>
      </c>
      <c r="J160" s="186" t="n">
        <v>4</v>
      </c>
      <c r="K160" s="190" t="s">
        <v>44</v>
      </c>
      <c r="L160" s="191" t="s">
        <v>150</v>
      </c>
      <c r="M160" s="145" t="n">
        <f aca="false">I160-D160</f>
        <v>668</v>
      </c>
    </row>
    <row r="161" customFormat="false" ht="15" hidden="false" customHeight="true" outlineLevel="0" collapsed="false">
      <c r="A161" s="148" t="n">
        <v>16026</v>
      </c>
      <c r="B161" s="149" t="s">
        <v>669</v>
      </c>
      <c r="C161" s="149" t="n">
        <v>2020</v>
      </c>
      <c r="D161" s="150" t="n">
        <v>43866</v>
      </c>
      <c r="E161" s="151" t="s">
        <v>670</v>
      </c>
      <c r="F161" s="151" t="s">
        <v>671</v>
      </c>
      <c r="G161" s="68" t="s">
        <v>108</v>
      </c>
      <c r="H161" s="151" t="s">
        <v>672</v>
      </c>
      <c r="I161" s="150" t="n">
        <v>46139</v>
      </c>
      <c r="J161" s="158" t="n">
        <v>4</v>
      </c>
      <c r="K161" s="190" t="s">
        <v>44</v>
      </c>
      <c r="L161" s="189" t="s">
        <v>150</v>
      </c>
      <c r="M161" s="152" t="n">
        <f aca="false">I161-D161</f>
        <v>2273</v>
      </c>
    </row>
    <row r="162" customFormat="false" ht="15" hidden="false" customHeight="true" outlineLevel="0" collapsed="false">
      <c r="A162" s="139" t="n">
        <v>16126</v>
      </c>
      <c r="B162" s="140" t="s">
        <v>673</v>
      </c>
      <c r="C162" s="140" t="n">
        <v>2025</v>
      </c>
      <c r="D162" s="141" t="n">
        <v>45664</v>
      </c>
      <c r="E162" s="142" t="s">
        <v>674</v>
      </c>
      <c r="F162" s="142" t="s">
        <v>675</v>
      </c>
      <c r="G162" s="66" t="s">
        <v>130</v>
      </c>
      <c r="H162" s="142" t="s">
        <v>676</v>
      </c>
      <c r="I162" s="141" t="n">
        <v>46139</v>
      </c>
      <c r="J162" s="66" t="n">
        <v>4</v>
      </c>
      <c r="K162" s="143" t="s">
        <v>49</v>
      </c>
      <c r="L162" s="142" t="s">
        <v>150</v>
      </c>
      <c r="M162" s="145" t="n">
        <f aca="false">I162-D162</f>
        <v>475</v>
      </c>
    </row>
    <row r="163" customFormat="false" ht="41.25" hidden="false" customHeight="true" outlineLevel="0" collapsed="false">
      <c r="A163" s="148" t="n">
        <v>16226</v>
      </c>
      <c r="B163" s="149" t="s">
        <v>677</v>
      </c>
      <c r="C163" s="149" t="n">
        <v>2023</v>
      </c>
      <c r="D163" s="150" t="n">
        <v>45174</v>
      </c>
      <c r="E163" s="151" t="s">
        <v>678</v>
      </c>
      <c r="F163" s="151" t="s">
        <v>668</v>
      </c>
      <c r="G163" s="68" t="s">
        <v>108</v>
      </c>
      <c r="H163" s="151" t="s">
        <v>532</v>
      </c>
      <c r="I163" s="150" t="n">
        <v>46139</v>
      </c>
      <c r="J163" s="68" t="n">
        <v>4</v>
      </c>
      <c r="K163" s="190" t="s">
        <v>44</v>
      </c>
      <c r="L163" s="189" t="s">
        <v>150</v>
      </c>
      <c r="M163" s="152" t="n">
        <f aca="false">I163-D163</f>
        <v>965</v>
      </c>
    </row>
    <row r="164" customFormat="false" ht="15" hidden="false" customHeight="true" outlineLevel="0" collapsed="false">
      <c r="A164" s="139" t="n">
        <v>16326</v>
      </c>
      <c r="B164" s="140" t="s">
        <v>679</v>
      </c>
      <c r="C164" s="140" t="n">
        <v>2022</v>
      </c>
      <c r="D164" s="141" t="n">
        <v>44607</v>
      </c>
      <c r="E164" s="142" t="s">
        <v>680</v>
      </c>
      <c r="F164" s="142" t="s">
        <v>456</v>
      </c>
      <c r="G164" s="66" t="s">
        <v>108</v>
      </c>
      <c r="H164" s="142" t="s">
        <v>267</v>
      </c>
      <c r="I164" s="141" t="n">
        <v>46139</v>
      </c>
      <c r="J164" s="66" t="n">
        <v>4</v>
      </c>
      <c r="K164" s="143" t="s">
        <v>49</v>
      </c>
      <c r="L164" s="191" t="s">
        <v>150</v>
      </c>
      <c r="M164" s="145" t="n">
        <f aca="false">I164-D164</f>
        <v>1532</v>
      </c>
    </row>
    <row r="165" customFormat="false" ht="15" hidden="false" customHeight="true" outlineLevel="0" collapsed="false">
      <c r="A165" s="148" t="n">
        <v>16426</v>
      </c>
      <c r="B165" s="149" t="s">
        <v>681</v>
      </c>
      <c r="C165" s="149" t="n">
        <v>2024</v>
      </c>
      <c r="D165" s="150" t="n">
        <v>45415</v>
      </c>
      <c r="E165" s="151" t="s">
        <v>682</v>
      </c>
      <c r="F165" s="151" t="s">
        <v>683</v>
      </c>
      <c r="G165" s="68" t="s">
        <v>125</v>
      </c>
      <c r="H165" s="151" t="s">
        <v>684</v>
      </c>
      <c r="I165" s="150" t="n">
        <v>46139</v>
      </c>
      <c r="J165" s="68" t="n">
        <v>4</v>
      </c>
      <c r="K165" s="188" t="s">
        <v>49</v>
      </c>
      <c r="L165" s="151" t="s">
        <v>150</v>
      </c>
      <c r="M165" s="152" t="n">
        <f aca="false">I165-D165</f>
        <v>724</v>
      </c>
    </row>
    <row r="166" customFormat="false" ht="15" hidden="false" customHeight="true" outlineLevel="0" collapsed="false">
      <c r="A166" s="139" t="n">
        <v>16526</v>
      </c>
      <c r="B166" s="140" t="s">
        <v>685</v>
      </c>
      <c r="C166" s="140" t="n">
        <v>2015</v>
      </c>
      <c r="D166" s="141" t="n">
        <v>43641</v>
      </c>
      <c r="E166" s="142" t="s">
        <v>686</v>
      </c>
      <c r="F166" s="142" t="s">
        <v>401</v>
      </c>
      <c r="G166" s="66" t="s">
        <v>108</v>
      </c>
      <c r="H166" s="142" t="s">
        <v>471</v>
      </c>
      <c r="I166" s="141" t="n">
        <v>46141</v>
      </c>
      <c r="J166" s="66" t="n">
        <v>4</v>
      </c>
      <c r="K166" s="143" t="s">
        <v>49</v>
      </c>
      <c r="L166" s="191" t="s">
        <v>150</v>
      </c>
      <c r="M166" s="145" t="n">
        <f aca="false">I166-D166</f>
        <v>2500</v>
      </c>
    </row>
    <row r="167" customFormat="false" ht="15" hidden="false" customHeight="true" outlineLevel="0" collapsed="false">
      <c r="A167" s="148" t="n">
        <v>16626</v>
      </c>
      <c r="B167" s="149" t="s">
        <v>687</v>
      </c>
      <c r="C167" s="149" t="n">
        <v>2024</v>
      </c>
      <c r="D167" s="150" t="n">
        <v>45504</v>
      </c>
      <c r="E167" s="151" t="s">
        <v>688</v>
      </c>
      <c r="F167" s="151" t="s">
        <v>689</v>
      </c>
      <c r="G167" s="68" t="s">
        <v>108</v>
      </c>
      <c r="H167" s="151" t="s">
        <v>369</v>
      </c>
      <c r="I167" s="150" t="n">
        <v>46150</v>
      </c>
      <c r="J167" s="68" t="n">
        <v>5</v>
      </c>
      <c r="K167" s="143" t="s">
        <v>49</v>
      </c>
      <c r="L167" s="151" t="s">
        <v>150</v>
      </c>
      <c r="M167" s="152" t="n">
        <f aca="false">I167-D167</f>
        <v>646</v>
      </c>
    </row>
    <row r="168" customFormat="false" ht="15" hidden="false" customHeight="true" outlineLevel="0" collapsed="false">
      <c r="A168" s="139" t="n">
        <v>16726</v>
      </c>
      <c r="B168" s="140" t="s">
        <v>690</v>
      </c>
      <c r="C168" s="140" t="n">
        <v>2020</v>
      </c>
      <c r="D168" s="141" t="n">
        <v>43969</v>
      </c>
      <c r="E168" s="142" t="s">
        <v>691</v>
      </c>
      <c r="F168" s="142" t="s">
        <v>692</v>
      </c>
      <c r="G168" s="66" t="s">
        <v>108</v>
      </c>
      <c r="H168" s="142" t="s">
        <v>693</v>
      </c>
      <c r="I168" s="141" t="n">
        <v>46150</v>
      </c>
      <c r="J168" s="66" t="n">
        <v>5</v>
      </c>
      <c r="K168" s="143" t="s">
        <v>49</v>
      </c>
      <c r="L168" s="142" t="s">
        <v>150</v>
      </c>
      <c r="M168" s="145" t="n">
        <f aca="false">I168-D168</f>
        <v>2181</v>
      </c>
    </row>
    <row r="169" customFormat="false" ht="15" hidden="false" customHeight="true" outlineLevel="0" collapsed="false">
      <c r="A169" s="148" t="n">
        <v>16826</v>
      </c>
      <c r="B169" s="149" t="s">
        <v>694</v>
      </c>
      <c r="C169" s="149" t="n">
        <v>2021</v>
      </c>
      <c r="D169" s="150" t="n">
        <v>44305</v>
      </c>
      <c r="E169" s="151" t="s">
        <v>695</v>
      </c>
      <c r="F169" s="151" t="s">
        <v>696</v>
      </c>
      <c r="G169" s="68" t="s">
        <v>108</v>
      </c>
      <c r="H169" s="151" t="s">
        <v>697</v>
      </c>
      <c r="I169" s="150" t="n">
        <v>46150</v>
      </c>
      <c r="J169" s="68" t="n">
        <v>5</v>
      </c>
      <c r="K169" s="143" t="s">
        <v>49</v>
      </c>
      <c r="L169" s="189" t="s">
        <v>150</v>
      </c>
      <c r="M169" s="152" t="n">
        <f aca="false">I169-D169</f>
        <v>1845</v>
      </c>
    </row>
    <row r="170" customFormat="false" ht="15" hidden="false" customHeight="true" outlineLevel="0" collapsed="false">
      <c r="A170" s="139" t="n">
        <v>16926</v>
      </c>
      <c r="B170" s="140" t="s">
        <v>687</v>
      </c>
      <c r="C170" s="140" t="n">
        <v>2024</v>
      </c>
      <c r="D170" s="141" t="n">
        <v>44803</v>
      </c>
      <c r="E170" s="142" t="s">
        <v>698</v>
      </c>
      <c r="F170" s="142" t="s">
        <v>699</v>
      </c>
      <c r="G170" s="66" t="s">
        <v>108</v>
      </c>
      <c r="H170" s="142" t="s">
        <v>544</v>
      </c>
      <c r="I170" s="141" t="n">
        <v>46150</v>
      </c>
      <c r="J170" s="66" t="n">
        <v>5</v>
      </c>
      <c r="K170" s="143" t="s">
        <v>49</v>
      </c>
      <c r="L170" s="142" t="s">
        <v>150</v>
      </c>
      <c r="M170" s="145" t="n">
        <f aca="false">I170-D170</f>
        <v>1347</v>
      </c>
    </row>
    <row r="171" customFormat="false" ht="15" hidden="false" customHeight="true" outlineLevel="0" collapsed="false">
      <c r="A171" s="148" t="n">
        <v>17026</v>
      </c>
      <c r="B171" s="149" t="s">
        <v>700</v>
      </c>
      <c r="C171" s="149" t="n">
        <v>2019</v>
      </c>
      <c r="D171" s="150" t="n">
        <v>43805</v>
      </c>
      <c r="E171" s="151" t="s">
        <v>701</v>
      </c>
      <c r="F171" s="151" t="s">
        <v>702</v>
      </c>
      <c r="G171" s="68" t="s">
        <v>108</v>
      </c>
      <c r="H171" s="151" t="s">
        <v>192</v>
      </c>
      <c r="I171" s="150" t="n">
        <v>46150</v>
      </c>
      <c r="J171" s="68" t="n">
        <v>5</v>
      </c>
      <c r="K171" s="143" t="s">
        <v>49</v>
      </c>
      <c r="L171" s="151" t="s">
        <v>150</v>
      </c>
      <c r="M171" s="152" t="n">
        <f aca="false">I171-D171</f>
        <v>2345</v>
      </c>
    </row>
    <row r="172" customFormat="false" ht="15" hidden="false" customHeight="true" outlineLevel="0" collapsed="false">
      <c r="A172" s="139" t="n">
        <v>17126</v>
      </c>
      <c r="B172" s="140" t="s">
        <v>703</v>
      </c>
      <c r="C172" s="140" t="n">
        <v>2021</v>
      </c>
      <c r="D172" s="141" t="n">
        <v>44251</v>
      </c>
      <c r="E172" s="142" t="s">
        <v>704</v>
      </c>
      <c r="F172" s="142" t="s">
        <v>705</v>
      </c>
      <c r="G172" s="66" t="s">
        <v>108</v>
      </c>
      <c r="H172" s="142" t="s">
        <v>706</v>
      </c>
      <c r="I172" s="141" t="n">
        <v>46150</v>
      </c>
      <c r="J172" s="66" t="n">
        <v>5</v>
      </c>
      <c r="K172" s="188" t="s">
        <v>48</v>
      </c>
      <c r="L172" s="191" t="s">
        <v>150</v>
      </c>
      <c r="M172" s="145" t="n">
        <f aca="false">I172-D172</f>
        <v>1899</v>
      </c>
    </row>
    <row r="173" customFormat="false" ht="15" hidden="false" customHeight="true" outlineLevel="0" collapsed="false">
      <c r="A173" s="148" t="n">
        <v>17226</v>
      </c>
      <c r="B173" s="149" t="s">
        <v>707</v>
      </c>
      <c r="C173" s="149" t="n">
        <v>2026</v>
      </c>
      <c r="D173" s="150" t="n">
        <v>46072</v>
      </c>
      <c r="E173" s="151" t="s">
        <v>708</v>
      </c>
      <c r="F173" s="151" t="s">
        <v>709</v>
      </c>
      <c r="G173" s="68" t="s">
        <v>108</v>
      </c>
      <c r="H173" s="151" t="s">
        <v>243</v>
      </c>
      <c r="I173" s="150" t="n">
        <v>46150</v>
      </c>
      <c r="J173" s="68" t="n">
        <v>5</v>
      </c>
      <c r="K173" s="163" t="s">
        <v>46</v>
      </c>
      <c r="L173" s="189" t="s">
        <v>150</v>
      </c>
      <c r="M173" s="152" t="n">
        <f aca="false">I173-D173</f>
        <v>78</v>
      </c>
    </row>
    <row r="174" customFormat="false" ht="15" hidden="false" customHeight="true" outlineLevel="0" collapsed="false">
      <c r="A174" s="139" t="n">
        <v>17326</v>
      </c>
      <c r="B174" s="140" t="s">
        <v>710</v>
      </c>
      <c r="C174" s="140" t="n">
        <v>2019</v>
      </c>
      <c r="D174" s="141" t="n">
        <v>43643</v>
      </c>
      <c r="E174" s="142" t="s">
        <v>711</v>
      </c>
      <c r="F174" s="142" t="s">
        <v>712</v>
      </c>
      <c r="G174" s="66" t="s">
        <v>108</v>
      </c>
      <c r="H174" s="142" t="s">
        <v>471</v>
      </c>
      <c r="I174" s="141" t="n">
        <v>46150</v>
      </c>
      <c r="J174" s="66" t="n">
        <v>5</v>
      </c>
      <c r="K174" s="188" t="s">
        <v>48</v>
      </c>
      <c r="L174" s="142" t="s">
        <v>150</v>
      </c>
      <c r="M174" s="145" t="n">
        <f aca="false">I174-D174</f>
        <v>2507</v>
      </c>
    </row>
    <row r="175" customFormat="false" ht="15" hidden="false" customHeight="true" outlineLevel="0" collapsed="false">
      <c r="A175" s="148" t="n">
        <v>17426</v>
      </c>
      <c r="B175" s="149" t="s">
        <v>713</v>
      </c>
      <c r="C175" s="149" t="n">
        <v>2022</v>
      </c>
      <c r="D175" s="150" t="n">
        <v>44918</v>
      </c>
      <c r="E175" s="151" t="s">
        <v>714</v>
      </c>
      <c r="F175" s="151" t="s">
        <v>715</v>
      </c>
      <c r="G175" s="68" t="s">
        <v>108</v>
      </c>
      <c r="H175" s="151" t="s">
        <v>471</v>
      </c>
      <c r="I175" s="150" t="n">
        <v>46150</v>
      </c>
      <c r="J175" s="68" t="n">
        <v>5</v>
      </c>
      <c r="K175" s="143" t="s">
        <v>49</v>
      </c>
      <c r="L175" s="151" t="s">
        <v>150</v>
      </c>
      <c r="M175" s="152" t="n">
        <f aca="false">I175-D175</f>
        <v>1232</v>
      </c>
    </row>
    <row r="176" customFormat="false" ht="15" hidden="false" customHeight="true" outlineLevel="0" collapsed="false">
      <c r="A176" s="139" t="n">
        <v>17526</v>
      </c>
      <c r="B176" s="140" t="s">
        <v>716</v>
      </c>
      <c r="C176" s="140" t="n">
        <v>2020</v>
      </c>
      <c r="D176" s="141" t="n">
        <v>44155</v>
      </c>
      <c r="E176" s="142" t="s">
        <v>717</v>
      </c>
      <c r="F176" s="142" t="s">
        <v>689</v>
      </c>
      <c r="G176" s="66" t="s">
        <v>108</v>
      </c>
      <c r="H176" s="142" t="s">
        <v>522</v>
      </c>
      <c r="I176" s="141" t="n">
        <v>46150</v>
      </c>
      <c r="J176" s="66" t="n">
        <v>5</v>
      </c>
      <c r="K176" s="143" t="s">
        <v>49</v>
      </c>
      <c r="L176" s="142" t="s">
        <v>150</v>
      </c>
      <c r="M176" s="145" t="n">
        <f aca="false">I176-D176</f>
        <v>1995</v>
      </c>
    </row>
    <row r="177" customFormat="false" ht="15" hidden="false" customHeight="true" outlineLevel="0" collapsed="false">
      <c r="A177" s="148" t="n">
        <v>17626</v>
      </c>
      <c r="B177" s="149" t="s">
        <v>718</v>
      </c>
      <c r="C177" s="149" t="n">
        <v>2022</v>
      </c>
      <c r="D177" s="150" t="n">
        <v>44869</v>
      </c>
      <c r="E177" s="151" t="s">
        <v>719</v>
      </c>
      <c r="F177" s="151" t="s">
        <v>720</v>
      </c>
      <c r="G177" s="68" t="s">
        <v>108</v>
      </c>
      <c r="H177" s="151" t="s">
        <v>471</v>
      </c>
      <c r="I177" s="150" t="n">
        <v>46150</v>
      </c>
      <c r="J177" s="68" t="n">
        <v>5</v>
      </c>
      <c r="K177" s="143" t="s">
        <v>49</v>
      </c>
      <c r="L177" s="189" t="s">
        <v>150</v>
      </c>
      <c r="M177" s="152" t="n">
        <f aca="false">I177-D177</f>
        <v>1281</v>
      </c>
    </row>
    <row r="178" customFormat="false" ht="15" hidden="false" customHeight="true" outlineLevel="0" collapsed="false">
      <c r="A178" s="139" t="n">
        <v>17726</v>
      </c>
      <c r="B178" s="140" t="s">
        <v>721</v>
      </c>
      <c r="C178" s="140" t="n">
        <v>2024</v>
      </c>
      <c r="D178" s="141" t="n">
        <v>45567</v>
      </c>
      <c r="E178" s="142" t="s">
        <v>722</v>
      </c>
      <c r="F178" s="142" t="s">
        <v>723</v>
      </c>
      <c r="G178" s="66" t="s">
        <v>108</v>
      </c>
      <c r="H178" s="142" t="s">
        <v>369</v>
      </c>
      <c r="I178" s="141" t="n">
        <v>46150</v>
      </c>
      <c r="J178" s="66" t="n">
        <v>5</v>
      </c>
      <c r="K178" s="192" t="s">
        <v>44</v>
      </c>
      <c r="L178" s="142" t="s">
        <v>150</v>
      </c>
      <c r="M178" s="145" t="n">
        <f aca="false">I178-D178</f>
        <v>583</v>
      </c>
    </row>
    <row r="179" customFormat="false" ht="15" hidden="false" customHeight="true" outlineLevel="0" collapsed="false">
      <c r="A179" s="148" t="n">
        <v>17826</v>
      </c>
      <c r="B179" s="149" t="s">
        <v>724</v>
      </c>
      <c r="C179" s="149" t="n">
        <v>2023</v>
      </c>
      <c r="D179" s="150" t="n">
        <v>44967</v>
      </c>
      <c r="E179" s="151" t="s">
        <v>725</v>
      </c>
      <c r="F179" s="151" t="s">
        <v>726</v>
      </c>
      <c r="G179" s="68" t="s">
        <v>108</v>
      </c>
      <c r="H179" s="151" t="s">
        <v>263</v>
      </c>
      <c r="I179" s="150" t="n">
        <v>46150</v>
      </c>
      <c r="J179" s="68" t="n">
        <v>5</v>
      </c>
      <c r="K179" s="143" t="s">
        <v>49</v>
      </c>
      <c r="L179" s="151" t="s">
        <v>150</v>
      </c>
      <c r="M179" s="152" t="n">
        <f aca="false">I179-D179</f>
        <v>1183</v>
      </c>
    </row>
    <row r="180" customFormat="false" ht="15" hidden="false" customHeight="true" outlineLevel="0" collapsed="false">
      <c r="A180" s="139" t="n">
        <v>17926</v>
      </c>
      <c r="B180" s="140" t="s">
        <v>727</v>
      </c>
      <c r="C180" s="140" t="n">
        <v>2022</v>
      </c>
      <c r="D180" s="141" t="n">
        <v>44731</v>
      </c>
      <c r="E180" s="142" t="s">
        <v>728</v>
      </c>
      <c r="F180" s="142" t="s">
        <v>729</v>
      </c>
      <c r="G180" s="66" t="s">
        <v>108</v>
      </c>
      <c r="H180" s="142" t="s">
        <v>693</v>
      </c>
      <c r="I180" s="141" t="n">
        <v>46150</v>
      </c>
      <c r="J180" s="66" t="n">
        <v>5</v>
      </c>
      <c r="K180" s="188" t="s">
        <v>48</v>
      </c>
      <c r="L180" s="191" t="s">
        <v>150</v>
      </c>
      <c r="M180" s="145" t="n">
        <f aca="false">I180-D180</f>
        <v>1419</v>
      </c>
    </row>
    <row r="181" customFormat="false" ht="15" hidden="false" customHeight="true" outlineLevel="0" collapsed="false">
      <c r="A181" s="148" t="n">
        <v>18026</v>
      </c>
      <c r="B181" s="149" t="s">
        <v>730</v>
      </c>
      <c r="C181" s="149" t="n">
        <v>2019</v>
      </c>
      <c r="D181" s="150" t="n">
        <v>43536</v>
      </c>
      <c r="E181" s="151" t="s">
        <v>731</v>
      </c>
      <c r="F181" s="151" t="s">
        <v>732</v>
      </c>
      <c r="G181" s="68" t="s">
        <v>108</v>
      </c>
      <c r="H181" s="151" t="s">
        <v>471</v>
      </c>
      <c r="I181" s="150" t="n">
        <v>46150</v>
      </c>
      <c r="J181" s="68" t="n">
        <v>5</v>
      </c>
      <c r="K181" s="143" t="s">
        <v>49</v>
      </c>
      <c r="L181" s="151" t="s">
        <v>150</v>
      </c>
      <c r="M181" s="152" t="n">
        <f aca="false">I181-D181</f>
        <v>2614</v>
      </c>
    </row>
    <row r="182" customFormat="false" ht="15" hidden="false" customHeight="true" outlineLevel="0" collapsed="false">
      <c r="A182" s="139" t="n">
        <v>18126</v>
      </c>
      <c r="B182" s="140" t="s">
        <v>733</v>
      </c>
      <c r="C182" s="140" t="n">
        <v>2014</v>
      </c>
      <c r="D182" s="141" t="n">
        <v>43215</v>
      </c>
      <c r="E182" s="142" t="s">
        <v>734</v>
      </c>
      <c r="F182" s="142" t="s">
        <v>183</v>
      </c>
      <c r="G182" s="66" t="s">
        <v>108</v>
      </c>
      <c r="H182" s="142" t="s">
        <v>350</v>
      </c>
      <c r="I182" s="141" t="n">
        <v>46150</v>
      </c>
      <c r="J182" s="66" t="n">
        <v>5</v>
      </c>
      <c r="K182" s="143" t="s">
        <v>49</v>
      </c>
      <c r="L182" s="142" t="s">
        <v>150</v>
      </c>
      <c r="M182" s="145" t="n">
        <f aca="false">I182-D182</f>
        <v>2935</v>
      </c>
    </row>
    <row r="183" customFormat="false" ht="15" hidden="false" customHeight="true" outlineLevel="0" collapsed="false">
      <c r="A183" s="148" t="n">
        <v>18226</v>
      </c>
      <c r="B183" s="149" t="s">
        <v>735</v>
      </c>
      <c r="C183" s="149" t="n">
        <v>2025</v>
      </c>
      <c r="D183" s="150" t="n">
        <v>45707</v>
      </c>
      <c r="E183" s="151" t="s">
        <v>736</v>
      </c>
      <c r="F183" s="151" t="s">
        <v>737</v>
      </c>
      <c r="G183" s="68" t="s">
        <v>130</v>
      </c>
      <c r="H183" s="151" t="s">
        <v>738</v>
      </c>
      <c r="I183" s="150" t="n">
        <v>46160</v>
      </c>
      <c r="J183" s="68" t="n">
        <v>5</v>
      </c>
      <c r="K183" s="143" t="s">
        <v>49</v>
      </c>
      <c r="L183" s="151" t="s">
        <v>150</v>
      </c>
      <c r="M183" s="152" t="n">
        <f aca="false">I183-D183</f>
        <v>453</v>
      </c>
    </row>
    <row r="184" customFormat="false" ht="15" hidden="false" customHeight="true" outlineLevel="0" collapsed="false">
      <c r="A184" s="139" t="n">
        <v>18326</v>
      </c>
      <c r="B184" s="140" t="s">
        <v>739</v>
      </c>
      <c r="C184" s="140" t="n">
        <v>2022</v>
      </c>
      <c r="D184" s="141" t="n">
        <v>44838</v>
      </c>
      <c r="E184" s="142" t="s">
        <v>740</v>
      </c>
      <c r="F184" s="142" t="s">
        <v>741</v>
      </c>
      <c r="G184" s="66" t="s">
        <v>108</v>
      </c>
      <c r="H184" s="142" t="s">
        <v>453</v>
      </c>
      <c r="I184" s="141" t="n">
        <v>46160</v>
      </c>
      <c r="J184" s="66" t="n">
        <v>5</v>
      </c>
      <c r="K184" s="143" t="s">
        <v>49</v>
      </c>
      <c r="L184" s="191" t="s">
        <v>150</v>
      </c>
      <c r="M184" s="145" t="n">
        <f aca="false">I184-D184</f>
        <v>1322</v>
      </c>
    </row>
    <row r="185" customFormat="false" ht="15" hidden="false" customHeight="true" outlineLevel="0" collapsed="false">
      <c r="A185" s="148" t="n">
        <v>18426</v>
      </c>
      <c r="B185" s="149" t="s">
        <v>742</v>
      </c>
      <c r="C185" s="149" t="n">
        <v>2024</v>
      </c>
      <c r="D185" s="150" t="n">
        <v>45631</v>
      </c>
      <c r="E185" s="151" t="s">
        <v>743</v>
      </c>
      <c r="F185" s="151" t="s">
        <v>744</v>
      </c>
      <c r="G185" s="68" t="s">
        <v>108</v>
      </c>
      <c r="H185" s="151" t="s">
        <v>745</v>
      </c>
      <c r="I185" s="150" t="n">
        <v>46160</v>
      </c>
      <c r="J185" s="68" t="n">
        <v>5</v>
      </c>
      <c r="K185" s="143" t="s">
        <v>49</v>
      </c>
      <c r="L185" s="189" t="s">
        <v>150</v>
      </c>
      <c r="M185" s="152" t="n">
        <f aca="false">I185-D185</f>
        <v>529</v>
      </c>
    </row>
    <row r="186" customFormat="false" ht="15" hidden="false" customHeight="true" outlineLevel="0" collapsed="false">
      <c r="A186" s="139" t="n">
        <v>18526</v>
      </c>
      <c r="B186" s="140" t="s">
        <v>746</v>
      </c>
      <c r="C186" s="140" t="n">
        <v>2022</v>
      </c>
      <c r="D186" s="141" t="n">
        <v>44883</v>
      </c>
      <c r="E186" s="142" t="s">
        <v>747</v>
      </c>
      <c r="F186" s="142" t="s">
        <v>748</v>
      </c>
      <c r="G186" s="66" t="s">
        <v>108</v>
      </c>
      <c r="H186" s="142" t="s">
        <v>749</v>
      </c>
      <c r="I186" s="141" t="n">
        <v>46160</v>
      </c>
      <c r="J186" s="66" t="n">
        <v>5</v>
      </c>
      <c r="K186" s="143" t="s">
        <v>49</v>
      </c>
      <c r="L186" s="191" t="s">
        <v>150</v>
      </c>
      <c r="M186" s="145" t="n">
        <f aca="false">I186-D186</f>
        <v>1277</v>
      </c>
    </row>
    <row r="187" customFormat="false" ht="15" hidden="false" customHeight="true" outlineLevel="0" collapsed="false">
      <c r="A187" s="148" t="n">
        <v>18626</v>
      </c>
      <c r="B187" s="149" t="s">
        <v>750</v>
      </c>
      <c r="C187" s="149" t="n">
        <v>2022</v>
      </c>
      <c r="D187" s="150" t="n">
        <v>44923</v>
      </c>
      <c r="E187" s="151" t="s">
        <v>751</v>
      </c>
      <c r="F187" s="151" t="s">
        <v>752</v>
      </c>
      <c r="G187" s="68" t="s">
        <v>108</v>
      </c>
      <c r="H187" s="151" t="s">
        <v>471</v>
      </c>
      <c r="I187" s="150" t="n">
        <v>46160</v>
      </c>
      <c r="J187" s="68" t="n">
        <v>5</v>
      </c>
      <c r="K187" s="188" t="s">
        <v>48</v>
      </c>
      <c r="L187" s="189" t="s">
        <v>150</v>
      </c>
      <c r="M187" s="152" t="n">
        <f aca="false">I187-D187</f>
        <v>1237</v>
      </c>
    </row>
    <row r="188" customFormat="false" ht="15" hidden="false" customHeight="true" outlineLevel="0" collapsed="false">
      <c r="A188" s="139" t="n">
        <v>18726</v>
      </c>
      <c r="B188" s="140" t="s">
        <v>753</v>
      </c>
      <c r="C188" s="140" t="n">
        <v>2024</v>
      </c>
      <c r="D188" s="141" t="n">
        <v>45566</v>
      </c>
      <c r="E188" s="142" t="s">
        <v>754</v>
      </c>
      <c r="F188" s="142" t="s">
        <v>188</v>
      </c>
      <c r="G188" s="66" t="s">
        <v>108</v>
      </c>
      <c r="H188" s="142" t="s">
        <v>573</v>
      </c>
      <c r="I188" s="141" t="n">
        <v>46160</v>
      </c>
      <c r="J188" s="66" t="n">
        <v>5</v>
      </c>
      <c r="K188" s="143" t="s">
        <v>49</v>
      </c>
      <c r="L188" s="142" t="s">
        <v>150</v>
      </c>
      <c r="M188" s="145" t="n">
        <f aca="false">I188-D188</f>
        <v>594</v>
      </c>
    </row>
    <row r="189" customFormat="false" ht="15" hidden="false" customHeight="true" outlineLevel="0" collapsed="false">
      <c r="A189" s="148" t="n">
        <v>18826</v>
      </c>
      <c r="B189" s="149" t="s">
        <v>755</v>
      </c>
      <c r="C189" s="149" t="n">
        <v>2024</v>
      </c>
      <c r="D189" s="150" t="n">
        <v>45490</v>
      </c>
      <c r="E189" s="151" t="s">
        <v>756</v>
      </c>
      <c r="F189" s="151" t="s">
        <v>757</v>
      </c>
      <c r="G189" s="68" t="s">
        <v>108</v>
      </c>
      <c r="H189" s="151" t="s">
        <v>471</v>
      </c>
      <c r="I189" s="150" t="n">
        <v>46160</v>
      </c>
      <c r="J189" s="68" t="n">
        <v>5</v>
      </c>
      <c r="K189" s="143" t="s">
        <v>49</v>
      </c>
      <c r="L189" s="189" t="s">
        <v>150</v>
      </c>
      <c r="M189" s="152" t="n">
        <f aca="false">I189-D189</f>
        <v>670</v>
      </c>
    </row>
    <row r="190" customFormat="false" ht="15" hidden="false" customHeight="true" outlineLevel="0" collapsed="false">
      <c r="A190" s="139" t="n">
        <v>18926</v>
      </c>
      <c r="B190" s="140" t="s">
        <v>758</v>
      </c>
      <c r="C190" s="140" t="n">
        <v>2022</v>
      </c>
      <c r="D190" s="141" t="n">
        <v>44698</v>
      </c>
      <c r="E190" s="142" t="s">
        <v>759</v>
      </c>
      <c r="F190" s="142" t="s">
        <v>401</v>
      </c>
      <c r="G190" s="66" t="s">
        <v>108</v>
      </c>
      <c r="H190" s="142" t="s">
        <v>760</v>
      </c>
      <c r="I190" s="141" t="n">
        <v>46160</v>
      </c>
      <c r="J190" s="66" t="n">
        <v>5</v>
      </c>
      <c r="K190" s="143" t="s">
        <v>49</v>
      </c>
      <c r="L190" s="191" t="s">
        <v>150</v>
      </c>
      <c r="M190" s="145" t="n">
        <f aca="false">I190-D190</f>
        <v>1462</v>
      </c>
    </row>
    <row r="191" customFormat="false" ht="15" hidden="false" customHeight="true" outlineLevel="0" collapsed="false">
      <c r="A191" s="148" t="n">
        <v>19026</v>
      </c>
      <c r="B191" s="149" t="s">
        <v>761</v>
      </c>
      <c r="C191" s="149" t="n">
        <v>2020</v>
      </c>
      <c r="D191" s="150" t="n">
        <v>44160</v>
      </c>
      <c r="E191" s="151" t="s">
        <v>762</v>
      </c>
      <c r="F191" s="151" t="s">
        <v>763</v>
      </c>
      <c r="G191" s="68" t="s">
        <v>108</v>
      </c>
      <c r="H191" s="151" t="s">
        <v>522</v>
      </c>
      <c r="I191" s="150" t="n">
        <v>46160</v>
      </c>
      <c r="J191" s="68" t="n">
        <v>5</v>
      </c>
      <c r="K191" s="143" t="s">
        <v>49</v>
      </c>
      <c r="L191" s="189" t="s">
        <v>150</v>
      </c>
      <c r="M191" s="152" t="n">
        <f aca="false">I191-D191</f>
        <v>2000</v>
      </c>
    </row>
    <row r="192" customFormat="false" ht="15" hidden="false" customHeight="true" outlineLevel="0" collapsed="false">
      <c r="A192" s="139" t="n">
        <v>19126</v>
      </c>
      <c r="B192" s="140" t="s">
        <v>764</v>
      </c>
      <c r="C192" s="140" t="n">
        <v>2025</v>
      </c>
      <c r="D192" s="141" t="n">
        <v>45807</v>
      </c>
      <c r="E192" s="142" t="s">
        <v>765</v>
      </c>
      <c r="F192" s="142" t="s">
        <v>376</v>
      </c>
      <c r="G192" s="66" t="s">
        <v>130</v>
      </c>
      <c r="H192" s="142" t="s">
        <v>766</v>
      </c>
      <c r="I192" s="141" t="n">
        <v>46160</v>
      </c>
      <c r="J192" s="66" t="n">
        <v>5</v>
      </c>
      <c r="K192" s="188" t="s">
        <v>49</v>
      </c>
      <c r="L192" s="142" t="s">
        <v>150</v>
      </c>
      <c r="M192" s="145" t="n">
        <f aca="false">I192-D192</f>
        <v>353</v>
      </c>
    </row>
    <row r="193" customFormat="false" ht="15" hidden="false" customHeight="true" outlineLevel="0" collapsed="false">
      <c r="A193" s="148" t="n">
        <v>19226</v>
      </c>
      <c r="B193" s="149" t="s">
        <v>767</v>
      </c>
      <c r="C193" s="149" t="n">
        <v>2024</v>
      </c>
      <c r="D193" s="150" t="n">
        <v>45614</v>
      </c>
      <c r="E193" s="151" t="s">
        <v>768</v>
      </c>
      <c r="F193" s="151" t="s">
        <v>769</v>
      </c>
      <c r="G193" s="68" t="s">
        <v>108</v>
      </c>
      <c r="H193" s="151" t="s">
        <v>770</v>
      </c>
      <c r="I193" s="150" t="n">
        <v>46160</v>
      </c>
      <c r="J193" s="68" t="n">
        <v>5</v>
      </c>
      <c r="K193" s="143" t="s">
        <v>49</v>
      </c>
      <c r="L193" s="189" t="s">
        <v>150</v>
      </c>
      <c r="M193" s="152" t="n">
        <f aca="false">I193-D193</f>
        <v>546</v>
      </c>
    </row>
    <row r="194" customFormat="false" ht="15" hidden="false" customHeight="true" outlineLevel="0" collapsed="false">
      <c r="A194" s="139" t="n">
        <v>19326</v>
      </c>
      <c r="B194" s="140" t="s">
        <v>771</v>
      </c>
      <c r="C194" s="140" t="n">
        <v>2021</v>
      </c>
      <c r="D194" s="141" t="n">
        <v>44382</v>
      </c>
      <c r="E194" s="142" t="s">
        <v>772</v>
      </c>
      <c r="F194" s="142" t="s">
        <v>773</v>
      </c>
      <c r="G194" s="66" t="s">
        <v>108</v>
      </c>
      <c r="H194" s="142" t="s">
        <v>774</v>
      </c>
      <c r="I194" s="141" t="n">
        <v>46161</v>
      </c>
      <c r="J194" s="66" t="n">
        <v>5</v>
      </c>
      <c r="K194" s="188" t="s">
        <v>49</v>
      </c>
      <c r="L194" s="142" t="s">
        <v>150</v>
      </c>
      <c r="M194" s="145" t="n">
        <f aca="false">I194-D194</f>
        <v>1779</v>
      </c>
    </row>
    <row r="195" customFormat="false" ht="15" hidden="false" customHeight="true" outlineLevel="0" collapsed="false">
      <c r="A195" s="148" t="n">
        <v>19426</v>
      </c>
      <c r="B195" s="149" t="s">
        <v>775</v>
      </c>
      <c r="C195" s="149" t="n">
        <v>2022</v>
      </c>
      <c r="D195" s="150" t="n">
        <v>44802</v>
      </c>
      <c r="E195" s="151" t="s">
        <v>776</v>
      </c>
      <c r="F195" s="151" t="s">
        <v>777</v>
      </c>
      <c r="G195" s="68" t="s">
        <v>108</v>
      </c>
      <c r="H195" s="151" t="s">
        <v>774</v>
      </c>
      <c r="I195" s="150" t="n">
        <v>46161</v>
      </c>
      <c r="J195" s="68" t="n">
        <v>5</v>
      </c>
      <c r="K195" s="143" t="s">
        <v>49</v>
      </c>
      <c r="L195" s="189" t="s">
        <v>150</v>
      </c>
      <c r="M195" s="152" t="n">
        <f aca="false">I195-D195</f>
        <v>1359</v>
      </c>
    </row>
    <row r="196" customFormat="false" ht="15" hidden="false" customHeight="true" outlineLevel="0" collapsed="false">
      <c r="A196" s="139" t="n">
        <v>19526</v>
      </c>
      <c r="B196" s="140" t="s">
        <v>778</v>
      </c>
      <c r="C196" s="140" t="n">
        <v>2021</v>
      </c>
      <c r="D196" s="141" t="n">
        <v>44405</v>
      </c>
      <c r="E196" s="142" t="s">
        <v>779</v>
      </c>
      <c r="F196" s="142" t="s">
        <v>780</v>
      </c>
      <c r="G196" s="66" t="s">
        <v>108</v>
      </c>
      <c r="H196" s="142" t="s">
        <v>781</v>
      </c>
      <c r="I196" s="141" t="n">
        <v>46163</v>
      </c>
      <c r="J196" s="66" t="n">
        <v>5</v>
      </c>
      <c r="K196" s="169" t="s">
        <v>290</v>
      </c>
      <c r="L196" s="142" t="s">
        <v>150</v>
      </c>
      <c r="M196" s="145" t="n">
        <f aca="false">I196-D196</f>
        <v>1758</v>
      </c>
    </row>
    <row r="197" customFormat="false" ht="15" hidden="false" customHeight="true" outlineLevel="0" collapsed="false">
      <c r="A197" s="148" t="n">
        <v>19626</v>
      </c>
      <c r="B197" s="149" t="s">
        <v>782</v>
      </c>
      <c r="C197" s="149" t="n">
        <v>2023</v>
      </c>
      <c r="D197" s="150" t="n">
        <v>45281</v>
      </c>
      <c r="E197" s="151" t="s">
        <v>783</v>
      </c>
      <c r="F197" s="151" t="s">
        <v>784</v>
      </c>
      <c r="G197" s="68" t="s">
        <v>108</v>
      </c>
      <c r="H197" s="151" t="s">
        <v>453</v>
      </c>
      <c r="I197" s="150" t="n">
        <v>46163</v>
      </c>
      <c r="J197" s="68" t="n">
        <v>5</v>
      </c>
      <c r="K197" s="143" t="s">
        <v>49</v>
      </c>
      <c r="L197" s="189" t="s">
        <v>150</v>
      </c>
      <c r="M197" s="152" t="n">
        <f aca="false">I197-D197</f>
        <v>882</v>
      </c>
    </row>
    <row r="198" customFormat="false" ht="15" hidden="false" customHeight="true" outlineLevel="0" collapsed="false">
      <c r="A198" s="139" t="n">
        <v>19726</v>
      </c>
      <c r="B198" s="140" t="s">
        <v>785</v>
      </c>
      <c r="C198" s="140" t="n">
        <v>2017</v>
      </c>
      <c r="D198" s="141" t="n">
        <v>42787</v>
      </c>
      <c r="E198" s="142" t="s">
        <v>786</v>
      </c>
      <c r="F198" s="142" t="s">
        <v>787</v>
      </c>
      <c r="G198" s="66" t="s">
        <v>108</v>
      </c>
      <c r="H198" s="142" t="s">
        <v>109</v>
      </c>
      <c r="I198" s="141" t="n">
        <v>46163</v>
      </c>
      <c r="J198" s="66" t="n">
        <v>5</v>
      </c>
      <c r="K198" s="188" t="s">
        <v>48</v>
      </c>
      <c r="L198" s="142" t="s">
        <v>150</v>
      </c>
      <c r="M198" s="145" t="n">
        <f aca="false">I198-D198</f>
        <v>3376</v>
      </c>
    </row>
    <row r="199" customFormat="false" ht="15" hidden="false" customHeight="true" outlineLevel="0" collapsed="false">
      <c r="A199" s="148" t="n">
        <v>19826</v>
      </c>
      <c r="B199" s="149" t="s">
        <v>788</v>
      </c>
      <c r="C199" s="149" t="n">
        <v>2022</v>
      </c>
      <c r="D199" s="150" t="n">
        <v>44769</v>
      </c>
      <c r="E199" s="151" t="s">
        <v>789</v>
      </c>
      <c r="F199" s="151" t="s">
        <v>790</v>
      </c>
      <c r="G199" s="68" t="s">
        <v>108</v>
      </c>
      <c r="H199" s="151" t="s">
        <v>196</v>
      </c>
      <c r="I199" s="150" t="n">
        <v>46164</v>
      </c>
      <c r="J199" s="68" t="n">
        <v>5</v>
      </c>
      <c r="K199" s="143" t="s">
        <v>49</v>
      </c>
      <c r="L199" s="189" t="s">
        <v>150</v>
      </c>
      <c r="M199" s="152" t="n">
        <f aca="false">I199-D199</f>
        <v>1395</v>
      </c>
    </row>
    <row r="200" customFormat="false" ht="15" hidden="false" customHeight="true" outlineLevel="0" collapsed="false">
      <c r="A200" s="139" t="n">
        <v>19926</v>
      </c>
      <c r="B200" s="140" t="s">
        <v>791</v>
      </c>
      <c r="C200" s="140" t="n">
        <v>2021</v>
      </c>
      <c r="D200" s="141" t="n">
        <v>44553</v>
      </c>
      <c r="E200" s="142" t="s">
        <v>792</v>
      </c>
      <c r="F200" s="142" t="s">
        <v>793</v>
      </c>
      <c r="G200" s="66" t="s">
        <v>108</v>
      </c>
      <c r="H200" s="142" t="s">
        <v>243</v>
      </c>
      <c r="I200" s="141" t="n">
        <v>46164</v>
      </c>
      <c r="J200" s="66" t="n">
        <v>5</v>
      </c>
      <c r="K200" s="188" t="s">
        <v>49</v>
      </c>
      <c r="L200" s="142" t="s">
        <v>150</v>
      </c>
      <c r="M200" s="145" t="n">
        <f aca="false">I200-D200</f>
        <v>1611</v>
      </c>
    </row>
    <row r="201" customFormat="false" ht="15" hidden="false" customHeight="true" outlineLevel="0" collapsed="false">
      <c r="A201" s="148" t="n">
        <v>20026</v>
      </c>
      <c r="B201" s="149" t="s">
        <v>794</v>
      </c>
      <c r="C201" s="149" t="n">
        <v>2021</v>
      </c>
      <c r="D201" s="150" t="n">
        <v>44552</v>
      </c>
      <c r="E201" s="151" t="s">
        <v>795</v>
      </c>
      <c r="F201" s="151" t="s">
        <v>138</v>
      </c>
      <c r="G201" s="68" t="s">
        <v>108</v>
      </c>
      <c r="H201" s="151" t="s">
        <v>358</v>
      </c>
      <c r="I201" s="150" t="n">
        <v>46164</v>
      </c>
      <c r="J201" s="68" t="n">
        <v>5</v>
      </c>
      <c r="K201" s="143" t="s">
        <v>49</v>
      </c>
      <c r="L201" s="151" t="s">
        <v>150</v>
      </c>
      <c r="M201" s="152" t="n">
        <f aca="false">I201-D201</f>
        <v>1612</v>
      </c>
    </row>
    <row r="202" customFormat="false" ht="15" hidden="false" customHeight="true" outlineLevel="0" collapsed="false">
      <c r="A202" s="139" t="n">
        <v>20126</v>
      </c>
      <c r="B202" s="140" t="s">
        <v>796</v>
      </c>
      <c r="C202" s="140" t="n">
        <v>2021</v>
      </c>
      <c r="D202" s="141" t="n">
        <v>44399</v>
      </c>
      <c r="E202" s="142" t="s">
        <v>797</v>
      </c>
      <c r="F202" s="142" t="s">
        <v>798</v>
      </c>
      <c r="G202" s="66" t="s">
        <v>108</v>
      </c>
      <c r="H202" s="142" t="s">
        <v>139</v>
      </c>
      <c r="I202" s="141" t="n">
        <v>46170</v>
      </c>
      <c r="J202" s="66" t="n">
        <v>5</v>
      </c>
      <c r="K202" s="188" t="s">
        <v>49</v>
      </c>
      <c r="L202" s="142" t="s">
        <v>150</v>
      </c>
      <c r="M202" s="145" t="n">
        <f aca="false">I202-D202</f>
        <v>1771</v>
      </c>
    </row>
    <row r="203" customFormat="false" ht="15" hidden="false" customHeight="true" outlineLevel="0" collapsed="false">
      <c r="A203" s="148" t="n">
        <v>20226</v>
      </c>
      <c r="B203" s="149" t="s">
        <v>799</v>
      </c>
      <c r="C203" s="149" t="n">
        <v>2021</v>
      </c>
      <c r="D203" s="150" t="n">
        <v>44540</v>
      </c>
      <c r="E203" s="151" t="s">
        <v>800</v>
      </c>
      <c r="F203" s="151" t="s">
        <v>459</v>
      </c>
      <c r="G203" s="68" t="s">
        <v>108</v>
      </c>
      <c r="H203" s="151" t="s">
        <v>139</v>
      </c>
      <c r="I203" s="150" t="n">
        <v>46170</v>
      </c>
      <c r="J203" s="68" t="n">
        <v>5</v>
      </c>
      <c r="K203" s="163" t="s">
        <v>46</v>
      </c>
      <c r="L203" s="151" t="s">
        <v>150</v>
      </c>
      <c r="M203" s="152" t="n">
        <f aca="false">I203-D203</f>
        <v>1630</v>
      </c>
    </row>
    <row r="204" customFormat="false" ht="15" hidden="false" customHeight="true" outlineLevel="0" collapsed="false">
      <c r="A204" s="139" t="n">
        <v>20326</v>
      </c>
      <c r="B204" s="140" t="s">
        <v>801</v>
      </c>
      <c r="C204" s="140" t="n">
        <v>2022</v>
      </c>
      <c r="D204" s="141" t="n">
        <v>44651</v>
      </c>
      <c r="E204" s="142" t="s">
        <v>802</v>
      </c>
      <c r="F204" s="142" t="s">
        <v>671</v>
      </c>
      <c r="G204" s="66" t="s">
        <v>108</v>
      </c>
      <c r="H204" s="142" t="s">
        <v>781</v>
      </c>
      <c r="I204" s="141" t="n">
        <v>46170</v>
      </c>
      <c r="J204" s="66" t="n">
        <v>5</v>
      </c>
      <c r="K204" s="192" t="s">
        <v>44</v>
      </c>
      <c r="L204" s="191" t="s">
        <v>150</v>
      </c>
      <c r="M204" s="145" t="n">
        <f aca="false">I204-D204</f>
        <v>1519</v>
      </c>
    </row>
    <row r="205" customFormat="false" ht="15" hidden="false" customHeight="true" outlineLevel="0" collapsed="false">
      <c r="A205" s="148" t="n">
        <v>20426</v>
      </c>
      <c r="B205" s="149" t="s">
        <v>803</v>
      </c>
      <c r="C205" s="149" t="n">
        <v>2025</v>
      </c>
      <c r="D205" s="150" t="n">
        <v>45822</v>
      </c>
      <c r="E205" s="151" t="s">
        <v>804</v>
      </c>
      <c r="F205" s="151" t="s">
        <v>805</v>
      </c>
      <c r="G205" s="68" t="s">
        <v>130</v>
      </c>
      <c r="H205" s="151" t="s">
        <v>806</v>
      </c>
      <c r="I205" s="150" t="n">
        <v>46170</v>
      </c>
      <c r="J205" s="68" t="n">
        <v>5</v>
      </c>
      <c r="K205" s="143" t="s">
        <v>49</v>
      </c>
      <c r="L205" s="151" t="s">
        <v>150</v>
      </c>
      <c r="M205" s="152" t="n">
        <f aca="false">I205-D205</f>
        <v>348</v>
      </c>
    </row>
    <row r="206" customFormat="false" ht="15" hidden="false" customHeight="true" outlineLevel="0" collapsed="false">
      <c r="A206" s="139" t="n">
        <v>20526</v>
      </c>
      <c r="B206" s="140" t="s">
        <v>807</v>
      </c>
      <c r="C206" s="140" t="n">
        <v>2024</v>
      </c>
      <c r="D206" s="141" t="n">
        <v>45392</v>
      </c>
      <c r="E206" s="142" t="s">
        <v>808</v>
      </c>
      <c r="F206" s="142" t="s">
        <v>809</v>
      </c>
      <c r="G206" s="66" t="s">
        <v>108</v>
      </c>
      <c r="H206" s="142" t="s">
        <v>513</v>
      </c>
      <c r="I206" s="141" t="n">
        <v>46170</v>
      </c>
      <c r="J206" s="66" t="n">
        <v>5</v>
      </c>
      <c r="K206" s="188" t="s">
        <v>49</v>
      </c>
      <c r="L206" s="142" t="s">
        <v>150</v>
      </c>
      <c r="M206" s="145" t="n">
        <f aca="false">I206-D206</f>
        <v>778</v>
      </c>
    </row>
    <row r="207" customFormat="false" ht="15" hidden="false" customHeight="true" outlineLevel="0" collapsed="false">
      <c r="A207" s="148" t="n">
        <v>20626</v>
      </c>
      <c r="B207" s="149" t="s">
        <v>810</v>
      </c>
      <c r="C207" s="149" t="n">
        <v>2022</v>
      </c>
      <c r="D207" s="150" t="n">
        <v>44804</v>
      </c>
      <c r="E207" s="151" t="s">
        <v>811</v>
      </c>
      <c r="F207" s="151" t="s">
        <v>812</v>
      </c>
      <c r="G207" s="68" t="s">
        <v>108</v>
      </c>
      <c r="H207" s="151" t="s">
        <v>813</v>
      </c>
      <c r="I207" s="150" t="n">
        <v>46170</v>
      </c>
      <c r="J207" s="68" t="n">
        <v>5</v>
      </c>
      <c r="K207" s="143" t="s">
        <v>49</v>
      </c>
      <c r="L207" s="189" t="s">
        <v>150</v>
      </c>
      <c r="M207" s="152" t="n">
        <f aca="false">I207-D207</f>
        <v>1366</v>
      </c>
    </row>
    <row r="208" customFormat="false" ht="15" hidden="false" customHeight="true" outlineLevel="0" collapsed="false">
      <c r="A208" s="139" t="n">
        <v>20726</v>
      </c>
      <c r="B208" s="140" t="s">
        <v>814</v>
      </c>
      <c r="C208" s="140" t="n">
        <v>2024</v>
      </c>
      <c r="D208" s="141" t="n">
        <v>45467</v>
      </c>
      <c r="E208" s="142" t="s">
        <v>815</v>
      </c>
      <c r="F208" s="142" t="s">
        <v>816</v>
      </c>
      <c r="G208" s="66" t="s">
        <v>108</v>
      </c>
      <c r="H208" s="142" t="s">
        <v>817</v>
      </c>
      <c r="I208" s="141" t="n">
        <v>46170</v>
      </c>
      <c r="J208" s="66" t="n">
        <v>5</v>
      </c>
      <c r="K208" s="188" t="s">
        <v>49</v>
      </c>
      <c r="L208" s="142" t="s">
        <v>150</v>
      </c>
      <c r="M208" s="145" t="n">
        <f aca="false">I208-D208</f>
        <v>703</v>
      </c>
    </row>
    <row r="209" customFormat="false" ht="15" hidden="false" customHeight="true" outlineLevel="0" collapsed="false">
      <c r="A209" s="148" t="n">
        <v>20826</v>
      </c>
      <c r="B209" s="149" t="s">
        <v>818</v>
      </c>
      <c r="C209" s="149" t="n">
        <v>2023</v>
      </c>
      <c r="D209" s="150" t="n">
        <v>45043</v>
      </c>
      <c r="E209" s="151" t="s">
        <v>819</v>
      </c>
      <c r="F209" s="151" t="s">
        <v>820</v>
      </c>
      <c r="G209" s="68" t="s">
        <v>108</v>
      </c>
      <c r="H209" s="151" t="s">
        <v>573</v>
      </c>
      <c r="I209" s="150" t="n">
        <v>46170</v>
      </c>
      <c r="J209" s="68" t="n">
        <v>5</v>
      </c>
      <c r="K209" s="163" t="s">
        <v>46</v>
      </c>
      <c r="L209" s="189" t="s">
        <v>150</v>
      </c>
      <c r="M209" s="152" t="n">
        <f aca="false">I209-D209</f>
        <v>1127</v>
      </c>
    </row>
    <row r="210" customFormat="false" ht="15" hidden="false" customHeight="true" outlineLevel="0" collapsed="false">
      <c r="A210" s="139" t="n">
        <v>20926</v>
      </c>
      <c r="B210" s="140" t="s">
        <v>821</v>
      </c>
      <c r="C210" s="140" t="n">
        <v>2021</v>
      </c>
      <c r="D210" s="141" t="n">
        <v>44509</v>
      </c>
      <c r="E210" s="142" t="s">
        <v>822</v>
      </c>
      <c r="F210" s="142" t="s">
        <v>823</v>
      </c>
      <c r="G210" s="66" t="s">
        <v>108</v>
      </c>
      <c r="H210" s="142" t="s">
        <v>139</v>
      </c>
      <c r="I210" s="141" t="n">
        <v>46171</v>
      </c>
      <c r="J210" s="66" t="n">
        <v>5</v>
      </c>
      <c r="K210" s="188" t="s">
        <v>49</v>
      </c>
      <c r="L210" s="142" t="s">
        <v>150</v>
      </c>
      <c r="M210" s="145" t="n">
        <f aca="false">I210-D210</f>
        <v>1662</v>
      </c>
    </row>
    <row r="211" customFormat="false" ht="15" hidden="false" customHeight="true" outlineLevel="0" collapsed="false">
      <c r="A211" s="148" t="n">
        <v>21026</v>
      </c>
      <c r="B211" s="149" t="s">
        <v>824</v>
      </c>
      <c r="C211" s="149" t="n">
        <v>2021</v>
      </c>
      <c r="D211" s="150" t="n">
        <v>44498</v>
      </c>
      <c r="E211" s="151" t="s">
        <v>825</v>
      </c>
      <c r="F211" s="151" t="s">
        <v>164</v>
      </c>
      <c r="G211" s="68" t="s">
        <v>108</v>
      </c>
      <c r="H211" s="151" t="s">
        <v>239</v>
      </c>
      <c r="I211" s="150" t="n">
        <v>46171</v>
      </c>
      <c r="J211" s="68" t="n">
        <v>5</v>
      </c>
      <c r="K211" s="188" t="s">
        <v>48</v>
      </c>
      <c r="L211" s="151" t="s">
        <v>150</v>
      </c>
      <c r="M211" s="152" t="n">
        <f aca="false">I211-D211</f>
        <v>1673</v>
      </c>
    </row>
    <row r="212" customFormat="false" ht="15" hidden="false" customHeight="true" outlineLevel="0" collapsed="false">
      <c r="A212" s="139" t="n">
        <v>21126</v>
      </c>
      <c r="B212" s="140" t="s">
        <v>826</v>
      </c>
      <c r="C212" s="140" t="n">
        <v>2026</v>
      </c>
      <c r="D212" s="141" t="n">
        <v>46084</v>
      </c>
      <c r="E212" s="142" t="s">
        <v>827</v>
      </c>
      <c r="F212" s="142" t="s">
        <v>828</v>
      </c>
      <c r="G212" s="66" t="s">
        <v>108</v>
      </c>
      <c r="H212" s="142" t="s">
        <v>829</v>
      </c>
      <c r="I212" s="141" t="n">
        <v>46171</v>
      </c>
      <c r="J212" s="66" t="n">
        <v>5</v>
      </c>
      <c r="K212" s="188" t="s">
        <v>48</v>
      </c>
      <c r="L212" s="142" t="s">
        <v>150</v>
      </c>
      <c r="M212" s="145" t="n">
        <f aca="false">I212-D212</f>
        <v>87</v>
      </c>
    </row>
    <row r="213" customFormat="false" ht="15" hidden="false" customHeight="true" outlineLevel="0" collapsed="false">
      <c r="A213" s="148" t="n">
        <v>21226</v>
      </c>
      <c r="B213" s="149" t="s">
        <v>830</v>
      </c>
      <c r="C213" s="149" t="n">
        <v>2026</v>
      </c>
      <c r="D213" s="150" t="n">
        <v>46119</v>
      </c>
      <c r="E213" s="151" t="s">
        <v>831</v>
      </c>
      <c r="F213" s="151" t="s">
        <v>832</v>
      </c>
      <c r="G213" s="68" t="s">
        <v>108</v>
      </c>
      <c r="H213" s="151" t="s">
        <v>833</v>
      </c>
      <c r="I213" s="150" t="n">
        <v>46171</v>
      </c>
      <c r="J213" s="68" t="n">
        <v>5</v>
      </c>
      <c r="K213" s="163" t="s">
        <v>46</v>
      </c>
      <c r="L213" s="151" t="s">
        <v>150</v>
      </c>
      <c r="M213" s="152" t="n">
        <f aca="false">I213-D213</f>
        <v>52</v>
      </c>
    </row>
    <row r="214" customFormat="false" ht="15" hidden="false" customHeight="true" outlineLevel="0" collapsed="false">
      <c r="A214" s="139" t="n">
        <v>21326</v>
      </c>
      <c r="B214" s="140" t="s">
        <v>834</v>
      </c>
      <c r="C214" s="140" t="n">
        <v>2025</v>
      </c>
      <c r="D214" s="141" t="n">
        <v>45904</v>
      </c>
      <c r="E214" s="142" t="s">
        <v>835</v>
      </c>
      <c r="F214" s="142" t="s">
        <v>836</v>
      </c>
      <c r="G214" s="66" t="s">
        <v>130</v>
      </c>
      <c r="H214" s="142" t="s">
        <v>837</v>
      </c>
      <c r="I214" s="141" t="n">
        <v>46171</v>
      </c>
      <c r="J214" s="66" t="n">
        <v>5</v>
      </c>
      <c r="K214" s="188" t="s">
        <v>49</v>
      </c>
      <c r="L214" s="142" t="s">
        <v>150</v>
      </c>
      <c r="M214" s="145" t="n">
        <f aca="false">I214-D214</f>
        <v>267</v>
      </c>
    </row>
    <row r="215" customFormat="false" ht="15" hidden="false" customHeight="true" outlineLevel="0" collapsed="false">
      <c r="A215" s="148" t="n">
        <v>21426</v>
      </c>
      <c r="B215" s="149" t="s">
        <v>838</v>
      </c>
      <c r="C215" s="149" t="n">
        <v>2021</v>
      </c>
      <c r="D215" s="150" t="n">
        <v>44406</v>
      </c>
      <c r="E215" s="151" t="s">
        <v>839</v>
      </c>
      <c r="F215" s="151" t="s">
        <v>715</v>
      </c>
      <c r="G215" s="68" t="s">
        <v>108</v>
      </c>
      <c r="H215" s="151" t="s">
        <v>243</v>
      </c>
      <c r="I215" s="150" t="n">
        <v>46171</v>
      </c>
      <c r="J215" s="68" t="n">
        <v>5</v>
      </c>
      <c r="K215" s="188" t="s">
        <v>49</v>
      </c>
      <c r="L215" s="151" t="s">
        <v>150</v>
      </c>
      <c r="M215" s="152" t="n">
        <f aca="false">I215-D215</f>
        <v>1765</v>
      </c>
    </row>
    <row r="216" customFormat="false" ht="15" hidden="false" customHeight="true" outlineLevel="0" collapsed="false">
      <c r="A216" s="139" t="n">
        <v>21526</v>
      </c>
      <c r="B216" s="193" t="s">
        <v>840</v>
      </c>
      <c r="C216" s="140" t="n">
        <v>2022</v>
      </c>
      <c r="D216" s="141" t="n">
        <v>44614</v>
      </c>
      <c r="E216" s="142" t="s">
        <v>841</v>
      </c>
      <c r="F216" s="142" t="s">
        <v>191</v>
      </c>
      <c r="G216" s="66" t="s">
        <v>108</v>
      </c>
      <c r="H216" s="142" t="s">
        <v>254</v>
      </c>
      <c r="I216" s="141" t="n">
        <v>46171</v>
      </c>
      <c r="J216" s="66" t="n">
        <v>5</v>
      </c>
      <c r="K216" s="169" t="s">
        <v>290</v>
      </c>
      <c r="L216" s="191" t="s">
        <v>150</v>
      </c>
      <c r="M216" s="145" t="n">
        <f aca="false">I216-D216</f>
        <v>1557</v>
      </c>
    </row>
    <row r="217" customFormat="false" ht="15" hidden="false" customHeight="true" outlineLevel="0" collapsed="false">
      <c r="A217" s="148" t="n">
        <v>21626</v>
      </c>
      <c r="B217" s="149" t="s">
        <v>842</v>
      </c>
      <c r="C217" s="149" t="n">
        <v>2022</v>
      </c>
      <c r="D217" s="150" t="n">
        <v>44592</v>
      </c>
      <c r="E217" s="151" t="s">
        <v>843</v>
      </c>
      <c r="F217" s="151" t="s">
        <v>844</v>
      </c>
      <c r="G217" s="68" t="s">
        <v>108</v>
      </c>
      <c r="H217" s="151" t="s">
        <v>453</v>
      </c>
      <c r="I217" s="150" t="n">
        <v>46184</v>
      </c>
      <c r="J217" s="68" t="n">
        <v>6</v>
      </c>
      <c r="K217" s="188" t="s">
        <v>48</v>
      </c>
      <c r="L217" s="189" t="s">
        <v>150</v>
      </c>
      <c r="M217" s="152" t="n">
        <f aca="false">I217-D217</f>
        <v>1592</v>
      </c>
    </row>
    <row r="218" customFormat="false" ht="15" hidden="false" customHeight="true" outlineLevel="0" collapsed="false">
      <c r="A218" s="139" t="n">
        <v>21726</v>
      </c>
      <c r="B218" s="140" t="s">
        <v>845</v>
      </c>
      <c r="C218" s="140" t="n">
        <v>2024</v>
      </c>
      <c r="D218" s="141" t="n">
        <v>45534</v>
      </c>
      <c r="E218" s="142" t="s">
        <v>846</v>
      </c>
      <c r="F218" s="142" t="s">
        <v>847</v>
      </c>
      <c r="G218" s="66" t="s">
        <v>108</v>
      </c>
      <c r="H218" s="142" t="s">
        <v>589</v>
      </c>
      <c r="I218" s="141" t="n">
        <v>46184</v>
      </c>
      <c r="J218" s="66" t="n">
        <v>6</v>
      </c>
      <c r="K218" s="188" t="s">
        <v>49</v>
      </c>
      <c r="L218" s="144" t="s">
        <v>150</v>
      </c>
      <c r="M218" s="145" t="n">
        <f aca="false">I218-D218</f>
        <v>650</v>
      </c>
    </row>
    <row r="219" customFormat="false" ht="15" hidden="false" customHeight="true" outlineLevel="0" collapsed="false">
      <c r="A219" s="148" t="n">
        <v>21826</v>
      </c>
      <c r="B219" s="149" t="s">
        <v>848</v>
      </c>
      <c r="C219" s="149" t="n">
        <v>2025</v>
      </c>
      <c r="D219" s="150" t="n">
        <v>45755</v>
      </c>
      <c r="E219" s="151" t="s">
        <v>849</v>
      </c>
      <c r="F219" s="151" t="s">
        <v>850</v>
      </c>
      <c r="G219" s="68" t="s">
        <v>130</v>
      </c>
      <c r="H219" s="151" t="s">
        <v>851</v>
      </c>
      <c r="I219" s="150" t="n">
        <v>46184</v>
      </c>
      <c r="J219" s="68" t="n">
        <v>6</v>
      </c>
      <c r="K219" s="188" t="s">
        <v>49</v>
      </c>
      <c r="L219" s="151" t="s">
        <v>150</v>
      </c>
      <c r="M219" s="152" t="n">
        <f aca="false">I219-D219</f>
        <v>429</v>
      </c>
    </row>
    <row r="220" customFormat="false" ht="15" hidden="false" customHeight="true" outlineLevel="0" collapsed="false">
      <c r="A220" s="139" t="n">
        <v>21926</v>
      </c>
      <c r="B220" s="140" t="s">
        <v>852</v>
      </c>
      <c r="C220" s="140" t="n">
        <v>2025</v>
      </c>
      <c r="D220" s="141" t="n">
        <v>45691</v>
      </c>
      <c r="E220" s="142" t="s">
        <v>853</v>
      </c>
      <c r="F220" s="142" t="s">
        <v>199</v>
      </c>
      <c r="G220" s="66" t="s">
        <v>130</v>
      </c>
      <c r="H220" s="142" t="s">
        <v>851</v>
      </c>
      <c r="I220" s="141" t="n">
        <v>46184</v>
      </c>
      <c r="J220" s="66" t="n">
        <v>6</v>
      </c>
      <c r="K220" s="188" t="s">
        <v>49</v>
      </c>
      <c r="L220" s="142" t="s">
        <v>150</v>
      </c>
      <c r="M220" s="145" t="n">
        <f aca="false">I220-D220</f>
        <v>493</v>
      </c>
    </row>
    <row r="221" customFormat="false" ht="15" hidden="false" customHeight="true" outlineLevel="0" collapsed="false">
      <c r="A221" s="148" t="n">
        <v>22026</v>
      </c>
      <c r="B221" s="149" t="s">
        <v>854</v>
      </c>
      <c r="C221" s="149" t="n">
        <v>2025</v>
      </c>
      <c r="D221" s="150" t="n">
        <v>45763</v>
      </c>
      <c r="E221" s="151" t="s">
        <v>855</v>
      </c>
      <c r="F221" s="151" t="s">
        <v>856</v>
      </c>
      <c r="G221" s="68" t="s">
        <v>130</v>
      </c>
      <c r="H221" s="151" t="s">
        <v>857</v>
      </c>
      <c r="I221" s="150" t="n">
        <v>46184</v>
      </c>
      <c r="J221" s="68" t="n">
        <v>6</v>
      </c>
      <c r="K221" s="188" t="s">
        <v>49</v>
      </c>
      <c r="L221" s="151" t="s">
        <v>150</v>
      </c>
      <c r="M221" s="152" t="n">
        <f aca="false">I221-D221</f>
        <v>421</v>
      </c>
    </row>
    <row r="222" customFormat="false" ht="15" hidden="false" customHeight="true" outlineLevel="0" collapsed="false">
      <c r="A222" s="139" t="n">
        <v>22126</v>
      </c>
      <c r="B222" s="140" t="s">
        <v>858</v>
      </c>
      <c r="C222" s="140" t="n">
        <v>2021</v>
      </c>
      <c r="D222" s="141" t="n">
        <v>44285</v>
      </c>
      <c r="E222" s="142" t="s">
        <v>859</v>
      </c>
      <c r="F222" s="142" t="s">
        <v>860</v>
      </c>
      <c r="G222" s="66" t="s">
        <v>108</v>
      </c>
      <c r="H222" s="142" t="s">
        <v>589</v>
      </c>
      <c r="I222" s="141" t="n">
        <v>46184</v>
      </c>
      <c r="J222" s="66" t="n">
        <v>6</v>
      </c>
      <c r="K222" s="188" t="s">
        <v>48</v>
      </c>
      <c r="L222" s="144" t="s">
        <v>150</v>
      </c>
      <c r="M222" s="145" t="n">
        <f aca="false">I222-D222</f>
        <v>1899</v>
      </c>
    </row>
    <row r="223" customFormat="false" ht="15" hidden="false" customHeight="true" outlineLevel="0" collapsed="false">
      <c r="A223" s="148" t="n">
        <v>22226</v>
      </c>
      <c r="B223" s="149" t="s">
        <v>861</v>
      </c>
      <c r="C223" s="149" t="n">
        <v>2025</v>
      </c>
      <c r="D223" s="150" t="n">
        <v>45712</v>
      </c>
      <c r="E223" s="151" t="s">
        <v>862</v>
      </c>
      <c r="F223" s="151" t="s">
        <v>863</v>
      </c>
      <c r="G223" s="68" t="s">
        <v>125</v>
      </c>
      <c r="H223" s="151" t="s">
        <v>864</v>
      </c>
      <c r="I223" s="150" t="n">
        <v>46184</v>
      </c>
      <c r="J223" s="68" t="n">
        <v>6</v>
      </c>
      <c r="K223" s="188" t="s">
        <v>49</v>
      </c>
      <c r="L223" s="151" t="s">
        <v>150</v>
      </c>
      <c r="M223" s="152" t="n">
        <f aca="false">I223-D223</f>
        <v>472</v>
      </c>
    </row>
    <row r="224" customFormat="false" ht="15" hidden="false" customHeight="true" outlineLevel="0" collapsed="false">
      <c r="A224" s="139" t="n">
        <v>22326</v>
      </c>
      <c r="B224" s="140" t="s">
        <v>865</v>
      </c>
      <c r="C224" s="140" t="n">
        <v>2025</v>
      </c>
      <c r="D224" s="141" t="n">
        <v>45712</v>
      </c>
      <c r="E224" s="142" t="s">
        <v>866</v>
      </c>
      <c r="F224" s="142" t="s">
        <v>863</v>
      </c>
      <c r="G224" s="66" t="s">
        <v>125</v>
      </c>
      <c r="H224" s="142" t="s">
        <v>684</v>
      </c>
      <c r="I224" s="141" t="n">
        <v>46184</v>
      </c>
      <c r="J224" s="66" t="n">
        <v>6</v>
      </c>
      <c r="K224" s="188" t="s">
        <v>49</v>
      </c>
      <c r="L224" s="142" t="s">
        <v>150</v>
      </c>
      <c r="M224" s="145" t="n">
        <f aca="false">I224-D224</f>
        <v>472</v>
      </c>
    </row>
    <row r="225" customFormat="false" ht="15" hidden="false" customHeight="true" outlineLevel="0" collapsed="false">
      <c r="A225" s="148" t="n">
        <v>22426</v>
      </c>
      <c r="B225" s="149" t="s">
        <v>867</v>
      </c>
      <c r="C225" s="149" t="n">
        <v>2025</v>
      </c>
      <c r="D225" s="150" t="n">
        <v>45708</v>
      </c>
      <c r="E225" s="151" t="s">
        <v>868</v>
      </c>
      <c r="F225" s="151" t="s">
        <v>376</v>
      </c>
      <c r="G225" s="68" t="s">
        <v>130</v>
      </c>
      <c r="H225" s="151" t="s">
        <v>869</v>
      </c>
      <c r="I225" s="150" t="n">
        <v>46184</v>
      </c>
      <c r="J225" s="68" t="n">
        <v>6</v>
      </c>
      <c r="K225" s="188" t="s">
        <v>49</v>
      </c>
      <c r="L225" s="151" t="s">
        <v>150</v>
      </c>
      <c r="M225" s="152" t="n">
        <f aca="false">I225-D225</f>
        <v>476</v>
      </c>
    </row>
    <row r="226" customFormat="false" ht="15" hidden="false" customHeight="true" outlineLevel="0" collapsed="false">
      <c r="A226" s="139" t="n">
        <v>22526</v>
      </c>
      <c r="B226" s="140" t="s">
        <v>870</v>
      </c>
      <c r="C226" s="140" t="n">
        <v>2024</v>
      </c>
      <c r="D226" s="141" t="n">
        <v>45576</v>
      </c>
      <c r="E226" s="142" t="s">
        <v>871</v>
      </c>
      <c r="F226" s="142" t="s">
        <v>872</v>
      </c>
      <c r="G226" s="66" t="s">
        <v>125</v>
      </c>
      <c r="H226" s="142" t="s">
        <v>873</v>
      </c>
      <c r="I226" s="141" t="n">
        <v>46184</v>
      </c>
      <c r="J226" s="66" t="n">
        <v>6</v>
      </c>
      <c r="K226" s="169" t="s">
        <v>290</v>
      </c>
      <c r="L226" s="142" t="s">
        <v>150</v>
      </c>
      <c r="M226" s="145" t="n">
        <f aca="false">I226-D226</f>
        <v>608</v>
      </c>
    </row>
    <row r="227" customFormat="false" ht="15" hidden="false" customHeight="true" outlineLevel="0" collapsed="false">
      <c r="A227" s="148" t="n">
        <v>22626</v>
      </c>
      <c r="B227" s="149" t="s">
        <v>874</v>
      </c>
      <c r="C227" s="149" t="n">
        <v>2025</v>
      </c>
      <c r="D227" s="150" t="n">
        <v>45807</v>
      </c>
      <c r="E227" s="151" t="s">
        <v>875</v>
      </c>
      <c r="F227" s="151" t="s">
        <v>876</v>
      </c>
      <c r="G227" s="68" t="s">
        <v>130</v>
      </c>
      <c r="H227" s="151" t="s">
        <v>877</v>
      </c>
      <c r="I227" s="150" t="n">
        <v>46184</v>
      </c>
      <c r="J227" s="68" t="n">
        <v>6</v>
      </c>
      <c r="K227" s="188" t="s">
        <v>49</v>
      </c>
      <c r="L227" s="151" t="s">
        <v>150</v>
      </c>
      <c r="M227" s="152" t="n">
        <f aca="false">I227-D227</f>
        <v>377</v>
      </c>
    </row>
    <row r="228" customFormat="false" ht="15" hidden="false" customHeight="true" outlineLevel="0" collapsed="false">
      <c r="A228" s="139" t="n">
        <v>22726</v>
      </c>
      <c r="B228" s="140" t="s">
        <v>878</v>
      </c>
      <c r="C228" s="140" t="n">
        <v>2025</v>
      </c>
      <c r="D228" s="141" t="n">
        <v>45902</v>
      </c>
      <c r="E228" s="142" t="s">
        <v>879</v>
      </c>
      <c r="F228" s="142" t="s">
        <v>880</v>
      </c>
      <c r="G228" s="66" t="s">
        <v>130</v>
      </c>
      <c r="H228" s="142" t="s">
        <v>881</v>
      </c>
      <c r="I228" s="141" t="n">
        <v>46184</v>
      </c>
      <c r="J228" s="66" t="n">
        <v>6</v>
      </c>
      <c r="K228" s="188" t="s">
        <v>49</v>
      </c>
      <c r="L228" s="142" t="s">
        <v>150</v>
      </c>
      <c r="M228" s="145" t="n">
        <f aca="false">I228-D228</f>
        <v>282</v>
      </c>
    </row>
    <row r="229" customFormat="false" ht="15" hidden="false" customHeight="true" outlineLevel="0" collapsed="false">
      <c r="A229" s="148" t="n">
        <v>22826</v>
      </c>
      <c r="B229" s="149" t="s">
        <v>882</v>
      </c>
      <c r="C229" s="149" t="n">
        <v>2020</v>
      </c>
      <c r="D229" s="150" t="n">
        <v>43979</v>
      </c>
      <c r="E229" s="151" t="s">
        <v>883</v>
      </c>
      <c r="F229" s="151" t="s">
        <v>790</v>
      </c>
      <c r="G229" s="68" t="s">
        <v>108</v>
      </c>
      <c r="H229" s="151" t="s">
        <v>884</v>
      </c>
      <c r="I229" s="150" t="n">
        <v>46185</v>
      </c>
      <c r="J229" s="68" t="n">
        <v>6</v>
      </c>
      <c r="K229" s="188" t="s">
        <v>48</v>
      </c>
      <c r="L229" s="189" t="s">
        <v>150</v>
      </c>
      <c r="M229" s="152" t="n">
        <f aca="false">I229-D229</f>
        <v>2206</v>
      </c>
    </row>
    <row r="230" customFormat="false" ht="15" hidden="false" customHeight="true" outlineLevel="0" collapsed="false">
      <c r="A230" s="139" t="n">
        <v>22926</v>
      </c>
      <c r="B230" s="140" t="s">
        <v>885</v>
      </c>
      <c r="C230" s="140" t="n">
        <v>2023</v>
      </c>
      <c r="D230" s="141" t="n">
        <v>45091</v>
      </c>
      <c r="E230" s="142" t="s">
        <v>886</v>
      </c>
      <c r="F230" s="142" t="s">
        <v>887</v>
      </c>
      <c r="G230" s="66" t="s">
        <v>108</v>
      </c>
      <c r="H230" s="142" t="s">
        <v>888</v>
      </c>
      <c r="I230" s="141" t="n">
        <v>46185</v>
      </c>
      <c r="J230" s="66" t="n">
        <v>6</v>
      </c>
      <c r="K230" s="188" t="s">
        <v>49</v>
      </c>
      <c r="L230" s="144" t="s">
        <v>150</v>
      </c>
      <c r="M230" s="145" t="n">
        <f aca="false">I230-D230</f>
        <v>1094</v>
      </c>
    </row>
    <row r="231" customFormat="false" ht="15" hidden="false" customHeight="true" outlineLevel="0" collapsed="false">
      <c r="A231" s="148" t="n">
        <v>23026</v>
      </c>
      <c r="B231" s="149" t="s">
        <v>889</v>
      </c>
      <c r="C231" s="149" t="n">
        <v>2021</v>
      </c>
      <c r="D231" s="150" t="n">
        <v>44377</v>
      </c>
      <c r="E231" s="151" t="s">
        <v>890</v>
      </c>
      <c r="F231" s="151" t="s">
        <v>891</v>
      </c>
      <c r="G231" s="68" t="s">
        <v>108</v>
      </c>
      <c r="H231" s="151" t="s">
        <v>892</v>
      </c>
      <c r="I231" s="150" t="n">
        <v>46191</v>
      </c>
      <c r="J231" s="68" t="n">
        <v>6</v>
      </c>
      <c r="K231" s="188" t="s">
        <v>49</v>
      </c>
      <c r="L231" s="151" t="s">
        <v>150</v>
      </c>
      <c r="M231" s="152" t="n">
        <f aca="false">I231-D231</f>
        <v>1814</v>
      </c>
    </row>
    <row r="232" customFormat="false" ht="15" hidden="false" customHeight="true" outlineLevel="0" collapsed="false">
      <c r="A232" s="139" t="n">
        <v>23126</v>
      </c>
      <c r="B232" s="140" t="s">
        <v>893</v>
      </c>
      <c r="C232" s="140" t="n">
        <v>2024</v>
      </c>
      <c r="D232" s="141" t="n">
        <v>45596</v>
      </c>
      <c r="E232" s="142" t="s">
        <v>894</v>
      </c>
      <c r="F232" s="142" t="s">
        <v>895</v>
      </c>
      <c r="G232" s="66" t="s">
        <v>108</v>
      </c>
      <c r="H232" s="142" t="s">
        <v>350</v>
      </c>
      <c r="I232" s="141" t="n">
        <v>46191</v>
      </c>
      <c r="J232" s="66" t="n">
        <v>6</v>
      </c>
      <c r="K232" s="188" t="s">
        <v>49</v>
      </c>
      <c r="L232" s="144" t="s">
        <v>150</v>
      </c>
      <c r="M232" s="145" t="n">
        <f aca="false">I232-D232</f>
        <v>595</v>
      </c>
    </row>
    <row r="233" customFormat="false" ht="15" hidden="false" customHeight="true" outlineLevel="0" collapsed="false">
      <c r="A233" s="148" t="n">
        <v>23226</v>
      </c>
      <c r="B233" s="149" t="s">
        <v>896</v>
      </c>
      <c r="C233" s="149" t="n">
        <v>2025</v>
      </c>
      <c r="D233" s="150" t="n">
        <v>45686</v>
      </c>
      <c r="E233" s="151" t="s">
        <v>897</v>
      </c>
      <c r="F233" s="151" t="s">
        <v>898</v>
      </c>
      <c r="G233" s="68" t="s">
        <v>125</v>
      </c>
      <c r="H233" s="151" t="s">
        <v>899</v>
      </c>
      <c r="I233" s="150" t="n">
        <v>46191</v>
      </c>
      <c r="J233" s="68" t="n">
        <v>6</v>
      </c>
      <c r="K233" s="188" t="s">
        <v>49</v>
      </c>
      <c r="L233" s="151" t="s">
        <v>150</v>
      </c>
      <c r="M233" s="152" t="n">
        <f aca="false">I233-D233</f>
        <v>505</v>
      </c>
    </row>
    <row r="234" customFormat="false" ht="15" hidden="false" customHeight="true" outlineLevel="0" collapsed="false">
      <c r="A234" s="139" t="n">
        <v>23326</v>
      </c>
      <c r="B234" s="140" t="s">
        <v>900</v>
      </c>
      <c r="C234" s="140" t="n">
        <v>2021</v>
      </c>
      <c r="D234" s="141" t="n">
        <v>44538</v>
      </c>
      <c r="E234" s="142" t="s">
        <v>901</v>
      </c>
      <c r="F234" s="142" t="s">
        <v>902</v>
      </c>
      <c r="G234" s="66" t="s">
        <v>108</v>
      </c>
      <c r="H234" s="142" t="s">
        <v>243</v>
      </c>
      <c r="I234" s="141" t="n">
        <v>46191</v>
      </c>
      <c r="J234" s="66" t="n">
        <v>6</v>
      </c>
      <c r="K234" s="188" t="s">
        <v>49</v>
      </c>
      <c r="L234" s="144" t="s">
        <v>150</v>
      </c>
      <c r="M234" s="145" t="n">
        <f aca="false">I234-D234</f>
        <v>1653</v>
      </c>
    </row>
    <row r="235" customFormat="false" ht="15" hidden="false" customHeight="true" outlineLevel="0" collapsed="false">
      <c r="A235" s="148" t="n">
        <v>23426</v>
      </c>
      <c r="B235" s="149" t="s">
        <v>903</v>
      </c>
      <c r="C235" s="149" t="n">
        <v>2021</v>
      </c>
      <c r="D235" s="150" t="n">
        <v>44456</v>
      </c>
      <c r="E235" s="151" t="s">
        <v>904</v>
      </c>
      <c r="F235" s="151" t="s">
        <v>905</v>
      </c>
      <c r="G235" s="68" t="s">
        <v>108</v>
      </c>
      <c r="H235" s="151" t="s">
        <v>243</v>
      </c>
      <c r="I235" s="150" t="n">
        <v>46191</v>
      </c>
      <c r="J235" s="68" t="n">
        <v>6</v>
      </c>
      <c r="K235" s="188" t="s">
        <v>49</v>
      </c>
      <c r="L235" s="189" t="s">
        <v>150</v>
      </c>
      <c r="M235" s="152" t="n">
        <f aca="false">I235-D235</f>
        <v>1735</v>
      </c>
    </row>
    <row r="236" customFormat="false" ht="15" hidden="false" customHeight="true" outlineLevel="0" collapsed="false">
      <c r="A236" s="139" t="n">
        <v>23526</v>
      </c>
      <c r="B236" s="140" t="s">
        <v>906</v>
      </c>
      <c r="C236" s="140" t="n">
        <v>2021</v>
      </c>
      <c r="D236" s="141" t="n">
        <v>44292</v>
      </c>
      <c r="E236" s="142" t="s">
        <v>907</v>
      </c>
      <c r="F236" s="142" t="s">
        <v>908</v>
      </c>
      <c r="G236" s="66" t="s">
        <v>108</v>
      </c>
      <c r="H236" s="142" t="s">
        <v>909</v>
      </c>
      <c r="I236" s="141" t="n">
        <v>46191</v>
      </c>
      <c r="J236" s="66" t="n">
        <v>6</v>
      </c>
      <c r="K236" s="188" t="s">
        <v>48</v>
      </c>
      <c r="L236" s="144" t="s">
        <v>150</v>
      </c>
      <c r="M236" s="145" t="n">
        <f aca="false">I236-D236</f>
        <v>1899</v>
      </c>
    </row>
    <row r="237" customFormat="false" ht="15" hidden="false" customHeight="true" outlineLevel="0" collapsed="false">
      <c r="A237" s="148" t="n">
        <v>23626</v>
      </c>
      <c r="B237" s="149" t="s">
        <v>910</v>
      </c>
      <c r="C237" s="149" t="n">
        <v>2020</v>
      </c>
      <c r="D237" s="150" t="n">
        <v>44162</v>
      </c>
      <c r="E237" s="151" t="s">
        <v>911</v>
      </c>
      <c r="F237" s="151" t="s">
        <v>912</v>
      </c>
      <c r="G237" s="68" t="s">
        <v>108</v>
      </c>
      <c r="H237" s="151" t="s">
        <v>192</v>
      </c>
      <c r="I237" s="150" t="n">
        <v>46191</v>
      </c>
      <c r="J237" s="68" t="n">
        <v>6</v>
      </c>
      <c r="K237" s="188" t="s">
        <v>49</v>
      </c>
      <c r="L237" s="189" t="s">
        <v>150</v>
      </c>
      <c r="M237" s="152" t="n">
        <f aca="false">I237-D237</f>
        <v>2029</v>
      </c>
    </row>
    <row r="238" customFormat="false" ht="15" hidden="false" customHeight="true" outlineLevel="0" collapsed="false">
      <c r="A238" s="139" t="n">
        <v>23726</v>
      </c>
      <c r="B238" s="140" t="s">
        <v>913</v>
      </c>
      <c r="C238" s="140" t="n">
        <v>2026</v>
      </c>
      <c r="D238" s="141" t="n">
        <v>46168</v>
      </c>
      <c r="E238" s="142" t="s">
        <v>914</v>
      </c>
      <c r="F238" s="142" t="s">
        <v>915</v>
      </c>
      <c r="G238" s="66" t="s">
        <v>108</v>
      </c>
      <c r="H238" s="142" t="s">
        <v>916</v>
      </c>
      <c r="I238" s="141" t="n">
        <v>46198</v>
      </c>
      <c r="J238" s="66" t="n">
        <v>6</v>
      </c>
      <c r="K238" s="188" t="s">
        <v>49</v>
      </c>
      <c r="L238" s="142" t="s">
        <v>150</v>
      </c>
      <c r="M238" s="145" t="n">
        <f aca="false">I238-D238</f>
        <v>30</v>
      </c>
    </row>
    <row r="239" customFormat="false" ht="15" hidden="false" customHeight="true" outlineLevel="0" collapsed="false">
      <c r="A239" s="148" t="n">
        <v>23826</v>
      </c>
      <c r="B239" s="149" t="s">
        <v>917</v>
      </c>
      <c r="C239" s="149" t="n">
        <v>2026</v>
      </c>
      <c r="D239" s="150" t="n">
        <v>46168</v>
      </c>
      <c r="E239" s="151" t="s">
        <v>918</v>
      </c>
      <c r="F239" s="151" t="s">
        <v>138</v>
      </c>
      <c r="G239" s="68" t="s">
        <v>108</v>
      </c>
      <c r="H239" s="151" t="s">
        <v>919</v>
      </c>
      <c r="I239" s="150" t="n">
        <v>46198</v>
      </c>
      <c r="J239" s="68" t="n">
        <v>6</v>
      </c>
      <c r="K239" s="188" t="s">
        <v>49</v>
      </c>
      <c r="L239" s="151" t="s">
        <v>150</v>
      </c>
      <c r="M239" s="152" t="n">
        <f aca="false">I239-D239</f>
        <v>30</v>
      </c>
    </row>
    <row r="240" customFormat="false" ht="15" hidden="false" customHeight="true" outlineLevel="0" collapsed="false">
      <c r="A240" s="139" t="n">
        <v>23926</v>
      </c>
      <c r="B240" s="140" t="s">
        <v>920</v>
      </c>
      <c r="C240" s="140" t="n">
        <v>2024</v>
      </c>
      <c r="D240" s="141" t="n">
        <v>45625</v>
      </c>
      <c r="E240" s="142" t="s">
        <v>921</v>
      </c>
      <c r="F240" s="142" t="s">
        <v>922</v>
      </c>
      <c r="G240" s="66" t="s">
        <v>108</v>
      </c>
      <c r="H240" s="142" t="s">
        <v>573</v>
      </c>
      <c r="I240" s="141" t="n">
        <v>46198</v>
      </c>
      <c r="J240" s="66" t="n">
        <v>6</v>
      </c>
      <c r="K240" s="188" t="s">
        <v>49</v>
      </c>
      <c r="L240" s="144" t="s">
        <v>150</v>
      </c>
      <c r="M240" s="145" t="n">
        <f aca="false">I240-D240</f>
        <v>573</v>
      </c>
    </row>
    <row r="241" customFormat="false" ht="15" hidden="false" customHeight="true" outlineLevel="0" collapsed="false">
      <c r="A241" s="148" t="n">
        <v>24026</v>
      </c>
      <c r="B241" s="149" t="s">
        <v>923</v>
      </c>
      <c r="C241" s="149" t="n">
        <v>2021</v>
      </c>
      <c r="D241" s="150" t="n">
        <v>44476</v>
      </c>
      <c r="E241" s="151" t="s">
        <v>924</v>
      </c>
      <c r="F241" s="151" t="s">
        <v>238</v>
      </c>
      <c r="G241" s="68" t="s">
        <v>108</v>
      </c>
      <c r="H241" s="151" t="s">
        <v>139</v>
      </c>
      <c r="I241" s="150" t="n">
        <v>46198</v>
      </c>
      <c r="J241" s="68" t="n">
        <v>6</v>
      </c>
      <c r="K241" s="188" t="s">
        <v>49</v>
      </c>
      <c r="L241" s="151" t="s">
        <v>150</v>
      </c>
      <c r="M241" s="152" t="n">
        <f aca="false">I241-D241</f>
        <v>1722</v>
      </c>
    </row>
    <row r="242" customFormat="false" ht="15" hidden="false" customHeight="true" outlineLevel="0" collapsed="false">
      <c r="A242" s="139" t="n">
        <v>24126</v>
      </c>
      <c r="B242" s="140" t="s">
        <v>925</v>
      </c>
      <c r="C242" s="140" t="n">
        <v>2022</v>
      </c>
      <c r="D242" s="141" t="n">
        <v>44610</v>
      </c>
      <c r="E242" s="142" t="s">
        <v>926</v>
      </c>
      <c r="F242" s="142" t="s">
        <v>777</v>
      </c>
      <c r="G242" s="66" t="s">
        <v>108</v>
      </c>
      <c r="H242" s="142" t="s">
        <v>139</v>
      </c>
      <c r="I242" s="141" t="n">
        <v>46198</v>
      </c>
      <c r="J242" s="66" t="n">
        <v>6</v>
      </c>
      <c r="K242" s="188" t="s">
        <v>49</v>
      </c>
      <c r="L242" s="144" t="s">
        <v>150</v>
      </c>
      <c r="M242" s="145" t="n">
        <f aca="false">I242-D242</f>
        <v>1588</v>
      </c>
    </row>
    <row r="243" customFormat="false" ht="15" hidden="false" customHeight="true" outlineLevel="0" collapsed="false">
      <c r="A243" s="148" t="n">
        <v>24226</v>
      </c>
      <c r="B243" s="149" t="s">
        <v>927</v>
      </c>
      <c r="C243" s="149" t="n">
        <v>2022</v>
      </c>
      <c r="D243" s="150" t="n">
        <v>44741</v>
      </c>
      <c r="E243" s="151" t="s">
        <v>928</v>
      </c>
      <c r="F243" s="151" t="s">
        <v>929</v>
      </c>
      <c r="G243" s="68" t="s">
        <v>108</v>
      </c>
      <c r="H243" s="151" t="s">
        <v>119</v>
      </c>
      <c r="I243" s="150" t="n">
        <v>46198</v>
      </c>
      <c r="J243" s="68" t="n">
        <v>6</v>
      </c>
      <c r="K243" s="188" t="s">
        <v>48</v>
      </c>
      <c r="L243" s="189" t="s">
        <v>150</v>
      </c>
      <c r="M243" s="152" t="n">
        <f aca="false">I243-D243</f>
        <v>1457</v>
      </c>
    </row>
    <row r="244" customFormat="false" ht="15" hidden="false" customHeight="true" outlineLevel="0" collapsed="false">
      <c r="A244" s="139" t="n">
        <v>24326</v>
      </c>
      <c r="B244" s="140" t="s">
        <v>930</v>
      </c>
      <c r="C244" s="140" t="n">
        <v>2023</v>
      </c>
      <c r="D244" s="141" t="n">
        <v>45118</v>
      </c>
      <c r="E244" s="142" t="s">
        <v>931</v>
      </c>
      <c r="F244" s="142" t="s">
        <v>699</v>
      </c>
      <c r="G244" s="66" t="s">
        <v>108</v>
      </c>
      <c r="H244" s="142" t="s">
        <v>706</v>
      </c>
      <c r="I244" s="141" t="n">
        <v>46198</v>
      </c>
      <c r="J244" s="66" t="n">
        <v>6</v>
      </c>
      <c r="K244" s="188" t="s">
        <v>49</v>
      </c>
      <c r="L244" s="142" t="s">
        <v>150</v>
      </c>
      <c r="M244" s="145" t="n">
        <f aca="false">I244-D244</f>
        <v>1080</v>
      </c>
    </row>
    <row r="245" customFormat="false" ht="15" hidden="false" customHeight="true" outlineLevel="0" collapsed="false">
      <c r="A245" s="148" t="n">
        <v>24426</v>
      </c>
      <c r="B245" s="149" t="s">
        <v>932</v>
      </c>
      <c r="C245" s="149" t="n">
        <v>2025</v>
      </c>
      <c r="D245" s="150" t="n">
        <v>45854</v>
      </c>
      <c r="E245" s="151" t="s">
        <v>933</v>
      </c>
      <c r="F245" s="151" t="s">
        <v>934</v>
      </c>
      <c r="G245" s="68" t="s">
        <v>125</v>
      </c>
      <c r="H245" s="151" t="s">
        <v>935</v>
      </c>
      <c r="I245" s="150" t="n">
        <v>46198</v>
      </c>
      <c r="J245" s="68" t="n">
        <v>6</v>
      </c>
      <c r="K245" s="188" t="s">
        <v>49</v>
      </c>
      <c r="L245" s="151" t="s">
        <v>150</v>
      </c>
      <c r="M245" s="152" t="n">
        <f aca="false">I245-D245</f>
        <v>344</v>
      </c>
    </row>
    <row r="246" customFormat="false" ht="15" hidden="false" customHeight="true" outlineLevel="0" collapsed="false">
      <c r="A246" s="139" t="n">
        <v>24526</v>
      </c>
      <c r="B246" s="140" t="s">
        <v>936</v>
      </c>
      <c r="C246" s="140" t="n">
        <v>2022</v>
      </c>
      <c r="D246" s="141" t="n">
        <v>44914</v>
      </c>
      <c r="E246" s="142" t="s">
        <v>937</v>
      </c>
      <c r="F246" s="142" t="s">
        <v>938</v>
      </c>
      <c r="G246" s="66" t="s">
        <v>115</v>
      </c>
      <c r="H246" s="142" t="s">
        <v>453</v>
      </c>
      <c r="I246" s="141" t="n">
        <v>46198</v>
      </c>
      <c r="J246" s="66" t="n">
        <v>6</v>
      </c>
      <c r="K246" s="188" t="s">
        <v>48</v>
      </c>
      <c r="L246" s="144" t="s">
        <v>150</v>
      </c>
      <c r="M246" s="145" t="n">
        <f aca="false">I246-D246</f>
        <v>1284</v>
      </c>
    </row>
    <row r="247" customFormat="false" ht="15" hidden="false" customHeight="true" outlineLevel="0" collapsed="false">
      <c r="A247" s="148" t="n">
        <v>24626</v>
      </c>
      <c r="B247" s="149" t="s">
        <v>939</v>
      </c>
      <c r="C247" s="149" t="n">
        <v>2024</v>
      </c>
      <c r="D247" s="150" t="n">
        <v>45378</v>
      </c>
      <c r="E247" s="151" t="s">
        <v>940</v>
      </c>
      <c r="F247" s="151" t="s">
        <v>941</v>
      </c>
      <c r="G247" s="68" t="s">
        <v>108</v>
      </c>
      <c r="H247" s="151" t="s">
        <v>589</v>
      </c>
      <c r="I247" s="150" t="n">
        <v>46198</v>
      </c>
      <c r="J247" s="68" t="n">
        <v>6</v>
      </c>
      <c r="K247" s="188" t="s">
        <v>48</v>
      </c>
      <c r="L247" s="189" t="s">
        <v>150</v>
      </c>
      <c r="M247" s="152" t="n">
        <f aca="false">I247-D247</f>
        <v>820</v>
      </c>
    </row>
    <row r="248" customFormat="false" ht="15" hidden="false" customHeight="true" outlineLevel="0" collapsed="false">
      <c r="A248" s="139" t="n">
        <v>24726</v>
      </c>
      <c r="B248" s="140" t="s">
        <v>942</v>
      </c>
      <c r="C248" s="140" t="n">
        <v>2025</v>
      </c>
      <c r="D248" s="141" t="n">
        <v>45727</v>
      </c>
      <c r="E248" s="142" t="s">
        <v>943</v>
      </c>
      <c r="F248" s="142" t="s">
        <v>944</v>
      </c>
      <c r="G248" s="66" t="s">
        <v>125</v>
      </c>
      <c r="H248" s="142" t="s">
        <v>945</v>
      </c>
      <c r="I248" s="141" t="n">
        <v>46199</v>
      </c>
      <c r="J248" s="66" t="n">
        <v>6</v>
      </c>
      <c r="K248" s="188" t="s">
        <v>49</v>
      </c>
      <c r="L248" s="142" t="s">
        <v>150</v>
      </c>
      <c r="M248" s="145" t="n">
        <f aca="false">I248-D248</f>
        <v>472</v>
      </c>
    </row>
    <row r="249" customFormat="false" ht="15" hidden="false" customHeight="true" outlineLevel="0" collapsed="false">
      <c r="A249" s="148" t="n">
        <v>24826</v>
      </c>
      <c r="B249" s="149" t="s">
        <v>946</v>
      </c>
      <c r="C249" s="149" t="n">
        <v>2024</v>
      </c>
      <c r="D249" s="150" t="n">
        <v>45583</v>
      </c>
      <c r="E249" s="151" t="s">
        <v>947</v>
      </c>
      <c r="F249" s="151" t="s">
        <v>449</v>
      </c>
      <c r="G249" s="68" t="s">
        <v>108</v>
      </c>
      <c r="H249" s="151" t="s">
        <v>948</v>
      </c>
      <c r="I249" s="150" t="n">
        <v>46199</v>
      </c>
      <c r="J249" s="68" t="n">
        <v>6</v>
      </c>
      <c r="K249" s="188" t="s">
        <v>48</v>
      </c>
      <c r="L249" s="189" t="s">
        <v>150</v>
      </c>
      <c r="M249" s="152" t="n">
        <f aca="false">I249-D249</f>
        <v>616</v>
      </c>
    </row>
    <row r="250" customFormat="false" ht="15" hidden="false" customHeight="true" outlineLevel="0" collapsed="false">
      <c r="A250" s="139" t="n">
        <v>24926</v>
      </c>
      <c r="B250" s="140" t="s">
        <v>949</v>
      </c>
      <c r="C250" s="140" t="n">
        <v>2023</v>
      </c>
      <c r="D250" s="141" t="n">
        <v>45194</v>
      </c>
      <c r="E250" s="142" t="s">
        <v>950</v>
      </c>
      <c r="F250" s="142" t="s">
        <v>238</v>
      </c>
      <c r="G250" s="66" t="s">
        <v>108</v>
      </c>
      <c r="H250" s="142" t="s">
        <v>573</v>
      </c>
      <c r="I250" s="141" t="n">
        <v>46199</v>
      </c>
      <c r="J250" s="66" t="n">
        <v>6</v>
      </c>
      <c r="K250" s="188" t="s">
        <v>48</v>
      </c>
      <c r="L250" s="142" t="s">
        <v>150</v>
      </c>
      <c r="M250" s="145" t="n">
        <f aca="false">I250-D250</f>
        <v>1005</v>
      </c>
    </row>
    <row r="251" customFormat="false" ht="15" hidden="false" customHeight="true" outlineLevel="0" collapsed="false">
      <c r="A251" s="148" t="n">
        <v>25026</v>
      </c>
      <c r="B251" s="149" t="s">
        <v>951</v>
      </c>
      <c r="C251" s="149" t="n">
        <v>2025</v>
      </c>
      <c r="D251" s="150" t="n">
        <v>45730</v>
      </c>
      <c r="E251" s="151" t="s">
        <v>952</v>
      </c>
      <c r="F251" s="151" t="s">
        <v>953</v>
      </c>
      <c r="G251" s="68" t="s">
        <v>130</v>
      </c>
      <c r="H251" s="151" t="s">
        <v>954</v>
      </c>
      <c r="I251" s="150" t="n">
        <v>46199</v>
      </c>
      <c r="J251" s="68" t="n">
        <v>6</v>
      </c>
      <c r="K251" s="188" t="s">
        <v>49</v>
      </c>
      <c r="L251" s="151" t="s">
        <v>150</v>
      </c>
      <c r="M251" s="152" t="n">
        <f aca="false">I251-D251</f>
        <v>469</v>
      </c>
    </row>
    <row r="252" customFormat="false" ht="15" hidden="false" customHeight="true" outlineLevel="0" collapsed="false">
      <c r="A252" s="139" t="n">
        <v>25126</v>
      </c>
      <c r="B252" s="140" t="s">
        <v>955</v>
      </c>
      <c r="C252" s="140" t="n">
        <v>2024</v>
      </c>
      <c r="D252" s="141" t="n">
        <v>45412</v>
      </c>
      <c r="E252" s="142" t="s">
        <v>956</v>
      </c>
      <c r="F252" s="142" t="s">
        <v>957</v>
      </c>
      <c r="G252" s="66" t="s">
        <v>108</v>
      </c>
      <c r="H252" s="142" t="s">
        <v>250</v>
      </c>
      <c r="I252" s="141" t="n">
        <v>46199</v>
      </c>
      <c r="J252" s="66" t="n">
        <v>6</v>
      </c>
      <c r="K252" s="188" t="s">
        <v>48</v>
      </c>
      <c r="L252" s="142" t="s">
        <v>150</v>
      </c>
      <c r="M252" s="145" t="n">
        <f aca="false">I252-D252</f>
        <v>787</v>
      </c>
    </row>
    <row r="253" customFormat="false" ht="15" hidden="false" customHeight="true" outlineLevel="0" collapsed="false">
      <c r="A253" s="148" t="n">
        <v>25226</v>
      </c>
      <c r="B253" s="149" t="s">
        <v>958</v>
      </c>
      <c r="C253" s="149" t="n">
        <v>2024</v>
      </c>
      <c r="D253" s="150" t="n">
        <v>45562</v>
      </c>
      <c r="E253" s="151" t="s">
        <v>959</v>
      </c>
      <c r="F253" s="151" t="s">
        <v>960</v>
      </c>
      <c r="G253" s="68" t="s">
        <v>144</v>
      </c>
      <c r="H253" s="151" t="s">
        <v>961</v>
      </c>
      <c r="I253" s="150" t="n">
        <v>46199</v>
      </c>
      <c r="J253" s="68" t="n">
        <v>6</v>
      </c>
      <c r="K253" s="169" t="s">
        <v>290</v>
      </c>
      <c r="L253" s="151" t="s">
        <v>150</v>
      </c>
      <c r="M253" s="152" t="n">
        <f aca="false">I253-D253</f>
        <v>637</v>
      </c>
    </row>
    <row r="254" customFormat="false" ht="15" hidden="false" customHeight="true" outlineLevel="0" collapsed="false">
      <c r="A254" s="139" t="n">
        <v>25326</v>
      </c>
      <c r="B254" s="140" t="s">
        <v>962</v>
      </c>
      <c r="C254" s="140" t="n">
        <v>2022</v>
      </c>
      <c r="D254" s="141" t="n">
        <v>44712</v>
      </c>
      <c r="E254" s="142" t="s">
        <v>963</v>
      </c>
      <c r="F254" s="142" t="s">
        <v>773</v>
      </c>
      <c r="G254" s="66" t="s">
        <v>108</v>
      </c>
      <c r="H254" s="142" t="s">
        <v>573</v>
      </c>
      <c r="I254" s="141" t="n">
        <v>46202</v>
      </c>
      <c r="J254" s="66" t="n">
        <v>6</v>
      </c>
      <c r="K254" s="188" t="s">
        <v>49</v>
      </c>
      <c r="L254" s="142" t="s">
        <v>150</v>
      </c>
      <c r="M254" s="145" t="n">
        <f aca="false">I254-D254</f>
        <v>1490</v>
      </c>
    </row>
    <row r="255" customFormat="false" ht="12.75" hidden="false" customHeight="true" outlineLevel="0" collapsed="false">
      <c r="A255" s="148" t="n">
        <v>25426</v>
      </c>
      <c r="B255" s="149" t="s">
        <v>964</v>
      </c>
      <c r="C255" s="149" t="n">
        <v>2023</v>
      </c>
      <c r="D255" s="150" t="n">
        <v>45173</v>
      </c>
      <c r="E255" s="151" t="s">
        <v>965</v>
      </c>
      <c r="F255" s="151" t="s">
        <v>164</v>
      </c>
      <c r="G255" s="68" t="s">
        <v>108</v>
      </c>
      <c r="H255" s="151" t="s">
        <v>522</v>
      </c>
      <c r="I255" s="150" t="n">
        <v>46202</v>
      </c>
      <c r="J255" s="68" t="n">
        <v>6</v>
      </c>
      <c r="K255" s="163" t="s">
        <v>46</v>
      </c>
      <c r="L255" s="151" t="s">
        <v>150</v>
      </c>
      <c r="M255" s="152" t="n">
        <f aca="false">I255-D255</f>
        <v>1029</v>
      </c>
    </row>
    <row r="256" customFormat="false" ht="15" hidden="false" customHeight="true" outlineLevel="0" collapsed="false">
      <c r="A256" s="139" t="n">
        <v>25526</v>
      </c>
      <c r="B256" s="140" t="s">
        <v>966</v>
      </c>
      <c r="C256" s="140" t="n">
        <v>2021</v>
      </c>
      <c r="D256" s="141" t="n">
        <v>44532</v>
      </c>
      <c r="E256" s="142" t="s">
        <v>967</v>
      </c>
      <c r="F256" s="142" t="s">
        <v>537</v>
      </c>
      <c r="G256" s="66" t="s">
        <v>108</v>
      </c>
      <c r="H256" s="142" t="s">
        <v>968</v>
      </c>
      <c r="I256" s="141" t="n">
        <v>46202</v>
      </c>
      <c r="J256" s="66" t="n">
        <v>6</v>
      </c>
      <c r="K256" s="188" t="s">
        <v>49</v>
      </c>
      <c r="L256" s="142" t="s">
        <v>150</v>
      </c>
      <c r="M256" s="145" t="n">
        <f aca="false">I256-D256</f>
        <v>1670</v>
      </c>
    </row>
    <row r="257" customFormat="false" ht="15" hidden="false" customHeight="true" outlineLevel="0" collapsed="false">
      <c r="A257" s="148" t="n">
        <v>25626</v>
      </c>
      <c r="B257" s="149" t="s">
        <v>969</v>
      </c>
      <c r="C257" s="149" t="n">
        <v>2021</v>
      </c>
      <c r="D257" s="157" t="n">
        <v>44379</v>
      </c>
      <c r="E257" s="151" t="s">
        <v>970</v>
      </c>
      <c r="F257" s="151" t="s">
        <v>971</v>
      </c>
      <c r="G257" s="68" t="s">
        <v>108</v>
      </c>
      <c r="H257" s="151" t="s">
        <v>972</v>
      </c>
      <c r="I257" s="150" t="n">
        <v>46202</v>
      </c>
      <c r="J257" s="68" t="n">
        <v>6</v>
      </c>
      <c r="K257" s="188" t="s">
        <v>49</v>
      </c>
      <c r="L257" s="189" t="s">
        <v>150</v>
      </c>
      <c r="M257" s="152" t="n">
        <f aca="false">I257-D257</f>
        <v>1823</v>
      </c>
    </row>
    <row r="258" customFormat="false" ht="15" hidden="false" customHeight="true" outlineLevel="0" collapsed="false">
      <c r="A258" s="139" t="n">
        <v>25726</v>
      </c>
      <c r="B258" s="140" t="s">
        <v>973</v>
      </c>
      <c r="C258" s="140" t="n">
        <v>2021</v>
      </c>
      <c r="D258" s="141" t="n">
        <v>44364</v>
      </c>
      <c r="E258" s="142" t="s">
        <v>974</v>
      </c>
      <c r="F258" s="142" t="s">
        <v>446</v>
      </c>
      <c r="G258" s="66" t="s">
        <v>108</v>
      </c>
      <c r="H258" s="142" t="s">
        <v>972</v>
      </c>
      <c r="I258" s="141" t="n">
        <v>46202</v>
      </c>
      <c r="J258" s="66" t="n">
        <v>6</v>
      </c>
      <c r="K258" s="188" t="s">
        <v>49</v>
      </c>
      <c r="L258" s="142" t="s">
        <v>150</v>
      </c>
      <c r="M258" s="145" t="n">
        <f aca="false">I258-D258</f>
        <v>1838</v>
      </c>
    </row>
    <row r="259" customFormat="false" ht="15" hidden="false" customHeight="true" outlineLevel="0" collapsed="false">
      <c r="A259" s="148" t="n">
        <v>25826</v>
      </c>
      <c r="B259" s="149" t="s">
        <v>975</v>
      </c>
      <c r="C259" s="149" t="n">
        <v>2021</v>
      </c>
      <c r="D259" s="150" t="n">
        <v>44364</v>
      </c>
      <c r="E259" s="151" t="s">
        <v>976</v>
      </c>
      <c r="F259" s="151" t="s">
        <v>446</v>
      </c>
      <c r="G259" s="68" t="s">
        <v>108</v>
      </c>
      <c r="H259" s="151" t="s">
        <v>972</v>
      </c>
      <c r="I259" s="150" t="n">
        <v>46202</v>
      </c>
      <c r="J259" s="68" t="n">
        <v>6</v>
      </c>
      <c r="K259" s="188" t="s">
        <v>49</v>
      </c>
      <c r="L259" s="189" t="s">
        <v>150</v>
      </c>
      <c r="M259" s="152" t="n">
        <f aca="false">I259-D259</f>
        <v>1838</v>
      </c>
    </row>
    <row r="260" customFormat="false" ht="15" hidden="false" customHeight="true" outlineLevel="0" collapsed="false">
      <c r="A260" s="139" t="n">
        <v>25926</v>
      </c>
      <c r="B260" s="140" t="s">
        <v>977</v>
      </c>
      <c r="C260" s="140" t="n">
        <v>2024</v>
      </c>
      <c r="D260" s="141" t="n">
        <v>45566</v>
      </c>
      <c r="E260" s="142" t="s">
        <v>978</v>
      </c>
      <c r="F260" s="142" t="s">
        <v>979</v>
      </c>
      <c r="G260" s="66" t="s">
        <v>125</v>
      </c>
      <c r="H260" s="142" t="s">
        <v>980</v>
      </c>
      <c r="I260" s="141" t="n">
        <v>46204</v>
      </c>
      <c r="J260" s="66" t="n">
        <v>7</v>
      </c>
      <c r="K260" s="188" t="s">
        <v>49</v>
      </c>
      <c r="L260" s="142" t="s">
        <v>150</v>
      </c>
      <c r="M260" s="145" t="n">
        <f aca="false">I260-D260</f>
        <v>638</v>
      </c>
    </row>
    <row r="261" customFormat="false" ht="15" hidden="false" customHeight="true" outlineLevel="0" collapsed="false">
      <c r="A261" s="148" t="n">
        <v>26026</v>
      </c>
      <c r="B261" s="149" t="s">
        <v>981</v>
      </c>
      <c r="C261" s="149" t="n">
        <v>2022</v>
      </c>
      <c r="D261" s="150" t="n">
        <v>44607</v>
      </c>
      <c r="E261" s="151" t="s">
        <v>982</v>
      </c>
      <c r="F261" s="151" t="s">
        <v>211</v>
      </c>
      <c r="G261" s="68" t="s">
        <v>108</v>
      </c>
      <c r="H261" s="151" t="s">
        <v>580</v>
      </c>
      <c r="I261" s="150" t="n">
        <v>46216</v>
      </c>
      <c r="J261" s="68" t="n">
        <v>7</v>
      </c>
      <c r="K261" s="188" t="s">
        <v>49</v>
      </c>
      <c r="L261" s="189" t="s">
        <v>150</v>
      </c>
      <c r="M261" s="152" t="n">
        <f aca="false">I261-D261</f>
        <v>1609</v>
      </c>
    </row>
    <row r="262" customFormat="false" ht="15" hidden="false" customHeight="true" outlineLevel="0" collapsed="false">
      <c r="A262" s="139" t="n">
        <v>26126</v>
      </c>
      <c r="B262" s="140" t="s">
        <v>983</v>
      </c>
      <c r="C262" s="140" t="n">
        <v>2021</v>
      </c>
      <c r="D262" s="141" t="n">
        <v>44505</v>
      </c>
      <c r="E262" s="142" t="s">
        <v>984</v>
      </c>
      <c r="F262" s="142" t="s">
        <v>985</v>
      </c>
      <c r="G262" s="66" t="s">
        <v>108</v>
      </c>
      <c r="H262" s="142" t="s">
        <v>570</v>
      </c>
      <c r="I262" s="141" t="n">
        <v>46217</v>
      </c>
      <c r="J262" s="66" t="n">
        <v>7</v>
      </c>
      <c r="K262" s="188" t="s">
        <v>48</v>
      </c>
      <c r="L262" s="142" t="s">
        <v>150</v>
      </c>
      <c r="M262" s="145" t="n">
        <f aca="false">I262-D262</f>
        <v>1712</v>
      </c>
    </row>
    <row r="263" customFormat="false" ht="15" hidden="false" customHeight="true" outlineLevel="0" collapsed="false">
      <c r="A263" s="148" t="n">
        <v>26226</v>
      </c>
      <c r="B263" s="149" t="s">
        <v>986</v>
      </c>
      <c r="C263" s="149" t="n">
        <v>2021</v>
      </c>
      <c r="D263" s="150" t="n">
        <v>44412</v>
      </c>
      <c r="E263" s="151" t="s">
        <v>987</v>
      </c>
      <c r="F263" s="151" t="s">
        <v>191</v>
      </c>
      <c r="G263" s="68" t="s">
        <v>108</v>
      </c>
      <c r="H263" s="151" t="s">
        <v>570</v>
      </c>
      <c r="I263" s="150" t="n">
        <v>46217</v>
      </c>
      <c r="J263" s="68" t="n">
        <v>7</v>
      </c>
      <c r="K263" s="188" t="s">
        <v>49</v>
      </c>
      <c r="L263" s="189" t="s">
        <v>150</v>
      </c>
      <c r="M263" s="152" t="n">
        <f aca="false">I263-D263</f>
        <v>1805</v>
      </c>
    </row>
    <row r="264" customFormat="false" ht="15" hidden="false" customHeight="true" outlineLevel="0" collapsed="false">
      <c r="A264" s="139" t="n">
        <v>26326</v>
      </c>
      <c r="B264" s="140" t="s">
        <v>988</v>
      </c>
      <c r="C264" s="140" t="n">
        <v>2022</v>
      </c>
      <c r="D264" s="141" t="n">
        <v>44837</v>
      </c>
      <c r="E264" s="142" t="s">
        <v>989</v>
      </c>
      <c r="F264" s="142" t="s">
        <v>990</v>
      </c>
      <c r="G264" s="66" t="s">
        <v>108</v>
      </c>
      <c r="H264" s="142" t="s">
        <v>991</v>
      </c>
      <c r="I264" s="141" t="n">
        <v>46217</v>
      </c>
      <c r="J264" s="66" t="n">
        <v>7</v>
      </c>
      <c r="K264" s="188" t="s">
        <v>49</v>
      </c>
      <c r="L264" s="142" t="s">
        <v>150</v>
      </c>
      <c r="M264" s="145" t="n">
        <f aca="false">I264-D264</f>
        <v>1380</v>
      </c>
    </row>
    <row r="265" customFormat="false" ht="15" hidden="false" customHeight="true" outlineLevel="0" collapsed="false">
      <c r="A265" s="148" t="n">
        <v>26426</v>
      </c>
      <c r="B265" s="149" t="s">
        <v>992</v>
      </c>
      <c r="C265" s="149" t="n">
        <v>2021</v>
      </c>
      <c r="D265" s="150" t="n">
        <v>44543</v>
      </c>
      <c r="E265" s="151" t="s">
        <v>993</v>
      </c>
      <c r="F265" s="151" t="s">
        <v>994</v>
      </c>
      <c r="G265" s="68" t="s">
        <v>108</v>
      </c>
      <c r="H265" s="151" t="s">
        <v>995</v>
      </c>
      <c r="I265" s="150" t="n">
        <v>46217</v>
      </c>
      <c r="J265" s="68" t="n">
        <v>7</v>
      </c>
      <c r="K265" s="188" t="s">
        <v>49</v>
      </c>
      <c r="L265" s="189" t="s">
        <v>150</v>
      </c>
      <c r="M265" s="152" t="n">
        <f aca="false">I265-D265</f>
        <v>1674</v>
      </c>
    </row>
    <row r="266" customFormat="false" ht="15" hidden="false" customHeight="true" outlineLevel="0" collapsed="false">
      <c r="A266" s="139" t="n">
        <v>26526</v>
      </c>
      <c r="B266" s="140" t="s">
        <v>996</v>
      </c>
      <c r="C266" s="140" t="n">
        <v>2021</v>
      </c>
      <c r="D266" s="141" t="n">
        <v>44377</v>
      </c>
      <c r="E266" s="142" t="s">
        <v>997</v>
      </c>
      <c r="F266" s="142" t="s">
        <v>998</v>
      </c>
      <c r="G266" s="66" t="s">
        <v>108</v>
      </c>
      <c r="H266" s="142" t="s">
        <v>243</v>
      </c>
      <c r="I266" s="141" t="n">
        <v>46217</v>
      </c>
      <c r="J266" s="66" t="n">
        <v>7</v>
      </c>
      <c r="K266" s="188" t="s">
        <v>49</v>
      </c>
      <c r="L266" s="142" t="s">
        <v>150</v>
      </c>
      <c r="M266" s="145" t="n">
        <f aca="false">I266-D266</f>
        <v>1840</v>
      </c>
    </row>
    <row r="267" customFormat="false" ht="15" hidden="false" customHeight="true" outlineLevel="0" collapsed="false">
      <c r="A267" s="148" t="n">
        <v>26626</v>
      </c>
      <c r="B267" s="149" t="s">
        <v>999</v>
      </c>
      <c r="C267" s="149" t="n">
        <v>2025</v>
      </c>
      <c r="D267" s="150" t="n">
        <v>45951</v>
      </c>
      <c r="E267" s="151" t="s">
        <v>1000</v>
      </c>
      <c r="F267" s="151" t="s">
        <v>1001</v>
      </c>
      <c r="G267" s="68" t="s">
        <v>130</v>
      </c>
      <c r="H267" s="151" t="s">
        <v>1002</v>
      </c>
      <c r="I267" s="150" t="n">
        <v>46217</v>
      </c>
      <c r="J267" s="68" t="n">
        <v>7</v>
      </c>
      <c r="K267" s="188" t="s">
        <v>49</v>
      </c>
      <c r="L267" s="151" t="s">
        <v>150</v>
      </c>
      <c r="M267" s="152" t="n">
        <f aca="false">I267-D267</f>
        <v>266</v>
      </c>
    </row>
    <row r="268" customFormat="false" ht="15" hidden="false" customHeight="true" outlineLevel="0" collapsed="false">
      <c r="A268" s="139" t="n">
        <v>26726</v>
      </c>
      <c r="B268" s="140" t="s">
        <v>1003</v>
      </c>
      <c r="C268" s="140" t="n">
        <v>2023</v>
      </c>
      <c r="D268" s="141" t="n">
        <v>45118</v>
      </c>
      <c r="E268" s="142" t="s">
        <v>1004</v>
      </c>
      <c r="F268" s="142" t="s">
        <v>1005</v>
      </c>
      <c r="G268" s="66" t="s">
        <v>144</v>
      </c>
      <c r="H268" s="142" t="s">
        <v>1006</v>
      </c>
      <c r="I268" s="141" t="n">
        <v>46217</v>
      </c>
      <c r="J268" s="66" t="n">
        <v>7</v>
      </c>
      <c r="K268" s="188" t="s">
        <v>48</v>
      </c>
      <c r="L268" s="142" t="s">
        <v>150</v>
      </c>
      <c r="M268" s="145" t="n">
        <f aca="false">I268-D268</f>
        <v>1099</v>
      </c>
    </row>
    <row r="269" customFormat="false" ht="15" hidden="false" customHeight="true" outlineLevel="0" collapsed="false">
      <c r="A269" s="148" t="n">
        <v>26826</v>
      </c>
      <c r="B269" s="149" t="s">
        <v>1007</v>
      </c>
      <c r="C269" s="149" t="n">
        <v>2021</v>
      </c>
      <c r="D269" s="150" t="n">
        <v>44319</v>
      </c>
      <c r="E269" s="151" t="s">
        <v>1008</v>
      </c>
      <c r="F269" s="151" t="s">
        <v>689</v>
      </c>
      <c r="G269" s="68" t="s">
        <v>108</v>
      </c>
      <c r="H269" s="151" t="s">
        <v>909</v>
      </c>
      <c r="I269" s="150" t="n">
        <v>46217</v>
      </c>
      <c r="J269" s="68" t="n">
        <v>7</v>
      </c>
      <c r="K269" s="188" t="s">
        <v>49</v>
      </c>
      <c r="L269" s="189" t="s">
        <v>150</v>
      </c>
      <c r="M269" s="152" t="n">
        <f aca="false">I269-D269</f>
        <v>1898</v>
      </c>
    </row>
    <row r="270" customFormat="false" ht="15" hidden="false" customHeight="true" outlineLevel="0" collapsed="false">
      <c r="A270" s="139" t="n">
        <v>26926</v>
      </c>
      <c r="B270" s="140" t="s">
        <v>1009</v>
      </c>
      <c r="C270" s="140" t="n">
        <v>2021</v>
      </c>
      <c r="D270" s="141" t="n">
        <v>44476</v>
      </c>
      <c r="E270" s="142" t="s">
        <v>1010</v>
      </c>
      <c r="F270" s="142" t="s">
        <v>1011</v>
      </c>
      <c r="G270" s="66" t="s">
        <v>108</v>
      </c>
      <c r="H270" s="142" t="s">
        <v>243</v>
      </c>
      <c r="I270" s="141" t="n">
        <v>46217</v>
      </c>
      <c r="J270" s="66" t="n">
        <v>7</v>
      </c>
      <c r="K270" s="188" t="s">
        <v>49</v>
      </c>
      <c r="L270" s="142" t="s">
        <v>150</v>
      </c>
      <c r="M270" s="145" t="n">
        <f aca="false">I270-D270</f>
        <v>1741</v>
      </c>
    </row>
    <row r="271" customFormat="false" ht="15" hidden="false" customHeight="true" outlineLevel="0" collapsed="false">
      <c r="A271" s="148" t="n">
        <v>27026</v>
      </c>
      <c r="B271" s="149" t="s">
        <v>1012</v>
      </c>
      <c r="C271" s="149" t="n">
        <v>2019</v>
      </c>
      <c r="D271" s="150" t="n">
        <v>43699</v>
      </c>
      <c r="E271" s="151" t="s">
        <v>1013</v>
      </c>
      <c r="F271" s="151" t="s">
        <v>1014</v>
      </c>
      <c r="G271" s="68" t="s">
        <v>108</v>
      </c>
      <c r="H271" s="151" t="s">
        <v>184</v>
      </c>
      <c r="I271" s="150" t="n">
        <v>46217</v>
      </c>
      <c r="J271" s="68" t="n">
        <v>7</v>
      </c>
      <c r="K271" s="188" t="s">
        <v>49</v>
      </c>
      <c r="L271" s="189" t="s">
        <v>150</v>
      </c>
      <c r="M271" s="152" t="n">
        <f aca="false">I271-D271</f>
        <v>2518</v>
      </c>
    </row>
    <row r="272" customFormat="false" ht="15" hidden="false" customHeight="true" outlineLevel="0" collapsed="false">
      <c r="A272" s="139" t="n">
        <v>27126</v>
      </c>
      <c r="B272" s="140" t="s">
        <v>1015</v>
      </c>
      <c r="C272" s="140" t="n">
        <v>2022</v>
      </c>
      <c r="D272" s="141" t="n">
        <v>44684</v>
      </c>
      <c r="E272" s="142" t="s">
        <v>1016</v>
      </c>
      <c r="F272" s="142" t="s">
        <v>1017</v>
      </c>
      <c r="G272" s="66" t="s">
        <v>108</v>
      </c>
      <c r="H272" s="142" t="s">
        <v>706</v>
      </c>
      <c r="I272" s="141" t="n">
        <v>46217</v>
      </c>
      <c r="J272" s="66" t="n">
        <v>7</v>
      </c>
      <c r="K272" s="188" t="s">
        <v>49</v>
      </c>
      <c r="L272" s="142" t="s">
        <v>150</v>
      </c>
      <c r="M272" s="145" t="n">
        <f aca="false">I272-D272</f>
        <v>1533</v>
      </c>
    </row>
    <row r="273" customFormat="false" ht="15" hidden="false" customHeight="true" outlineLevel="0" collapsed="false">
      <c r="A273" s="148" t="n">
        <v>27226</v>
      </c>
      <c r="B273" s="149" t="s">
        <v>1018</v>
      </c>
      <c r="C273" s="149" t="n">
        <v>2023</v>
      </c>
      <c r="D273" s="150" t="n">
        <v>45012</v>
      </c>
      <c r="E273" s="151" t="s">
        <v>1019</v>
      </c>
      <c r="F273" s="151" t="s">
        <v>1020</v>
      </c>
      <c r="G273" s="68" t="s">
        <v>108</v>
      </c>
      <c r="H273" s="151" t="s">
        <v>899</v>
      </c>
      <c r="I273" s="150" t="n">
        <v>46217</v>
      </c>
      <c r="J273" s="68" t="n">
        <v>7</v>
      </c>
      <c r="K273" s="188" t="s">
        <v>48</v>
      </c>
      <c r="L273" s="151" t="s">
        <v>150</v>
      </c>
      <c r="M273" s="152" t="n">
        <f aca="false">I273-D273</f>
        <v>1205</v>
      </c>
    </row>
    <row r="274" customFormat="false" ht="15" hidden="false" customHeight="true" outlineLevel="0" collapsed="false">
      <c r="A274" s="139" t="n">
        <v>27326</v>
      </c>
      <c r="B274" s="140" t="s">
        <v>1021</v>
      </c>
      <c r="C274" s="140" t="n">
        <v>2021</v>
      </c>
      <c r="D274" s="141" t="n">
        <v>44498</v>
      </c>
      <c r="E274" s="142" t="s">
        <v>1022</v>
      </c>
      <c r="F274" s="142" t="s">
        <v>777</v>
      </c>
      <c r="G274" s="66" t="s">
        <v>108</v>
      </c>
      <c r="H274" s="142" t="s">
        <v>813</v>
      </c>
      <c r="I274" s="141" t="n">
        <v>46217</v>
      </c>
      <c r="J274" s="66" t="n">
        <v>7</v>
      </c>
      <c r="K274" s="188" t="s">
        <v>49</v>
      </c>
      <c r="L274" s="142" t="s">
        <v>150</v>
      </c>
      <c r="M274" s="145" t="n">
        <f aca="false">I274-D274</f>
        <v>1719</v>
      </c>
    </row>
    <row r="275" customFormat="false" ht="15" hidden="false" customHeight="true" outlineLevel="0" collapsed="false">
      <c r="A275" s="148" t="n">
        <v>27426</v>
      </c>
      <c r="B275" s="149" t="s">
        <v>1023</v>
      </c>
      <c r="C275" s="149" t="n">
        <v>2021</v>
      </c>
      <c r="D275" s="150" t="n">
        <v>44285</v>
      </c>
      <c r="E275" s="151" t="s">
        <v>1024</v>
      </c>
      <c r="F275" s="151" t="s">
        <v>1025</v>
      </c>
      <c r="G275" s="68" t="s">
        <v>108</v>
      </c>
      <c r="H275" s="151" t="s">
        <v>139</v>
      </c>
      <c r="I275" s="150" t="n">
        <v>46217</v>
      </c>
      <c r="J275" s="68" t="n">
        <v>7</v>
      </c>
      <c r="K275" s="188" t="s">
        <v>49</v>
      </c>
      <c r="L275" s="189" t="s">
        <v>150</v>
      </c>
      <c r="M275" s="152" t="n">
        <f aca="false">I275-D275</f>
        <v>1932</v>
      </c>
    </row>
    <row r="276" customFormat="false" ht="15" hidden="false" customHeight="true" outlineLevel="0" collapsed="false">
      <c r="A276" s="139" t="n">
        <v>27526</v>
      </c>
      <c r="B276" s="140" t="s">
        <v>1026</v>
      </c>
      <c r="C276" s="140" t="n">
        <v>2021</v>
      </c>
      <c r="D276" s="141" t="n">
        <v>44379</v>
      </c>
      <c r="E276" s="142" t="s">
        <v>1027</v>
      </c>
      <c r="F276" s="142" t="s">
        <v>1028</v>
      </c>
      <c r="G276" s="66" t="s">
        <v>108</v>
      </c>
      <c r="H276" s="142" t="s">
        <v>471</v>
      </c>
      <c r="I276" s="141" t="n">
        <v>46217</v>
      </c>
      <c r="J276" s="66" t="n">
        <v>7</v>
      </c>
      <c r="K276" s="188" t="s">
        <v>49</v>
      </c>
      <c r="L276" s="142" t="s">
        <v>150</v>
      </c>
      <c r="M276" s="145" t="n">
        <f aca="false">I276-D276</f>
        <v>1838</v>
      </c>
    </row>
    <row r="277" customFormat="false" ht="15" hidden="false" customHeight="true" outlineLevel="0" collapsed="false">
      <c r="A277" s="148" t="n">
        <v>27626</v>
      </c>
      <c r="B277" s="149" t="s">
        <v>1029</v>
      </c>
      <c r="C277" s="149" t="n">
        <v>2021</v>
      </c>
      <c r="D277" s="150" t="n">
        <v>44378</v>
      </c>
      <c r="E277" s="151" t="s">
        <v>1030</v>
      </c>
      <c r="F277" s="151" t="s">
        <v>715</v>
      </c>
      <c r="G277" s="68" t="s">
        <v>108</v>
      </c>
      <c r="H277" s="151" t="s">
        <v>139</v>
      </c>
      <c r="I277" s="150" t="n">
        <v>46217</v>
      </c>
      <c r="J277" s="68" t="n">
        <v>7</v>
      </c>
      <c r="K277" s="188" t="s">
        <v>48</v>
      </c>
      <c r="L277" s="189" t="s">
        <v>150</v>
      </c>
      <c r="M277" s="152" t="n">
        <f aca="false">I277-D277</f>
        <v>1839</v>
      </c>
    </row>
    <row r="278" customFormat="false" ht="14.15" hidden="false" customHeight="false" outlineLevel="0" collapsed="false">
      <c r="A278" s="139" t="n">
        <v>27726</v>
      </c>
      <c r="B278" s="140" t="s">
        <v>1031</v>
      </c>
      <c r="C278" s="140" t="n">
        <v>2022</v>
      </c>
      <c r="D278" s="141" t="n">
        <v>44691</v>
      </c>
      <c r="E278" s="142" t="s">
        <v>1032</v>
      </c>
      <c r="F278" s="142" t="s">
        <v>555</v>
      </c>
      <c r="G278" s="66" t="s">
        <v>108</v>
      </c>
      <c r="H278" s="142" t="s">
        <v>139</v>
      </c>
      <c r="I278" s="141" t="n">
        <v>46217</v>
      </c>
      <c r="J278" s="66" t="n">
        <v>7</v>
      </c>
      <c r="K278" s="188" t="s">
        <v>49</v>
      </c>
      <c r="L278" s="142" t="s">
        <v>150</v>
      </c>
      <c r="M278" s="145" t="n">
        <f aca="false">I278-D278</f>
        <v>1526</v>
      </c>
    </row>
    <row r="279" customFormat="false" ht="14.15" hidden="false" customHeight="false" outlineLevel="0" collapsed="false">
      <c r="A279" s="148" t="n">
        <v>27826</v>
      </c>
      <c r="B279" s="149" t="s">
        <v>1033</v>
      </c>
      <c r="C279" s="149" t="n">
        <v>2017</v>
      </c>
      <c r="D279" s="150" t="n">
        <v>42978</v>
      </c>
      <c r="E279" s="151" t="s">
        <v>1034</v>
      </c>
      <c r="F279" s="151" t="s">
        <v>123</v>
      </c>
      <c r="G279" s="68" t="s">
        <v>108</v>
      </c>
      <c r="H279" s="151" t="s">
        <v>1035</v>
      </c>
      <c r="I279" s="150" t="n">
        <v>46217</v>
      </c>
      <c r="J279" s="68" t="n">
        <v>7</v>
      </c>
      <c r="K279" s="188" t="s">
        <v>49</v>
      </c>
      <c r="L279" s="189" t="s">
        <v>150</v>
      </c>
      <c r="M279" s="152" t="n">
        <f aca="false">I279-D279</f>
        <v>3239</v>
      </c>
    </row>
    <row r="280" customFormat="false" ht="15" hidden="false" customHeight="true" outlineLevel="0" collapsed="false">
      <c r="A280" s="139" t="n">
        <v>27926</v>
      </c>
      <c r="B280" s="140" t="s">
        <v>1036</v>
      </c>
      <c r="C280" s="140" t="n">
        <v>2022</v>
      </c>
      <c r="D280" s="141" t="n">
        <v>44748</v>
      </c>
      <c r="E280" s="142" t="s">
        <v>1037</v>
      </c>
      <c r="F280" s="142" t="s">
        <v>723</v>
      </c>
      <c r="G280" s="66" t="s">
        <v>108</v>
      </c>
      <c r="H280" s="142" t="s">
        <v>1038</v>
      </c>
      <c r="I280" s="141" t="n">
        <v>46217</v>
      </c>
      <c r="J280" s="66" t="n">
        <v>7</v>
      </c>
      <c r="K280" s="192" t="s">
        <v>44</v>
      </c>
      <c r="L280" s="142" t="s">
        <v>150</v>
      </c>
      <c r="M280" s="145" t="n">
        <f aca="false">I280-D280</f>
        <v>1469</v>
      </c>
    </row>
    <row r="281" customFormat="false" ht="15" hidden="false" customHeight="true" outlineLevel="0" collapsed="false">
      <c r="A281" s="148" t="n">
        <v>28026</v>
      </c>
      <c r="B281" s="149" t="s">
        <v>1039</v>
      </c>
      <c r="C281" s="149" t="n">
        <v>2023</v>
      </c>
      <c r="D281" s="150" t="n">
        <v>45271</v>
      </c>
      <c r="E281" s="151" t="s">
        <v>1040</v>
      </c>
      <c r="F281" s="151" t="s">
        <v>1041</v>
      </c>
      <c r="G281" s="68" t="s">
        <v>115</v>
      </c>
      <c r="H281" s="151" t="s">
        <v>1042</v>
      </c>
      <c r="I281" s="150" t="n">
        <v>46217</v>
      </c>
      <c r="J281" s="68" t="n">
        <v>7</v>
      </c>
      <c r="K281" s="188" t="s">
        <v>49</v>
      </c>
      <c r="L281" s="151" t="s">
        <v>150</v>
      </c>
      <c r="M281" s="152" t="n">
        <f aca="false">I281-D281</f>
        <v>946</v>
      </c>
    </row>
    <row r="282" customFormat="false" ht="14.15" hidden="false" customHeight="false" outlineLevel="0" collapsed="false">
      <c r="A282" s="139" t="n">
        <v>28126</v>
      </c>
      <c r="B282" s="140" t="s">
        <v>1043</v>
      </c>
      <c r="C282" s="140" t="n">
        <v>2025</v>
      </c>
      <c r="D282" s="141" t="n">
        <v>45896</v>
      </c>
      <c r="E282" s="142" t="s">
        <v>1044</v>
      </c>
      <c r="F282" s="142" t="s">
        <v>856</v>
      </c>
      <c r="G282" s="66" t="s">
        <v>130</v>
      </c>
      <c r="H282" s="142" t="s">
        <v>1045</v>
      </c>
      <c r="I282" s="141" t="n">
        <v>46218</v>
      </c>
      <c r="J282" s="66" t="n">
        <v>7</v>
      </c>
      <c r="K282" s="188" t="s">
        <v>49</v>
      </c>
      <c r="L282" s="142" t="s">
        <v>150</v>
      </c>
      <c r="M282" s="145" t="n">
        <f aca="false">I282-D282</f>
        <v>322</v>
      </c>
    </row>
    <row r="283" customFormat="false" ht="14.15" hidden="false" customHeight="false" outlineLevel="0" collapsed="false">
      <c r="A283" s="148" t="n">
        <v>28226</v>
      </c>
      <c r="B283" s="149" t="s">
        <v>1046</v>
      </c>
      <c r="C283" s="149" t="n">
        <v>2025</v>
      </c>
      <c r="D283" s="150" t="n">
        <v>45979</v>
      </c>
      <c r="E283" s="151" t="s">
        <v>1047</v>
      </c>
      <c r="F283" s="151" t="s">
        <v>199</v>
      </c>
      <c r="G283" s="68" t="s">
        <v>130</v>
      </c>
      <c r="H283" s="151" t="s">
        <v>665</v>
      </c>
      <c r="I283" s="150" t="n">
        <v>46218</v>
      </c>
      <c r="J283" s="68" t="n">
        <v>7</v>
      </c>
      <c r="K283" s="188" t="s">
        <v>49</v>
      </c>
      <c r="L283" s="151" t="s">
        <v>150</v>
      </c>
      <c r="M283" s="152" t="n">
        <f aca="false">I283-D283</f>
        <v>239</v>
      </c>
    </row>
    <row r="284" customFormat="false" ht="18" hidden="false" customHeight="true" outlineLevel="0" collapsed="false">
      <c r="A284" s="139" t="n">
        <v>28326</v>
      </c>
      <c r="B284" s="140" t="s">
        <v>1048</v>
      </c>
      <c r="C284" s="140" t="n">
        <v>2021</v>
      </c>
      <c r="D284" s="141" t="n">
        <v>44257</v>
      </c>
      <c r="E284" s="142" t="s">
        <v>1049</v>
      </c>
      <c r="F284" s="142" t="s">
        <v>1050</v>
      </c>
      <c r="G284" s="66" t="s">
        <v>108</v>
      </c>
      <c r="H284" s="142" t="s">
        <v>1051</v>
      </c>
      <c r="I284" s="141" t="n">
        <v>46218</v>
      </c>
      <c r="J284" s="66" t="n">
        <v>7</v>
      </c>
      <c r="K284" s="188" t="s">
        <v>49</v>
      </c>
      <c r="L284" s="142" t="s">
        <v>150</v>
      </c>
      <c r="M284" s="145" t="n">
        <f aca="false">I284-D284</f>
        <v>1961</v>
      </c>
    </row>
    <row r="285" customFormat="false" ht="15" hidden="false" customHeight="true" outlineLevel="0" collapsed="false">
      <c r="A285" s="148" t="n">
        <v>28426</v>
      </c>
      <c r="B285" s="149" t="s">
        <v>1052</v>
      </c>
      <c r="C285" s="149" t="n">
        <v>2024</v>
      </c>
      <c r="D285" s="150" t="n">
        <v>45329</v>
      </c>
      <c r="E285" s="151" t="s">
        <v>1053</v>
      </c>
      <c r="F285" s="151" t="s">
        <v>1054</v>
      </c>
      <c r="G285" s="68" t="s">
        <v>108</v>
      </c>
      <c r="H285" s="151" t="s">
        <v>1055</v>
      </c>
      <c r="I285" s="150" t="n">
        <v>46218</v>
      </c>
      <c r="J285" s="68" t="n">
        <v>7</v>
      </c>
      <c r="K285" s="188" t="s">
        <v>49</v>
      </c>
      <c r="L285" s="189" t="s">
        <v>150</v>
      </c>
      <c r="M285" s="152" t="n">
        <f aca="false">I285-D285</f>
        <v>889</v>
      </c>
    </row>
    <row r="286" customFormat="false" ht="15" hidden="false" customHeight="true" outlineLevel="0" collapsed="false">
      <c r="A286" s="139" t="n">
        <v>28526</v>
      </c>
      <c r="B286" s="140" t="s">
        <v>1056</v>
      </c>
      <c r="C286" s="140" t="n">
        <v>2023</v>
      </c>
      <c r="D286" s="141" t="n">
        <v>45216</v>
      </c>
      <c r="E286" s="142" t="s">
        <v>1057</v>
      </c>
      <c r="F286" s="142" t="s">
        <v>1058</v>
      </c>
      <c r="G286" s="66" t="s">
        <v>108</v>
      </c>
      <c r="H286" s="142" t="s">
        <v>1059</v>
      </c>
      <c r="I286" s="141" t="n">
        <v>46218</v>
      </c>
      <c r="J286" s="66" t="n">
        <v>7</v>
      </c>
      <c r="K286" s="188" t="s">
        <v>49</v>
      </c>
      <c r="L286" s="142" t="s">
        <v>150</v>
      </c>
      <c r="M286" s="145" t="n">
        <f aca="false">I286-D286</f>
        <v>1002</v>
      </c>
    </row>
    <row r="287" customFormat="false" ht="15" hidden="false" customHeight="true" outlineLevel="0" collapsed="false">
      <c r="A287" s="148" t="n">
        <v>28626</v>
      </c>
      <c r="B287" s="149" t="s">
        <v>1060</v>
      </c>
      <c r="C287" s="149" t="n">
        <v>2021</v>
      </c>
      <c r="D287" s="150" t="n">
        <v>44522</v>
      </c>
      <c r="E287" s="151" t="s">
        <v>1061</v>
      </c>
      <c r="F287" s="151" t="s">
        <v>1062</v>
      </c>
      <c r="G287" s="68" t="s">
        <v>108</v>
      </c>
      <c r="H287" s="151" t="s">
        <v>1063</v>
      </c>
      <c r="I287" s="150" t="n">
        <v>46219</v>
      </c>
      <c r="J287" s="68" t="n">
        <v>7</v>
      </c>
      <c r="K287" s="188" t="s">
        <v>48</v>
      </c>
      <c r="L287" s="151" t="s">
        <v>150</v>
      </c>
      <c r="M287" s="152" t="n">
        <f aca="false">I287-D287</f>
        <v>1697</v>
      </c>
    </row>
    <row r="288" customFormat="false" ht="15" hidden="false" customHeight="true" outlineLevel="0" collapsed="false">
      <c r="A288" s="139" t="n">
        <v>28726</v>
      </c>
      <c r="B288" s="140" t="s">
        <v>1064</v>
      </c>
      <c r="C288" s="140" t="n">
        <v>2016</v>
      </c>
      <c r="D288" s="141" t="n">
        <v>42661</v>
      </c>
      <c r="E288" s="142" t="s">
        <v>1065</v>
      </c>
      <c r="F288" s="142" t="s">
        <v>180</v>
      </c>
      <c r="G288" s="66" t="s">
        <v>108</v>
      </c>
      <c r="H288" s="142" t="s">
        <v>817</v>
      </c>
      <c r="I288" s="141" t="n">
        <v>46219</v>
      </c>
      <c r="J288" s="66" t="n">
        <v>7</v>
      </c>
      <c r="K288" s="188" t="s">
        <v>48</v>
      </c>
      <c r="L288" s="142" t="s">
        <v>150</v>
      </c>
      <c r="M288" s="145" t="n">
        <f aca="false">I288-D288</f>
        <v>3558</v>
      </c>
    </row>
    <row r="289" customFormat="false" ht="15" hidden="false" customHeight="true" outlineLevel="0" collapsed="false">
      <c r="A289" s="148" t="n">
        <v>28826</v>
      </c>
      <c r="B289" s="149" t="s">
        <v>1066</v>
      </c>
      <c r="C289" s="149" t="n">
        <v>2021</v>
      </c>
      <c r="D289" s="150" t="n">
        <v>44523</v>
      </c>
      <c r="E289" s="151" t="s">
        <v>1067</v>
      </c>
      <c r="F289" s="151" t="s">
        <v>1068</v>
      </c>
      <c r="G289" s="68" t="s">
        <v>108</v>
      </c>
      <c r="H289" s="151" t="s">
        <v>243</v>
      </c>
      <c r="I289" s="150" t="n">
        <v>46219</v>
      </c>
      <c r="J289" s="68" t="n">
        <v>7</v>
      </c>
      <c r="K289" s="188" t="s">
        <v>49</v>
      </c>
      <c r="L289" s="189" t="s">
        <v>150</v>
      </c>
      <c r="M289" s="152" t="n">
        <f aca="false">I289-D289</f>
        <v>1696</v>
      </c>
    </row>
    <row r="290" customFormat="false" ht="15" hidden="false" customHeight="true" outlineLevel="0" collapsed="false">
      <c r="A290" s="139" t="n">
        <v>28926</v>
      </c>
      <c r="B290" s="140" t="s">
        <v>1069</v>
      </c>
      <c r="C290" s="140" t="n">
        <v>2021</v>
      </c>
      <c r="D290" s="141" t="n">
        <v>44557</v>
      </c>
      <c r="E290" s="142" t="s">
        <v>1070</v>
      </c>
      <c r="F290" s="142" t="s">
        <v>1071</v>
      </c>
      <c r="G290" s="66" t="s">
        <v>108</v>
      </c>
      <c r="H290" s="142" t="s">
        <v>1072</v>
      </c>
      <c r="I290" s="141" t="n">
        <v>46219</v>
      </c>
      <c r="J290" s="66" t="n">
        <v>7</v>
      </c>
      <c r="K290" s="188" t="s">
        <v>49</v>
      </c>
      <c r="L290" s="142" t="s">
        <v>150</v>
      </c>
      <c r="M290" s="145" t="n">
        <f aca="false">I290-D290</f>
        <v>1662</v>
      </c>
    </row>
    <row r="291" customFormat="false" ht="15" hidden="false" customHeight="true" outlineLevel="0" collapsed="false">
      <c r="A291" s="148" t="n">
        <v>29026</v>
      </c>
      <c r="B291" s="149" t="s">
        <v>1073</v>
      </c>
      <c r="C291" s="149" t="n">
        <v>2022</v>
      </c>
      <c r="D291" s="150" t="n">
        <v>44610</v>
      </c>
      <c r="E291" s="151" t="s">
        <v>1074</v>
      </c>
      <c r="F291" s="151" t="s">
        <v>1075</v>
      </c>
      <c r="G291" s="68" t="s">
        <v>108</v>
      </c>
      <c r="H291" s="151" t="s">
        <v>119</v>
      </c>
      <c r="I291" s="150" t="n">
        <v>46219</v>
      </c>
      <c r="J291" s="68" t="n">
        <v>7</v>
      </c>
      <c r="K291" s="188" t="s">
        <v>49</v>
      </c>
      <c r="L291" s="189" t="s">
        <v>150</v>
      </c>
      <c r="M291" s="152" t="n">
        <f aca="false">I291-D291</f>
        <v>1609</v>
      </c>
    </row>
    <row r="292" customFormat="false" ht="15" hidden="false" customHeight="true" outlineLevel="0" collapsed="false">
      <c r="A292" s="139" t="n">
        <v>29126</v>
      </c>
      <c r="B292" s="140" t="s">
        <v>1076</v>
      </c>
      <c r="C292" s="140" t="n">
        <v>2022</v>
      </c>
      <c r="D292" s="141" t="n">
        <v>44589</v>
      </c>
      <c r="E292" s="142" t="s">
        <v>1077</v>
      </c>
      <c r="F292" s="142" t="s">
        <v>555</v>
      </c>
      <c r="G292" s="66" t="s">
        <v>108</v>
      </c>
      <c r="H292" s="142" t="s">
        <v>749</v>
      </c>
      <c r="I292" s="141" t="n">
        <v>46219</v>
      </c>
      <c r="J292" s="66" t="n">
        <v>7</v>
      </c>
      <c r="K292" s="188" t="s">
        <v>49</v>
      </c>
      <c r="L292" s="142" t="s">
        <v>150</v>
      </c>
      <c r="M292" s="145" t="n">
        <f aca="false">I292-D292</f>
        <v>1630</v>
      </c>
    </row>
    <row r="293" customFormat="false" ht="15" hidden="false" customHeight="true" outlineLevel="0" collapsed="false">
      <c r="A293" s="148" t="n">
        <v>29226</v>
      </c>
      <c r="B293" s="149" t="s">
        <v>1078</v>
      </c>
      <c r="C293" s="149" t="n">
        <v>2021</v>
      </c>
      <c r="D293" s="150" t="n">
        <v>44519</v>
      </c>
      <c r="E293" s="151" t="s">
        <v>1079</v>
      </c>
      <c r="F293" s="151" t="s">
        <v>1080</v>
      </c>
      <c r="G293" s="68" t="s">
        <v>108</v>
      </c>
      <c r="H293" s="151" t="s">
        <v>1081</v>
      </c>
      <c r="I293" s="150" t="n">
        <v>46219</v>
      </c>
      <c r="J293" s="68" t="n">
        <v>7</v>
      </c>
      <c r="K293" s="188" t="s">
        <v>49</v>
      </c>
      <c r="L293" s="189" t="s">
        <v>150</v>
      </c>
      <c r="M293" s="152" t="n">
        <f aca="false">I293-D293</f>
        <v>1700</v>
      </c>
    </row>
    <row r="294" customFormat="false" ht="15" hidden="false" customHeight="true" outlineLevel="0" collapsed="false">
      <c r="A294" s="139" t="n">
        <v>29326</v>
      </c>
      <c r="B294" s="140" t="s">
        <v>1082</v>
      </c>
      <c r="C294" s="140" t="n">
        <v>2022</v>
      </c>
      <c r="D294" s="141" t="n">
        <v>44700</v>
      </c>
      <c r="E294" s="142" t="s">
        <v>1083</v>
      </c>
      <c r="F294" s="142" t="s">
        <v>191</v>
      </c>
      <c r="G294" s="66" t="s">
        <v>108</v>
      </c>
      <c r="H294" s="142" t="s">
        <v>1084</v>
      </c>
      <c r="I294" s="141" t="n">
        <v>46225</v>
      </c>
      <c r="J294" s="66" t="n">
        <v>7</v>
      </c>
      <c r="K294" s="188" t="s">
        <v>49</v>
      </c>
      <c r="L294" s="142" t="s">
        <v>150</v>
      </c>
      <c r="M294" s="145" t="n">
        <f aca="false">I294-D294</f>
        <v>1525</v>
      </c>
    </row>
    <row r="295" customFormat="false" ht="15" hidden="false" customHeight="true" outlineLevel="0" collapsed="false">
      <c r="A295" s="148" t="n">
        <v>29426</v>
      </c>
      <c r="B295" s="149" t="s">
        <v>1085</v>
      </c>
      <c r="C295" s="149" t="n">
        <v>2022</v>
      </c>
      <c r="D295" s="150" t="n">
        <v>44670</v>
      </c>
      <c r="E295" s="151" t="s">
        <v>1086</v>
      </c>
      <c r="F295" s="151" t="s">
        <v>191</v>
      </c>
      <c r="G295" s="68" t="s">
        <v>108</v>
      </c>
      <c r="H295" s="151" t="s">
        <v>1084</v>
      </c>
      <c r="I295" s="150" t="n">
        <v>46225</v>
      </c>
      <c r="J295" s="68" t="n">
        <v>7</v>
      </c>
      <c r="K295" s="188" t="s">
        <v>49</v>
      </c>
      <c r="L295" s="189" t="s">
        <v>150</v>
      </c>
      <c r="M295" s="152" t="n">
        <f aca="false">I295-D295</f>
        <v>1555</v>
      </c>
    </row>
    <row r="296" customFormat="false" ht="15" hidden="false" customHeight="true" outlineLevel="0" collapsed="false">
      <c r="A296" s="139" t="n">
        <v>29526</v>
      </c>
      <c r="B296" s="140" t="s">
        <v>1087</v>
      </c>
      <c r="C296" s="140" t="n">
        <v>2016</v>
      </c>
      <c r="D296" s="141" t="n">
        <v>42660</v>
      </c>
      <c r="E296" s="142" t="s">
        <v>1088</v>
      </c>
      <c r="F296" s="142" t="s">
        <v>180</v>
      </c>
      <c r="G296" s="66" t="s">
        <v>108</v>
      </c>
      <c r="H296" s="142" t="s">
        <v>109</v>
      </c>
      <c r="I296" s="141" t="n">
        <v>46225</v>
      </c>
      <c r="J296" s="66" t="n">
        <v>7</v>
      </c>
      <c r="K296" s="188" t="s">
        <v>48</v>
      </c>
      <c r="L296" s="142" t="s">
        <v>150</v>
      </c>
      <c r="M296" s="145" t="n">
        <f aca="false">I296-D296</f>
        <v>3565</v>
      </c>
    </row>
    <row r="297" customFormat="false" ht="15" hidden="false" customHeight="true" outlineLevel="0" collapsed="false">
      <c r="A297" s="148" t="n">
        <v>29626</v>
      </c>
      <c r="B297" s="149" t="s">
        <v>1089</v>
      </c>
      <c r="C297" s="149" t="n">
        <v>2021</v>
      </c>
      <c r="D297" s="150" t="n">
        <v>44496</v>
      </c>
      <c r="E297" s="151" t="s">
        <v>1090</v>
      </c>
      <c r="F297" s="151" t="s">
        <v>1091</v>
      </c>
      <c r="G297" s="68" t="s">
        <v>108</v>
      </c>
      <c r="H297" s="151" t="s">
        <v>139</v>
      </c>
      <c r="I297" s="150" t="n">
        <v>46225</v>
      </c>
      <c r="J297" s="68" t="n">
        <v>7</v>
      </c>
      <c r="K297" s="188" t="s">
        <v>49</v>
      </c>
      <c r="L297" s="189" t="s">
        <v>150</v>
      </c>
      <c r="M297" s="152" t="n">
        <f aca="false">I297-D297</f>
        <v>1729</v>
      </c>
    </row>
    <row r="298" customFormat="false" ht="15" hidden="false" customHeight="true" outlineLevel="0" collapsed="false">
      <c r="A298" s="139" t="n">
        <v>29726</v>
      </c>
      <c r="B298" s="140" t="s">
        <v>1092</v>
      </c>
      <c r="C298" s="140" t="n">
        <v>2021</v>
      </c>
      <c r="D298" s="141" t="n">
        <v>44349</v>
      </c>
      <c r="E298" s="142" t="s">
        <v>1093</v>
      </c>
      <c r="F298" s="142" t="s">
        <v>1094</v>
      </c>
      <c r="G298" s="66" t="s">
        <v>108</v>
      </c>
      <c r="H298" s="142" t="s">
        <v>139</v>
      </c>
      <c r="I298" s="141" t="n">
        <v>46225</v>
      </c>
      <c r="J298" s="66" t="n">
        <v>7</v>
      </c>
      <c r="K298" s="188" t="s">
        <v>48</v>
      </c>
      <c r="L298" s="142" t="s">
        <v>150</v>
      </c>
      <c r="M298" s="145" t="n">
        <f aca="false">I298-D298</f>
        <v>1876</v>
      </c>
    </row>
    <row r="299" customFormat="false" ht="15" hidden="false" customHeight="true" outlineLevel="0" collapsed="false">
      <c r="A299" s="148" t="n">
        <v>29826</v>
      </c>
      <c r="B299" s="149" t="s">
        <v>1095</v>
      </c>
      <c r="C299" s="149" t="n">
        <v>2024</v>
      </c>
      <c r="D299" s="150" t="n">
        <v>45419</v>
      </c>
      <c r="E299" s="151" t="s">
        <v>1096</v>
      </c>
      <c r="F299" s="151" t="s">
        <v>1097</v>
      </c>
      <c r="G299" s="68" t="s">
        <v>108</v>
      </c>
      <c r="H299" s="151" t="s">
        <v>532</v>
      </c>
      <c r="I299" s="150" t="n">
        <v>46225</v>
      </c>
      <c r="J299" s="68" t="n">
        <v>7</v>
      </c>
      <c r="K299" s="188" t="s">
        <v>48</v>
      </c>
      <c r="L299" s="189" t="s">
        <v>150</v>
      </c>
      <c r="M299" s="152" t="n">
        <f aca="false">I299-D299</f>
        <v>806</v>
      </c>
    </row>
    <row r="300" customFormat="false" ht="14.15" hidden="false" customHeight="false" outlineLevel="0" collapsed="false">
      <c r="A300" s="139" t="n">
        <v>29926</v>
      </c>
      <c r="B300" s="140" t="s">
        <v>1098</v>
      </c>
      <c r="C300" s="140" t="n">
        <v>2021</v>
      </c>
      <c r="D300" s="141" t="n">
        <v>44335</v>
      </c>
      <c r="E300" s="142" t="s">
        <v>1099</v>
      </c>
      <c r="F300" s="142" t="s">
        <v>467</v>
      </c>
      <c r="G300" s="66" t="s">
        <v>108</v>
      </c>
      <c r="H300" s="142" t="s">
        <v>358</v>
      </c>
      <c r="I300" s="141" t="n">
        <v>46225</v>
      </c>
      <c r="J300" s="66" t="n">
        <v>7</v>
      </c>
      <c r="K300" s="188" t="s">
        <v>49</v>
      </c>
      <c r="L300" s="142" t="s">
        <v>150</v>
      </c>
      <c r="M300" s="145" t="n">
        <f aca="false">I300-D300</f>
        <v>1890</v>
      </c>
    </row>
    <row r="301" customFormat="false" ht="14.15" hidden="false" customHeight="false" outlineLevel="0" collapsed="false">
      <c r="A301" s="148" t="n">
        <v>30026</v>
      </c>
      <c r="B301" s="149" t="s">
        <v>1100</v>
      </c>
      <c r="C301" s="149" t="n">
        <v>2021</v>
      </c>
      <c r="D301" s="150" t="n">
        <v>44328</v>
      </c>
      <c r="E301" s="151" t="s">
        <v>1101</v>
      </c>
      <c r="F301" s="151" t="s">
        <v>998</v>
      </c>
      <c r="G301" s="68" t="s">
        <v>108</v>
      </c>
      <c r="H301" s="151" t="s">
        <v>119</v>
      </c>
      <c r="I301" s="150" t="n">
        <v>46225</v>
      </c>
      <c r="J301" s="68" t="n">
        <v>7</v>
      </c>
      <c r="K301" s="188" t="s">
        <v>49</v>
      </c>
      <c r="L301" s="189" t="s">
        <v>150</v>
      </c>
      <c r="M301" s="152" t="n">
        <f aca="false">I301-D301</f>
        <v>1897</v>
      </c>
    </row>
    <row r="302" customFormat="false" ht="14.15" hidden="false" customHeight="false" outlineLevel="0" collapsed="false">
      <c r="A302" s="139" t="n">
        <v>30126</v>
      </c>
      <c r="B302" s="140" t="s">
        <v>1102</v>
      </c>
      <c r="C302" s="140" t="n">
        <v>2024</v>
      </c>
      <c r="D302" s="141" t="n">
        <v>45646</v>
      </c>
      <c r="E302" s="142" t="s">
        <v>1103</v>
      </c>
      <c r="F302" s="142" t="s">
        <v>1104</v>
      </c>
      <c r="G302" s="66" t="s">
        <v>130</v>
      </c>
      <c r="H302" s="142" t="s">
        <v>1105</v>
      </c>
      <c r="I302" s="141" t="n">
        <v>46225</v>
      </c>
      <c r="J302" s="66" t="n">
        <v>7</v>
      </c>
      <c r="K302" s="188" t="s">
        <v>49</v>
      </c>
      <c r="L302" s="142" t="s">
        <v>150</v>
      </c>
      <c r="M302" s="145" t="n">
        <f aca="false">I302-D302</f>
        <v>579</v>
      </c>
    </row>
    <row r="303" customFormat="false" ht="14.15" hidden="false" customHeight="false" outlineLevel="0" collapsed="false">
      <c r="A303" s="148" t="n">
        <v>30226</v>
      </c>
      <c r="B303" s="149" t="s">
        <v>1106</v>
      </c>
      <c r="C303" s="149" t="n">
        <v>2021</v>
      </c>
      <c r="D303" s="150" t="n">
        <v>44545</v>
      </c>
      <c r="E303" s="151" t="s">
        <v>1107</v>
      </c>
      <c r="F303" s="151" t="s">
        <v>1108</v>
      </c>
      <c r="G303" s="68" t="s">
        <v>108</v>
      </c>
      <c r="H303" s="151" t="s">
        <v>1109</v>
      </c>
      <c r="I303" s="150" t="n">
        <v>46225</v>
      </c>
      <c r="J303" s="68" t="n">
        <v>7</v>
      </c>
      <c r="K303" s="188" t="s">
        <v>48</v>
      </c>
      <c r="L303" s="189" t="s">
        <v>150</v>
      </c>
      <c r="M303" s="152" t="n">
        <f aca="false">I303-D303</f>
        <v>1680</v>
      </c>
    </row>
    <row r="304" customFormat="false" ht="14.15" hidden="false" customHeight="false" outlineLevel="0" collapsed="false">
      <c r="A304" s="139" t="n">
        <v>30326</v>
      </c>
      <c r="B304" s="140" t="s">
        <v>1110</v>
      </c>
      <c r="C304" s="140" t="n">
        <v>2021</v>
      </c>
      <c r="D304" s="141" t="n">
        <v>44525</v>
      </c>
      <c r="E304" s="142" t="s">
        <v>1111</v>
      </c>
      <c r="F304" s="142" t="s">
        <v>723</v>
      </c>
      <c r="G304" s="66" t="s">
        <v>108</v>
      </c>
      <c r="H304" s="142" t="s">
        <v>1112</v>
      </c>
      <c r="I304" s="141" t="n">
        <v>46225</v>
      </c>
      <c r="J304" s="66" t="n">
        <v>7</v>
      </c>
      <c r="K304" s="192" t="s">
        <v>44</v>
      </c>
      <c r="L304" s="142" t="s">
        <v>150</v>
      </c>
      <c r="M304" s="145" t="n">
        <f aca="false">I304-D304</f>
        <v>1700</v>
      </c>
    </row>
    <row r="305" customFormat="false" ht="26.85" hidden="false" customHeight="false" outlineLevel="0" collapsed="false">
      <c r="A305" s="148" t="n">
        <v>30426</v>
      </c>
      <c r="B305" s="149" t="s">
        <v>1113</v>
      </c>
      <c r="C305" s="149" t="n">
        <v>2025</v>
      </c>
      <c r="D305" s="150" t="n">
        <v>45702</v>
      </c>
      <c r="E305" s="151" t="s">
        <v>1114</v>
      </c>
      <c r="F305" s="151" t="s">
        <v>1115</v>
      </c>
      <c r="G305" s="68" t="s">
        <v>125</v>
      </c>
      <c r="H305" s="151" t="s">
        <v>208</v>
      </c>
      <c r="I305" s="150" t="n">
        <v>46226</v>
      </c>
      <c r="J305" s="68" t="n">
        <v>7</v>
      </c>
      <c r="K305" s="188" t="s">
        <v>49</v>
      </c>
      <c r="L305" s="151" t="s">
        <v>150</v>
      </c>
      <c r="M305" s="152" t="n">
        <f aca="false">I305-D305</f>
        <v>524</v>
      </c>
    </row>
    <row r="306" customFormat="false" ht="14.15" hidden="false" customHeight="false" outlineLevel="0" collapsed="false">
      <c r="A306" s="139" t="n">
        <v>30526</v>
      </c>
      <c r="B306" s="140" t="s">
        <v>1116</v>
      </c>
      <c r="C306" s="140" t="n">
        <v>2021</v>
      </c>
      <c r="D306" s="141" t="n">
        <v>44553</v>
      </c>
      <c r="E306" s="142" t="s">
        <v>1117</v>
      </c>
      <c r="F306" s="142" t="s">
        <v>1118</v>
      </c>
      <c r="G306" s="66" t="s">
        <v>108</v>
      </c>
      <c r="H306" s="142" t="s">
        <v>781</v>
      </c>
      <c r="I306" s="141" t="n">
        <v>46226</v>
      </c>
      <c r="J306" s="66" t="n">
        <v>7</v>
      </c>
      <c r="K306" s="188" t="s">
        <v>49</v>
      </c>
      <c r="L306" s="142" t="s">
        <v>150</v>
      </c>
      <c r="M306" s="145" t="n">
        <f aca="false">I306-D306</f>
        <v>1673</v>
      </c>
    </row>
    <row r="307" customFormat="false" ht="14.15" hidden="false" customHeight="false" outlineLevel="0" collapsed="false">
      <c r="A307" s="148" t="n">
        <v>30626</v>
      </c>
      <c r="B307" s="149" t="s">
        <v>1119</v>
      </c>
      <c r="C307" s="149" t="n">
        <v>2016</v>
      </c>
      <c r="D307" s="150" t="n">
        <v>42660</v>
      </c>
      <c r="E307" s="151" t="s">
        <v>1120</v>
      </c>
      <c r="F307" s="151" t="s">
        <v>180</v>
      </c>
      <c r="G307" s="68" t="s">
        <v>108</v>
      </c>
      <c r="H307" s="151" t="s">
        <v>706</v>
      </c>
      <c r="I307" s="150" t="n">
        <v>46227</v>
      </c>
      <c r="J307" s="68" t="n">
        <v>7</v>
      </c>
      <c r="K307" s="188" t="s">
        <v>48</v>
      </c>
      <c r="L307" s="189" t="s">
        <v>150</v>
      </c>
      <c r="M307" s="152" t="n">
        <f aca="false">I307-D307</f>
        <v>3567</v>
      </c>
    </row>
    <row r="308" customFormat="false" ht="14.15" hidden="false" customHeight="false" outlineLevel="0" collapsed="false">
      <c r="A308" s="139" t="n">
        <v>30726</v>
      </c>
      <c r="B308" s="140" t="s">
        <v>1121</v>
      </c>
      <c r="C308" s="140" t="n">
        <v>2020</v>
      </c>
      <c r="D308" s="141" t="n">
        <v>44167</v>
      </c>
      <c r="E308" s="142" t="s">
        <v>1122</v>
      </c>
      <c r="F308" s="142" t="s">
        <v>1068</v>
      </c>
      <c r="G308" s="66" t="s">
        <v>108</v>
      </c>
      <c r="H308" s="142" t="s">
        <v>1072</v>
      </c>
      <c r="I308" s="141" t="n">
        <v>46227</v>
      </c>
      <c r="J308" s="66" t="n">
        <v>7</v>
      </c>
      <c r="K308" s="188" t="s">
        <v>49</v>
      </c>
      <c r="L308" s="142" t="s">
        <v>150</v>
      </c>
      <c r="M308" s="145" t="n">
        <f aca="false">I308-D308</f>
        <v>2060</v>
      </c>
    </row>
    <row r="309" customFormat="false" ht="14.15" hidden="false" customHeight="false" outlineLevel="0" collapsed="false">
      <c r="A309" s="148" t="n">
        <v>30826</v>
      </c>
      <c r="B309" s="149" t="s">
        <v>1123</v>
      </c>
      <c r="C309" s="149" t="n">
        <v>2024</v>
      </c>
      <c r="D309" s="150" t="n">
        <v>45555</v>
      </c>
      <c r="E309" s="151" t="s">
        <v>1124</v>
      </c>
      <c r="F309" s="151" t="s">
        <v>1125</v>
      </c>
      <c r="G309" s="68" t="s">
        <v>125</v>
      </c>
      <c r="H309" s="151" t="s">
        <v>1042</v>
      </c>
      <c r="I309" s="150" t="n">
        <v>46227</v>
      </c>
      <c r="J309" s="68" t="n">
        <v>7</v>
      </c>
      <c r="K309" s="169" t="s">
        <v>290</v>
      </c>
      <c r="L309" s="151" t="s">
        <v>150</v>
      </c>
      <c r="M309" s="152" t="n">
        <f aca="false">I309-D309</f>
        <v>672</v>
      </c>
    </row>
    <row r="310" customFormat="false" ht="14.15" hidden="false" customHeight="false" outlineLevel="0" collapsed="false">
      <c r="A310" s="139" t="n">
        <v>30926</v>
      </c>
      <c r="B310" s="140" t="s">
        <v>1126</v>
      </c>
      <c r="C310" s="140" t="n">
        <v>2025</v>
      </c>
      <c r="D310" s="141" t="n">
        <v>45831</v>
      </c>
      <c r="E310" s="142" t="s">
        <v>1127</v>
      </c>
      <c r="F310" s="142" t="s">
        <v>1128</v>
      </c>
      <c r="G310" s="66" t="s">
        <v>130</v>
      </c>
      <c r="H310" s="142" t="s">
        <v>1129</v>
      </c>
      <c r="I310" s="141" t="n">
        <v>46227</v>
      </c>
      <c r="J310" s="66" t="n">
        <v>7</v>
      </c>
      <c r="K310" s="169" t="s">
        <v>290</v>
      </c>
      <c r="L310" s="142" t="s">
        <v>150</v>
      </c>
      <c r="M310" s="145" t="n">
        <f aca="false">I310-D310</f>
        <v>396</v>
      </c>
    </row>
    <row r="311" customFormat="false" ht="14.15" hidden="false" customHeight="false" outlineLevel="0" collapsed="false">
      <c r="A311" s="148" t="n">
        <v>31026</v>
      </c>
      <c r="B311" s="149" t="s">
        <v>1130</v>
      </c>
      <c r="C311" s="149" t="n">
        <v>2022</v>
      </c>
      <c r="D311" s="150" t="n">
        <v>44915</v>
      </c>
      <c r="E311" s="151" t="s">
        <v>1131</v>
      </c>
      <c r="F311" s="151" t="s">
        <v>1132</v>
      </c>
      <c r="G311" s="68" t="s">
        <v>108</v>
      </c>
      <c r="H311" s="151" t="s">
        <v>267</v>
      </c>
      <c r="I311" s="150" t="n">
        <v>46227</v>
      </c>
      <c r="J311" s="68" t="n">
        <v>7</v>
      </c>
      <c r="K311" s="188" t="s">
        <v>49</v>
      </c>
      <c r="L311" s="189" t="s">
        <v>58</v>
      </c>
      <c r="M311" s="152" t="n">
        <f aca="false">I311-D311</f>
        <v>1312</v>
      </c>
    </row>
    <row r="312" customFormat="false" ht="14.15" hidden="false" customHeight="false" outlineLevel="0" collapsed="false">
      <c r="A312" s="139" t="n">
        <v>31126</v>
      </c>
      <c r="B312" s="140" t="s">
        <v>1133</v>
      </c>
      <c r="C312" s="140" t="n">
        <v>2020</v>
      </c>
      <c r="D312" s="141" t="n">
        <v>44161</v>
      </c>
      <c r="E312" s="142" t="s">
        <v>1134</v>
      </c>
      <c r="F312" s="142" t="s">
        <v>1135</v>
      </c>
      <c r="G312" s="66" t="s">
        <v>108</v>
      </c>
      <c r="H312" s="142" t="s">
        <v>1136</v>
      </c>
      <c r="I312" s="141" t="n">
        <v>46227</v>
      </c>
      <c r="J312" s="66" t="n">
        <v>7</v>
      </c>
      <c r="K312" s="188" t="s">
        <v>48</v>
      </c>
      <c r="L312" s="142" t="s">
        <v>58</v>
      </c>
      <c r="M312" s="145" t="n">
        <f aca="false">I312-D312</f>
        <v>2066</v>
      </c>
    </row>
    <row r="313" customFormat="false" ht="14.15" hidden="false" customHeight="false" outlineLevel="0" collapsed="false">
      <c r="A313" s="148" t="n">
        <v>31226</v>
      </c>
      <c r="B313" s="149" t="s">
        <v>1137</v>
      </c>
      <c r="C313" s="149" t="n">
        <v>2023</v>
      </c>
      <c r="D313" s="150" t="n">
        <v>45224</v>
      </c>
      <c r="E313" s="151" t="s">
        <v>1138</v>
      </c>
      <c r="F313" s="151" t="s">
        <v>715</v>
      </c>
      <c r="G313" s="68" t="s">
        <v>108</v>
      </c>
      <c r="H313" s="151" t="s">
        <v>513</v>
      </c>
      <c r="I313" s="150" t="n">
        <v>46227</v>
      </c>
      <c r="J313" s="68" t="n">
        <v>7</v>
      </c>
      <c r="K313" s="188" t="s">
        <v>49</v>
      </c>
      <c r="L313" s="189" t="s">
        <v>60</v>
      </c>
      <c r="M313" s="152" t="n">
        <f aca="false">I313-D313</f>
        <v>1003</v>
      </c>
    </row>
    <row r="314" customFormat="false" ht="14.15" hidden="false" customHeight="false" outlineLevel="0" collapsed="false">
      <c r="A314" s="139" t="n">
        <v>31326</v>
      </c>
      <c r="B314" s="140" t="s">
        <v>1139</v>
      </c>
      <c r="C314" s="140" t="n">
        <v>2023</v>
      </c>
      <c r="D314" s="141" t="n">
        <v>45033</v>
      </c>
      <c r="E314" s="142" t="s">
        <v>1140</v>
      </c>
      <c r="F314" s="142" t="s">
        <v>1141</v>
      </c>
      <c r="G314" s="66" t="s">
        <v>108</v>
      </c>
      <c r="H314" s="142" t="s">
        <v>972</v>
      </c>
      <c r="I314" s="141" t="n">
        <v>46227</v>
      </c>
      <c r="J314" s="66" t="n">
        <v>7</v>
      </c>
      <c r="K314" s="188" t="s">
        <v>49</v>
      </c>
      <c r="L314" s="142" t="s">
        <v>58</v>
      </c>
      <c r="M314" s="145" t="n">
        <f aca="false">I314-D314</f>
        <v>1194</v>
      </c>
    </row>
    <row r="315" customFormat="false" ht="12.75" hidden="false" customHeight="true" outlineLevel="0" collapsed="false">
      <c r="A315" s="148" t="n">
        <v>31426</v>
      </c>
      <c r="B315" s="149" t="s">
        <v>1142</v>
      </c>
      <c r="C315" s="149" t="n">
        <v>2022</v>
      </c>
      <c r="D315" s="150" t="n">
        <v>44680</v>
      </c>
      <c r="E315" s="151" t="s">
        <v>1143</v>
      </c>
      <c r="F315" s="151" t="s">
        <v>1144</v>
      </c>
      <c r="G315" s="68" t="s">
        <v>108</v>
      </c>
      <c r="H315" s="151" t="s">
        <v>991</v>
      </c>
      <c r="I315" s="150" t="n">
        <v>46227</v>
      </c>
      <c r="J315" s="68" t="n">
        <v>7</v>
      </c>
      <c r="K315" s="188" t="s">
        <v>49</v>
      </c>
      <c r="L315" s="189" t="s">
        <v>60</v>
      </c>
      <c r="M315" s="152" t="n">
        <f aca="false">I315-D315</f>
        <v>1547</v>
      </c>
    </row>
    <row r="316" customFormat="false" ht="12.75" hidden="false" customHeight="true" outlineLevel="0" collapsed="false">
      <c r="A316" s="139" t="n">
        <v>31526</v>
      </c>
      <c r="B316" s="140" t="s">
        <v>1145</v>
      </c>
      <c r="C316" s="140" t="n">
        <v>2024</v>
      </c>
      <c r="D316" s="141" t="n">
        <v>45439</v>
      </c>
      <c r="E316" s="142" t="s">
        <v>1146</v>
      </c>
      <c r="F316" s="142" t="s">
        <v>1147</v>
      </c>
      <c r="G316" s="66" t="s">
        <v>108</v>
      </c>
      <c r="H316" s="142" t="s">
        <v>409</v>
      </c>
      <c r="I316" s="141" t="n">
        <v>46227</v>
      </c>
      <c r="J316" s="66" t="n">
        <v>7</v>
      </c>
      <c r="K316" s="188" t="s">
        <v>49</v>
      </c>
      <c r="L316" s="142" t="s">
        <v>58</v>
      </c>
      <c r="M316" s="145" t="n">
        <f aca="false">I316-D316</f>
        <v>788</v>
      </c>
    </row>
    <row r="317" customFormat="false" ht="14.15" hidden="false" customHeight="false" outlineLevel="0" collapsed="false">
      <c r="A317" s="148" t="n">
        <v>31626</v>
      </c>
      <c r="B317" s="149" t="s">
        <v>1148</v>
      </c>
      <c r="C317" s="149" t="n">
        <v>2020</v>
      </c>
      <c r="D317" s="150" t="n">
        <v>43861</v>
      </c>
      <c r="E317" s="151" t="s">
        <v>1149</v>
      </c>
      <c r="F317" s="151" t="s">
        <v>1150</v>
      </c>
      <c r="G317" s="68" t="s">
        <v>108</v>
      </c>
      <c r="H317" s="151" t="s">
        <v>471</v>
      </c>
      <c r="I317" s="150" t="n">
        <v>46227</v>
      </c>
      <c r="J317" s="68" t="n">
        <v>7</v>
      </c>
      <c r="K317" s="188" t="s">
        <v>49</v>
      </c>
      <c r="L317" s="189" t="s">
        <v>58</v>
      </c>
      <c r="M317" s="152" t="n">
        <f aca="false">I317-D317</f>
        <v>2366</v>
      </c>
    </row>
    <row r="318" customFormat="false" ht="12.75" hidden="false" customHeight="true" outlineLevel="0" collapsed="false">
      <c r="A318" s="139" t="n">
        <v>31726</v>
      </c>
      <c r="B318" s="140" t="s">
        <v>1151</v>
      </c>
      <c r="C318" s="140" t="n">
        <v>2020</v>
      </c>
      <c r="D318" s="141" t="n">
        <v>44160</v>
      </c>
      <c r="E318" s="142" t="s">
        <v>1152</v>
      </c>
      <c r="F318" s="142" t="s">
        <v>1153</v>
      </c>
      <c r="G318" s="66" t="s">
        <v>108</v>
      </c>
      <c r="H318" s="142" t="s">
        <v>471</v>
      </c>
      <c r="I318" s="141" t="n">
        <v>46227</v>
      </c>
      <c r="J318" s="66" t="n">
        <v>7</v>
      </c>
      <c r="K318" s="188" t="s">
        <v>49</v>
      </c>
      <c r="L318" s="142" t="s">
        <v>60</v>
      </c>
      <c r="M318" s="145" t="n">
        <f aca="false">I318-D318</f>
        <v>2067</v>
      </c>
    </row>
    <row r="319" customFormat="false" ht="12.75" hidden="false" customHeight="true" outlineLevel="0" collapsed="false">
      <c r="A319" s="148" t="n">
        <v>31826</v>
      </c>
      <c r="B319" s="149" t="s">
        <v>1154</v>
      </c>
      <c r="C319" s="149" t="n">
        <v>2020</v>
      </c>
      <c r="D319" s="150" t="n">
        <v>43867</v>
      </c>
      <c r="E319" s="151" t="s">
        <v>1155</v>
      </c>
      <c r="F319" s="151" t="s">
        <v>1156</v>
      </c>
      <c r="G319" s="68" t="s">
        <v>108</v>
      </c>
      <c r="H319" s="151" t="s">
        <v>471</v>
      </c>
      <c r="I319" s="150" t="n">
        <v>46227</v>
      </c>
      <c r="J319" s="68" t="n">
        <v>7</v>
      </c>
      <c r="K319" s="163" t="s">
        <v>46</v>
      </c>
      <c r="L319" s="189" t="s">
        <v>58</v>
      </c>
      <c r="M319" s="152" t="n">
        <f aca="false">I319-D319</f>
        <v>2360</v>
      </c>
    </row>
    <row r="320" customFormat="false" ht="12.75" hidden="false" customHeight="true" outlineLevel="0" collapsed="false">
      <c r="A320" s="139" t="n">
        <v>31926</v>
      </c>
      <c r="B320" s="140" t="s">
        <v>1157</v>
      </c>
      <c r="C320" s="140" t="n">
        <v>2020</v>
      </c>
      <c r="D320" s="141" t="n">
        <v>43861</v>
      </c>
      <c r="E320" s="142" t="s">
        <v>1158</v>
      </c>
      <c r="F320" s="142" t="s">
        <v>1150</v>
      </c>
      <c r="G320" s="66" t="s">
        <v>108</v>
      </c>
      <c r="H320" s="142" t="s">
        <v>471</v>
      </c>
      <c r="I320" s="141" t="n">
        <v>46227</v>
      </c>
      <c r="J320" s="66" t="n">
        <v>7</v>
      </c>
      <c r="K320" s="188" t="s">
        <v>49</v>
      </c>
      <c r="L320" s="142" t="s">
        <v>58</v>
      </c>
      <c r="M320" s="145" t="n">
        <f aca="false">I320-D320</f>
        <v>2366</v>
      </c>
    </row>
    <row r="321" customFormat="false" ht="12.75" hidden="false" customHeight="true" outlineLevel="0" collapsed="false">
      <c r="A321" s="148" t="n">
        <v>32026</v>
      </c>
      <c r="B321" s="149" t="s">
        <v>1159</v>
      </c>
      <c r="C321" s="149" t="n">
        <v>2024</v>
      </c>
      <c r="D321" s="150" t="n">
        <v>45345</v>
      </c>
      <c r="E321" s="151" t="s">
        <v>1160</v>
      </c>
      <c r="F321" s="151" t="s">
        <v>1161</v>
      </c>
      <c r="G321" s="68" t="s">
        <v>108</v>
      </c>
      <c r="H321" s="151" t="s">
        <v>1109</v>
      </c>
      <c r="I321" s="150" t="n">
        <v>46239</v>
      </c>
      <c r="J321" s="68" t="n">
        <v>8</v>
      </c>
      <c r="K321" s="188" t="s">
        <v>49</v>
      </c>
      <c r="L321" s="189" t="s">
        <v>58</v>
      </c>
      <c r="M321" s="152" t="n">
        <f aca="false">I321-D321</f>
        <v>894</v>
      </c>
    </row>
    <row r="322" customFormat="false" ht="12.75" hidden="false" customHeight="true" outlineLevel="0" collapsed="false">
      <c r="A322" s="139" t="n">
        <v>32126</v>
      </c>
      <c r="B322" s="140" t="s">
        <v>1162</v>
      </c>
      <c r="C322" s="140" t="n">
        <v>2025</v>
      </c>
      <c r="D322" s="141" t="n">
        <v>44907</v>
      </c>
      <c r="E322" s="142" t="s">
        <v>1163</v>
      </c>
      <c r="F322" s="142" t="s">
        <v>715</v>
      </c>
      <c r="G322" s="66" t="s">
        <v>108</v>
      </c>
      <c r="H322" s="142" t="s">
        <v>1164</v>
      </c>
      <c r="I322" s="141" t="n">
        <v>46239</v>
      </c>
      <c r="J322" s="66" t="n">
        <v>8</v>
      </c>
      <c r="K322" s="188" t="s">
        <v>48</v>
      </c>
      <c r="L322" s="142" t="s">
        <v>60</v>
      </c>
      <c r="M322" s="145" t="n">
        <f aca="false">I322-D322</f>
        <v>1332</v>
      </c>
    </row>
    <row r="323" customFormat="false" ht="12.75" hidden="false" customHeight="true" outlineLevel="0" collapsed="false">
      <c r="A323" s="148" t="n">
        <v>32226</v>
      </c>
      <c r="B323" s="149" t="s">
        <v>1165</v>
      </c>
      <c r="C323" s="149" t="n">
        <v>2025</v>
      </c>
      <c r="D323" s="150" t="n">
        <v>45714</v>
      </c>
      <c r="E323" s="151" t="s">
        <v>1166</v>
      </c>
      <c r="F323" s="151" t="s">
        <v>1167</v>
      </c>
      <c r="G323" s="68" t="s">
        <v>108</v>
      </c>
      <c r="H323" s="151" t="s">
        <v>373</v>
      </c>
      <c r="I323" s="150" t="n">
        <v>46246</v>
      </c>
      <c r="J323" s="68" t="n">
        <v>8</v>
      </c>
      <c r="K323" s="188" t="s">
        <v>48</v>
      </c>
      <c r="L323" s="189" t="s">
        <v>58</v>
      </c>
      <c r="M323" s="152" t="n">
        <f aca="false">I323-D323</f>
        <v>532</v>
      </c>
    </row>
    <row r="324" customFormat="false" ht="12.75" hidden="false" customHeight="true" outlineLevel="0" collapsed="false">
      <c r="A324" s="139" t="n">
        <v>32326</v>
      </c>
      <c r="B324" s="140" t="s">
        <v>1168</v>
      </c>
      <c r="C324" s="140" t="n">
        <v>2022</v>
      </c>
      <c r="D324" s="141" t="n">
        <v>44645</v>
      </c>
      <c r="E324" s="142" t="s">
        <v>1169</v>
      </c>
      <c r="F324" s="142" t="s">
        <v>1170</v>
      </c>
      <c r="G324" s="66" t="s">
        <v>108</v>
      </c>
      <c r="H324" s="142" t="s">
        <v>223</v>
      </c>
      <c r="I324" s="141" t="n">
        <v>46247</v>
      </c>
      <c r="J324" s="66" t="n">
        <v>8</v>
      </c>
      <c r="K324" s="188" t="s">
        <v>49</v>
      </c>
      <c r="L324" s="142" t="s">
        <v>58</v>
      </c>
      <c r="M324" s="145" t="n">
        <f aca="false">I324-D324</f>
        <v>1602</v>
      </c>
    </row>
    <row r="325" customFormat="false" ht="12.75" hidden="false" customHeight="true" outlineLevel="0" collapsed="false">
      <c r="A325" s="148" t="n">
        <v>32426</v>
      </c>
      <c r="B325" s="149"/>
      <c r="C325" s="149"/>
      <c r="D325" s="150"/>
      <c r="E325" s="151"/>
      <c r="F325" s="151"/>
      <c r="G325" s="68"/>
      <c r="H325" s="151"/>
      <c r="I325" s="150"/>
      <c r="J325" s="68"/>
      <c r="K325" s="188"/>
      <c r="L325" s="151"/>
      <c r="M325" s="152" t="n">
        <f aca="false">I325-D325</f>
        <v>0</v>
      </c>
    </row>
    <row r="326" customFormat="false" ht="12.75" hidden="false" customHeight="true" outlineLevel="0" collapsed="false">
      <c r="A326" s="139" t="n">
        <v>32526</v>
      </c>
      <c r="B326" s="140"/>
      <c r="C326" s="140"/>
      <c r="D326" s="141"/>
      <c r="E326" s="142"/>
      <c r="F326" s="142"/>
      <c r="G326" s="66"/>
      <c r="H326" s="142"/>
      <c r="I326" s="141"/>
      <c r="J326" s="66"/>
      <c r="K326" s="169"/>
      <c r="L326" s="142"/>
      <c r="M326" s="145" t="n">
        <f aca="false">I326-D326</f>
        <v>0</v>
      </c>
    </row>
    <row r="327" customFormat="false" ht="12.75" hidden="false" customHeight="true" outlineLevel="0" collapsed="false">
      <c r="A327" s="148" t="n">
        <v>32626</v>
      </c>
      <c r="B327" s="149"/>
      <c r="C327" s="149"/>
      <c r="D327" s="150"/>
      <c r="E327" s="151"/>
      <c r="F327" s="151"/>
      <c r="G327" s="68"/>
      <c r="H327" s="151"/>
      <c r="I327" s="150"/>
      <c r="J327" s="68"/>
      <c r="K327" s="169"/>
      <c r="L327" s="151"/>
      <c r="M327" s="152" t="n">
        <f aca="false">I327-D327</f>
        <v>0</v>
      </c>
    </row>
    <row r="328" customFormat="false" ht="12.75" hidden="false" customHeight="true" outlineLevel="0" collapsed="false">
      <c r="A328" s="139" t="n">
        <v>32726</v>
      </c>
      <c r="B328" s="140"/>
      <c r="C328" s="140"/>
      <c r="D328" s="141"/>
      <c r="E328" s="142"/>
      <c r="F328" s="142"/>
      <c r="G328" s="66"/>
      <c r="H328" s="142"/>
      <c r="I328" s="141"/>
      <c r="J328" s="66"/>
      <c r="K328" s="143"/>
      <c r="L328" s="142"/>
      <c r="M328" s="145" t="n">
        <f aca="false">I328-D328</f>
        <v>0</v>
      </c>
    </row>
    <row r="329" customFormat="false" ht="12.75" hidden="false" customHeight="true" outlineLevel="0" collapsed="false">
      <c r="A329" s="148" t="n">
        <v>32826</v>
      </c>
      <c r="B329" s="149"/>
      <c r="C329" s="149"/>
      <c r="D329" s="150"/>
      <c r="E329" s="151"/>
      <c r="F329" s="151"/>
      <c r="G329" s="68"/>
      <c r="H329" s="151"/>
      <c r="I329" s="150"/>
      <c r="J329" s="68"/>
      <c r="K329" s="169"/>
      <c r="L329" s="151"/>
      <c r="M329" s="152" t="n">
        <f aca="false">I329-D329</f>
        <v>0</v>
      </c>
    </row>
    <row r="330" customFormat="false" ht="12.75" hidden="false" customHeight="true" outlineLevel="0" collapsed="false">
      <c r="A330" s="139" t="n">
        <v>32926</v>
      </c>
      <c r="B330" s="140"/>
      <c r="C330" s="140"/>
      <c r="D330" s="141"/>
      <c r="E330" s="142"/>
      <c r="F330" s="142"/>
      <c r="G330" s="66"/>
      <c r="H330" s="142"/>
      <c r="I330" s="141"/>
      <c r="J330" s="66"/>
      <c r="K330" s="188"/>
      <c r="L330" s="144"/>
      <c r="M330" s="145" t="n">
        <f aca="false">I330-D330</f>
        <v>0</v>
      </c>
    </row>
    <row r="331" customFormat="false" ht="12.75" hidden="false" customHeight="true" outlineLevel="0" collapsed="false">
      <c r="A331" s="148" t="n">
        <v>33026</v>
      </c>
      <c r="B331" s="149"/>
      <c r="C331" s="149"/>
      <c r="D331" s="150"/>
      <c r="E331" s="151"/>
      <c r="F331" s="151"/>
      <c r="G331" s="68"/>
      <c r="H331" s="151"/>
      <c r="I331" s="150"/>
      <c r="J331" s="68"/>
      <c r="K331" s="169"/>
      <c r="L331" s="151"/>
      <c r="M331" s="152" t="n">
        <f aca="false">I331-D331</f>
        <v>0</v>
      </c>
    </row>
    <row r="332" customFormat="false" ht="12.75" hidden="false" customHeight="true" outlineLevel="0" collapsed="false">
      <c r="A332" s="139" t="n">
        <v>33126</v>
      </c>
      <c r="B332" s="140"/>
      <c r="C332" s="140"/>
      <c r="D332" s="141"/>
      <c r="E332" s="142"/>
      <c r="F332" s="142"/>
      <c r="G332" s="66"/>
      <c r="H332" s="142"/>
      <c r="I332" s="141"/>
      <c r="J332" s="66"/>
      <c r="K332" s="188"/>
      <c r="L332" s="142"/>
      <c r="M332" s="145" t="n">
        <f aca="false">I332-D332</f>
        <v>0</v>
      </c>
    </row>
    <row r="333" customFormat="false" ht="12.75" hidden="false" customHeight="true" outlineLevel="0" collapsed="false">
      <c r="A333" s="148" t="n">
        <v>33226</v>
      </c>
      <c r="B333" s="149"/>
      <c r="C333" s="149"/>
      <c r="D333" s="150"/>
      <c r="E333" s="151"/>
      <c r="F333" s="151"/>
      <c r="G333" s="68"/>
      <c r="H333" s="151"/>
      <c r="I333" s="150"/>
      <c r="J333" s="68"/>
      <c r="K333" s="188"/>
      <c r="L333" s="151"/>
      <c r="M333" s="152" t="n">
        <f aca="false">I333-D333</f>
        <v>0</v>
      </c>
    </row>
    <row r="334" customFormat="false" ht="12.75" hidden="false" customHeight="true" outlineLevel="0" collapsed="false">
      <c r="A334" s="139" t="n">
        <v>33326</v>
      </c>
      <c r="B334" s="140"/>
      <c r="C334" s="140"/>
      <c r="D334" s="141"/>
      <c r="E334" s="142"/>
      <c r="F334" s="142"/>
      <c r="G334" s="66"/>
      <c r="H334" s="142"/>
      <c r="I334" s="141"/>
      <c r="J334" s="66"/>
      <c r="K334" s="188"/>
      <c r="L334" s="144"/>
      <c r="M334" s="145" t="n">
        <f aca="false">I334-D334</f>
        <v>0</v>
      </c>
    </row>
    <row r="335" customFormat="false" ht="12.75" hidden="false" customHeight="true" outlineLevel="0" collapsed="false">
      <c r="A335" s="148" t="n">
        <v>33426</v>
      </c>
      <c r="B335" s="149"/>
      <c r="C335" s="149"/>
      <c r="D335" s="150"/>
      <c r="E335" s="151"/>
      <c r="F335" s="151"/>
      <c r="G335" s="68"/>
      <c r="H335" s="151"/>
      <c r="I335" s="150"/>
      <c r="J335" s="68"/>
      <c r="K335" s="188"/>
      <c r="L335" s="151"/>
      <c r="M335" s="152" t="n">
        <f aca="false">I335-D335</f>
        <v>0</v>
      </c>
    </row>
    <row r="336" customFormat="false" ht="12.75" hidden="false" customHeight="true" outlineLevel="0" collapsed="false">
      <c r="A336" s="139" t="n">
        <v>33526</v>
      </c>
      <c r="B336" s="140"/>
      <c r="C336" s="140"/>
      <c r="D336" s="141"/>
      <c r="E336" s="142"/>
      <c r="F336" s="142"/>
      <c r="G336" s="66"/>
      <c r="H336" s="142"/>
      <c r="I336" s="141"/>
      <c r="J336" s="66"/>
      <c r="K336" s="143"/>
      <c r="L336" s="142"/>
      <c r="M336" s="145" t="n">
        <f aca="false">I336-D336</f>
        <v>0</v>
      </c>
    </row>
    <row r="337" customFormat="false" ht="12.75" hidden="false" customHeight="true" outlineLevel="0" collapsed="false">
      <c r="A337" s="148" t="n">
        <v>33626</v>
      </c>
      <c r="B337" s="194"/>
      <c r="C337" s="149"/>
      <c r="D337" s="150"/>
      <c r="E337" s="151"/>
      <c r="F337" s="151"/>
      <c r="G337" s="68"/>
      <c r="H337" s="151"/>
      <c r="I337" s="150"/>
      <c r="J337" s="68"/>
      <c r="K337" s="188"/>
      <c r="L337" s="151"/>
      <c r="M337" s="152" t="n">
        <f aca="false">I337-D337</f>
        <v>0</v>
      </c>
    </row>
    <row r="338" customFormat="false" ht="12.75" hidden="false" customHeight="true" outlineLevel="0" collapsed="false">
      <c r="A338" s="139" t="n">
        <v>33726</v>
      </c>
      <c r="B338" s="140"/>
      <c r="C338" s="140"/>
      <c r="D338" s="141"/>
      <c r="E338" s="142"/>
      <c r="F338" s="142"/>
      <c r="G338" s="66"/>
      <c r="H338" s="142"/>
      <c r="I338" s="141"/>
      <c r="J338" s="66"/>
      <c r="K338" s="188"/>
      <c r="L338" s="144"/>
      <c r="M338" s="145" t="n">
        <f aca="false">I338-D338</f>
        <v>0</v>
      </c>
    </row>
    <row r="339" customFormat="false" ht="12.75" hidden="false" customHeight="true" outlineLevel="0" collapsed="false">
      <c r="A339" s="148" t="n">
        <v>33826</v>
      </c>
      <c r="B339" s="149"/>
      <c r="C339" s="149"/>
      <c r="D339" s="150"/>
      <c r="E339" s="151"/>
      <c r="F339" s="151"/>
      <c r="G339" s="68"/>
      <c r="H339" s="151"/>
      <c r="I339" s="150"/>
      <c r="J339" s="68"/>
      <c r="K339" s="188"/>
      <c r="L339" s="151"/>
      <c r="M339" s="152" t="n">
        <f aca="false">I339-D339</f>
        <v>0</v>
      </c>
    </row>
    <row r="340" customFormat="false" ht="12.75" hidden="false" customHeight="true" outlineLevel="0" collapsed="false">
      <c r="A340" s="139" t="n">
        <v>33926</v>
      </c>
      <c r="B340" s="140"/>
      <c r="C340" s="140"/>
      <c r="D340" s="141"/>
      <c r="E340" s="142"/>
      <c r="F340" s="142"/>
      <c r="G340" s="66"/>
      <c r="H340" s="142"/>
      <c r="I340" s="141"/>
      <c r="J340" s="66"/>
      <c r="K340" s="188"/>
      <c r="L340" s="144"/>
      <c r="M340" s="145" t="n">
        <f aca="false">I340-D340</f>
        <v>0</v>
      </c>
    </row>
    <row r="341" customFormat="false" ht="12.75" hidden="false" customHeight="true" outlineLevel="0" collapsed="false">
      <c r="A341" s="148" t="n">
        <v>34026</v>
      </c>
      <c r="B341" s="149"/>
      <c r="C341" s="149"/>
      <c r="D341" s="150"/>
      <c r="E341" s="151"/>
      <c r="F341" s="151"/>
      <c r="G341" s="68"/>
      <c r="H341" s="151"/>
      <c r="I341" s="150"/>
      <c r="J341" s="68"/>
      <c r="K341" s="188"/>
      <c r="L341" s="151"/>
      <c r="M341" s="152" t="n">
        <f aca="false">I341-D341</f>
        <v>0</v>
      </c>
    </row>
    <row r="342" customFormat="false" ht="12.75" hidden="false" customHeight="true" outlineLevel="0" collapsed="false">
      <c r="A342" s="139" t="n">
        <v>34126</v>
      </c>
      <c r="B342" s="140"/>
      <c r="C342" s="140"/>
      <c r="D342" s="141"/>
      <c r="E342" s="142"/>
      <c r="F342" s="142"/>
      <c r="G342" s="66"/>
      <c r="H342" s="142"/>
      <c r="I342" s="141"/>
      <c r="J342" s="66"/>
      <c r="K342" s="188"/>
      <c r="L342" s="142"/>
      <c r="M342" s="145" t="n">
        <f aca="false">I342-D342</f>
        <v>0</v>
      </c>
    </row>
    <row r="343" customFormat="false" ht="12.75" hidden="false" customHeight="true" outlineLevel="0" collapsed="false">
      <c r="A343" s="148" t="n">
        <v>34226</v>
      </c>
      <c r="B343" s="149"/>
      <c r="C343" s="149"/>
      <c r="D343" s="150"/>
      <c r="E343" s="151"/>
      <c r="F343" s="151"/>
      <c r="G343" s="68"/>
      <c r="H343" s="151"/>
      <c r="I343" s="150"/>
      <c r="J343" s="68"/>
      <c r="K343" s="195"/>
      <c r="L343" s="151"/>
      <c r="M343" s="152" t="n">
        <f aca="false">I343-D343</f>
        <v>0</v>
      </c>
    </row>
    <row r="344" customFormat="false" ht="12.75" hidden="false" customHeight="true" outlineLevel="0" collapsed="false">
      <c r="A344" s="139" t="n">
        <v>34326</v>
      </c>
      <c r="B344" s="140"/>
      <c r="C344" s="140"/>
      <c r="D344" s="141"/>
      <c r="E344" s="142"/>
      <c r="F344" s="142"/>
      <c r="G344" s="66"/>
      <c r="H344" s="142"/>
      <c r="I344" s="141"/>
      <c r="J344" s="66"/>
      <c r="K344" s="188"/>
      <c r="L344" s="144"/>
      <c r="M344" s="145" t="n">
        <f aca="false">I344-D344</f>
        <v>0</v>
      </c>
    </row>
    <row r="345" customFormat="false" ht="12.75" hidden="false" customHeight="true" outlineLevel="0" collapsed="false">
      <c r="A345" s="148" t="n">
        <v>34426</v>
      </c>
      <c r="B345" s="149"/>
      <c r="C345" s="149"/>
      <c r="D345" s="150"/>
      <c r="E345" s="151"/>
      <c r="F345" s="151"/>
      <c r="G345" s="68"/>
      <c r="H345" s="151"/>
      <c r="I345" s="150"/>
      <c r="J345" s="68"/>
      <c r="K345" s="188"/>
      <c r="L345" s="151"/>
      <c r="M345" s="152" t="n">
        <f aca="false">I345-D345</f>
        <v>0</v>
      </c>
    </row>
    <row r="346" customFormat="false" ht="12.75" hidden="false" customHeight="true" outlineLevel="0" collapsed="false">
      <c r="A346" s="139" t="n">
        <v>34526</v>
      </c>
      <c r="B346" s="140"/>
      <c r="C346" s="140"/>
      <c r="D346" s="141"/>
      <c r="E346" s="142"/>
      <c r="F346" s="142"/>
      <c r="G346" s="66"/>
      <c r="H346" s="142"/>
      <c r="I346" s="141"/>
      <c r="J346" s="66"/>
      <c r="K346" s="188"/>
      <c r="L346" s="142"/>
      <c r="M346" s="145" t="n">
        <f aca="false">I346-D346</f>
        <v>0</v>
      </c>
    </row>
    <row r="347" customFormat="false" ht="12.75" hidden="false" customHeight="true" outlineLevel="0" collapsed="false">
      <c r="A347" s="148" t="n">
        <v>34626</v>
      </c>
      <c r="B347" s="149"/>
      <c r="C347" s="149"/>
      <c r="D347" s="150"/>
      <c r="E347" s="151"/>
      <c r="F347" s="151"/>
      <c r="G347" s="68"/>
      <c r="H347" s="151"/>
      <c r="I347" s="150"/>
      <c r="J347" s="68"/>
      <c r="K347" s="188"/>
      <c r="L347" s="151"/>
      <c r="M347" s="152" t="n">
        <f aca="false">I347-D347</f>
        <v>0</v>
      </c>
    </row>
    <row r="348" customFormat="false" ht="12.75" hidden="false" customHeight="true" outlineLevel="0" collapsed="false">
      <c r="A348" s="139" t="n">
        <v>34726</v>
      </c>
      <c r="B348" s="140"/>
      <c r="C348" s="140"/>
      <c r="D348" s="141"/>
      <c r="E348" s="142"/>
      <c r="F348" s="142"/>
      <c r="G348" s="66"/>
      <c r="H348" s="142"/>
      <c r="I348" s="141"/>
      <c r="J348" s="66"/>
      <c r="K348" s="188"/>
      <c r="L348" s="142"/>
      <c r="M348" s="145" t="n">
        <f aca="false">I348-D348</f>
        <v>0</v>
      </c>
    </row>
    <row r="349" customFormat="false" ht="12.75" hidden="false" customHeight="true" outlineLevel="0" collapsed="false">
      <c r="A349" s="148" t="n">
        <v>34826</v>
      </c>
      <c r="B349" s="149"/>
      <c r="C349" s="149"/>
      <c r="D349" s="150"/>
      <c r="E349" s="151"/>
      <c r="F349" s="151"/>
      <c r="G349" s="68"/>
      <c r="H349" s="151"/>
      <c r="I349" s="150"/>
      <c r="J349" s="68"/>
      <c r="K349" s="188"/>
      <c r="L349" s="151"/>
      <c r="M349" s="152" t="n">
        <f aca="false">I349-D349</f>
        <v>0</v>
      </c>
    </row>
    <row r="350" customFormat="false" ht="12.75" hidden="false" customHeight="true" outlineLevel="0" collapsed="false">
      <c r="A350" s="139" t="n">
        <v>34926</v>
      </c>
      <c r="B350" s="140"/>
      <c r="C350" s="140"/>
      <c r="D350" s="141"/>
      <c r="E350" s="142"/>
      <c r="F350" s="142"/>
      <c r="G350" s="66"/>
      <c r="H350" s="142"/>
      <c r="I350" s="141"/>
      <c r="J350" s="66"/>
      <c r="K350" s="188"/>
      <c r="L350" s="144"/>
      <c r="M350" s="145" t="n">
        <f aca="false">I350-D350</f>
        <v>0</v>
      </c>
    </row>
    <row r="351" customFormat="false" ht="12.75" hidden="false" customHeight="true" outlineLevel="0" collapsed="false">
      <c r="A351" s="148" t="n">
        <v>35026</v>
      </c>
      <c r="B351" s="149"/>
      <c r="C351" s="149"/>
      <c r="D351" s="150"/>
      <c r="E351" s="151"/>
      <c r="F351" s="151"/>
      <c r="G351" s="68"/>
      <c r="H351" s="151"/>
      <c r="I351" s="150"/>
      <c r="J351" s="68"/>
      <c r="K351" s="143"/>
      <c r="L351" s="151"/>
      <c r="M351" s="152" t="n">
        <f aca="false">I351-D351</f>
        <v>0</v>
      </c>
    </row>
    <row r="352" customFormat="false" ht="12.75" hidden="false" customHeight="true" outlineLevel="0" collapsed="false">
      <c r="A352" s="139" t="n">
        <v>35126</v>
      </c>
      <c r="B352" s="140"/>
      <c r="C352" s="140"/>
      <c r="D352" s="141"/>
      <c r="E352" s="142"/>
      <c r="F352" s="142"/>
      <c r="G352" s="66"/>
      <c r="H352" s="142"/>
      <c r="I352" s="141"/>
      <c r="J352" s="66"/>
      <c r="K352" s="143"/>
      <c r="L352" s="142"/>
      <c r="M352" s="145" t="n">
        <f aca="false">I352-D352</f>
        <v>0</v>
      </c>
    </row>
    <row r="353" customFormat="false" ht="12.75" hidden="false" customHeight="true" outlineLevel="0" collapsed="false">
      <c r="A353" s="139" t="n">
        <v>35226</v>
      </c>
      <c r="B353" s="149"/>
      <c r="C353" s="149"/>
      <c r="D353" s="150"/>
      <c r="E353" s="151"/>
      <c r="F353" s="151"/>
      <c r="G353" s="68"/>
      <c r="H353" s="151"/>
      <c r="I353" s="150"/>
      <c r="J353" s="68"/>
      <c r="K353" s="188"/>
      <c r="L353" s="151"/>
      <c r="M353" s="152" t="n">
        <f aca="false">I353-D353</f>
        <v>0</v>
      </c>
    </row>
    <row r="354" customFormat="false" ht="12.75" hidden="false" customHeight="true" outlineLevel="0" collapsed="false">
      <c r="A354" s="148" t="n">
        <v>35326</v>
      </c>
      <c r="B354" s="140"/>
      <c r="C354" s="140"/>
      <c r="D354" s="141"/>
      <c r="E354" s="142"/>
      <c r="F354" s="142"/>
      <c r="G354" s="66"/>
      <c r="H354" s="142"/>
      <c r="I354" s="141"/>
      <c r="J354" s="66"/>
      <c r="K354" s="188"/>
      <c r="L354" s="142"/>
      <c r="M354" s="145" t="n">
        <f aca="false">I354-D354</f>
        <v>0</v>
      </c>
    </row>
    <row r="355" customFormat="false" ht="12.75" hidden="false" customHeight="true" outlineLevel="0" collapsed="false">
      <c r="A355" s="139" t="n">
        <v>35426</v>
      </c>
      <c r="B355" s="149"/>
      <c r="C355" s="149"/>
      <c r="D355" s="150"/>
      <c r="E355" s="151"/>
      <c r="F355" s="151"/>
      <c r="G355" s="68"/>
      <c r="H355" s="151"/>
      <c r="I355" s="150"/>
      <c r="J355" s="68"/>
      <c r="K355" s="188"/>
      <c r="L355" s="151"/>
      <c r="M355" s="152" t="n">
        <f aca="false">I355-D355</f>
        <v>0</v>
      </c>
    </row>
    <row r="356" customFormat="false" ht="12.75" hidden="false" customHeight="true" outlineLevel="0" collapsed="false">
      <c r="A356" s="139" t="n">
        <v>35526</v>
      </c>
      <c r="B356" s="140"/>
      <c r="C356" s="140"/>
      <c r="D356" s="141"/>
      <c r="E356" s="142"/>
      <c r="F356" s="142"/>
      <c r="G356" s="66"/>
      <c r="H356" s="142"/>
      <c r="I356" s="141"/>
      <c r="J356" s="66"/>
      <c r="K356" s="188"/>
      <c r="L356" s="144"/>
      <c r="M356" s="145" t="n">
        <f aca="false">I356-D356</f>
        <v>0</v>
      </c>
    </row>
    <row r="357" customFormat="false" ht="12.75" hidden="false" customHeight="true" outlineLevel="0" collapsed="false">
      <c r="A357" s="148" t="n">
        <v>35626</v>
      </c>
      <c r="B357" s="149"/>
      <c r="C357" s="149"/>
      <c r="D357" s="150"/>
      <c r="E357" s="151"/>
      <c r="F357" s="151"/>
      <c r="G357" s="68"/>
      <c r="H357" s="151"/>
      <c r="I357" s="150"/>
      <c r="J357" s="68"/>
      <c r="K357" s="188"/>
      <c r="L357" s="151"/>
      <c r="M357" s="152" t="n">
        <f aca="false">I357-D357</f>
        <v>0</v>
      </c>
    </row>
    <row r="358" customFormat="false" ht="12.75" hidden="false" customHeight="true" outlineLevel="0" collapsed="false">
      <c r="A358" s="139" t="n">
        <v>35726</v>
      </c>
      <c r="B358" s="140"/>
      <c r="C358" s="140"/>
      <c r="D358" s="141"/>
      <c r="E358" s="142"/>
      <c r="F358" s="142"/>
      <c r="G358" s="66"/>
      <c r="H358" s="142"/>
      <c r="I358" s="141"/>
      <c r="J358" s="66"/>
      <c r="K358" s="169"/>
      <c r="L358" s="144"/>
      <c r="M358" s="145" t="n">
        <f aca="false">I358-D358</f>
        <v>0</v>
      </c>
    </row>
    <row r="359" customFormat="false" ht="12.75" hidden="false" customHeight="true" outlineLevel="0" collapsed="false">
      <c r="A359" s="139" t="n">
        <v>35826</v>
      </c>
      <c r="B359" s="149"/>
      <c r="C359" s="149"/>
      <c r="D359" s="150"/>
      <c r="E359" s="151"/>
      <c r="F359" s="151"/>
      <c r="G359" s="68"/>
      <c r="H359" s="151"/>
      <c r="I359" s="150"/>
      <c r="J359" s="68"/>
      <c r="K359" s="169"/>
      <c r="L359" s="151"/>
      <c r="M359" s="152" t="n">
        <f aca="false">I359-D359</f>
        <v>0</v>
      </c>
    </row>
    <row r="360" customFormat="false" ht="12.75" hidden="false" customHeight="true" outlineLevel="0" collapsed="false">
      <c r="A360" s="148" t="n">
        <v>35926</v>
      </c>
      <c r="B360" s="140"/>
      <c r="C360" s="140"/>
      <c r="D360" s="141"/>
      <c r="E360" s="142"/>
      <c r="F360" s="142"/>
      <c r="G360" s="66"/>
      <c r="H360" s="142"/>
      <c r="I360" s="141"/>
      <c r="J360" s="66"/>
      <c r="K360" s="169"/>
      <c r="L360" s="142"/>
      <c r="M360" s="145" t="n">
        <f aca="false">I360-D360</f>
        <v>0</v>
      </c>
    </row>
    <row r="361" customFormat="false" ht="12.75" hidden="false" customHeight="true" outlineLevel="0" collapsed="false">
      <c r="A361" s="139" t="n">
        <v>36026</v>
      </c>
      <c r="B361" s="149"/>
      <c r="C361" s="149"/>
      <c r="D361" s="150"/>
      <c r="E361" s="151"/>
      <c r="F361" s="151"/>
      <c r="G361" s="68"/>
      <c r="H361" s="151"/>
      <c r="I361" s="150"/>
      <c r="J361" s="68"/>
      <c r="K361" s="188"/>
      <c r="L361" s="151"/>
      <c r="M361" s="152" t="n">
        <f aca="false">I361-D361</f>
        <v>0</v>
      </c>
    </row>
    <row r="362" customFormat="false" ht="12.75" hidden="false" customHeight="true" outlineLevel="0" collapsed="false">
      <c r="A362" s="139" t="n">
        <v>36126</v>
      </c>
      <c r="B362" s="140"/>
      <c r="C362" s="140"/>
      <c r="D362" s="141"/>
      <c r="E362" s="142"/>
      <c r="F362" s="142"/>
      <c r="G362" s="66"/>
      <c r="H362" s="142"/>
      <c r="I362" s="141"/>
      <c r="J362" s="66"/>
      <c r="K362" s="169"/>
      <c r="L362" s="142"/>
      <c r="M362" s="145" t="n">
        <f aca="false">I362-D362</f>
        <v>0</v>
      </c>
    </row>
    <row r="363" customFormat="false" ht="12.75" hidden="false" customHeight="true" outlineLevel="0" collapsed="false">
      <c r="A363" s="148" t="n">
        <v>36226</v>
      </c>
      <c r="B363" s="149"/>
      <c r="C363" s="149"/>
      <c r="D363" s="150"/>
      <c r="E363" s="151"/>
      <c r="F363" s="151"/>
      <c r="G363" s="68"/>
      <c r="H363" s="151"/>
      <c r="I363" s="150"/>
      <c r="J363" s="68"/>
      <c r="K363" s="188"/>
      <c r="L363" s="151"/>
      <c r="M363" s="152" t="n">
        <f aca="false">I363-D363</f>
        <v>0</v>
      </c>
    </row>
    <row r="364" customFormat="false" ht="12.75" hidden="false" customHeight="true" outlineLevel="0" collapsed="false">
      <c r="A364" s="139" t="n">
        <v>36326</v>
      </c>
      <c r="B364" s="140"/>
      <c r="C364" s="140"/>
      <c r="D364" s="141"/>
      <c r="E364" s="142"/>
      <c r="F364" s="142"/>
      <c r="G364" s="66"/>
      <c r="H364" s="142"/>
      <c r="I364" s="141"/>
      <c r="J364" s="66"/>
      <c r="K364" s="169"/>
      <c r="L364" s="144"/>
      <c r="M364" s="145" t="n">
        <f aca="false">I364-D364</f>
        <v>0</v>
      </c>
    </row>
    <row r="365" customFormat="false" ht="12.75" hidden="false" customHeight="true" outlineLevel="0" collapsed="false">
      <c r="A365" s="139" t="n">
        <v>36426</v>
      </c>
      <c r="B365" s="149"/>
      <c r="C365" s="149"/>
      <c r="D365" s="150"/>
      <c r="E365" s="151"/>
      <c r="F365" s="151"/>
      <c r="G365" s="68"/>
      <c r="H365" s="151"/>
      <c r="I365" s="150"/>
      <c r="J365" s="68"/>
      <c r="K365" s="188"/>
      <c r="L365" s="151"/>
      <c r="M365" s="152" t="n">
        <f aca="false">I365-D365</f>
        <v>0</v>
      </c>
    </row>
    <row r="366" customFormat="false" ht="12.75" hidden="false" customHeight="true" outlineLevel="0" collapsed="false">
      <c r="A366" s="148" t="n">
        <v>36526</v>
      </c>
      <c r="B366" s="140"/>
      <c r="C366" s="140"/>
      <c r="D366" s="141"/>
      <c r="E366" s="142"/>
      <c r="F366" s="142"/>
      <c r="G366" s="66"/>
      <c r="H366" s="142"/>
      <c r="I366" s="141"/>
      <c r="J366" s="66"/>
      <c r="K366" s="188"/>
      <c r="L366" s="142"/>
      <c r="M366" s="145" t="n">
        <f aca="false">I366-D366</f>
        <v>0</v>
      </c>
    </row>
    <row r="367" customFormat="false" ht="12.75" hidden="false" customHeight="true" outlineLevel="0" collapsed="false">
      <c r="A367" s="139" t="n">
        <v>36626</v>
      </c>
      <c r="B367" s="149"/>
      <c r="C367" s="149"/>
      <c r="D367" s="150"/>
      <c r="E367" s="151"/>
      <c r="F367" s="151"/>
      <c r="G367" s="68"/>
      <c r="H367" s="151"/>
      <c r="I367" s="150"/>
      <c r="J367" s="68"/>
      <c r="K367" s="143"/>
      <c r="L367" s="151"/>
      <c r="M367" s="152" t="n">
        <f aca="false">I367-D367</f>
        <v>0</v>
      </c>
    </row>
    <row r="368" customFormat="false" ht="12.75" hidden="false" customHeight="true" outlineLevel="0" collapsed="false">
      <c r="A368" s="139" t="n">
        <v>36726</v>
      </c>
      <c r="B368" s="140"/>
      <c r="C368" s="140"/>
      <c r="D368" s="141"/>
      <c r="E368" s="142"/>
      <c r="F368" s="142"/>
      <c r="G368" s="66"/>
      <c r="H368" s="142"/>
      <c r="I368" s="141"/>
      <c r="J368" s="66"/>
      <c r="K368" s="188"/>
      <c r="L368" s="142"/>
      <c r="M368" s="145" t="n">
        <f aca="false">I368-D368</f>
        <v>0</v>
      </c>
    </row>
    <row r="369" customFormat="false" ht="12.75" hidden="false" customHeight="true" outlineLevel="0" collapsed="false">
      <c r="A369" s="148" t="n">
        <v>36826</v>
      </c>
      <c r="B369" s="149"/>
      <c r="C369" s="149"/>
      <c r="D369" s="150"/>
      <c r="E369" s="151"/>
      <c r="F369" s="151"/>
      <c r="G369" s="68"/>
      <c r="H369" s="151"/>
      <c r="I369" s="150"/>
      <c r="J369" s="68"/>
      <c r="K369" s="188"/>
      <c r="L369" s="151"/>
      <c r="M369" s="152" t="n">
        <f aca="false">I369-D369</f>
        <v>0</v>
      </c>
    </row>
    <row r="370" customFormat="false" ht="12.75" hidden="false" customHeight="true" outlineLevel="0" collapsed="false">
      <c r="A370" s="139" t="n">
        <v>36926</v>
      </c>
      <c r="B370" s="140"/>
      <c r="C370" s="140"/>
      <c r="D370" s="141"/>
      <c r="E370" s="142"/>
      <c r="F370" s="142"/>
      <c r="G370" s="66"/>
      <c r="H370" s="142"/>
      <c r="I370" s="141"/>
      <c r="J370" s="66"/>
      <c r="K370" s="188"/>
      <c r="L370" s="144"/>
      <c r="M370" s="145" t="n">
        <f aca="false">I370-D370</f>
        <v>0</v>
      </c>
    </row>
    <row r="371" customFormat="false" ht="12.75" hidden="false" customHeight="true" outlineLevel="0" collapsed="false">
      <c r="A371" s="139" t="n">
        <v>37026</v>
      </c>
      <c r="B371" s="149"/>
      <c r="C371" s="149"/>
      <c r="D371" s="150"/>
      <c r="E371" s="151"/>
      <c r="F371" s="151"/>
      <c r="G371" s="68"/>
      <c r="H371" s="151"/>
      <c r="I371" s="150"/>
      <c r="J371" s="68"/>
      <c r="K371" s="169"/>
      <c r="L371" s="151"/>
      <c r="M371" s="152" t="n">
        <f aca="false">I371-D371</f>
        <v>0</v>
      </c>
    </row>
    <row r="372" customFormat="false" ht="12.75" hidden="false" customHeight="true" outlineLevel="0" collapsed="false">
      <c r="A372" s="148" t="n">
        <v>37126</v>
      </c>
      <c r="B372" s="140"/>
      <c r="C372" s="140"/>
      <c r="D372" s="141"/>
      <c r="E372" s="142"/>
      <c r="F372" s="142"/>
      <c r="G372" s="66"/>
      <c r="H372" s="142"/>
      <c r="I372" s="141"/>
      <c r="J372" s="66"/>
      <c r="K372" s="188"/>
      <c r="L372" s="144"/>
      <c r="M372" s="145" t="n">
        <f aca="false">I372-D372</f>
        <v>0</v>
      </c>
    </row>
    <row r="373" customFormat="false" ht="12.75" hidden="false" customHeight="true" outlineLevel="0" collapsed="false">
      <c r="A373" s="139" t="n">
        <v>37226</v>
      </c>
      <c r="B373" s="149"/>
      <c r="C373" s="149"/>
      <c r="D373" s="150"/>
      <c r="E373" s="151"/>
      <c r="F373" s="151"/>
      <c r="G373" s="68"/>
      <c r="H373" s="151"/>
      <c r="I373" s="150"/>
      <c r="J373" s="68"/>
      <c r="K373" s="188"/>
      <c r="L373" s="151"/>
      <c r="M373" s="152" t="n">
        <f aca="false">I373-D373</f>
        <v>0</v>
      </c>
    </row>
    <row r="374" customFormat="false" ht="12.75" hidden="false" customHeight="true" outlineLevel="0" collapsed="false">
      <c r="A374" s="139" t="n">
        <v>37326</v>
      </c>
      <c r="B374" s="140"/>
      <c r="C374" s="140"/>
      <c r="D374" s="141"/>
      <c r="E374" s="142"/>
      <c r="F374" s="142"/>
      <c r="G374" s="66"/>
      <c r="H374" s="142"/>
      <c r="I374" s="141"/>
      <c r="J374" s="66"/>
      <c r="K374" s="188"/>
      <c r="L374" s="144"/>
      <c r="M374" s="145" t="n">
        <f aca="false">I374-D374</f>
        <v>0</v>
      </c>
    </row>
    <row r="375" customFormat="false" ht="12.75" hidden="false" customHeight="true" outlineLevel="0" collapsed="false">
      <c r="A375" s="148" t="n">
        <v>37426</v>
      </c>
      <c r="B375" s="149"/>
      <c r="C375" s="149"/>
      <c r="D375" s="150"/>
      <c r="E375" s="151"/>
      <c r="F375" s="151"/>
      <c r="G375" s="68"/>
      <c r="H375" s="151"/>
      <c r="I375" s="150"/>
      <c r="J375" s="68"/>
      <c r="K375" s="188"/>
      <c r="L375" s="151"/>
      <c r="M375" s="152" t="n">
        <f aca="false">I375-D375</f>
        <v>0</v>
      </c>
    </row>
    <row r="376" customFormat="false" ht="12.75" hidden="false" customHeight="true" outlineLevel="0" collapsed="false">
      <c r="A376" s="139" t="n">
        <v>37526</v>
      </c>
      <c r="B376" s="140"/>
      <c r="C376" s="140"/>
      <c r="D376" s="141"/>
      <c r="E376" s="142"/>
      <c r="F376" s="142"/>
      <c r="G376" s="66"/>
      <c r="H376" s="142"/>
      <c r="I376" s="141"/>
      <c r="J376" s="66"/>
      <c r="K376" s="169"/>
      <c r="L376" s="144"/>
      <c r="M376" s="145" t="n">
        <f aca="false">I376-D376</f>
        <v>0</v>
      </c>
    </row>
    <row r="377" customFormat="false" ht="12.75" hidden="false" customHeight="true" outlineLevel="0" collapsed="false">
      <c r="A377" s="139" t="n">
        <v>37626</v>
      </c>
      <c r="B377" s="149"/>
      <c r="C377" s="149"/>
      <c r="D377" s="150"/>
      <c r="E377" s="151"/>
      <c r="F377" s="151"/>
      <c r="G377" s="68"/>
      <c r="H377" s="151"/>
      <c r="I377" s="150"/>
      <c r="J377" s="68"/>
      <c r="K377" s="188"/>
      <c r="L377" s="151"/>
      <c r="M377" s="152" t="n">
        <f aca="false">I377-D377</f>
        <v>0</v>
      </c>
    </row>
    <row r="378" customFormat="false" ht="12.75" hidden="false" customHeight="true" outlineLevel="0" collapsed="false">
      <c r="A378" s="148" t="n">
        <v>37726</v>
      </c>
      <c r="B378" s="140"/>
      <c r="C378" s="140"/>
      <c r="D378" s="141"/>
      <c r="E378" s="142"/>
      <c r="F378" s="142"/>
      <c r="G378" s="66"/>
      <c r="H378" s="142"/>
      <c r="I378" s="141"/>
      <c r="J378" s="66"/>
      <c r="K378" s="188"/>
      <c r="L378" s="142"/>
      <c r="M378" s="145" t="n">
        <f aca="false">I378-D378</f>
        <v>0</v>
      </c>
    </row>
    <row r="379" customFormat="false" ht="12.75" hidden="false" customHeight="true" outlineLevel="0" collapsed="false">
      <c r="A379" s="139" t="n">
        <v>37826</v>
      </c>
      <c r="B379" s="149"/>
      <c r="C379" s="149"/>
      <c r="D379" s="150"/>
      <c r="E379" s="151"/>
      <c r="F379" s="151"/>
      <c r="G379" s="68"/>
      <c r="H379" s="151"/>
      <c r="I379" s="150"/>
      <c r="J379" s="68"/>
      <c r="K379" s="143"/>
      <c r="L379" s="151"/>
      <c r="M379" s="152" t="n">
        <f aca="false">I379-D379</f>
        <v>0</v>
      </c>
    </row>
    <row r="380" customFormat="false" ht="12.75" hidden="false" customHeight="true" outlineLevel="0" collapsed="false">
      <c r="A380" s="139" t="n">
        <v>37926</v>
      </c>
      <c r="B380" s="140"/>
      <c r="C380" s="140"/>
      <c r="D380" s="141"/>
      <c r="E380" s="142"/>
      <c r="F380" s="142"/>
      <c r="G380" s="66"/>
      <c r="H380" s="142"/>
      <c r="I380" s="141"/>
      <c r="J380" s="66"/>
      <c r="K380" s="169"/>
      <c r="L380" s="144"/>
      <c r="M380" s="145" t="n">
        <f aca="false">I380-D380</f>
        <v>0</v>
      </c>
    </row>
    <row r="381" customFormat="false" ht="12.75" hidden="false" customHeight="true" outlineLevel="0" collapsed="false">
      <c r="A381" s="148" t="n">
        <v>38026</v>
      </c>
      <c r="B381" s="149"/>
      <c r="C381" s="149"/>
      <c r="D381" s="150"/>
      <c r="E381" s="151"/>
      <c r="F381" s="151"/>
      <c r="G381" s="68"/>
      <c r="H381" s="151"/>
      <c r="I381" s="150"/>
      <c r="J381" s="68"/>
      <c r="K381" s="188"/>
      <c r="L381" s="151"/>
      <c r="M381" s="152" t="n">
        <f aca="false">I381-D381</f>
        <v>0</v>
      </c>
    </row>
    <row r="382" customFormat="false" ht="12.75" hidden="false" customHeight="true" outlineLevel="0" collapsed="false">
      <c r="A382" s="139" t="n">
        <v>38126</v>
      </c>
      <c r="B382" s="140"/>
      <c r="C382" s="140"/>
      <c r="D382" s="141"/>
      <c r="E382" s="142"/>
      <c r="F382" s="142"/>
      <c r="G382" s="66"/>
      <c r="H382" s="142"/>
      <c r="I382" s="141"/>
      <c r="J382" s="66"/>
      <c r="K382" s="143"/>
      <c r="L382" s="142"/>
      <c r="M382" s="145" t="n">
        <f aca="false">I382-D382</f>
        <v>0</v>
      </c>
    </row>
    <row r="383" customFormat="false" ht="12.75" hidden="false" customHeight="true" outlineLevel="0" collapsed="false">
      <c r="A383" s="139" t="n">
        <v>38226</v>
      </c>
      <c r="B383" s="149"/>
      <c r="C383" s="149"/>
      <c r="D383" s="150"/>
      <c r="E383" s="151"/>
      <c r="F383" s="151"/>
      <c r="G383" s="68"/>
      <c r="H383" s="151"/>
      <c r="I383" s="150"/>
      <c r="J383" s="68"/>
      <c r="K383" s="188"/>
      <c r="L383" s="151"/>
      <c r="M383" s="152" t="n">
        <f aca="false">I383-D383</f>
        <v>0</v>
      </c>
    </row>
    <row r="384" customFormat="false" ht="12.75" hidden="false" customHeight="true" outlineLevel="0" collapsed="false">
      <c r="A384" s="148" t="n">
        <v>38326</v>
      </c>
      <c r="B384" s="140"/>
      <c r="C384" s="140"/>
      <c r="D384" s="141"/>
      <c r="E384" s="142"/>
      <c r="F384" s="142"/>
      <c r="G384" s="66"/>
      <c r="H384" s="142"/>
      <c r="I384" s="141"/>
      <c r="J384" s="66"/>
      <c r="K384" s="195"/>
      <c r="L384" s="142"/>
      <c r="M384" s="145" t="n">
        <f aca="false">I384-D384</f>
        <v>0</v>
      </c>
    </row>
    <row r="385" customFormat="false" ht="12.75" hidden="false" customHeight="true" outlineLevel="0" collapsed="false">
      <c r="A385" s="139" t="n">
        <v>38426</v>
      </c>
      <c r="B385" s="149"/>
      <c r="C385" s="149"/>
      <c r="D385" s="150"/>
      <c r="E385" s="151"/>
      <c r="F385" s="151"/>
      <c r="G385" s="68"/>
      <c r="H385" s="151"/>
      <c r="I385" s="150"/>
      <c r="J385" s="68"/>
      <c r="K385" s="143"/>
      <c r="L385" s="151"/>
      <c r="M385" s="152" t="n">
        <f aca="false">I385-D385</f>
        <v>0</v>
      </c>
    </row>
    <row r="386" customFormat="false" ht="12.75" hidden="false" customHeight="true" outlineLevel="0" collapsed="false">
      <c r="A386" s="139" t="n">
        <v>38526</v>
      </c>
      <c r="B386" s="140"/>
      <c r="C386" s="140"/>
      <c r="D386" s="141"/>
      <c r="E386" s="142"/>
      <c r="F386" s="142"/>
      <c r="G386" s="66"/>
      <c r="H386" s="142"/>
      <c r="I386" s="141"/>
      <c r="J386" s="66"/>
      <c r="K386" s="188"/>
      <c r="L386" s="142"/>
      <c r="M386" s="145" t="n">
        <f aca="false">I386-D386</f>
        <v>0</v>
      </c>
    </row>
    <row r="387" customFormat="false" ht="12.75" hidden="false" customHeight="true" outlineLevel="0" collapsed="false">
      <c r="A387" s="148" t="n">
        <v>38626</v>
      </c>
      <c r="B387" s="149"/>
      <c r="C387" s="149"/>
      <c r="D387" s="150"/>
      <c r="E387" s="151"/>
      <c r="F387" s="151"/>
      <c r="G387" s="68"/>
      <c r="H387" s="151"/>
      <c r="I387" s="150"/>
      <c r="J387" s="68"/>
      <c r="K387" s="195"/>
      <c r="L387" s="151"/>
      <c r="M387" s="152" t="n">
        <f aca="false">I387-D387</f>
        <v>0</v>
      </c>
    </row>
    <row r="388" customFormat="false" ht="12.75" hidden="false" customHeight="true" outlineLevel="0" collapsed="false">
      <c r="A388" s="139" t="n">
        <v>38726</v>
      </c>
      <c r="B388" s="140"/>
      <c r="C388" s="140"/>
      <c r="D388" s="141"/>
      <c r="E388" s="142"/>
      <c r="F388" s="142"/>
      <c r="G388" s="66"/>
      <c r="H388" s="142"/>
      <c r="I388" s="141"/>
      <c r="J388" s="66"/>
      <c r="K388" s="188"/>
      <c r="L388" s="144"/>
      <c r="M388" s="145" t="n">
        <f aca="false">I388-D388</f>
        <v>0</v>
      </c>
    </row>
    <row r="389" customFormat="false" ht="12.75" hidden="false" customHeight="true" outlineLevel="0" collapsed="false">
      <c r="A389" s="139" t="n">
        <v>38826</v>
      </c>
      <c r="B389" s="149"/>
      <c r="C389" s="149"/>
      <c r="D389" s="150"/>
      <c r="E389" s="151"/>
      <c r="F389" s="151"/>
      <c r="G389" s="68"/>
      <c r="H389" s="151"/>
      <c r="I389" s="150"/>
      <c r="J389" s="68"/>
      <c r="K389" s="143"/>
      <c r="L389" s="151"/>
      <c r="M389" s="152" t="n">
        <f aca="false">I389-D389</f>
        <v>0</v>
      </c>
    </row>
    <row r="390" customFormat="false" ht="12.75" hidden="false" customHeight="true" outlineLevel="0" collapsed="false">
      <c r="A390" s="148" t="n">
        <v>38926</v>
      </c>
      <c r="B390" s="140"/>
      <c r="C390" s="140"/>
      <c r="D390" s="141"/>
      <c r="E390" s="142"/>
      <c r="F390" s="142"/>
      <c r="G390" s="66"/>
      <c r="H390" s="142"/>
      <c r="I390" s="141"/>
      <c r="J390" s="66"/>
      <c r="K390" s="143"/>
      <c r="L390" s="142"/>
      <c r="M390" s="145" t="n">
        <f aca="false">I390-D390</f>
        <v>0</v>
      </c>
    </row>
    <row r="391" customFormat="false" ht="12.75" hidden="false" customHeight="true" outlineLevel="0" collapsed="false">
      <c r="A391" s="139" t="n">
        <v>39026</v>
      </c>
      <c r="B391" s="149"/>
      <c r="C391" s="149"/>
      <c r="D391" s="150"/>
      <c r="E391" s="151"/>
      <c r="F391" s="151"/>
      <c r="G391" s="68"/>
      <c r="H391" s="151"/>
      <c r="I391" s="150"/>
      <c r="J391" s="68"/>
      <c r="K391" s="188"/>
      <c r="L391" s="151"/>
      <c r="M391" s="152" t="n">
        <f aca="false">I391-D391</f>
        <v>0</v>
      </c>
    </row>
    <row r="392" customFormat="false" ht="12.75" hidden="false" customHeight="true" outlineLevel="0" collapsed="false">
      <c r="A392" s="139" t="n">
        <v>39126</v>
      </c>
      <c r="B392" s="140"/>
      <c r="C392" s="140"/>
      <c r="D392" s="141"/>
      <c r="E392" s="142"/>
      <c r="F392" s="142"/>
      <c r="G392" s="66"/>
      <c r="H392" s="142"/>
      <c r="I392" s="141"/>
      <c r="J392" s="66"/>
      <c r="K392" s="143"/>
      <c r="L392" s="142"/>
      <c r="M392" s="145" t="n">
        <f aca="false">I392-D392</f>
        <v>0</v>
      </c>
    </row>
    <row r="393" customFormat="false" ht="12.75" hidden="false" customHeight="true" outlineLevel="0" collapsed="false">
      <c r="A393" s="148" t="n">
        <v>39226</v>
      </c>
      <c r="B393" s="149"/>
      <c r="C393" s="149"/>
      <c r="D393" s="150"/>
      <c r="E393" s="151"/>
      <c r="F393" s="151"/>
      <c r="G393" s="68"/>
      <c r="H393" s="151"/>
      <c r="I393" s="150"/>
      <c r="J393" s="68"/>
      <c r="K393" s="188"/>
      <c r="L393" s="151"/>
      <c r="M393" s="152" t="n">
        <f aca="false">I393-D393</f>
        <v>0</v>
      </c>
    </row>
    <row r="394" customFormat="false" ht="12.75" hidden="false" customHeight="true" outlineLevel="0" collapsed="false">
      <c r="A394" s="139" t="n">
        <v>39326</v>
      </c>
      <c r="B394" s="140"/>
      <c r="C394" s="140"/>
      <c r="D394" s="141"/>
      <c r="E394" s="142"/>
      <c r="F394" s="142"/>
      <c r="G394" s="66"/>
      <c r="H394" s="142"/>
      <c r="I394" s="141"/>
      <c r="J394" s="66"/>
      <c r="K394" s="195"/>
      <c r="L394" s="142"/>
      <c r="M394" s="145" t="n">
        <f aca="false">I394-D394</f>
        <v>0</v>
      </c>
    </row>
    <row r="395" customFormat="false" ht="12.75" hidden="false" customHeight="true" outlineLevel="0" collapsed="false">
      <c r="A395" s="139" t="n">
        <v>39426</v>
      </c>
      <c r="B395" s="149"/>
      <c r="C395" s="149"/>
      <c r="D395" s="150"/>
      <c r="E395" s="151"/>
      <c r="F395" s="151"/>
      <c r="G395" s="68"/>
      <c r="H395" s="151"/>
      <c r="I395" s="150"/>
      <c r="J395" s="68"/>
      <c r="K395" s="188"/>
      <c r="L395" s="151"/>
      <c r="M395" s="152" t="n">
        <f aca="false">I395-D395</f>
        <v>0</v>
      </c>
    </row>
    <row r="396" customFormat="false" ht="12.75" hidden="false" customHeight="true" outlineLevel="0" collapsed="false">
      <c r="A396" s="148" t="n">
        <v>39526</v>
      </c>
      <c r="B396" s="140"/>
      <c r="C396" s="140"/>
      <c r="D396" s="141"/>
      <c r="E396" s="142"/>
      <c r="F396" s="142"/>
      <c r="G396" s="66"/>
      <c r="H396" s="142"/>
      <c r="I396" s="141"/>
      <c r="J396" s="66"/>
      <c r="K396" s="169"/>
      <c r="L396" s="144"/>
      <c r="M396" s="145" t="n">
        <f aca="false">I396-D396</f>
        <v>0</v>
      </c>
    </row>
    <row r="397" customFormat="false" ht="12.75" hidden="false" customHeight="true" outlineLevel="0" collapsed="false">
      <c r="A397" s="139" t="n">
        <v>39626</v>
      </c>
      <c r="B397" s="149"/>
      <c r="C397" s="149"/>
      <c r="D397" s="150"/>
      <c r="E397" s="151"/>
      <c r="F397" s="151"/>
      <c r="G397" s="68"/>
      <c r="H397" s="151"/>
      <c r="I397" s="150"/>
      <c r="J397" s="68"/>
      <c r="K397" s="169"/>
      <c r="L397" s="151"/>
      <c r="M397" s="152" t="n">
        <f aca="false">I397-D397</f>
        <v>0</v>
      </c>
    </row>
    <row r="398" customFormat="false" ht="12.75" hidden="false" customHeight="true" outlineLevel="0" collapsed="false">
      <c r="A398" s="139" t="n">
        <v>39726</v>
      </c>
      <c r="B398" s="140"/>
      <c r="C398" s="140"/>
      <c r="D398" s="141"/>
      <c r="E398" s="142"/>
      <c r="F398" s="142"/>
      <c r="G398" s="66"/>
      <c r="H398" s="142"/>
      <c r="I398" s="141"/>
      <c r="J398" s="66"/>
      <c r="K398" s="188"/>
      <c r="L398" s="142"/>
      <c r="M398" s="145" t="n">
        <f aca="false">I398-D398</f>
        <v>0</v>
      </c>
    </row>
    <row r="399" customFormat="false" ht="12.75" hidden="false" customHeight="true" outlineLevel="0" collapsed="false">
      <c r="A399" s="148" t="n">
        <v>39826</v>
      </c>
      <c r="B399" s="149"/>
      <c r="C399" s="149"/>
      <c r="D399" s="150"/>
      <c r="E399" s="151"/>
      <c r="F399" s="151"/>
      <c r="G399" s="68"/>
      <c r="H399" s="151"/>
      <c r="I399" s="150"/>
      <c r="J399" s="68"/>
      <c r="K399" s="188"/>
      <c r="L399" s="151"/>
      <c r="M399" s="152" t="n">
        <f aca="false">I399-D399</f>
        <v>0</v>
      </c>
    </row>
    <row r="400" customFormat="false" ht="12.75" hidden="false" customHeight="true" outlineLevel="0" collapsed="false">
      <c r="A400" s="139" t="n">
        <v>39926</v>
      </c>
      <c r="B400" s="140"/>
      <c r="C400" s="140"/>
      <c r="D400" s="141"/>
      <c r="E400" s="142"/>
      <c r="F400" s="142"/>
      <c r="G400" s="66"/>
      <c r="H400" s="142"/>
      <c r="I400" s="141"/>
      <c r="J400" s="66"/>
      <c r="K400" s="188"/>
      <c r="L400" s="142"/>
      <c r="M400" s="145" t="n">
        <f aca="false">I400-D400</f>
        <v>0</v>
      </c>
    </row>
    <row r="401" customFormat="false" ht="12.75" hidden="false" customHeight="true" outlineLevel="0" collapsed="false">
      <c r="A401" s="139" t="n">
        <v>40026</v>
      </c>
      <c r="B401" s="149"/>
      <c r="C401" s="149"/>
      <c r="D401" s="150"/>
      <c r="E401" s="151"/>
      <c r="F401" s="151"/>
      <c r="G401" s="68"/>
      <c r="H401" s="151"/>
      <c r="I401" s="150"/>
      <c r="J401" s="68"/>
      <c r="K401" s="143"/>
      <c r="L401" s="151"/>
      <c r="M401" s="152" t="n">
        <f aca="false">I401-D401</f>
        <v>0</v>
      </c>
    </row>
    <row r="402" customFormat="false" ht="12.75" hidden="false" customHeight="true" outlineLevel="0" collapsed="false">
      <c r="A402" s="148" t="n">
        <v>40126</v>
      </c>
      <c r="B402" s="140"/>
      <c r="C402" s="140"/>
      <c r="D402" s="141"/>
      <c r="E402" s="142"/>
      <c r="F402" s="142"/>
      <c r="G402" s="66"/>
      <c r="H402" s="142"/>
      <c r="I402" s="141"/>
      <c r="J402" s="66"/>
      <c r="K402" s="188"/>
      <c r="L402" s="142"/>
      <c r="M402" s="145" t="n">
        <f aca="false">I402-D402</f>
        <v>0</v>
      </c>
    </row>
    <row r="403" customFormat="false" ht="12.75" hidden="false" customHeight="true" outlineLevel="0" collapsed="false">
      <c r="A403" s="139" t="n">
        <v>40226</v>
      </c>
      <c r="B403" s="149"/>
      <c r="C403" s="149"/>
      <c r="D403" s="150"/>
      <c r="E403" s="151"/>
      <c r="F403" s="151"/>
      <c r="G403" s="68"/>
      <c r="H403" s="151"/>
      <c r="I403" s="150"/>
      <c r="J403" s="68"/>
      <c r="K403" s="196"/>
      <c r="L403" s="151"/>
      <c r="M403" s="152" t="n">
        <f aca="false">I403-D403</f>
        <v>0</v>
      </c>
    </row>
    <row r="404" customFormat="false" ht="12.75" hidden="false" customHeight="true" outlineLevel="0" collapsed="false">
      <c r="A404" s="139" t="n">
        <v>40326</v>
      </c>
      <c r="B404" s="140"/>
      <c r="C404" s="140"/>
      <c r="D404" s="141"/>
      <c r="E404" s="142"/>
      <c r="F404" s="142"/>
      <c r="G404" s="66"/>
      <c r="H404" s="142"/>
      <c r="I404" s="141"/>
      <c r="J404" s="66"/>
      <c r="K404" s="188"/>
      <c r="L404" s="142"/>
      <c r="M404" s="145" t="n">
        <f aca="false">I404-D404</f>
        <v>0</v>
      </c>
    </row>
    <row r="405" customFormat="false" ht="12.75" hidden="false" customHeight="true" outlineLevel="0" collapsed="false">
      <c r="A405" s="148" t="n">
        <v>40426</v>
      </c>
      <c r="B405" s="149"/>
      <c r="C405" s="149"/>
      <c r="D405" s="150"/>
      <c r="E405" s="151"/>
      <c r="F405" s="151"/>
      <c r="G405" s="68"/>
      <c r="H405" s="151"/>
      <c r="I405" s="150"/>
      <c r="J405" s="68"/>
      <c r="K405" s="188"/>
      <c r="L405" s="151"/>
      <c r="M405" s="152" t="n">
        <f aca="false">I405-D405</f>
        <v>0</v>
      </c>
    </row>
    <row r="406" customFormat="false" ht="12.75" hidden="false" customHeight="true" outlineLevel="0" collapsed="false">
      <c r="A406" s="139" t="n">
        <v>40526</v>
      </c>
      <c r="B406" s="140"/>
      <c r="C406" s="140"/>
      <c r="D406" s="141"/>
      <c r="E406" s="142"/>
      <c r="F406" s="142"/>
      <c r="G406" s="66"/>
      <c r="H406" s="142"/>
      <c r="I406" s="141"/>
      <c r="J406" s="66"/>
      <c r="K406" s="196"/>
      <c r="L406" s="142"/>
      <c r="M406" s="145" t="n">
        <f aca="false">I406-D406</f>
        <v>0</v>
      </c>
    </row>
    <row r="407" customFormat="false" ht="12.75" hidden="false" customHeight="true" outlineLevel="0" collapsed="false">
      <c r="A407" s="139" t="n">
        <v>40626</v>
      </c>
      <c r="B407" s="149"/>
      <c r="C407" s="149"/>
      <c r="D407" s="150"/>
      <c r="E407" s="151"/>
      <c r="F407" s="151"/>
      <c r="G407" s="68"/>
      <c r="H407" s="151"/>
      <c r="I407" s="150"/>
      <c r="J407" s="68"/>
      <c r="K407" s="143"/>
      <c r="L407" s="151"/>
      <c r="M407" s="152" t="n">
        <f aca="false">I407-D407</f>
        <v>0</v>
      </c>
    </row>
    <row r="408" customFormat="false" ht="12.75" hidden="false" customHeight="true" outlineLevel="0" collapsed="false">
      <c r="A408" s="148" t="n">
        <v>40726</v>
      </c>
      <c r="B408" s="140"/>
      <c r="C408" s="140"/>
      <c r="D408" s="141"/>
      <c r="E408" s="142"/>
      <c r="F408" s="142"/>
      <c r="G408" s="66"/>
      <c r="H408" s="142"/>
      <c r="I408" s="141"/>
      <c r="J408" s="66"/>
      <c r="K408" s="143"/>
      <c r="L408" s="142"/>
      <c r="M408" s="145" t="n">
        <f aca="false">I408-D408</f>
        <v>0</v>
      </c>
    </row>
    <row r="409" customFormat="false" ht="12.75" hidden="false" customHeight="true" outlineLevel="0" collapsed="false">
      <c r="A409" s="139" t="n">
        <v>40826</v>
      </c>
      <c r="B409" s="149"/>
      <c r="C409" s="149"/>
      <c r="D409" s="150"/>
      <c r="E409" s="151"/>
      <c r="F409" s="151"/>
      <c r="G409" s="68"/>
      <c r="H409" s="151"/>
      <c r="I409" s="150"/>
      <c r="J409" s="68"/>
      <c r="K409" s="188"/>
      <c r="L409" s="151"/>
      <c r="M409" s="152" t="n">
        <f aca="false">I409-D409</f>
        <v>0</v>
      </c>
    </row>
    <row r="410" customFormat="false" ht="12.75" hidden="false" customHeight="true" outlineLevel="0" collapsed="false">
      <c r="A410" s="139" t="n">
        <v>40926</v>
      </c>
      <c r="B410" s="140"/>
      <c r="C410" s="140"/>
      <c r="D410" s="141"/>
      <c r="E410" s="142"/>
      <c r="F410" s="142"/>
      <c r="G410" s="66"/>
      <c r="H410" s="142"/>
      <c r="I410" s="141"/>
      <c r="J410" s="66"/>
      <c r="K410" s="188"/>
      <c r="L410" s="142"/>
      <c r="M410" s="145" t="n">
        <f aca="false">I410-D410</f>
        <v>0</v>
      </c>
    </row>
    <row r="411" customFormat="false" ht="12.75" hidden="false" customHeight="true" outlineLevel="0" collapsed="false">
      <c r="A411" s="148" t="n">
        <v>41026</v>
      </c>
      <c r="B411" s="149"/>
      <c r="C411" s="149"/>
      <c r="D411" s="150"/>
      <c r="E411" s="151"/>
      <c r="F411" s="151"/>
      <c r="G411" s="68"/>
      <c r="H411" s="151"/>
      <c r="I411" s="150"/>
      <c r="J411" s="68"/>
      <c r="K411" s="196"/>
      <c r="L411" s="151"/>
      <c r="M411" s="152" t="n">
        <f aca="false">I411-D411</f>
        <v>0</v>
      </c>
    </row>
    <row r="412" customFormat="false" ht="12.75" hidden="false" customHeight="true" outlineLevel="0" collapsed="false">
      <c r="A412" s="139" t="n">
        <v>41126</v>
      </c>
      <c r="B412" s="140"/>
      <c r="C412" s="140"/>
      <c r="D412" s="141"/>
      <c r="E412" s="142"/>
      <c r="F412" s="142"/>
      <c r="G412" s="66"/>
      <c r="H412" s="142"/>
      <c r="I412" s="141"/>
      <c r="J412" s="66"/>
      <c r="K412" s="143"/>
      <c r="L412" s="142"/>
      <c r="M412" s="145" t="n">
        <f aca="false">I412-D412</f>
        <v>0</v>
      </c>
    </row>
    <row r="413" customFormat="false" ht="12.75" hidden="false" customHeight="true" outlineLevel="0" collapsed="false">
      <c r="A413" s="139" t="n">
        <v>41226</v>
      </c>
      <c r="B413" s="149"/>
      <c r="C413" s="149"/>
      <c r="D413" s="150"/>
      <c r="E413" s="151"/>
      <c r="F413" s="151"/>
      <c r="G413" s="68"/>
      <c r="H413" s="151"/>
      <c r="I413" s="150"/>
      <c r="J413" s="68"/>
      <c r="K413" s="143"/>
      <c r="L413" s="151"/>
      <c r="M413" s="152" t="n">
        <f aca="false">I413-D413</f>
        <v>0</v>
      </c>
    </row>
    <row r="414" customFormat="false" ht="12.75" hidden="false" customHeight="true" outlineLevel="0" collapsed="false">
      <c r="A414" s="148" t="n">
        <v>41326</v>
      </c>
      <c r="B414" s="140"/>
      <c r="C414" s="140"/>
      <c r="D414" s="141"/>
      <c r="E414" s="142"/>
      <c r="F414" s="142"/>
      <c r="G414" s="66"/>
      <c r="H414" s="142"/>
      <c r="I414" s="141"/>
      <c r="J414" s="66"/>
      <c r="K414" s="188"/>
      <c r="L414" s="144"/>
      <c r="M414" s="145" t="n">
        <f aca="false">I414-D414</f>
        <v>0</v>
      </c>
    </row>
    <row r="415" customFormat="false" ht="12.75" hidden="false" customHeight="true" outlineLevel="0" collapsed="false">
      <c r="A415" s="139" t="n">
        <v>41426</v>
      </c>
      <c r="B415" s="149"/>
      <c r="C415" s="149"/>
      <c r="D415" s="150"/>
      <c r="E415" s="151"/>
      <c r="F415" s="151"/>
      <c r="G415" s="68"/>
      <c r="H415" s="151"/>
      <c r="I415" s="150"/>
      <c r="J415" s="68"/>
      <c r="K415" s="143"/>
      <c r="L415" s="151"/>
      <c r="M415" s="152" t="n">
        <f aca="false">I415-D415</f>
        <v>0</v>
      </c>
    </row>
    <row r="416" customFormat="false" ht="12.75" hidden="false" customHeight="true" outlineLevel="0" collapsed="false">
      <c r="A416" s="139" t="n">
        <v>41526</v>
      </c>
      <c r="B416" s="140"/>
      <c r="C416" s="140"/>
      <c r="D416" s="141"/>
      <c r="E416" s="142"/>
      <c r="F416" s="142"/>
      <c r="G416" s="66"/>
      <c r="H416" s="142"/>
      <c r="I416" s="141"/>
      <c r="J416" s="66"/>
      <c r="K416" s="188"/>
      <c r="L416" s="142"/>
      <c r="M416" s="145" t="n">
        <f aca="false">I416-D416</f>
        <v>0</v>
      </c>
    </row>
    <row r="417" customFormat="false" ht="12.75" hidden="false" customHeight="true" outlineLevel="0" collapsed="false">
      <c r="A417" s="148" t="n">
        <v>41626</v>
      </c>
      <c r="B417" s="149"/>
      <c r="C417" s="149"/>
      <c r="D417" s="150"/>
      <c r="E417" s="151"/>
      <c r="F417" s="151"/>
      <c r="G417" s="68"/>
      <c r="H417" s="151"/>
      <c r="I417" s="150"/>
      <c r="J417" s="68"/>
      <c r="K417" s="143"/>
      <c r="L417" s="151"/>
      <c r="M417" s="152" t="n">
        <f aca="false">I417-D417</f>
        <v>0</v>
      </c>
    </row>
    <row r="418" customFormat="false" ht="12.75" hidden="false" customHeight="true" outlineLevel="0" collapsed="false">
      <c r="A418" s="139" t="n">
        <v>41726</v>
      </c>
      <c r="B418" s="140"/>
      <c r="C418" s="140"/>
      <c r="D418" s="141"/>
      <c r="E418" s="142"/>
      <c r="F418" s="142"/>
      <c r="G418" s="66"/>
      <c r="H418" s="142"/>
      <c r="I418" s="141"/>
      <c r="J418" s="66"/>
      <c r="K418" s="188"/>
      <c r="L418" s="142"/>
      <c r="M418" s="145" t="n">
        <f aca="false">I418-D418</f>
        <v>0</v>
      </c>
    </row>
    <row r="419" customFormat="false" ht="12.75" hidden="false" customHeight="true" outlineLevel="0" collapsed="false">
      <c r="A419" s="139" t="n">
        <v>41826</v>
      </c>
      <c r="B419" s="149"/>
      <c r="C419" s="149"/>
      <c r="D419" s="150"/>
      <c r="E419" s="151"/>
      <c r="F419" s="151"/>
      <c r="G419" s="68"/>
      <c r="H419" s="151"/>
      <c r="I419" s="150"/>
      <c r="J419" s="68"/>
      <c r="K419" s="188"/>
      <c r="L419" s="151"/>
      <c r="M419" s="152" t="n">
        <f aca="false">I419-D419</f>
        <v>0</v>
      </c>
    </row>
    <row r="420" customFormat="false" ht="12.75" hidden="false" customHeight="true" outlineLevel="0" collapsed="false">
      <c r="A420" s="148" t="n">
        <v>41926</v>
      </c>
      <c r="B420" s="140"/>
      <c r="C420" s="140"/>
      <c r="D420" s="141"/>
      <c r="E420" s="142"/>
      <c r="F420" s="142"/>
      <c r="G420" s="66"/>
      <c r="H420" s="142"/>
      <c r="I420" s="141"/>
      <c r="J420" s="66"/>
      <c r="K420" s="196"/>
      <c r="L420" s="142"/>
      <c r="M420" s="145" t="n">
        <f aca="false">I420-D420</f>
        <v>0</v>
      </c>
    </row>
    <row r="421" customFormat="false" ht="12.75" hidden="false" customHeight="true" outlineLevel="0" collapsed="false">
      <c r="A421" s="139" t="n">
        <v>42026</v>
      </c>
      <c r="B421" s="149"/>
      <c r="C421" s="149"/>
      <c r="D421" s="150"/>
      <c r="E421" s="151"/>
      <c r="F421" s="151"/>
      <c r="G421" s="68"/>
      <c r="H421" s="151"/>
      <c r="I421" s="150"/>
      <c r="J421" s="68"/>
      <c r="K421" s="143"/>
      <c r="L421" s="151"/>
      <c r="M421" s="152" t="n">
        <f aca="false">I421-D421</f>
        <v>0</v>
      </c>
    </row>
    <row r="422" customFormat="false" ht="12.75" hidden="false" customHeight="true" outlineLevel="0" collapsed="false">
      <c r="A422" s="139" t="n">
        <v>42126</v>
      </c>
      <c r="B422" s="140"/>
      <c r="C422" s="140"/>
      <c r="D422" s="141"/>
      <c r="E422" s="142"/>
      <c r="F422" s="142"/>
      <c r="G422" s="66"/>
      <c r="H422" s="142"/>
      <c r="I422" s="141"/>
      <c r="J422" s="66"/>
      <c r="K422" s="143"/>
      <c r="L422" s="142"/>
      <c r="M422" s="145" t="n">
        <f aca="false">I422-D422</f>
        <v>0</v>
      </c>
    </row>
    <row r="423" customFormat="false" ht="12.75" hidden="false" customHeight="true" outlineLevel="0" collapsed="false">
      <c r="A423" s="148" t="n">
        <v>42226</v>
      </c>
      <c r="B423" s="149"/>
      <c r="C423" s="149"/>
      <c r="D423" s="150"/>
      <c r="E423" s="151"/>
      <c r="F423" s="151"/>
      <c r="G423" s="68"/>
      <c r="H423" s="151"/>
      <c r="I423" s="150"/>
      <c r="J423" s="68"/>
      <c r="K423" s="188"/>
      <c r="L423" s="151"/>
      <c r="M423" s="152" t="n">
        <f aca="false">I423-D423</f>
        <v>0</v>
      </c>
    </row>
    <row r="424" customFormat="false" ht="12.75" hidden="false" customHeight="true" outlineLevel="0" collapsed="false">
      <c r="A424" s="139" t="n">
        <v>42326</v>
      </c>
      <c r="B424" s="140"/>
      <c r="C424" s="140"/>
      <c r="D424" s="141"/>
      <c r="E424" s="142"/>
      <c r="F424" s="142"/>
      <c r="G424" s="66"/>
      <c r="H424" s="142"/>
      <c r="I424" s="141"/>
      <c r="J424" s="66"/>
      <c r="K424" s="143"/>
      <c r="L424" s="142"/>
      <c r="M424" s="145" t="n">
        <f aca="false">I424-D424</f>
        <v>0</v>
      </c>
    </row>
    <row r="425" customFormat="false" ht="12.75" hidden="false" customHeight="true" outlineLevel="0" collapsed="false">
      <c r="A425" s="139" t="n">
        <v>42426</v>
      </c>
      <c r="B425" s="149"/>
      <c r="C425" s="149"/>
      <c r="D425" s="150"/>
      <c r="E425" s="151"/>
      <c r="F425" s="151"/>
      <c r="G425" s="68"/>
      <c r="H425" s="151"/>
      <c r="I425" s="150"/>
      <c r="J425" s="68"/>
      <c r="K425" s="169"/>
      <c r="L425" s="151"/>
      <c r="M425" s="152" t="n">
        <f aca="false">I425-D425</f>
        <v>0</v>
      </c>
    </row>
    <row r="426" customFormat="false" ht="12.75" hidden="false" customHeight="true" outlineLevel="0" collapsed="false">
      <c r="A426" s="148" t="n">
        <v>42526</v>
      </c>
      <c r="B426" s="140"/>
      <c r="C426" s="140"/>
      <c r="D426" s="141"/>
      <c r="E426" s="142"/>
      <c r="F426" s="142"/>
      <c r="G426" s="66"/>
      <c r="H426" s="142"/>
      <c r="I426" s="141"/>
      <c r="J426" s="66"/>
      <c r="K426" s="143"/>
      <c r="L426" s="142"/>
      <c r="M426" s="145" t="n">
        <f aca="false">I426-D426</f>
        <v>0</v>
      </c>
    </row>
    <row r="427" customFormat="false" ht="12.75" hidden="false" customHeight="true" outlineLevel="0" collapsed="false">
      <c r="A427" s="139" t="n">
        <v>42626</v>
      </c>
      <c r="B427" s="149"/>
      <c r="C427" s="149"/>
      <c r="D427" s="150"/>
      <c r="E427" s="151"/>
      <c r="F427" s="151"/>
      <c r="G427" s="68"/>
      <c r="H427" s="151"/>
      <c r="I427" s="150"/>
      <c r="J427" s="68"/>
      <c r="K427" s="188"/>
      <c r="L427" s="151"/>
      <c r="M427" s="152" t="n">
        <f aca="false">I427-D427</f>
        <v>0</v>
      </c>
    </row>
    <row r="428" customFormat="false" ht="12.75" hidden="false" customHeight="true" outlineLevel="0" collapsed="false">
      <c r="A428" s="139" t="n">
        <v>42726</v>
      </c>
      <c r="B428" s="140"/>
      <c r="C428" s="140"/>
      <c r="D428" s="141"/>
      <c r="E428" s="142"/>
      <c r="F428" s="142"/>
      <c r="G428" s="66"/>
      <c r="H428" s="142"/>
      <c r="I428" s="141"/>
      <c r="J428" s="66"/>
      <c r="K428" s="188"/>
      <c r="L428" s="144"/>
      <c r="M428" s="145" t="n">
        <f aca="false">I428-D428</f>
        <v>0</v>
      </c>
    </row>
    <row r="429" customFormat="false" ht="12.75" hidden="false" customHeight="true" outlineLevel="0" collapsed="false">
      <c r="A429" s="148" t="n">
        <v>42826</v>
      </c>
      <c r="B429" s="149"/>
      <c r="C429" s="149"/>
      <c r="D429" s="150"/>
      <c r="E429" s="151"/>
      <c r="F429" s="151"/>
      <c r="G429" s="68"/>
      <c r="H429" s="151"/>
      <c r="I429" s="150"/>
      <c r="J429" s="68"/>
      <c r="K429" s="188"/>
      <c r="L429" s="151"/>
      <c r="M429" s="152" t="n">
        <f aca="false">I429-D429</f>
        <v>0</v>
      </c>
    </row>
    <row r="430" customFormat="false" ht="12.75" hidden="false" customHeight="true" outlineLevel="0" collapsed="false">
      <c r="A430" s="139" t="n">
        <v>42926</v>
      </c>
      <c r="B430" s="140"/>
      <c r="C430" s="140"/>
      <c r="D430" s="141"/>
      <c r="E430" s="142"/>
      <c r="F430" s="142"/>
      <c r="G430" s="66"/>
      <c r="H430" s="142"/>
      <c r="I430" s="141"/>
      <c r="J430" s="66"/>
      <c r="K430" s="188"/>
      <c r="L430" s="142"/>
      <c r="M430" s="145" t="n">
        <f aca="false">I430-D430</f>
        <v>0</v>
      </c>
    </row>
    <row r="431" customFormat="false" ht="12.75" hidden="false" customHeight="true" outlineLevel="0" collapsed="false">
      <c r="A431" s="139" t="n">
        <v>43026</v>
      </c>
      <c r="B431" s="149"/>
      <c r="C431" s="149"/>
      <c r="D431" s="150"/>
      <c r="E431" s="151"/>
      <c r="F431" s="151"/>
      <c r="G431" s="68"/>
      <c r="H431" s="151"/>
      <c r="I431" s="150"/>
      <c r="J431" s="68"/>
      <c r="K431" s="188"/>
      <c r="L431" s="151"/>
      <c r="M431" s="152" t="n">
        <f aca="false">I431-D431</f>
        <v>0</v>
      </c>
    </row>
    <row r="432" customFormat="false" ht="12.75" hidden="false" customHeight="true" outlineLevel="0" collapsed="false">
      <c r="A432" s="148" t="n">
        <v>43126</v>
      </c>
      <c r="B432" s="140"/>
      <c r="C432" s="140"/>
      <c r="D432" s="141"/>
      <c r="E432" s="142"/>
      <c r="F432" s="142"/>
      <c r="G432" s="66"/>
      <c r="H432" s="142"/>
      <c r="I432" s="141"/>
      <c r="J432" s="66"/>
      <c r="K432" s="188"/>
      <c r="L432" s="142"/>
      <c r="M432" s="145" t="n">
        <f aca="false">I432-D432</f>
        <v>0</v>
      </c>
    </row>
    <row r="433" customFormat="false" ht="12.75" hidden="false" customHeight="true" outlineLevel="0" collapsed="false">
      <c r="A433" s="139" t="n">
        <v>43226</v>
      </c>
      <c r="B433" s="149"/>
      <c r="C433" s="149"/>
      <c r="D433" s="150"/>
      <c r="E433" s="151"/>
      <c r="F433" s="151"/>
      <c r="G433" s="68"/>
      <c r="H433" s="151"/>
      <c r="I433" s="150"/>
      <c r="J433" s="68"/>
      <c r="K433" s="196"/>
      <c r="L433" s="151"/>
      <c r="M433" s="152" t="n">
        <f aca="false">I433-D433</f>
        <v>0</v>
      </c>
    </row>
    <row r="434" customFormat="false" ht="12.75" hidden="false" customHeight="true" outlineLevel="0" collapsed="false">
      <c r="A434" s="139" t="n">
        <v>43326</v>
      </c>
      <c r="B434" s="140"/>
      <c r="C434" s="140"/>
      <c r="D434" s="141"/>
      <c r="E434" s="142"/>
      <c r="F434" s="142"/>
      <c r="G434" s="66"/>
      <c r="H434" s="142"/>
      <c r="I434" s="141"/>
      <c r="J434" s="66"/>
      <c r="K434" s="143"/>
      <c r="L434" s="142"/>
      <c r="M434" s="145" t="n">
        <f aca="false">I434-D434</f>
        <v>0</v>
      </c>
    </row>
    <row r="435" customFormat="false" ht="12.75" hidden="false" customHeight="true" outlineLevel="0" collapsed="false">
      <c r="A435" s="148" t="n">
        <v>43426</v>
      </c>
      <c r="B435" s="149"/>
      <c r="C435" s="149"/>
      <c r="D435" s="150"/>
      <c r="E435" s="151"/>
      <c r="F435" s="151"/>
      <c r="G435" s="68"/>
      <c r="H435" s="151"/>
      <c r="I435" s="150"/>
      <c r="J435" s="68"/>
      <c r="K435" s="188"/>
      <c r="L435" s="151"/>
      <c r="M435" s="152" t="n">
        <f aca="false">I435-D435</f>
        <v>0</v>
      </c>
    </row>
    <row r="436" customFormat="false" ht="12.75" hidden="false" customHeight="true" outlineLevel="0" collapsed="false">
      <c r="A436" s="139" t="n">
        <v>43526</v>
      </c>
      <c r="B436" s="140"/>
      <c r="C436" s="140"/>
      <c r="D436" s="141"/>
      <c r="E436" s="142"/>
      <c r="F436" s="142"/>
      <c r="G436" s="66"/>
      <c r="H436" s="142"/>
      <c r="I436" s="141"/>
      <c r="J436" s="66"/>
      <c r="K436" s="188"/>
      <c r="L436" s="142"/>
      <c r="M436" s="145" t="n">
        <f aca="false">I436-D436</f>
        <v>0</v>
      </c>
    </row>
    <row r="437" customFormat="false" ht="12.75" hidden="false" customHeight="true" outlineLevel="0" collapsed="false">
      <c r="A437" s="139" t="n">
        <v>43626</v>
      </c>
      <c r="B437" s="149"/>
      <c r="C437" s="149"/>
      <c r="D437" s="150"/>
      <c r="E437" s="151"/>
      <c r="F437" s="151"/>
      <c r="G437" s="68"/>
      <c r="H437" s="151"/>
      <c r="I437" s="150"/>
      <c r="J437" s="68"/>
      <c r="K437" s="188"/>
      <c r="L437" s="151"/>
      <c r="M437" s="152" t="n">
        <f aca="false">I437-D437</f>
        <v>0</v>
      </c>
    </row>
    <row r="438" customFormat="false" ht="12.75" hidden="false" customHeight="true" outlineLevel="0" collapsed="false">
      <c r="A438" s="148" t="n">
        <v>43726</v>
      </c>
      <c r="B438" s="140"/>
      <c r="C438" s="140"/>
      <c r="D438" s="141"/>
      <c r="E438" s="142"/>
      <c r="F438" s="142"/>
      <c r="G438" s="66"/>
      <c r="H438" s="142"/>
      <c r="I438" s="141"/>
      <c r="J438" s="66"/>
      <c r="K438" s="188"/>
      <c r="L438" s="144"/>
      <c r="M438" s="145" t="n">
        <f aca="false">I438-D438</f>
        <v>0</v>
      </c>
    </row>
    <row r="439" customFormat="false" ht="12.75" hidden="false" customHeight="true" outlineLevel="0" collapsed="false">
      <c r="A439" s="139" t="n">
        <v>43826</v>
      </c>
      <c r="B439" s="149"/>
      <c r="C439" s="149"/>
      <c r="D439" s="150"/>
      <c r="E439" s="151"/>
      <c r="F439" s="151"/>
      <c r="G439" s="68"/>
      <c r="H439" s="151"/>
      <c r="I439" s="150"/>
      <c r="J439" s="68"/>
      <c r="K439" s="188"/>
      <c r="L439" s="151"/>
      <c r="M439" s="152" t="n">
        <f aca="false">I439-D439</f>
        <v>0</v>
      </c>
    </row>
    <row r="440" customFormat="false" ht="12.75" hidden="false" customHeight="true" outlineLevel="0" collapsed="false">
      <c r="A440" s="139" t="n">
        <v>43926</v>
      </c>
      <c r="B440" s="140"/>
      <c r="C440" s="140"/>
      <c r="D440" s="141"/>
      <c r="E440" s="142"/>
      <c r="F440" s="142"/>
      <c r="G440" s="66"/>
      <c r="H440" s="142"/>
      <c r="I440" s="141"/>
      <c r="J440" s="66"/>
      <c r="K440" s="188"/>
      <c r="L440" s="142"/>
      <c r="M440" s="145" t="n">
        <f aca="false">I440-D440</f>
        <v>0</v>
      </c>
    </row>
    <row r="441" customFormat="false" ht="12.75" hidden="false" customHeight="true" outlineLevel="0" collapsed="false">
      <c r="A441" s="148" t="n">
        <v>44026</v>
      </c>
      <c r="B441" s="149"/>
      <c r="C441" s="149"/>
      <c r="D441" s="150"/>
      <c r="E441" s="151"/>
      <c r="F441" s="151"/>
      <c r="G441" s="68"/>
      <c r="H441" s="151"/>
      <c r="I441" s="150"/>
      <c r="J441" s="68"/>
      <c r="K441" s="188"/>
      <c r="L441" s="151"/>
      <c r="M441" s="152" t="n">
        <f aca="false">I441-D441</f>
        <v>0</v>
      </c>
    </row>
    <row r="442" customFormat="false" ht="12.75" hidden="false" customHeight="true" outlineLevel="0" collapsed="false">
      <c r="A442" s="139" t="n">
        <v>44126</v>
      </c>
      <c r="B442" s="140"/>
      <c r="C442" s="140"/>
      <c r="D442" s="141"/>
      <c r="E442" s="142"/>
      <c r="F442" s="142"/>
      <c r="G442" s="66"/>
      <c r="H442" s="142"/>
      <c r="I442" s="141"/>
      <c r="J442" s="66"/>
      <c r="K442" s="188"/>
      <c r="L442" s="144"/>
      <c r="M442" s="145" t="n">
        <f aca="false">I442-D442</f>
        <v>0</v>
      </c>
    </row>
    <row r="443" customFormat="false" ht="12.75" hidden="false" customHeight="true" outlineLevel="0" collapsed="false">
      <c r="A443" s="139" t="n">
        <v>44226</v>
      </c>
      <c r="B443" s="149"/>
      <c r="C443" s="149"/>
      <c r="D443" s="150"/>
      <c r="E443" s="151"/>
      <c r="F443" s="151"/>
      <c r="G443" s="68"/>
      <c r="H443" s="151"/>
      <c r="I443" s="150"/>
      <c r="J443" s="68"/>
      <c r="K443" s="188"/>
      <c r="L443" s="151"/>
      <c r="M443" s="152" t="n">
        <f aca="false">I443-D443</f>
        <v>0</v>
      </c>
    </row>
    <row r="444" customFormat="false" ht="12.75" hidden="false" customHeight="true" outlineLevel="0" collapsed="false">
      <c r="A444" s="148" t="n">
        <v>44326</v>
      </c>
      <c r="B444" s="140"/>
      <c r="C444" s="140"/>
      <c r="D444" s="141"/>
      <c r="E444" s="142"/>
      <c r="F444" s="142"/>
      <c r="G444" s="66"/>
      <c r="H444" s="142"/>
      <c r="I444" s="141"/>
      <c r="J444" s="66"/>
      <c r="K444" s="195"/>
      <c r="L444" s="142"/>
      <c r="M444" s="145" t="n">
        <f aca="false">I444-D444</f>
        <v>0</v>
      </c>
    </row>
    <row r="445" customFormat="false" ht="12.75" hidden="false" customHeight="true" outlineLevel="0" collapsed="false">
      <c r="A445" s="139" t="n">
        <v>44426</v>
      </c>
      <c r="B445" s="149"/>
      <c r="C445" s="149"/>
      <c r="D445" s="150"/>
      <c r="E445" s="151"/>
      <c r="F445" s="151"/>
      <c r="G445" s="68"/>
      <c r="H445" s="151"/>
      <c r="I445" s="150"/>
      <c r="J445" s="68"/>
      <c r="K445" s="143"/>
      <c r="L445" s="151"/>
      <c r="M445" s="152" t="n">
        <f aca="false">I445-D445</f>
        <v>0</v>
      </c>
    </row>
    <row r="446" customFormat="false" ht="12.75" hidden="false" customHeight="true" outlineLevel="0" collapsed="false">
      <c r="A446" s="139" t="n">
        <v>44526</v>
      </c>
      <c r="B446" s="140"/>
      <c r="C446" s="140"/>
      <c r="D446" s="141"/>
      <c r="E446" s="142"/>
      <c r="F446" s="142"/>
      <c r="G446" s="66"/>
      <c r="H446" s="142"/>
      <c r="I446" s="141"/>
      <c r="J446" s="66"/>
      <c r="K446" s="188"/>
      <c r="L446" s="142"/>
      <c r="M446" s="145" t="n">
        <f aca="false">I446-D446</f>
        <v>0</v>
      </c>
    </row>
    <row r="447" customFormat="false" ht="12.75" hidden="false" customHeight="true" outlineLevel="0" collapsed="false">
      <c r="A447" s="148" t="n">
        <v>44626</v>
      </c>
      <c r="B447" s="149"/>
      <c r="C447" s="149"/>
      <c r="D447" s="150"/>
      <c r="E447" s="151"/>
      <c r="F447" s="151"/>
      <c r="G447" s="68"/>
      <c r="H447" s="151"/>
      <c r="I447" s="150"/>
      <c r="J447" s="68"/>
      <c r="K447" s="188"/>
      <c r="L447" s="151"/>
      <c r="M447" s="152" t="n">
        <f aca="false">I447-D447</f>
        <v>0</v>
      </c>
    </row>
    <row r="448" customFormat="false" ht="12.75" hidden="false" customHeight="true" outlineLevel="0" collapsed="false">
      <c r="A448" s="139" t="n">
        <v>44726</v>
      </c>
      <c r="B448" s="140"/>
      <c r="C448" s="140"/>
      <c r="D448" s="141"/>
      <c r="E448" s="142"/>
      <c r="F448" s="142"/>
      <c r="G448" s="66"/>
      <c r="H448" s="142"/>
      <c r="I448" s="141"/>
      <c r="J448" s="66"/>
      <c r="K448" s="143"/>
      <c r="L448" s="142"/>
      <c r="M448" s="145" t="n">
        <f aca="false">I448-D448</f>
        <v>0</v>
      </c>
    </row>
    <row r="449" customFormat="false" ht="12.75" hidden="false" customHeight="true" outlineLevel="0" collapsed="false">
      <c r="A449" s="139" t="n">
        <v>44826</v>
      </c>
      <c r="B449" s="149"/>
      <c r="C449" s="149"/>
      <c r="D449" s="150"/>
      <c r="E449" s="151"/>
      <c r="F449" s="151"/>
      <c r="G449" s="68"/>
      <c r="H449" s="151"/>
      <c r="I449" s="150"/>
      <c r="J449" s="68"/>
      <c r="K449" s="188"/>
      <c r="L449" s="151"/>
      <c r="M449" s="152" t="n">
        <f aca="false">I449-D449</f>
        <v>0</v>
      </c>
    </row>
    <row r="450" customFormat="false" ht="12.75" hidden="false" customHeight="true" outlineLevel="0" collapsed="false">
      <c r="A450" s="148" t="n">
        <v>44926</v>
      </c>
      <c r="B450" s="140"/>
      <c r="C450" s="140"/>
      <c r="D450" s="141"/>
      <c r="E450" s="142"/>
      <c r="F450" s="142"/>
      <c r="G450" s="66"/>
      <c r="H450" s="142"/>
      <c r="I450" s="141"/>
      <c r="J450" s="66"/>
      <c r="K450" s="188"/>
      <c r="L450" s="144"/>
      <c r="M450" s="145" t="n">
        <f aca="false">I450-D450</f>
        <v>0</v>
      </c>
    </row>
    <row r="451" customFormat="false" ht="12.75" hidden="false" customHeight="true" outlineLevel="0" collapsed="false">
      <c r="A451" s="139" t="n">
        <v>45026</v>
      </c>
      <c r="B451" s="149"/>
      <c r="C451" s="149"/>
      <c r="D451" s="150"/>
      <c r="E451" s="151"/>
      <c r="F451" s="151"/>
      <c r="G451" s="68"/>
      <c r="H451" s="151"/>
      <c r="I451" s="150"/>
      <c r="J451" s="68"/>
      <c r="K451" s="169"/>
      <c r="L451" s="151"/>
      <c r="M451" s="152" t="n">
        <f aca="false">I451-D451</f>
        <v>0</v>
      </c>
    </row>
    <row r="452" customFormat="false" ht="12.75" hidden="false" customHeight="true" outlineLevel="0" collapsed="false">
      <c r="A452" s="139" t="n">
        <v>45126</v>
      </c>
      <c r="B452" s="140"/>
      <c r="C452" s="140"/>
      <c r="D452" s="141"/>
      <c r="E452" s="142"/>
      <c r="F452" s="142"/>
      <c r="G452" s="66"/>
      <c r="H452" s="142"/>
      <c r="I452" s="141"/>
      <c r="J452" s="66"/>
      <c r="K452" s="169"/>
      <c r="L452" s="144"/>
      <c r="M452" s="145" t="n">
        <f aca="false">I452-D452</f>
        <v>0</v>
      </c>
    </row>
    <row r="453" customFormat="false" ht="12.75" hidden="false" customHeight="true" outlineLevel="0" collapsed="false">
      <c r="A453" s="148" t="n">
        <v>45226</v>
      </c>
      <c r="B453" s="149"/>
      <c r="C453" s="149"/>
      <c r="D453" s="150"/>
      <c r="E453" s="151"/>
      <c r="F453" s="151"/>
      <c r="G453" s="68"/>
      <c r="H453" s="151"/>
      <c r="I453" s="150"/>
      <c r="J453" s="68"/>
      <c r="K453" s="197"/>
      <c r="L453" s="151"/>
      <c r="M453" s="152" t="n">
        <f aca="false">I453-D453</f>
        <v>0</v>
      </c>
    </row>
    <row r="454" customFormat="false" ht="12.75" hidden="false" customHeight="true" outlineLevel="0" collapsed="false">
      <c r="A454" s="139" t="n">
        <v>45326</v>
      </c>
      <c r="B454" s="140"/>
      <c r="C454" s="140"/>
      <c r="D454" s="141"/>
      <c r="E454" s="142"/>
      <c r="F454" s="142"/>
      <c r="G454" s="66"/>
      <c r="H454" s="142"/>
      <c r="I454" s="141"/>
      <c r="J454" s="66"/>
      <c r="K454" s="196"/>
      <c r="L454" s="142"/>
      <c r="M454" s="145" t="n">
        <f aca="false">I454-D454</f>
        <v>0</v>
      </c>
    </row>
    <row r="455" customFormat="false" ht="12.75" hidden="false" customHeight="true" outlineLevel="0" collapsed="false">
      <c r="A455" s="139" t="n">
        <v>45426</v>
      </c>
      <c r="B455" s="149"/>
      <c r="C455" s="149"/>
      <c r="D455" s="150"/>
      <c r="E455" s="151"/>
      <c r="F455" s="151"/>
      <c r="G455" s="68"/>
      <c r="H455" s="151"/>
      <c r="I455" s="150"/>
      <c r="J455" s="68"/>
      <c r="K455" s="188"/>
      <c r="L455" s="151"/>
      <c r="M455" s="152" t="n">
        <f aca="false">I455-D455</f>
        <v>0</v>
      </c>
    </row>
    <row r="456" customFormat="false" ht="12.75" hidden="false" customHeight="true" outlineLevel="0" collapsed="false">
      <c r="A456" s="148" t="n">
        <v>45526</v>
      </c>
      <c r="B456" s="140"/>
      <c r="C456" s="140"/>
      <c r="D456" s="141"/>
      <c r="E456" s="142"/>
      <c r="F456" s="142"/>
      <c r="G456" s="66"/>
      <c r="H456" s="142"/>
      <c r="I456" s="141"/>
      <c r="J456" s="66"/>
      <c r="K456" s="188"/>
      <c r="L456" s="142"/>
      <c r="M456" s="145" t="n">
        <f aca="false">I456-D456</f>
        <v>0</v>
      </c>
    </row>
    <row r="457" customFormat="false" ht="12.75" hidden="false" customHeight="true" outlineLevel="0" collapsed="false">
      <c r="A457" s="139" t="n">
        <v>45626</v>
      </c>
      <c r="B457" s="149"/>
      <c r="C457" s="149"/>
      <c r="D457" s="150"/>
      <c r="E457" s="151"/>
      <c r="F457" s="151"/>
      <c r="G457" s="68"/>
      <c r="H457" s="151"/>
      <c r="I457" s="150"/>
      <c r="J457" s="68"/>
      <c r="K457" s="188"/>
      <c r="L457" s="151"/>
      <c r="M457" s="152" t="n">
        <f aca="false">I457-D457</f>
        <v>0</v>
      </c>
    </row>
    <row r="458" customFormat="false" ht="12.75" hidden="false" customHeight="true" outlineLevel="0" collapsed="false">
      <c r="A458" s="139" t="n">
        <v>45726</v>
      </c>
      <c r="B458" s="140"/>
      <c r="C458" s="140"/>
      <c r="D458" s="141"/>
      <c r="E458" s="142"/>
      <c r="F458" s="142"/>
      <c r="G458" s="66"/>
      <c r="H458" s="142"/>
      <c r="I458" s="141"/>
      <c r="J458" s="66"/>
      <c r="K458" s="188"/>
      <c r="L458" s="142"/>
      <c r="M458" s="145" t="n">
        <f aca="false">I458-D458</f>
        <v>0</v>
      </c>
    </row>
    <row r="459" customFormat="false" ht="12.75" hidden="false" customHeight="true" outlineLevel="0" collapsed="false">
      <c r="A459" s="148" t="n">
        <v>45826</v>
      </c>
      <c r="B459" s="149"/>
      <c r="C459" s="149"/>
      <c r="D459" s="150"/>
      <c r="E459" s="151"/>
      <c r="F459" s="151"/>
      <c r="G459" s="68"/>
      <c r="H459" s="151"/>
      <c r="I459" s="150"/>
      <c r="J459" s="68"/>
      <c r="K459" s="188"/>
      <c r="L459" s="151"/>
      <c r="M459" s="152" t="n">
        <f aca="false">I459-D459</f>
        <v>0</v>
      </c>
    </row>
    <row r="460" customFormat="false" ht="12.75" hidden="false" customHeight="true" outlineLevel="0" collapsed="false">
      <c r="A460" s="139" t="n">
        <v>45926</v>
      </c>
      <c r="B460" s="140"/>
      <c r="C460" s="140"/>
      <c r="D460" s="141"/>
      <c r="E460" s="142"/>
      <c r="F460" s="142"/>
      <c r="G460" s="66"/>
      <c r="H460" s="142"/>
      <c r="I460" s="141"/>
      <c r="J460" s="66"/>
      <c r="K460" s="143"/>
      <c r="L460" s="142"/>
      <c r="M460" s="145" t="n">
        <f aca="false">I460-D460</f>
        <v>0</v>
      </c>
    </row>
    <row r="461" customFormat="false" ht="12.75" hidden="false" customHeight="true" outlineLevel="0" collapsed="false">
      <c r="A461" s="139" t="n">
        <v>46026</v>
      </c>
      <c r="B461" s="149"/>
      <c r="C461" s="149"/>
      <c r="D461" s="150"/>
      <c r="E461" s="151"/>
      <c r="F461" s="151"/>
      <c r="G461" s="68"/>
      <c r="H461" s="151"/>
      <c r="I461" s="150"/>
      <c r="J461" s="68"/>
      <c r="K461" s="143"/>
      <c r="L461" s="151"/>
      <c r="M461" s="152" t="n">
        <f aca="false">I461-D461</f>
        <v>0</v>
      </c>
    </row>
    <row r="462" customFormat="false" ht="12.75" hidden="false" customHeight="true" outlineLevel="0" collapsed="false">
      <c r="A462" s="148" t="n">
        <v>46126</v>
      </c>
      <c r="B462" s="140"/>
      <c r="C462" s="140"/>
      <c r="D462" s="141"/>
      <c r="E462" s="142"/>
      <c r="F462" s="142"/>
      <c r="G462" s="66"/>
      <c r="H462" s="142"/>
      <c r="I462" s="141"/>
      <c r="J462" s="66"/>
      <c r="K462" s="169"/>
      <c r="L462" s="144"/>
      <c r="M462" s="145" t="n">
        <f aca="false">I462-D462</f>
        <v>0</v>
      </c>
    </row>
    <row r="463" customFormat="false" ht="12.75" hidden="false" customHeight="true" outlineLevel="0" collapsed="false">
      <c r="A463" s="139" t="n">
        <v>46226</v>
      </c>
      <c r="B463" s="149"/>
      <c r="C463" s="149"/>
      <c r="D463" s="150"/>
      <c r="E463" s="151"/>
      <c r="F463" s="151"/>
      <c r="G463" s="68"/>
      <c r="H463" s="151"/>
      <c r="I463" s="150"/>
      <c r="J463" s="68"/>
      <c r="K463" s="188"/>
      <c r="L463" s="151"/>
      <c r="M463" s="152" t="n">
        <f aca="false">I463-D463</f>
        <v>0</v>
      </c>
    </row>
    <row r="464" customFormat="false" ht="12.75" hidden="false" customHeight="true" outlineLevel="0" collapsed="false">
      <c r="A464" s="139" t="n">
        <v>46326</v>
      </c>
      <c r="B464" s="140"/>
      <c r="C464" s="140"/>
      <c r="D464" s="141"/>
      <c r="E464" s="142"/>
      <c r="F464" s="142"/>
      <c r="G464" s="66"/>
      <c r="H464" s="142"/>
      <c r="I464" s="141"/>
      <c r="J464" s="66"/>
      <c r="K464" s="188"/>
      <c r="L464" s="142"/>
      <c r="M464" s="145" t="n">
        <f aca="false">I464-D464</f>
        <v>0</v>
      </c>
    </row>
    <row r="465" customFormat="false" ht="12.75" hidden="false" customHeight="true" outlineLevel="0" collapsed="false">
      <c r="A465" s="148" t="n">
        <v>46426</v>
      </c>
      <c r="B465" s="149"/>
      <c r="C465" s="149"/>
      <c r="D465" s="150"/>
      <c r="E465" s="151"/>
      <c r="F465" s="151"/>
      <c r="G465" s="68"/>
      <c r="H465" s="151"/>
      <c r="I465" s="150"/>
      <c r="J465" s="68"/>
      <c r="K465" s="195"/>
      <c r="L465" s="151"/>
      <c r="M465" s="152" t="n">
        <f aca="false">I465-D465</f>
        <v>0</v>
      </c>
    </row>
    <row r="466" customFormat="false" ht="12.75" hidden="false" customHeight="true" outlineLevel="0" collapsed="false">
      <c r="A466" s="139" t="n">
        <v>46526</v>
      </c>
      <c r="B466" s="140"/>
      <c r="C466" s="140"/>
      <c r="D466" s="141"/>
      <c r="E466" s="142"/>
      <c r="F466" s="142"/>
      <c r="G466" s="66"/>
      <c r="H466" s="142"/>
      <c r="I466" s="141"/>
      <c r="J466" s="66"/>
      <c r="K466" s="188"/>
      <c r="L466" s="142"/>
      <c r="M466" s="145" t="n">
        <f aca="false">I466-D466</f>
        <v>0</v>
      </c>
    </row>
    <row r="467" customFormat="false" ht="12.75" hidden="false" customHeight="true" outlineLevel="0" collapsed="false">
      <c r="A467" s="139" t="n">
        <v>46626</v>
      </c>
      <c r="B467" s="149"/>
      <c r="C467" s="149"/>
      <c r="D467" s="150"/>
      <c r="E467" s="151"/>
      <c r="F467" s="151"/>
      <c r="G467" s="68"/>
      <c r="H467" s="151"/>
      <c r="I467" s="150"/>
      <c r="J467" s="68"/>
      <c r="K467" s="188"/>
      <c r="L467" s="151"/>
      <c r="M467" s="152" t="n">
        <f aca="false">I467-D467</f>
        <v>0</v>
      </c>
    </row>
    <row r="468" customFormat="false" ht="12.75" hidden="false" customHeight="true" outlineLevel="0" collapsed="false">
      <c r="A468" s="148" t="n">
        <v>46726</v>
      </c>
      <c r="B468" s="140"/>
      <c r="C468" s="140"/>
      <c r="D468" s="141"/>
      <c r="E468" s="142"/>
      <c r="F468" s="142"/>
      <c r="G468" s="66"/>
      <c r="H468" s="142"/>
      <c r="I468" s="141"/>
      <c r="J468" s="66"/>
      <c r="K468" s="188"/>
      <c r="L468" s="142"/>
      <c r="M468" s="145" t="n">
        <f aca="false">I468-D468</f>
        <v>0</v>
      </c>
    </row>
    <row r="469" customFormat="false" ht="12.75" hidden="false" customHeight="true" outlineLevel="0" collapsed="false">
      <c r="A469" s="139" t="n">
        <v>46826</v>
      </c>
      <c r="B469" s="149"/>
      <c r="C469" s="149"/>
      <c r="D469" s="150"/>
      <c r="E469" s="151"/>
      <c r="F469" s="151"/>
      <c r="G469" s="68"/>
      <c r="H469" s="151"/>
      <c r="I469" s="150"/>
      <c r="J469" s="68"/>
      <c r="K469" s="188"/>
      <c r="L469" s="151"/>
      <c r="M469" s="152" t="n">
        <f aca="false">I469-D469</f>
        <v>0</v>
      </c>
    </row>
    <row r="470" customFormat="false" ht="12.75" hidden="false" customHeight="true" outlineLevel="0" collapsed="false">
      <c r="A470" s="139" t="n">
        <v>46926</v>
      </c>
      <c r="B470" s="198"/>
      <c r="C470" s="198"/>
      <c r="D470" s="199"/>
      <c r="E470" s="195"/>
      <c r="F470" s="142"/>
      <c r="G470" s="66"/>
      <c r="H470" s="142"/>
      <c r="I470" s="141"/>
      <c r="J470" s="66"/>
      <c r="K470" s="188"/>
      <c r="L470" s="142"/>
      <c r="M470" s="145" t="n">
        <f aca="false">I470-D470</f>
        <v>0</v>
      </c>
    </row>
    <row r="471" customFormat="false" ht="12.75" hidden="false" customHeight="true" outlineLevel="0" collapsed="false">
      <c r="A471" s="148" t="n">
        <v>47026</v>
      </c>
      <c r="B471" s="149"/>
      <c r="C471" s="149"/>
      <c r="D471" s="150"/>
      <c r="E471" s="151"/>
      <c r="F471" s="151"/>
      <c r="G471" s="68"/>
      <c r="H471" s="151"/>
      <c r="I471" s="150"/>
      <c r="J471" s="68"/>
      <c r="K471" s="188"/>
      <c r="L471" s="151"/>
      <c r="M471" s="152" t="n">
        <f aca="false">I471-D471</f>
        <v>0</v>
      </c>
    </row>
    <row r="472" customFormat="false" ht="12.75" hidden="false" customHeight="true" outlineLevel="0" collapsed="false">
      <c r="A472" s="139" t="n">
        <v>47126</v>
      </c>
      <c r="B472" s="140"/>
      <c r="C472" s="140"/>
      <c r="D472" s="141"/>
      <c r="E472" s="142"/>
      <c r="F472" s="142"/>
      <c r="G472" s="66"/>
      <c r="H472" s="142"/>
      <c r="I472" s="141"/>
      <c r="J472" s="66"/>
      <c r="K472" s="143"/>
      <c r="L472" s="142"/>
      <c r="M472" s="145" t="n">
        <f aca="false">I472-D472</f>
        <v>0</v>
      </c>
    </row>
    <row r="473" customFormat="false" ht="12.75" hidden="false" customHeight="true" outlineLevel="0" collapsed="false">
      <c r="A473" s="139" t="n">
        <v>47226</v>
      </c>
      <c r="B473" s="149"/>
      <c r="C473" s="149"/>
      <c r="D473" s="150"/>
      <c r="E473" s="151"/>
      <c r="F473" s="151"/>
      <c r="G473" s="68"/>
      <c r="H473" s="151"/>
      <c r="I473" s="150"/>
      <c r="J473" s="68"/>
      <c r="K473" s="188"/>
      <c r="L473" s="151"/>
      <c r="M473" s="152" t="n">
        <f aca="false">I473-D473</f>
        <v>0</v>
      </c>
    </row>
    <row r="474" customFormat="false" ht="12.75" hidden="false" customHeight="true" outlineLevel="0" collapsed="false">
      <c r="A474" s="148" t="n">
        <v>47326</v>
      </c>
      <c r="B474" s="140"/>
      <c r="C474" s="140"/>
      <c r="D474" s="141"/>
      <c r="E474" s="142"/>
      <c r="F474" s="142"/>
      <c r="G474" s="66"/>
      <c r="H474" s="142"/>
      <c r="I474" s="141"/>
      <c r="J474" s="66"/>
      <c r="K474" s="188"/>
      <c r="L474" s="142"/>
      <c r="M474" s="145" t="n">
        <f aca="false">I474-D474</f>
        <v>0</v>
      </c>
    </row>
    <row r="475" customFormat="false" ht="12.75" hidden="false" customHeight="true" outlineLevel="0" collapsed="false">
      <c r="A475" s="139" t="n">
        <v>47426</v>
      </c>
      <c r="B475" s="149"/>
      <c r="C475" s="149"/>
      <c r="D475" s="150"/>
      <c r="E475" s="151"/>
      <c r="F475" s="151"/>
      <c r="G475" s="68"/>
      <c r="H475" s="151"/>
      <c r="I475" s="150"/>
      <c r="J475" s="68"/>
      <c r="K475" s="188"/>
      <c r="L475" s="151"/>
      <c r="M475" s="152" t="n">
        <f aca="false">I475-D475</f>
        <v>0</v>
      </c>
    </row>
    <row r="476" customFormat="false" ht="12.75" hidden="false" customHeight="true" outlineLevel="0" collapsed="false">
      <c r="A476" s="139" t="n">
        <v>47526</v>
      </c>
      <c r="B476" s="140"/>
      <c r="C476" s="140"/>
      <c r="D476" s="141"/>
      <c r="E476" s="142"/>
      <c r="F476" s="142"/>
      <c r="G476" s="66"/>
      <c r="H476" s="142"/>
      <c r="I476" s="141"/>
      <c r="J476" s="66"/>
      <c r="K476" s="188"/>
      <c r="L476" s="142"/>
      <c r="M476" s="145" t="n">
        <f aca="false">I476-D476</f>
        <v>0</v>
      </c>
    </row>
    <row r="477" customFormat="false" ht="12.75" hidden="false" customHeight="true" outlineLevel="0" collapsed="false">
      <c r="A477" s="148" t="n">
        <v>47626</v>
      </c>
      <c r="B477" s="149"/>
      <c r="C477" s="149"/>
      <c r="D477" s="150"/>
      <c r="E477" s="151"/>
      <c r="F477" s="151"/>
      <c r="G477" s="68"/>
      <c r="H477" s="151"/>
      <c r="I477" s="150"/>
      <c r="J477" s="68"/>
      <c r="K477" s="188"/>
      <c r="L477" s="151"/>
      <c r="M477" s="152" t="n">
        <f aca="false">I477-D477</f>
        <v>0</v>
      </c>
    </row>
    <row r="478" customFormat="false" ht="12.75" hidden="false" customHeight="true" outlineLevel="0" collapsed="false">
      <c r="A478" s="139" t="n">
        <v>47726</v>
      </c>
      <c r="B478" s="140"/>
      <c r="C478" s="140"/>
      <c r="D478" s="141"/>
      <c r="E478" s="142"/>
      <c r="F478" s="142"/>
      <c r="G478" s="66"/>
      <c r="H478" s="142"/>
      <c r="I478" s="141"/>
      <c r="J478" s="66"/>
      <c r="K478" s="143"/>
      <c r="L478" s="142"/>
      <c r="M478" s="145" t="n">
        <f aca="false">I478-D478</f>
        <v>0</v>
      </c>
    </row>
    <row r="479" customFormat="false" ht="12.75" hidden="false" customHeight="true" outlineLevel="0" collapsed="false">
      <c r="A479" s="139" t="n">
        <v>47826</v>
      </c>
      <c r="B479" s="149"/>
      <c r="C479" s="149"/>
      <c r="D479" s="150"/>
      <c r="E479" s="151"/>
      <c r="F479" s="151"/>
      <c r="G479" s="68"/>
      <c r="H479" s="151"/>
      <c r="I479" s="150"/>
      <c r="J479" s="68"/>
      <c r="K479" s="143"/>
      <c r="L479" s="151"/>
      <c r="M479" s="152" t="n">
        <f aca="false">I479-D479</f>
        <v>0</v>
      </c>
    </row>
    <row r="480" customFormat="false" ht="12.75" hidden="false" customHeight="true" outlineLevel="0" collapsed="false">
      <c r="A480" s="148" t="n">
        <v>47926</v>
      </c>
      <c r="B480" s="140"/>
      <c r="C480" s="140"/>
      <c r="D480" s="141"/>
      <c r="E480" s="142"/>
      <c r="F480" s="142"/>
      <c r="G480" s="66"/>
      <c r="H480" s="142"/>
      <c r="I480" s="141"/>
      <c r="J480" s="66"/>
      <c r="K480" s="188"/>
      <c r="L480" s="142"/>
      <c r="M480" s="145" t="n">
        <f aca="false">I480-D480</f>
        <v>0</v>
      </c>
    </row>
    <row r="481" customFormat="false" ht="12.75" hidden="false" customHeight="true" outlineLevel="0" collapsed="false">
      <c r="A481" s="139" t="n">
        <v>48026</v>
      </c>
      <c r="B481" s="149"/>
      <c r="C481" s="149"/>
      <c r="D481" s="150"/>
      <c r="E481" s="151"/>
      <c r="F481" s="151"/>
      <c r="G481" s="68"/>
      <c r="H481" s="151"/>
      <c r="I481" s="150"/>
      <c r="J481" s="68"/>
      <c r="K481" s="188"/>
      <c r="L481" s="151"/>
      <c r="M481" s="152" t="n">
        <f aca="false">I481-D481</f>
        <v>0</v>
      </c>
    </row>
    <row r="482" customFormat="false" ht="12.75" hidden="false" customHeight="true" outlineLevel="0" collapsed="false">
      <c r="A482" s="139" t="n">
        <v>48126</v>
      </c>
      <c r="B482" s="140"/>
      <c r="C482" s="140"/>
      <c r="D482" s="141"/>
      <c r="E482" s="142"/>
      <c r="F482" s="142"/>
      <c r="G482" s="66"/>
      <c r="H482" s="142"/>
      <c r="I482" s="141"/>
      <c r="J482" s="66"/>
      <c r="K482" s="188"/>
      <c r="L482" s="144"/>
      <c r="M482" s="145" t="n">
        <f aca="false">I482-D482</f>
        <v>0</v>
      </c>
    </row>
    <row r="483" customFormat="false" ht="12.75" hidden="false" customHeight="true" outlineLevel="0" collapsed="false">
      <c r="A483" s="148" t="n">
        <v>48226</v>
      </c>
      <c r="B483" s="149"/>
      <c r="C483" s="149"/>
      <c r="D483" s="150"/>
      <c r="E483" s="151"/>
      <c r="F483" s="151"/>
      <c r="G483" s="68"/>
      <c r="H483" s="151"/>
      <c r="I483" s="150"/>
      <c r="J483" s="68"/>
      <c r="K483" s="143"/>
      <c r="L483" s="151"/>
      <c r="M483" s="152" t="n">
        <f aca="false">I483-D483</f>
        <v>0</v>
      </c>
    </row>
    <row r="484" customFormat="false" ht="12.75" hidden="false" customHeight="true" outlineLevel="0" collapsed="false">
      <c r="A484" s="139" t="n">
        <v>48326</v>
      </c>
      <c r="B484" s="140"/>
      <c r="C484" s="140"/>
      <c r="D484" s="141"/>
      <c r="E484" s="142"/>
      <c r="F484" s="142"/>
      <c r="G484" s="66"/>
      <c r="H484" s="142"/>
      <c r="I484" s="141"/>
      <c r="J484" s="66"/>
      <c r="K484" s="188"/>
      <c r="L484" s="142"/>
      <c r="M484" s="145" t="n">
        <f aca="false">I484-D484</f>
        <v>0</v>
      </c>
    </row>
    <row r="485" customFormat="false" ht="12.75" hidden="false" customHeight="true" outlineLevel="0" collapsed="false">
      <c r="A485" s="139" t="n">
        <v>48426</v>
      </c>
      <c r="B485" s="149"/>
      <c r="C485" s="149"/>
      <c r="D485" s="150"/>
      <c r="E485" s="151"/>
      <c r="F485" s="151"/>
      <c r="G485" s="68"/>
      <c r="H485" s="151"/>
      <c r="I485" s="150"/>
      <c r="J485" s="68"/>
      <c r="K485" s="188"/>
      <c r="L485" s="151"/>
      <c r="M485" s="152" t="n">
        <f aca="false">I485-D485</f>
        <v>0</v>
      </c>
    </row>
    <row r="486" customFormat="false" ht="12.75" hidden="false" customHeight="true" outlineLevel="0" collapsed="false">
      <c r="A486" s="148" t="n">
        <v>48526</v>
      </c>
      <c r="B486" s="140"/>
      <c r="C486" s="140"/>
      <c r="D486" s="141"/>
      <c r="E486" s="142"/>
      <c r="F486" s="142"/>
      <c r="G486" s="66"/>
      <c r="H486" s="142"/>
      <c r="I486" s="141"/>
      <c r="J486" s="66"/>
      <c r="K486" s="169"/>
      <c r="L486" s="144"/>
      <c r="M486" s="145" t="n">
        <f aca="false">I486-D486</f>
        <v>0</v>
      </c>
    </row>
    <row r="487" customFormat="false" ht="12.75" hidden="false" customHeight="true" outlineLevel="0" collapsed="false">
      <c r="A487" s="139" t="n">
        <v>48626</v>
      </c>
      <c r="B487" s="149"/>
      <c r="C487" s="149"/>
      <c r="D487" s="150"/>
      <c r="E487" s="151"/>
      <c r="F487" s="151"/>
      <c r="G487" s="68"/>
      <c r="H487" s="151"/>
      <c r="I487" s="150"/>
      <c r="J487" s="68"/>
      <c r="K487" s="188"/>
      <c r="L487" s="151"/>
      <c r="M487" s="152" t="n">
        <f aca="false">I487-D487</f>
        <v>0</v>
      </c>
    </row>
    <row r="488" customFormat="false" ht="12.75" hidden="false" customHeight="true" outlineLevel="0" collapsed="false">
      <c r="A488" s="139" t="n">
        <v>48726</v>
      </c>
      <c r="B488" s="140"/>
      <c r="C488" s="140"/>
      <c r="D488" s="141"/>
      <c r="E488" s="142"/>
      <c r="F488" s="142"/>
      <c r="G488" s="66"/>
      <c r="H488" s="142"/>
      <c r="I488" s="141"/>
      <c r="J488" s="66"/>
      <c r="K488" s="195"/>
      <c r="L488" s="142"/>
      <c r="M488" s="145" t="n">
        <f aca="false">I488-D488</f>
        <v>0</v>
      </c>
    </row>
    <row r="489" customFormat="false" ht="12.75" hidden="false" customHeight="true" outlineLevel="0" collapsed="false">
      <c r="A489" s="148" t="n">
        <v>48826</v>
      </c>
      <c r="B489" s="149"/>
      <c r="C489" s="149"/>
      <c r="D489" s="150"/>
      <c r="E489" s="151"/>
      <c r="F489" s="151"/>
      <c r="G489" s="68"/>
      <c r="H489" s="151"/>
      <c r="I489" s="150"/>
      <c r="J489" s="68"/>
      <c r="K489" s="143"/>
      <c r="L489" s="151"/>
      <c r="M489" s="152" t="n">
        <f aca="false">I489-D489</f>
        <v>0</v>
      </c>
    </row>
    <row r="490" customFormat="false" ht="12.75" hidden="false" customHeight="true" outlineLevel="0" collapsed="false">
      <c r="A490" s="139" t="n">
        <v>48926</v>
      </c>
      <c r="B490" s="140"/>
      <c r="C490" s="140"/>
      <c r="D490" s="141"/>
      <c r="E490" s="142"/>
      <c r="F490" s="142"/>
      <c r="G490" s="66"/>
      <c r="H490" s="142"/>
      <c r="I490" s="141"/>
      <c r="J490" s="66"/>
      <c r="K490" s="188"/>
      <c r="L490" s="142"/>
      <c r="M490" s="145" t="n">
        <f aca="false">I490-D490</f>
        <v>0</v>
      </c>
    </row>
    <row r="491" customFormat="false" ht="12.75" hidden="false" customHeight="true" outlineLevel="0" collapsed="false">
      <c r="A491" s="139" t="n">
        <v>49026</v>
      </c>
      <c r="B491" s="149"/>
      <c r="C491" s="149"/>
      <c r="D491" s="150"/>
      <c r="E491" s="151"/>
      <c r="F491" s="151"/>
      <c r="G491" s="68"/>
      <c r="H491" s="151"/>
      <c r="I491" s="150"/>
      <c r="J491" s="68"/>
      <c r="K491" s="188"/>
      <c r="L491" s="151"/>
      <c r="M491" s="152" t="n">
        <f aca="false">I491-D491</f>
        <v>0</v>
      </c>
    </row>
    <row r="492" customFormat="false" ht="12.75" hidden="false" customHeight="true" outlineLevel="0" collapsed="false">
      <c r="A492" s="148" t="n">
        <v>49126</v>
      </c>
      <c r="B492" s="140"/>
      <c r="C492" s="140"/>
      <c r="D492" s="141"/>
      <c r="E492" s="142"/>
      <c r="F492" s="142"/>
      <c r="G492" s="66"/>
      <c r="H492" s="142"/>
      <c r="I492" s="141"/>
      <c r="J492" s="66"/>
      <c r="K492" s="195"/>
      <c r="L492" s="142"/>
      <c r="M492" s="145" t="n">
        <f aca="false">I492-D492</f>
        <v>0</v>
      </c>
    </row>
    <row r="493" customFormat="false" ht="12.75" hidden="false" customHeight="true" outlineLevel="0" collapsed="false">
      <c r="A493" s="139" t="n">
        <v>49226</v>
      </c>
      <c r="B493" s="149"/>
      <c r="C493" s="149"/>
      <c r="D493" s="150"/>
      <c r="E493" s="151"/>
      <c r="F493" s="151"/>
      <c r="G493" s="68"/>
      <c r="H493" s="151"/>
      <c r="I493" s="150"/>
      <c r="J493" s="68"/>
      <c r="K493" s="143"/>
      <c r="L493" s="151"/>
      <c r="M493" s="152" t="n">
        <f aca="false">I493-D493</f>
        <v>0</v>
      </c>
    </row>
    <row r="494" customFormat="false" ht="12.75" hidden="false" customHeight="true" outlineLevel="0" collapsed="false">
      <c r="A494" s="139" t="n">
        <v>49326</v>
      </c>
      <c r="B494" s="140"/>
      <c r="C494" s="140"/>
      <c r="D494" s="141"/>
      <c r="E494" s="142"/>
      <c r="F494" s="142"/>
      <c r="G494" s="66"/>
      <c r="H494" s="142"/>
      <c r="I494" s="141"/>
      <c r="J494" s="66"/>
      <c r="K494" s="143"/>
      <c r="L494" s="142"/>
      <c r="M494" s="145" t="n">
        <f aca="false">I494-D494</f>
        <v>0</v>
      </c>
    </row>
    <row r="495" customFormat="false" ht="12.75" hidden="false" customHeight="true" outlineLevel="0" collapsed="false">
      <c r="A495" s="148" t="n">
        <v>49426</v>
      </c>
      <c r="B495" s="149"/>
      <c r="C495" s="149"/>
      <c r="D495" s="150"/>
      <c r="E495" s="151"/>
      <c r="F495" s="151"/>
      <c r="G495" s="68"/>
      <c r="H495" s="151"/>
      <c r="I495" s="150"/>
      <c r="J495" s="68"/>
      <c r="K495" s="188"/>
      <c r="L495" s="151"/>
      <c r="M495" s="152" t="n">
        <f aca="false">I495-D495</f>
        <v>0</v>
      </c>
    </row>
    <row r="496" customFormat="false" ht="12.75" hidden="false" customHeight="true" outlineLevel="0" collapsed="false">
      <c r="A496" s="139" t="n">
        <v>49526</v>
      </c>
      <c r="B496" s="140"/>
      <c r="C496" s="140"/>
      <c r="D496" s="141"/>
      <c r="E496" s="142"/>
      <c r="F496" s="142"/>
      <c r="G496" s="66"/>
      <c r="H496" s="142"/>
      <c r="I496" s="141"/>
      <c r="J496" s="66"/>
      <c r="K496" s="188"/>
      <c r="L496" s="142"/>
      <c r="M496" s="145" t="n">
        <f aca="false">I496-D496</f>
        <v>0</v>
      </c>
    </row>
    <row r="497" customFormat="false" ht="12.75" hidden="false" customHeight="true" outlineLevel="0" collapsed="false">
      <c r="A497" s="139" t="n">
        <v>49626</v>
      </c>
      <c r="B497" s="149"/>
      <c r="C497" s="149"/>
      <c r="D497" s="150"/>
      <c r="E497" s="151"/>
      <c r="F497" s="151"/>
      <c r="G497" s="68"/>
      <c r="H497" s="151"/>
      <c r="I497" s="150"/>
      <c r="J497" s="68"/>
      <c r="K497" s="143"/>
      <c r="L497" s="151"/>
      <c r="M497" s="152" t="n">
        <f aca="false">I497-D497</f>
        <v>0</v>
      </c>
    </row>
    <row r="498" customFormat="false" ht="12.75" hidden="false" customHeight="true" outlineLevel="0" collapsed="false">
      <c r="A498" s="148" t="n">
        <v>49726</v>
      </c>
      <c r="B498" s="140"/>
      <c r="C498" s="140"/>
      <c r="D498" s="141"/>
      <c r="E498" s="142"/>
      <c r="F498" s="142"/>
      <c r="G498" s="66"/>
      <c r="H498" s="142"/>
      <c r="I498" s="141"/>
      <c r="J498" s="66"/>
      <c r="K498" s="169"/>
      <c r="L498" s="142"/>
      <c r="M498" s="145" t="n">
        <f aca="false">I498-D498</f>
        <v>0</v>
      </c>
    </row>
    <row r="499" customFormat="false" ht="12.75" hidden="false" customHeight="true" outlineLevel="0" collapsed="false">
      <c r="A499" s="139" t="n">
        <v>49826</v>
      </c>
      <c r="B499" s="149"/>
      <c r="C499" s="149"/>
      <c r="D499" s="150"/>
      <c r="E499" s="151"/>
      <c r="F499" s="151"/>
      <c r="G499" s="68"/>
      <c r="H499" s="151"/>
      <c r="I499" s="150"/>
      <c r="J499" s="68"/>
      <c r="K499" s="188"/>
      <c r="L499" s="151"/>
      <c r="M499" s="152" t="n">
        <f aca="false">I499-D499</f>
        <v>0</v>
      </c>
    </row>
    <row r="500" customFormat="false" ht="12.75" hidden="false" customHeight="true" outlineLevel="0" collapsed="false">
      <c r="A500" s="139" t="n">
        <v>49926</v>
      </c>
      <c r="B500" s="140"/>
      <c r="C500" s="140"/>
      <c r="D500" s="141"/>
      <c r="E500" s="142"/>
      <c r="F500" s="142"/>
      <c r="G500" s="66"/>
      <c r="H500" s="142"/>
      <c r="I500" s="141"/>
      <c r="J500" s="66"/>
      <c r="K500" s="143"/>
      <c r="L500" s="142"/>
      <c r="M500" s="145" t="n">
        <f aca="false">I500-D500</f>
        <v>0</v>
      </c>
    </row>
    <row r="501" customFormat="false" ht="12.75" hidden="false" customHeight="true" outlineLevel="0" collapsed="false">
      <c r="A501" s="148" t="n">
        <v>50026</v>
      </c>
      <c r="B501" s="149"/>
      <c r="C501" s="149"/>
      <c r="D501" s="150"/>
      <c r="E501" s="151"/>
      <c r="F501" s="151"/>
      <c r="G501" s="68"/>
      <c r="H501" s="151"/>
      <c r="I501" s="150"/>
      <c r="J501" s="68"/>
      <c r="K501" s="143"/>
      <c r="L501" s="151"/>
      <c r="M501" s="152" t="n">
        <f aca="false">I501-D501</f>
        <v>0</v>
      </c>
    </row>
    <row r="502" customFormat="false" ht="12.75" hidden="false" customHeight="true" outlineLevel="0" collapsed="false">
      <c r="A502" s="139" t="n">
        <v>50126</v>
      </c>
      <c r="B502" s="140"/>
      <c r="C502" s="140"/>
      <c r="D502" s="141"/>
      <c r="E502" s="142"/>
      <c r="F502" s="142"/>
      <c r="G502" s="66"/>
      <c r="H502" s="142"/>
      <c r="I502" s="141"/>
      <c r="J502" s="66"/>
      <c r="K502" s="188"/>
      <c r="L502" s="144"/>
      <c r="M502" s="145" t="n">
        <f aca="false">I502-D502</f>
        <v>0</v>
      </c>
    </row>
    <row r="503" customFormat="false" ht="12.75" hidden="false" customHeight="true" outlineLevel="0" collapsed="false">
      <c r="A503" s="139" t="n">
        <v>50226</v>
      </c>
      <c r="B503" s="149"/>
      <c r="C503" s="149"/>
      <c r="D503" s="150"/>
      <c r="E503" s="151"/>
      <c r="F503" s="151"/>
      <c r="G503" s="68"/>
      <c r="H503" s="151"/>
      <c r="I503" s="150"/>
      <c r="J503" s="68"/>
      <c r="K503" s="188"/>
      <c r="L503" s="151"/>
      <c r="M503" s="152" t="n">
        <f aca="false">I503-D503</f>
        <v>0</v>
      </c>
    </row>
    <row r="504" customFormat="false" ht="12.75" hidden="false" customHeight="true" outlineLevel="0" collapsed="false">
      <c r="A504" s="148" t="n">
        <v>50326</v>
      </c>
      <c r="B504" s="140"/>
      <c r="C504" s="140"/>
      <c r="D504" s="141"/>
      <c r="E504" s="142"/>
      <c r="F504" s="142"/>
      <c r="G504" s="66"/>
      <c r="H504" s="142"/>
      <c r="I504" s="141"/>
      <c r="J504" s="66"/>
      <c r="K504" s="188"/>
      <c r="L504" s="142"/>
      <c r="M504" s="145" t="n">
        <f aca="false">I504-D504</f>
        <v>0</v>
      </c>
    </row>
    <row r="505" customFormat="false" ht="12.75" hidden="false" customHeight="true" outlineLevel="0" collapsed="false">
      <c r="A505" s="139" t="n">
        <v>50426</v>
      </c>
      <c r="B505" s="149"/>
      <c r="C505" s="149"/>
      <c r="D505" s="150"/>
      <c r="E505" s="151"/>
      <c r="F505" s="151"/>
      <c r="G505" s="68"/>
      <c r="H505" s="151"/>
      <c r="I505" s="150"/>
      <c r="J505" s="68"/>
      <c r="K505" s="188"/>
      <c r="L505" s="151"/>
      <c r="M505" s="152" t="n">
        <f aca="false">I505-D505</f>
        <v>0</v>
      </c>
    </row>
    <row r="506" customFormat="false" ht="12.75" hidden="false" customHeight="true" outlineLevel="0" collapsed="false">
      <c r="A506" s="139" t="n">
        <v>50526</v>
      </c>
      <c r="B506" s="140"/>
      <c r="C506" s="140"/>
      <c r="D506" s="141"/>
      <c r="E506" s="142"/>
      <c r="F506" s="142"/>
      <c r="G506" s="66"/>
      <c r="H506" s="142"/>
      <c r="I506" s="141"/>
      <c r="J506" s="66"/>
      <c r="K506" s="188"/>
      <c r="L506" s="142"/>
      <c r="M506" s="145" t="n">
        <f aca="false">I506-D506</f>
        <v>0</v>
      </c>
    </row>
    <row r="507" customFormat="false" ht="12.75" hidden="false" customHeight="true" outlineLevel="0" collapsed="false">
      <c r="A507" s="148" t="n">
        <v>50626</v>
      </c>
      <c r="B507" s="149"/>
      <c r="C507" s="149"/>
      <c r="D507" s="150"/>
      <c r="E507" s="151"/>
      <c r="F507" s="151"/>
      <c r="G507" s="68"/>
      <c r="H507" s="151"/>
      <c r="I507" s="150"/>
      <c r="J507" s="68"/>
      <c r="K507" s="143"/>
      <c r="L507" s="151"/>
      <c r="M507" s="152" t="n">
        <f aca="false">I507-D507</f>
        <v>0</v>
      </c>
    </row>
    <row r="508" customFormat="false" ht="12.75" hidden="false" customHeight="true" outlineLevel="0" collapsed="false">
      <c r="A508" s="139" t="n">
        <v>50726</v>
      </c>
      <c r="B508" s="140"/>
      <c r="C508" s="140"/>
      <c r="D508" s="141"/>
      <c r="E508" s="142"/>
      <c r="F508" s="142"/>
      <c r="G508" s="66"/>
      <c r="H508" s="142"/>
      <c r="I508" s="141"/>
      <c r="J508" s="66"/>
      <c r="K508" s="188"/>
      <c r="L508" s="144"/>
      <c r="M508" s="145" t="n">
        <f aca="false">I508-D508</f>
        <v>0</v>
      </c>
    </row>
    <row r="509" customFormat="false" ht="12.75" hidden="false" customHeight="true" outlineLevel="0" collapsed="false">
      <c r="A509" s="139" t="n">
        <v>50826</v>
      </c>
      <c r="B509" s="149"/>
      <c r="C509" s="149"/>
      <c r="D509" s="150"/>
      <c r="E509" s="151"/>
      <c r="F509" s="151"/>
      <c r="G509" s="68"/>
      <c r="H509" s="151"/>
      <c r="I509" s="150"/>
      <c r="J509" s="68"/>
      <c r="K509" s="188"/>
      <c r="L509" s="151"/>
      <c r="M509" s="152" t="n">
        <f aca="false">I509-D509</f>
        <v>0</v>
      </c>
    </row>
    <row r="510" customFormat="false" ht="12.75" hidden="false" customHeight="true" outlineLevel="0" collapsed="false">
      <c r="A510" s="148" t="n">
        <v>50926</v>
      </c>
      <c r="B510" s="140"/>
      <c r="C510" s="140"/>
      <c r="D510" s="141"/>
      <c r="E510" s="142"/>
      <c r="F510" s="142"/>
      <c r="G510" s="66"/>
      <c r="H510" s="142"/>
      <c r="I510" s="141"/>
      <c r="J510" s="66"/>
      <c r="K510" s="143"/>
      <c r="L510" s="142"/>
      <c r="M510" s="145" t="n">
        <f aca="false">I510-D510</f>
        <v>0</v>
      </c>
    </row>
    <row r="511" customFormat="false" ht="12.75" hidden="false" customHeight="true" outlineLevel="0" collapsed="false">
      <c r="A511" s="139" t="n">
        <v>51026</v>
      </c>
      <c r="B511" s="149"/>
      <c r="C511" s="149"/>
      <c r="D511" s="150"/>
      <c r="E511" s="151"/>
      <c r="F511" s="151"/>
      <c r="G511" s="68"/>
      <c r="H511" s="151"/>
      <c r="I511" s="150"/>
      <c r="J511" s="68"/>
      <c r="K511" s="143"/>
      <c r="L511" s="151"/>
      <c r="M511" s="152" t="n">
        <f aca="false">I511-D511</f>
        <v>0</v>
      </c>
    </row>
    <row r="512" customFormat="false" ht="12.75" hidden="false" customHeight="true" outlineLevel="0" collapsed="false">
      <c r="A512" s="139" t="n">
        <v>51126</v>
      </c>
      <c r="B512" s="140"/>
      <c r="C512" s="140"/>
      <c r="D512" s="141"/>
      <c r="E512" s="142"/>
      <c r="F512" s="142"/>
      <c r="G512" s="66"/>
      <c r="H512" s="142"/>
      <c r="I512" s="141"/>
      <c r="J512" s="66"/>
      <c r="K512" s="188"/>
      <c r="L512" s="142"/>
      <c r="M512" s="145" t="n">
        <f aca="false">I512-D512</f>
        <v>0</v>
      </c>
    </row>
    <row r="513" customFormat="false" ht="12.75" hidden="false" customHeight="true" outlineLevel="0" collapsed="false">
      <c r="A513" s="148" t="n">
        <v>51226</v>
      </c>
      <c r="B513" s="149"/>
      <c r="C513" s="149"/>
      <c r="D513" s="150"/>
      <c r="E513" s="151"/>
      <c r="F513" s="151"/>
      <c r="G513" s="68"/>
      <c r="H513" s="151"/>
      <c r="I513" s="150"/>
      <c r="J513" s="68"/>
      <c r="K513" s="188"/>
      <c r="L513" s="151"/>
      <c r="M513" s="152" t="n">
        <f aca="false">I513-D513</f>
        <v>0</v>
      </c>
    </row>
    <row r="514" customFormat="false" ht="12.75" hidden="false" customHeight="true" outlineLevel="0" collapsed="false">
      <c r="A514" s="139" t="n">
        <v>51326</v>
      </c>
      <c r="B514" s="140"/>
      <c r="C514" s="140"/>
      <c r="D514" s="141"/>
      <c r="E514" s="142"/>
      <c r="F514" s="142"/>
      <c r="G514" s="66"/>
      <c r="H514" s="142"/>
      <c r="I514" s="141"/>
      <c r="J514" s="66"/>
      <c r="K514" s="188"/>
      <c r="L514" s="142"/>
      <c r="M514" s="145" t="n">
        <f aca="false">I514-D514</f>
        <v>0</v>
      </c>
    </row>
    <row r="515" customFormat="false" ht="12.75" hidden="false" customHeight="true" outlineLevel="0" collapsed="false">
      <c r="A515" s="139" t="n">
        <v>51426</v>
      </c>
      <c r="B515" s="149"/>
      <c r="C515" s="149"/>
      <c r="D515" s="150"/>
      <c r="E515" s="151"/>
      <c r="F515" s="151"/>
      <c r="G515" s="68"/>
      <c r="H515" s="151"/>
      <c r="I515" s="150"/>
      <c r="J515" s="68"/>
      <c r="K515" s="143"/>
      <c r="L515" s="151"/>
      <c r="M515" s="152" t="n">
        <f aca="false">I515-D515</f>
        <v>0</v>
      </c>
    </row>
    <row r="516" customFormat="false" ht="12.75" hidden="false" customHeight="true" outlineLevel="0" collapsed="false">
      <c r="A516" s="148" t="n">
        <v>51526</v>
      </c>
      <c r="B516" s="140"/>
      <c r="C516" s="140"/>
      <c r="D516" s="141"/>
      <c r="E516" s="142"/>
      <c r="F516" s="142"/>
      <c r="G516" s="66"/>
      <c r="H516" s="142"/>
      <c r="I516" s="141"/>
      <c r="J516" s="66"/>
      <c r="K516" s="143"/>
      <c r="L516" s="142"/>
      <c r="M516" s="145" t="n">
        <f aca="false">I516-D516</f>
        <v>0</v>
      </c>
    </row>
    <row r="517" customFormat="false" ht="12.75" hidden="false" customHeight="true" outlineLevel="0" collapsed="false">
      <c r="A517" s="139" t="n">
        <v>51626</v>
      </c>
      <c r="B517" s="149"/>
      <c r="C517" s="149"/>
      <c r="D517" s="150"/>
      <c r="E517" s="151"/>
      <c r="F517" s="151"/>
      <c r="G517" s="68"/>
      <c r="H517" s="151"/>
      <c r="I517" s="150"/>
      <c r="J517" s="68"/>
      <c r="K517" s="143"/>
      <c r="L517" s="151"/>
      <c r="M517" s="152" t="n">
        <f aca="false">I517-D517</f>
        <v>0</v>
      </c>
    </row>
    <row r="518" customFormat="false" ht="12.75" hidden="false" customHeight="true" outlineLevel="0" collapsed="false">
      <c r="A518" s="139" t="n">
        <v>51726</v>
      </c>
      <c r="B518" s="140"/>
      <c r="C518" s="140"/>
      <c r="D518" s="141"/>
      <c r="E518" s="142"/>
      <c r="F518" s="142"/>
      <c r="G518" s="66"/>
      <c r="H518" s="142"/>
      <c r="I518" s="141"/>
      <c r="J518" s="66"/>
      <c r="K518" s="197"/>
      <c r="L518" s="142"/>
      <c r="M518" s="145" t="n">
        <f aca="false">I518-D518</f>
        <v>0</v>
      </c>
    </row>
    <row r="519" customFormat="false" ht="12.75" hidden="false" customHeight="true" outlineLevel="0" collapsed="false">
      <c r="A519" s="148" t="n">
        <v>51826</v>
      </c>
      <c r="B519" s="149"/>
      <c r="C519" s="149"/>
      <c r="D519" s="150"/>
      <c r="E519" s="151"/>
      <c r="F519" s="151"/>
      <c r="G519" s="68"/>
      <c r="H519" s="151"/>
      <c r="I519" s="150"/>
      <c r="J519" s="68"/>
      <c r="K519" s="143"/>
      <c r="L519" s="151"/>
      <c r="M519" s="152" t="n">
        <f aca="false">I519-D519</f>
        <v>0</v>
      </c>
    </row>
    <row r="520" customFormat="false" ht="12.75" hidden="false" customHeight="true" outlineLevel="0" collapsed="false">
      <c r="A520" s="139" t="n">
        <v>51926</v>
      </c>
      <c r="B520" s="140"/>
      <c r="C520" s="140"/>
      <c r="D520" s="141"/>
      <c r="E520" s="142"/>
      <c r="F520" s="142"/>
      <c r="G520" s="66"/>
      <c r="H520" s="142"/>
      <c r="I520" s="141"/>
      <c r="J520" s="66"/>
      <c r="K520" s="188"/>
      <c r="L520" s="142"/>
      <c r="M520" s="145" t="n">
        <f aca="false">I520-D520</f>
        <v>0</v>
      </c>
    </row>
    <row r="521" customFormat="false" ht="12.75" hidden="false" customHeight="true" outlineLevel="0" collapsed="false">
      <c r="A521" s="139" t="n">
        <v>52026</v>
      </c>
      <c r="B521" s="149"/>
      <c r="C521" s="149"/>
      <c r="D521" s="150"/>
      <c r="E521" s="151"/>
      <c r="F521" s="151"/>
      <c r="G521" s="68"/>
      <c r="H521" s="151"/>
      <c r="I521" s="150"/>
      <c r="J521" s="68"/>
      <c r="K521" s="188"/>
      <c r="L521" s="151"/>
      <c r="M521" s="152" t="n">
        <f aca="false">I521-D521</f>
        <v>0</v>
      </c>
    </row>
    <row r="522" customFormat="false" ht="12.75" hidden="false" customHeight="true" outlineLevel="0" collapsed="false">
      <c r="A522" s="148" t="n">
        <v>52126</v>
      </c>
      <c r="B522" s="140"/>
      <c r="C522" s="140"/>
      <c r="D522" s="141"/>
      <c r="E522" s="142"/>
      <c r="F522" s="142"/>
      <c r="G522" s="66"/>
      <c r="H522" s="142"/>
      <c r="I522" s="141"/>
      <c r="J522" s="66"/>
      <c r="K522" s="143"/>
      <c r="L522" s="142"/>
      <c r="M522" s="145" t="n">
        <f aca="false">I522-D522</f>
        <v>0</v>
      </c>
    </row>
    <row r="523" customFormat="false" ht="12.75" hidden="false" customHeight="true" outlineLevel="0" collapsed="false">
      <c r="A523" s="139" t="n">
        <v>52226</v>
      </c>
      <c r="B523" s="149"/>
      <c r="C523" s="149"/>
      <c r="D523" s="150"/>
      <c r="E523" s="151"/>
      <c r="F523" s="151"/>
      <c r="G523" s="68"/>
      <c r="H523" s="151"/>
      <c r="I523" s="150"/>
      <c r="J523" s="68"/>
      <c r="K523" s="143"/>
      <c r="L523" s="151"/>
      <c r="M523" s="152" t="n">
        <f aca="false">I523-D523</f>
        <v>0</v>
      </c>
    </row>
    <row r="524" customFormat="false" ht="12.75" hidden="false" customHeight="true" outlineLevel="0" collapsed="false">
      <c r="A524" s="139" t="n">
        <v>52326</v>
      </c>
      <c r="B524" s="140"/>
      <c r="C524" s="140"/>
      <c r="D524" s="141"/>
      <c r="E524" s="142"/>
      <c r="F524" s="142"/>
      <c r="G524" s="66"/>
      <c r="H524" s="142"/>
      <c r="I524" s="141"/>
      <c r="J524" s="66"/>
      <c r="K524" s="188"/>
      <c r="L524" s="142"/>
      <c r="M524" s="145" t="n">
        <f aca="false">I524-D524</f>
        <v>0</v>
      </c>
    </row>
    <row r="525" customFormat="false" ht="12.75" hidden="false" customHeight="true" outlineLevel="0" collapsed="false">
      <c r="A525" s="148" t="n">
        <v>52426</v>
      </c>
      <c r="B525" s="149"/>
      <c r="C525" s="149"/>
      <c r="D525" s="150"/>
      <c r="E525" s="151"/>
      <c r="F525" s="151"/>
      <c r="G525" s="68"/>
      <c r="H525" s="151"/>
      <c r="I525" s="150"/>
      <c r="J525" s="68"/>
      <c r="K525" s="188"/>
      <c r="L525" s="151"/>
      <c r="M525" s="152" t="n">
        <f aca="false">I525-D525</f>
        <v>0</v>
      </c>
    </row>
    <row r="526" customFormat="false" ht="12.75" hidden="false" customHeight="true" outlineLevel="0" collapsed="false">
      <c r="A526" s="139" t="n">
        <v>52526</v>
      </c>
      <c r="B526" s="140"/>
      <c r="C526" s="140"/>
      <c r="D526" s="141"/>
      <c r="E526" s="142"/>
      <c r="F526" s="142"/>
      <c r="G526" s="66"/>
      <c r="H526" s="142"/>
      <c r="I526" s="141"/>
      <c r="J526" s="66"/>
      <c r="K526" s="143"/>
      <c r="L526" s="142"/>
      <c r="M526" s="145" t="n">
        <f aca="false">I526-D526</f>
        <v>0</v>
      </c>
    </row>
    <row r="527" customFormat="false" ht="12.75" hidden="false" customHeight="true" outlineLevel="0" collapsed="false">
      <c r="A527" s="139" t="n">
        <v>52626</v>
      </c>
      <c r="B527" s="149"/>
      <c r="C527" s="149"/>
      <c r="D527" s="150"/>
      <c r="E527" s="151"/>
      <c r="F527" s="151"/>
      <c r="G527" s="68"/>
      <c r="H527" s="151"/>
      <c r="I527" s="150"/>
      <c r="J527" s="68"/>
      <c r="K527" s="188"/>
      <c r="L527" s="151"/>
      <c r="M527" s="152" t="n">
        <f aca="false">I527-D527</f>
        <v>0</v>
      </c>
    </row>
    <row r="528" customFormat="false" ht="12.75" hidden="false" customHeight="true" outlineLevel="0" collapsed="false">
      <c r="A528" s="148" t="n">
        <v>52726</v>
      </c>
      <c r="B528" s="140"/>
      <c r="C528" s="140"/>
      <c r="D528" s="141"/>
      <c r="E528" s="142"/>
      <c r="F528" s="142"/>
      <c r="G528" s="66"/>
      <c r="H528" s="142"/>
      <c r="I528" s="141"/>
      <c r="J528" s="66"/>
      <c r="K528" s="188"/>
      <c r="L528" s="142"/>
      <c r="M528" s="145" t="n">
        <f aca="false">I528-D528</f>
        <v>0</v>
      </c>
    </row>
    <row r="529" customFormat="false" ht="12.75" hidden="false" customHeight="true" outlineLevel="0" collapsed="false">
      <c r="A529" s="139" t="n">
        <v>52826</v>
      </c>
      <c r="B529" s="149"/>
      <c r="C529" s="149"/>
      <c r="D529" s="150"/>
      <c r="E529" s="151"/>
      <c r="F529" s="151"/>
      <c r="G529" s="68"/>
      <c r="H529" s="151"/>
      <c r="I529" s="150"/>
      <c r="J529" s="68"/>
      <c r="K529" s="188"/>
      <c r="L529" s="151"/>
      <c r="M529" s="152" t="n">
        <f aca="false">I529-D529</f>
        <v>0</v>
      </c>
    </row>
    <row r="530" customFormat="false" ht="12.75" hidden="false" customHeight="true" outlineLevel="0" collapsed="false">
      <c r="A530" s="139" t="n">
        <v>52926</v>
      </c>
      <c r="B530" s="140"/>
      <c r="C530" s="140"/>
      <c r="D530" s="141"/>
      <c r="E530" s="142"/>
      <c r="F530" s="142"/>
      <c r="G530" s="66"/>
      <c r="H530" s="142"/>
      <c r="I530" s="141"/>
      <c r="J530" s="66"/>
      <c r="K530" s="169"/>
      <c r="L530" s="142"/>
      <c r="M530" s="145" t="n">
        <f aca="false">I530-D530</f>
        <v>0</v>
      </c>
    </row>
    <row r="531" customFormat="false" ht="12.75" hidden="false" customHeight="true" outlineLevel="0" collapsed="false">
      <c r="A531" s="148" t="n">
        <v>53026</v>
      </c>
      <c r="B531" s="149"/>
      <c r="C531" s="149"/>
      <c r="D531" s="150"/>
      <c r="E531" s="151"/>
      <c r="F531" s="151"/>
      <c r="G531" s="68"/>
      <c r="H531" s="151"/>
      <c r="I531" s="150"/>
      <c r="J531" s="68"/>
      <c r="K531" s="188"/>
      <c r="L531" s="151"/>
      <c r="M531" s="152" t="n">
        <f aca="false">I531-D531</f>
        <v>0</v>
      </c>
    </row>
    <row r="532" customFormat="false" ht="12.75" hidden="false" customHeight="true" outlineLevel="0" collapsed="false">
      <c r="A532" s="139" t="n">
        <v>53126</v>
      </c>
      <c r="B532" s="140"/>
      <c r="C532" s="140"/>
      <c r="D532" s="141"/>
      <c r="E532" s="142"/>
      <c r="F532" s="142"/>
      <c r="G532" s="66"/>
      <c r="H532" s="142"/>
      <c r="I532" s="141"/>
      <c r="J532" s="66"/>
      <c r="K532" s="143"/>
      <c r="L532" s="142"/>
      <c r="M532" s="145" t="n">
        <f aca="false">I532-D532</f>
        <v>0</v>
      </c>
    </row>
    <row r="533" customFormat="false" ht="12.75" hidden="false" customHeight="true" outlineLevel="0" collapsed="false">
      <c r="A533" s="139" t="n">
        <v>53226</v>
      </c>
      <c r="B533" s="149"/>
      <c r="C533" s="149"/>
      <c r="D533" s="150"/>
      <c r="E533" s="151"/>
      <c r="F533" s="151"/>
      <c r="G533" s="68"/>
      <c r="H533" s="151"/>
      <c r="I533" s="150"/>
      <c r="J533" s="68"/>
      <c r="K533" s="188"/>
      <c r="L533" s="151"/>
      <c r="M533" s="152" t="n">
        <f aca="false">I533-D533</f>
        <v>0</v>
      </c>
    </row>
    <row r="534" customFormat="false" ht="12.75" hidden="false" customHeight="true" outlineLevel="0" collapsed="false">
      <c r="A534" s="148" t="n">
        <v>53326</v>
      </c>
      <c r="B534" s="140"/>
      <c r="C534" s="140"/>
      <c r="D534" s="141"/>
      <c r="E534" s="142"/>
      <c r="F534" s="142"/>
      <c r="G534" s="66"/>
      <c r="H534" s="142"/>
      <c r="I534" s="141"/>
      <c r="J534" s="66"/>
      <c r="K534" s="143"/>
      <c r="L534" s="142"/>
      <c r="M534" s="145" t="n">
        <f aca="false">I534-D534</f>
        <v>0</v>
      </c>
    </row>
    <row r="535" customFormat="false" ht="12.75" hidden="false" customHeight="true" outlineLevel="0" collapsed="false">
      <c r="A535" s="139" t="n">
        <v>53426</v>
      </c>
      <c r="B535" s="149"/>
      <c r="C535" s="149"/>
      <c r="D535" s="150"/>
      <c r="E535" s="151"/>
      <c r="F535" s="151"/>
      <c r="G535" s="68"/>
      <c r="H535" s="151"/>
      <c r="I535" s="150"/>
      <c r="J535" s="68"/>
      <c r="K535" s="188"/>
      <c r="L535" s="151"/>
      <c r="M535" s="152" t="n">
        <f aca="false">I535-D535</f>
        <v>0</v>
      </c>
    </row>
    <row r="536" customFormat="false" ht="12.75" hidden="false" customHeight="true" outlineLevel="0" collapsed="false">
      <c r="A536" s="139" t="n">
        <v>53526</v>
      </c>
      <c r="B536" s="140"/>
      <c r="C536" s="140"/>
      <c r="D536" s="141"/>
      <c r="E536" s="142"/>
      <c r="F536" s="142"/>
      <c r="G536" s="66"/>
      <c r="H536" s="142"/>
      <c r="I536" s="141"/>
      <c r="J536" s="66"/>
      <c r="K536" s="188"/>
      <c r="L536" s="142"/>
      <c r="M536" s="145" t="n">
        <f aca="false">I536-D536</f>
        <v>0</v>
      </c>
    </row>
    <row r="537" customFormat="false" ht="12.75" hidden="false" customHeight="true" outlineLevel="0" collapsed="false">
      <c r="A537" s="148" t="n">
        <v>53626</v>
      </c>
      <c r="B537" s="149"/>
      <c r="C537" s="149"/>
      <c r="D537" s="150"/>
      <c r="E537" s="151"/>
      <c r="F537" s="151"/>
      <c r="G537" s="68"/>
      <c r="H537" s="151"/>
      <c r="I537" s="150"/>
      <c r="J537" s="68"/>
      <c r="K537" s="188"/>
      <c r="L537" s="151"/>
      <c r="M537" s="152" t="n">
        <f aca="false">I537-D537</f>
        <v>0</v>
      </c>
    </row>
    <row r="538" customFormat="false" ht="12.75" hidden="false" customHeight="true" outlineLevel="0" collapsed="false">
      <c r="A538" s="139" t="n">
        <v>53726</v>
      </c>
      <c r="B538" s="140"/>
      <c r="C538" s="140"/>
      <c r="D538" s="141"/>
      <c r="E538" s="142"/>
      <c r="F538" s="142"/>
      <c r="G538" s="66"/>
      <c r="H538" s="142"/>
      <c r="I538" s="141"/>
      <c r="J538" s="66"/>
      <c r="K538" s="188"/>
      <c r="L538" s="142"/>
      <c r="M538" s="145" t="n">
        <f aca="false">I538-D538</f>
        <v>0</v>
      </c>
    </row>
    <row r="539" customFormat="false" ht="12.75" hidden="false" customHeight="true" outlineLevel="0" collapsed="false">
      <c r="A539" s="139" t="n">
        <v>53826</v>
      </c>
      <c r="B539" s="149"/>
      <c r="C539" s="149"/>
      <c r="D539" s="150"/>
      <c r="E539" s="151"/>
      <c r="F539" s="151"/>
      <c r="G539" s="68"/>
      <c r="H539" s="151"/>
      <c r="I539" s="150"/>
      <c r="J539" s="68"/>
      <c r="K539" s="188"/>
      <c r="L539" s="151"/>
      <c r="M539" s="152" t="n">
        <f aca="false">I539-D539</f>
        <v>0</v>
      </c>
    </row>
    <row r="540" customFormat="false" ht="12.75" hidden="false" customHeight="true" outlineLevel="0" collapsed="false">
      <c r="A540" s="148" t="n">
        <v>53926</v>
      </c>
      <c r="B540" s="140"/>
      <c r="C540" s="140"/>
      <c r="D540" s="141"/>
      <c r="E540" s="142"/>
      <c r="F540" s="142"/>
      <c r="G540" s="66"/>
      <c r="H540" s="142"/>
      <c r="I540" s="141"/>
      <c r="J540" s="66"/>
      <c r="K540" s="188"/>
      <c r="L540" s="142"/>
      <c r="M540" s="145" t="n">
        <f aca="false">I540-D540</f>
        <v>0</v>
      </c>
    </row>
    <row r="541" customFormat="false" ht="12.75" hidden="false" customHeight="true" outlineLevel="0" collapsed="false">
      <c r="A541" s="139" t="n">
        <v>54026</v>
      </c>
      <c r="B541" s="149"/>
      <c r="C541" s="149"/>
      <c r="D541" s="150"/>
      <c r="E541" s="151"/>
      <c r="F541" s="151"/>
      <c r="G541" s="68"/>
      <c r="H541" s="151"/>
      <c r="I541" s="150"/>
      <c r="J541" s="68"/>
      <c r="K541" s="195"/>
      <c r="L541" s="151"/>
      <c r="M541" s="152" t="n">
        <f aca="false">I541-D541</f>
        <v>0</v>
      </c>
    </row>
    <row r="542" customFormat="false" ht="12.75" hidden="false" customHeight="true" outlineLevel="0" collapsed="false">
      <c r="A542" s="139" t="n">
        <v>54126</v>
      </c>
      <c r="B542" s="140"/>
      <c r="C542" s="140"/>
      <c r="D542" s="141"/>
      <c r="E542" s="142"/>
      <c r="F542" s="142"/>
      <c r="G542" s="66"/>
      <c r="H542" s="142"/>
      <c r="I542" s="141"/>
      <c r="J542" s="66"/>
      <c r="K542" s="188"/>
      <c r="L542" s="144"/>
      <c r="M542" s="145" t="n">
        <f aca="false">I542-D542</f>
        <v>0</v>
      </c>
    </row>
    <row r="543" customFormat="false" ht="12.75" hidden="false" customHeight="true" outlineLevel="0" collapsed="false">
      <c r="A543" s="148" t="n">
        <v>54226</v>
      </c>
      <c r="B543" s="149"/>
      <c r="C543" s="149"/>
      <c r="D543" s="150"/>
      <c r="E543" s="151"/>
      <c r="F543" s="151"/>
      <c r="G543" s="68"/>
      <c r="H543" s="151"/>
      <c r="I543" s="150"/>
      <c r="J543" s="68"/>
      <c r="K543" s="188"/>
      <c r="L543" s="151"/>
      <c r="M543" s="152" t="n">
        <f aca="false">I543-D543</f>
        <v>0</v>
      </c>
    </row>
    <row r="544" customFormat="false" ht="12.75" hidden="false" customHeight="true" outlineLevel="0" collapsed="false">
      <c r="A544" s="139" t="n">
        <v>54326</v>
      </c>
      <c r="B544" s="140"/>
      <c r="C544" s="140"/>
      <c r="D544" s="141"/>
      <c r="E544" s="142"/>
      <c r="F544" s="142"/>
      <c r="G544" s="66"/>
      <c r="H544" s="142"/>
      <c r="I544" s="141"/>
      <c r="J544" s="66"/>
      <c r="K544" s="188"/>
      <c r="L544" s="144"/>
      <c r="M544" s="145" t="n">
        <f aca="false">I544-D544</f>
        <v>0</v>
      </c>
    </row>
    <row r="545" customFormat="false" ht="12.75" hidden="false" customHeight="true" outlineLevel="0" collapsed="false">
      <c r="A545" s="139" t="n">
        <v>54426</v>
      </c>
      <c r="B545" s="149"/>
      <c r="C545" s="149"/>
      <c r="D545" s="150"/>
      <c r="E545" s="151"/>
      <c r="F545" s="151"/>
      <c r="G545" s="68"/>
      <c r="H545" s="151"/>
      <c r="I545" s="150"/>
      <c r="J545" s="68"/>
      <c r="K545" s="188"/>
      <c r="L545" s="151"/>
      <c r="M545" s="152" t="n">
        <f aca="false">I545-D545</f>
        <v>0</v>
      </c>
    </row>
    <row r="546" customFormat="false" ht="12.75" hidden="false" customHeight="true" outlineLevel="0" collapsed="false">
      <c r="A546" s="148" t="n">
        <v>54526</v>
      </c>
      <c r="B546" s="140"/>
      <c r="C546" s="140"/>
      <c r="D546" s="141"/>
      <c r="E546" s="142"/>
      <c r="F546" s="142"/>
      <c r="G546" s="66"/>
      <c r="H546" s="142"/>
      <c r="I546" s="141"/>
      <c r="J546" s="66"/>
      <c r="K546" s="188"/>
      <c r="L546" s="142"/>
      <c r="M546" s="145" t="n">
        <f aca="false">I546-D546</f>
        <v>0</v>
      </c>
    </row>
    <row r="547" customFormat="false" ht="12.75" hidden="false" customHeight="true" outlineLevel="0" collapsed="false">
      <c r="A547" s="139" t="n">
        <v>54626</v>
      </c>
      <c r="B547" s="149"/>
      <c r="C547" s="149"/>
      <c r="D547" s="150"/>
      <c r="E547" s="151"/>
      <c r="F547" s="151"/>
      <c r="G547" s="68"/>
      <c r="H547" s="151"/>
      <c r="I547" s="150"/>
      <c r="J547" s="68"/>
      <c r="K547" s="188"/>
      <c r="L547" s="151"/>
      <c r="M547" s="152" t="n">
        <f aca="false">I547-D547</f>
        <v>0</v>
      </c>
    </row>
    <row r="548" customFormat="false" ht="12.75" hidden="false" customHeight="true" outlineLevel="0" collapsed="false">
      <c r="A548" s="139" t="n">
        <v>54726</v>
      </c>
      <c r="B548" s="140"/>
      <c r="C548" s="140"/>
      <c r="D548" s="141"/>
      <c r="E548" s="142"/>
      <c r="F548" s="142"/>
      <c r="G548" s="66"/>
      <c r="H548" s="142"/>
      <c r="I548" s="141"/>
      <c r="J548" s="66"/>
      <c r="K548" s="188"/>
      <c r="L548" s="142"/>
      <c r="M548" s="145" t="n">
        <f aca="false">I548-D548</f>
        <v>0</v>
      </c>
    </row>
    <row r="549" customFormat="false" ht="12.75" hidden="false" customHeight="true" outlineLevel="0" collapsed="false">
      <c r="A549" s="148" t="n">
        <v>54826</v>
      </c>
      <c r="B549" s="149"/>
      <c r="C549" s="149"/>
      <c r="D549" s="150"/>
      <c r="E549" s="151"/>
      <c r="F549" s="151"/>
      <c r="G549" s="68"/>
      <c r="H549" s="151"/>
      <c r="I549" s="150"/>
      <c r="J549" s="68"/>
      <c r="K549" s="188"/>
      <c r="L549" s="151"/>
      <c r="M549" s="152" t="n">
        <f aca="false">I549-D549</f>
        <v>0</v>
      </c>
    </row>
    <row r="550" customFormat="false" ht="12.75" hidden="false" customHeight="true" outlineLevel="0" collapsed="false">
      <c r="A550" s="139" t="n">
        <v>54926</v>
      </c>
      <c r="B550" s="140"/>
      <c r="C550" s="140"/>
      <c r="D550" s="141"/>
      <c r="E550" s="142"/>
      <c r="F550" s="142"/>
      <c r="G550" s="66"/>
      <c r="H550" s="142"/>
      <c r="I550" s="141"/>
      <c r="J550" s="66"/>
      <c r="K550" s="188"/>
      <c r="L550" s="142"/>
      <c r="M550" s="145" t="n">
        <f aca="false">I550-D550</f>
        <v>0</v>
      </c>
    </row>
    <row r="551" customFormat="false" ht="12.75" hidden="false" customHeight="true" outlineLevel="0" collapsed="false">
      <c r="A551" s="139" t="n">
        <v>55026</v>
      </c>
      <c r="B551" s="149"/>
      <c r="C551" s="149"/>
      <c r="D551" s="150"/>
      <c r="E551" s="151"/>
      <c r="F551" s="151"/>
      <c r="G551" s="68"/>
      <c r="H551" s="151"/>
      <c r="I551" s="150"/>
      <c r="J551" s="68"/>
      <c r="K551" s="188"/>
      <c r="L551" s="151"/>
      <c r="M551" s="152" t="n">
        <f aca="false">I551-D551</f>
        <v>0</v>
      </c>
    </row>
    <row r="552" customFormat="false" ht="12.75" hidden="false" customHeight="true" outlineLevel="0" collapsed="false">
      <c r="A552" s="148" t="n">
        <v>55126</v>
      </c>
      <c r="B552" s="140"/>
      <c r="C552" s="140"/>
      <c r="D552" s="141"/>
      <c r="E552" s="142"/>
      <c r="F552" s="142"/>
      <c r="G552" s="66"/>
      <c r="H552" s="142"/>
      <c r="I552" s="141"/>
      <c r="J552" s="66"/>
      <c r="K552" s="188"/>
      <c r="L552" s="142"/>
      <c r="M552" s="145" t="n">
        <f aca="false">I552-D552</f>
        <v>0</v>
      </c>
    </row>
    <row r="553" customFormat="false" ht="12.75" hidden="false" customHeight="true" outlineLevel="0" collapsed="false">
      <c r="A553" s="139" t="n">
        <v>55226</v>
      </c>
      <c r="B553" s="149"/>
      <c r="C553" s="149"/>
      <c r="D553" s="150"/>
      <c r="E553" s="151"/>
      <c r="F553" s="151"/>
      <c r="G553" s="68"/>
      <c r="H553" s="151"/>
      <c r="I553" s="150"/>
      <c r="J553" s="68"/>
      <c r="K553" s="188"/>
      <c r="L553" s="151"/>
      <c r="M553" s="152" t="n">
        <f aca="false">I553-D553</f>
        <v>0</v>
      </c>
    </row>
    <row r="554" customFormat="false" ht="12.75" hidden="false" customHeight="true" outlineLevel="0" collapsed="false">
      <c r="A554" s="139" t="n">
        <v>55326</v>
      </c>
      <c r="B554" s="140"/>
      <c r="C554" s="140"/>
      <c r="D554" s="141"/>
      <c r="E554" s="142"/>
      <c r="F554" s="142"/>
      <c r="G554" s="66"/>
      <c r="H554" s="142"/>
      <c r="I554" s="141"/>
      <c r="J554" s="66"/>
      <c r="K554" s="188"/>
      <c r="L554" s="142"/>
      <c r="M554" s="145" t="n">
        <f aca="false">I554-D554</f>
        <v>0</v>
      </c>
    </row>
    <row r="555" customFormat="false" ht="12.75" hidden="false" customHeight="true" outlineLevel="0" collapsed="false">
      <c r="A555" s="148" t="n">
        <v>55426</v>
      </c>
      <c r="B555" s="149"/>
      <c r="C555" s="149"/>
      <c r="D555" s="150"/>
      <c r="E555" s="151"/>
      <c r="F555" s="151"/>
      <c r="G555" s="68"/>
      <c r="H555" s="151"/>
      <c r="I555" s="150"/>
      <c r="J555" s="68"/>
      <c r="K555" s="188"/>
      <c r="L555" s="151"/>
      <c r="M555" s="152" t="n">
        <f aca="false">I555-D555</f>
        <v>0</v>
      </c>
    </row>
    <row r="556" customFormat="false" ht="12.75" hidden="false" customHeight="true" outlineLevel="0" collapsed="false">
      <c r="A556" s="139" t="n">
        <v>55526</v>
      </c>
      <c r="B556" s="140"/>
      <c r="C556" s="140"/>
      <c r="D556" s="141"/>
      <c r="E556" s="142"/>
      <c r="F556" s="142"/>
      <c r="G556" s="66"/>
      <c r="H556" s="142"/>
      <c r="I556" s="141"/>
      <c r="J556" s="66"/>
      <c r="K556" s="196"/>
      <c r="L556" s="142"/>
      <c r="M556" s="145" t="n">
        <f aca="false">I556-D556</f>
        <v>0</v>
      </c>
    </row>
    <row r="557" customFormat="false" ht="12.75" hidden="false" customHeight="true" outlineLevel="0" collapsed="false">
      <c r="A557" s="139" t="n">
        <v>55626</v>
      </c>
      <c r="B557" s="149"/>
      <c r="C557" s="149"/>
      <c r="D557" s="150"/>
      <c r="E557" s="151"/>
      <c r="F557" s="151"/>
      <c r="G557" s="68"/>
      <c r="H557" s="151"/>
      <c r="I557" s="150"/>
      <c r="J557" s="68"/>
      <c r="K557" s="188"/>
      <c r="L557" s="151"/>
      <c r="M557" s="152" t="n">
        <f aca="false">I557-D557</f>
        <v>0</v>
      </c>
    </row>
    <row r="558" customFormat="false" ht="12.75" hidden="false" customHeight="true" outlineLevel="0" collapsed="false">
      <c r="A558" s="148" t="n">
        <v>55726</v>
      </c>
      <c r="B558" s="140"/>
      <c r="C558" s="140"/>
      <c r="D558" s="141"/>
      <c r="E558" s="142"/>
      <c r="F558" s="142"/>
      <c r="G558" s="66"/>
      <c r="H558" s="142"/>
      <c r="I558" s="141"/>
      <c r="J558" s="66"/>
      <c r="K558" s="188"/>
      <c r="L558" s="142"/>
      <c r="M558" s="145" t="n">
        <f aca="false">I558-D558</f>
        <v>0</v>
      </c>
    </row>
    <row r="559" customFormat="false" ht="12.75" hidden="false" customHeight="true" outlineLevel="0" collapsed="false">
      <c r="A559" s="139" t="n">
        <v>55826</v>
      </c>
      <c r="B559" s="149"/>
      <c r="C559" s="149"/>
      <c r="D559" s="150"/>
      <c r="E559" s="151"/>
      <c r="F559" s="151"/>
      <c r="G559" s="68"/>
      <c r="H559" s="151"/>
      <c r="I559" s="150"/>
      <c r="J559" s="68"/>
      <c r="K559" s="188"/>
      <c r="L559" s="151"/>
      <c r="M559" s="152" t="n">
        <f aca="false">I559-D559</f>
        <v>0</v>
      </c>
    </row>
    <row r="560" customFormat="false" ht="12.75" hidden="false" customHeight="true" outlineLevel="0" collapsed="false">
      <c r="A560" s="139" t="n">
        <v>55926</v>
      </c>
      <c r="B560" s="140"/>
      <c r="C560" s="140"/>
      <c r="D560" s="141"/>
      <c r="E560" s="142"/>
      <c r="F560" s="142"/>
      <c r="G560" s="66"/>
      <c r="H560" s="142"/>
      <c r="I560" s="141"/>
      <c r="J560" s="66"/>
      <c r="K560" s="188"/>
      <c r="L560" s="144"/>
      <c r="M560" s="145" t="n">
        <f aca="false">I560-D560</f>
        <v>0</v>
      </c>
    </row>
    <row r="561" customFormat="false" ht="12.75" hidden="false" customHeight="true" outlineLevel="0" collapsed="false">
      <c r="A561" s="148" t="n">
        <v>56026</v>
      </c>
      <c r="B561" s="149"/>
      <c r="C561" s="149"/>
      <c r="D561" s="150"/>
      <c r="E561" s="151"/>
      <c r="F561" s="151"/>
      <c r="G561" s="68"/>
      <c r="H561" s="151"/>
      <c r="I561" s="150"/>
      <c r="J561" s="68"/>
      <c r="K561" s="188"/>
      <c r="L561" s="151"/>
      <c r="M561" s="152" t="n">
        <f aca="false">I561-D561</f>
        <v>0</v>
      </c>
    </row>
    <row r="562" customFormat="false" ht="12.75" hidden="false" customHeight="true" outlineLevel="0" collapsed="false">
      <c r="A562" s="139" t="n">
        <v>56126</v>
      </c>
      <c r="B562" s="140"/>
      <c r="C562" s="140"/>
      <c r="D562" s="141"/>
      <c r="E562" s="142"/>
      <c r="F562" s="142"/>
      <c r="G562" s="66"/>
      <c r="H562" s="142"/>
      <c r="I562" s="141"/>
      <c r="J562" s="66"/>
      <c r="K562" s="188"/>
      <c r="L562" s="142"/>
      <c r="M562" s="145" t="n">
        <f aca="false">I562-D562</f>
        <v>0</v>
      </c>
    </row>
    <row r="563" customFormat="false" ht="12.75" hidden="false" customHeight="true" outlineLevel="0" collapsed="false">
      <c r="A563" s="139" t="n">
        <v>56226</v>
      </c>
      <c r="B563" s="149"/>
      <c r="C563" s="149"/>
      <c r="D563" s="150"/>
      <c r="E563" s="151"/>
      <c r="F563" s="151"/>
      <c r="G563" s="68"/>
      <c r="H563" s="151"/>
      <c r="I563" s="150"/>
      <c r="J563" s="68"/>
      <c r="K563" s="188"/>
      <c r="L563" s="151"/>
      <c r="M563" s="152" t="n">
        <f aca="false">I563-D563</f>
        <v>0</v>
      </c>
    </row>
    <row r="564" customFormat="false" ht="12.75" hidden="false" customHeight="true" outlineLevel="0" collapsed="false">
      <c r="A564" s="148" t="n">
        <v>56326</v>
      </c>
      <c r="B564" s="140"/>
      <c r="C564" s="140"/>
      <c r="D564" s="141"/>
      <c r="E564" s="142"/>
      <c r="F564" s="142"/>
      <c r="G564" s="66"/>
      <c r="H564" s="142"/>
      <c r="I564" s="141"/>
      <c r="J564" s="66"/>
      <c r="K564" s="188"/>
      <c r="L564" s="142"/>
      <c r="M564" s="145" t="n">
        <f aca="false">I564-D564</f>
        <v>0</v>
      </c>
    </row>
    <row r="565" customFormat="false" ht="12.75" hidden="false" customHeight="true" outlineLevel="0" collapsed="false">
      <c r="A565" s="139" t="n">
        <v>56426</v>
      </c>
      <c r="B565" s="149"/>
      <c r="C565" s="149"/>
      <c r="D565" s="150"/>
      <c r="E565" s="151"/>
      <c r="F565" s="151"/>
      <c r="G565" s="68"/>
      <c r="H565" s="151"/>
      <c r="I565" s="150"/>
      <c r="J565" s="68"/>
      <c r="K565" s="188"/>
      <c r="L565" s="151"/>
      <c r="M565" s="152" t="n">
        <f aca="false">I565-D565</f>
        <v>0</v>
      </c>
    </row>
    <row r="566" customFormat="false" ht="12.75" hidden="false" customHeight="true" outlineLevel="0" collapsed="false">
      <c r="A566" s="139" t="n">
        <v>56526</v>
      </c>
      <c r="B566" s="140"/>
      <c r="C566" s="140"/>
      <c r="D566" s="141"/>
      <c r="E566" s="142"/>
      <c r="F566" s="142"/>
      <c r="G566" s="66"/>
      <c r="H566" s="142"/>
      <c r="I566" s="141"/>
      <c r="J566" s="66"/>
      <c r="K566" s="188"/>
      <c r="L566" s="142"/>
      <c r="M566" s="145" t="n">
        <f aca="false">I566-D566</f>
        <v>0</v>
      </c>
    </row>
    <row r="567" customFormat="false" ht="12.75" hidden="false" customHeight="true" outlineLevel="0" collapsed="false">
      <c r="A567" s="148" t="n">
        <v>56626</v>
      </c>
      <c r="B567" s="149"/>
      <c r="C567" s="149"/>
      <c r="D567" s="150"/>
      <c r="E567" s="151"/>
      <c r="F567" s="151"/>
      <c r="G567" s="68"/>
      <c r="H567" s="151"/>
      <c r="I567" s="150"/>
      <c r="J567" s="68"/>
      <c r="K567" s="188"/>
      <c r="L567" s="151"/>
      <c r="M567" s="152" t="n">
        <f aca="false">I567-D567</f>
        <v>0</v>
      </c>
    </row>
    <row r="568" customFormat="false" ht="12.75" hidden="false" customHeight="true" outlineLevel="0" collapsed="false">
      <c r="A568" s="139" t="n">
        <v>56726</v>
      </c>
      <c r="B568" s="140"/>
      <c r="C568" s="140"/>
      <c r="D568" s="141"/>
      <c r="E568" s="142"/>
      <c r="F568" s="142"/>
      <c r="G568" s="66"/>
      <c r="H568" s="142"/>
      <c r="I568" s="141"/>
      <c r="J568" s="66"/>
      <c r="K568" s="188"/>
      <c r="L568" s="142"/>
      <c r="M568" s="145" t="n">
        <f aca="false">I568-D568</f>
        <v>0</v>
      </c>
    </row>
    <row r="569" customFormat="false" ht="12.75" hidden="false" customHeight="true" outlineLevel="0" collapsed="false">
      <c r="A569" s="139" t="n">
        <v>56826</v>
      </c>
      <c r="B569" s="149"/>
      <c r="C569" s="149"/>
      <c r="D569" s="150"/>
      <c r="E569" s="151"/>
      <c r="F569" s="151"/>
      <c r="G569" s="68"/>
      <c r="H569" s="151"/>
      <c r="I569" s="150"/>
      <c r="J569" s="68"/>
      <c r="K569" s="196"/>
      <c r="L569" s="151"/>
      <c r="M569" s="152" t="n">
        <f aca="false">I569-D569</f>
        <v>0</v>
      </c>
    </row>
    <row r="570" customFormat="false" ht="12.75" hidden="false" customHeight="true" outlineLevel="0" collapsed="false">
      <c r="A570" s="148" t="n">
        <v>56926</v>
      </c>
      <c r="B570" s="140"/>
      <c r="C570" s="140"/>
      <c r="D570" s="141"/>
      <c r="E570" s="142"/>
      <c r="F570" s="142"/>
      <c r="G570" s="66"/>
      <c r="H570" s="142"/>
      <c r="I570" s="141"/>
      <c r="J570" s="66"/>
      <c r="K570" s="188"/>
      <c r="L570" s="142"/>
      <c r="M570" s="145" t="n">
        <f aca="false">I570-D570</f>
        <v>0</v>
      </c>
    </row>
    <row r="571" customFormat="false" ht="12.75" hidden="false" customHeight="true" outlineLevel="0" collapsed="false">
      <c r="A571" s="139" t="n">
        <v>57026</v>
      </c>
      <c r="B571" s="149"/>
      <c r="C571" s="149"/>
      <c r="D571" s="150"/>
      <c r="E571" s="151"/>
      <c r="F571" s="151"/>
      <c r="G571" s="68"/>
      <c r="H571" s="151"/>
      <c r="I571" s="150"/>
      <c r="J571" s="68"/>
      <c r="K571" s="188"/>
      <c r="L571" s="151"/>
      <c r="M571" s="152" t="n">
        <f aca="false">I571-D571</f>
        <v>0</v>
      </c>
    </row>
    <row r="572" customFormat="false" ht="12.75" hidden="false" customHeight="true" outlineLevel="0" collapsed="false">
      <c r="A572" s="139" t="n">
        <v>57126</v>
      </c>
      <c r="B572" s="140"/>
      <c r="C572" s="140"/>
      <c r="D572" s="141"/>
      <c r="E572" s="142"/>
      <c r="F572" s="142"/>
      <c r="G572" s="66"/>
      <c r="H572" s="142"/>
      <c r="I572" s="141"/>
      <c r="J572" s="66"/>
      <c r="K572" s="169"/>
      <c r="L572" s="144"/>
      <c r="M572" s="145" t="n">
        <f aca="false">I572-D572</f>
        <v>0</v>
      </c>
    </row>
    <row r="573" customFormat="false" ht="12.75" hidden="false" customHeight="true" outlineLevel="0" collapsed="false">
      <c r="A573" s="148" t="n">
        <v>57226</v>
      </c>
      <c r="B573" s="149"/>
      <c r="C573" s="149"/>
      <c r="D573" s="150"/>
      <c r="E573" s="151"/>
      <c r="F573" s="151"/>
      <c r="G573" s="68"/>
      <c r="H573" s="151"/>
      <c r="I573" s="150"/>
      <c r="J573" s="68"/>
      <c r="K573" s="169"/>
      <c r="L573" s="151"/>
      <c r="M573" s="152" t="n">
        <f aca="false">I573-D573</f>
        <v>0</v>
      </c>
    </row>
    <row r="574" customFormat="false" ht="12.75" hidden="false" customHeight="true" outlineLevel="0" collapsed="false">
      <c r="A574" s="139" t="n">
        <v>57326</v>
      </c>
      <c r="B574" s="140"/>
      <c r="C574" s="140"/>
      <c r="D574" s="141"/>
      <c r="E574" s="142"/>
      <c r="F574" s="142"/>
      <c r="G574" s="66"/>
      <c r="H574" s="142"/>
      <c r="I574" s="141"/>
      <c r="J574" s="66"/>
      <c r="K574" s="188"/>
      <c r="L574" s="144"/>
      <c r="M574" s="145" t="n">
        <f aca="false">I574-D574</f>
        <v>0</v>
      </c>
    </row>
    <row r="575" customFormat="false" ht="12.75" hidden="false" customHeight="true" outlineLevel="0" collapsed="false">
      <c r="A575" s="139" t="n">
        <v>57426</v>
      </c>
      <c r="B575" s="149"/>
      <c r="C575" s="149"/>
      <c r="D575" s="150"/>
      <c r="E575" s="151"/>
      <c r="F575" s="151"/>
      <c r="G575" s="68"/>
      <c r="H575" s="151"/>
      <c r="I575" s="150"/>
      <c r="J575" s="68"/>
      <c r="K575" s="188"/>
      <c r="L575" s="151"/>
      <c r="M575" s="152" t="n">
        <f aca="false">I575-D575</f>
        <v>0</v>
      </c>
    </row>
    <row r="576" customFormat="false" ht="12.75" hidden="false" customHeight="true" outlineLevel="0" collapsed="false">
      <c r="A576" s="148" t="n">
        <v>57526</v>
      </c>
      <c r="B576" s="140"/>
      <c r="C576" s="140"/>
      <c r="D576" s="141"/>
      <c r="E576" s="142"/>
      <c r="F576" s="142"/>
      <c r="G576" s="66"/>
      <c r="H576" s="142"/>
      <c r="I576" s="141"/>
      <c r="J576" s="66"/>
      <c r="K576" s="188"/>
      <c r="L576" s="144"/>
      <c r="M576" s="145" t="n">
        <f aca="false">I576-D576</f>
        <v>0</v>
      </c>
    </row>
    <row r="577" customFormat="false" ht="12.75" hidden="false" customHeight="true" outlineLevel="0" collapsed="false">
      <c r="A577" s="139" t="n">
        <v>57626</v>
      </c>
      <c r="B577" s="149"/>
      <c r="C577" s="149"/>
      <c r="D577" s="150"/>
      <c r="E577" s="151"/>
      <c r="F577" s="151"/>
      <c r="G577" s="68"/>
      <c r="H577" s="151"/>
      <c r="I577" s="150"/>
      <c r="J577" s="68"/>
      <c r="K577" s="188"/>
      <c r="L577" s="151"/>
      <c r="M577" s="152" t="n">
        <f aca="false">I577-D577</f>
        <v>0</v>
      </c>
    </row>
    <row r="578" customFormat="false" ht="12.75" hidden="false" customHeight="true" outlineLevel="0" collapsed="false">
      <c r="A578" s="139" t="n">
        <v>57726</v>
      </c>
      <c r="B578" s="140"/>
      <c r="C578" s="140"/>
      <c r="D578" s="141"/>
      <c r="E578" s="142"/>
      <c r="F578" s="142"/>
      <c r="G578" s="66"/>
      <c r="H578" s="142"/>
      <c r="I578" s="141"/>
      <c r="J578" s="66"/>
      <c r="K578" s="188"/>
      <c r="L578" s="142"/>
      <c r="M578" s="145" t="n">
        <f aca="false">I578-D578</f>
        <v>0</v>
      </c>
    </row>
    <row r="579" customFormat="false" ht="12.75" hidden="false" customHeight="true" outlineLevel="0" collapsed="false">
      <c r="A579" s="148" t="n">
        <v>57826</v>
      </c>
      <c r="B579" s="149"/>
      <c r="C579" s="149"/>
      <c r="D579" s="150"/>
      <c r="E579" s="151"/>
      <c r="F579" s="151"/>
      <c r="G579" s="68"/>
      <c r="H579" s="151"/>
      <c r="I579" s="150"/>
      <c r="J579" s="68"/>
      <c r="K579" s="188"/>
      <c r="L579" s="151"/>
      <c r="M579" s="152" t="n">
        <f aca="false">I579-D579</f>
        <v>0</v>
      </c>
    </row>
    <row r="580" customFormat="false" ht="12.75" hidden="false" customHeight="true" outlineLevel="0" collapsed="false">
      <c r="A580" s="139" t="n">
        <v>57926</v>
      </c>
      <c r="B580" s="140"/>
      <c r="C580" s="140"/>
      <c r="D580" s="141"/>
      <c r="E580" s="142"/>
      <c r="F580" s="142"/>
      <c r="G580" s="66"/>
      <c r="H580" s="142"/>
      <c r="I580" s="141"/>
      <c r="J580" s="66"/>
      <c r="K580" s="188"/>
      <c r="L580" s="142"/>
      <c r="M580" s="145" t="n">
        <f aca="false">I580-D580</f>
        <v>0</v>
      </c>
    </row>
    <row r="581" customFormat="false" ht="12.75" hidden="false" customHeight="true" outlineLevel="0" collapsed="false">
      <c r="A581" s="139" t="n">
        <v>58026</v>
      </c>
      <c r="B581" s="149"/>
      <c r="C581" s="149"/>
      <c r="D581" s="150"/>
      <c r="E581" s="151"/>
      <c r="F581" s="151"/>
      <c r="G581" s="68"/>
      <c r="H581" s="151"/>
      <c r="I581" s="150"/>
      <c r="J581" s="68"/>
      <c r="K581" s="188"/>
      <c r="L581" s="151"/>
      <c r="M581" s="152" t="n">
        <f aca="false">I581-D581</f>
        <v>0</v>
      </c>
    </row>
    <row r="582" customFormat="false" ht="12.75" hidden="false" customHeight="true" outlineLevel="0" collapsed="false">
      <c r="A582" s="148" t="n">
        <v>58126</v>
      </c>
      <c r="B582" s="140"/>
      <c r="C582" s="140"/>
      <c r="D582" s="141"/>
      <c r="E582" s="142"/>
      <c r="F582" s="142"/>
      <c r="G582" s="66"/>
      <c r="H582" s="142"/>
      <c r="I582" s="141"/>
      <c r="J582" s="66"/>
      <c r="K582" s="188"/>
      <c r="L582" s="142"/>
      <c r="M582" s="145" t="n">
        <f aca="false">I582-D582</f>
        <v>0</v>
      </c>
    </row>
    <row r="583" customFormat="false" ht="12.75" hidden="false" customHeight="true" outlineLevel="0" collapsed="false">
      <c r="A583" s="139" t="n">
        <v>58226</v>
      </c>
      <c r="B583" s="149"/>
      <c r="C583" s="149"/>
      <c r="D583" s="150"/>
      <c r="E583" s="151"/>
      <c r="F583" s="151"/>
      <c r="G583" s="68"/>
      <c r="H583" s="151"/>
      <c r="I583" s="150"/>
      <c r="J583" s="68"/>
      <c r="K583" s="188"/>
      <c r="L583" s="151"/>
      <c r="M583" s="152" t="n">
        <f aca="false">I583-D583</f>
        <v>0</v>
      </c>
    </row>
    <row r="584" customFormat="false" ht="12.75" hidden="false" customHeight="true" outlineLevel="0" collapsed="false">
      <c r="A584" s="139" t="n">
        <v>58326</v>
      </c>
      <c r="B584" s="140"/>
      <c r="C584" s="140"/>
      <c r="D584" s="141"/>
      <c r="E584" s="142"/>
      <c r="F584" s="142"/>
      <c r="G584" s="66"/>
      <c r="H584" s="142"/>
      <c r="I584" s="141"/>
      <c r="J584" s="66"/>
      <c r="K584" s="188"/>
      <c r="L584" s="144"/>
      <c r="M584" s="145" t="n">
        <f aca="false">I584-D584</f>
        <v>0</v>
      </c>
    </row>
    <row r="585" customFormat="false" ht="12.75" hidden="false" customHeight="true" outlineLevel="0" collapsed="false">
      <c r="A585" s="148" t="n">
        <v>58426</v>
      </c>
      <c r="B585" s="149"/>
      <c r="C585" s="149"/>
      <c r="D585" s="150"/>
      <c r="E585" s="151"/>
      <c r="F585" s="151"/>
      <c r="G585" s="68"/>
      <c r="H585" s="151"/>
      <c r="I585" s="150"/>
      <c r="J585" s="68"/>
      <c r="K585" s="188"/>
      <c r="L585" s="151"/>
      <c r="M585" s="152" t="n">
        <f aca="false">I585-D585</f>
        <v>0</v>
      </c>
    </row>
    <row r="586" customFormat="false" ht="12.75" hidden="false" customHeight="true" outlineLevel="0" collapsed="false">
      <c r="A586" s="139" t="n">
        <v>58526</v>
      </c>
      <c r="B586" s="140"/>
      <c r="C586" s="140"/>
      <c r="D586" s="141"/>
      <c r="E586" s="142"/>
      <c r="F586" s="142"/>
      <c r="G586" s="66"/>
      <c r="H586" s="142"/>
      <c r="I586" s="141"/>
      <c r="J586" s="66"/>
      <c r="K586" s="188"/>
      <c r="L586" s="142"/>
      <c r="M586" s="145" t="n">
        <f aca="false">I586-D586</f>
        <v>0</v>
      </c>
    </row>
    <row r="587" customFormat="false" ht="12.75" hidden="false" customHeight="true" outlineLevel="0" collapsed="false">
      <c r="A587" s="139" t="n">
        <v>58626</v>
      </c>
      <c r="B587" s="149"/>
      <c r="C587" s="149"/>
      <c r="D587" s="150"/>
      <c r="E587" s="151"/>
      <c r="F587" s="151"/>
      <c r="G587" s="68"/>
      <c r="H587" s="151"/>
      <c r="I587" s="150"/>
      <c r="J587" s="68"/>
      <c r="K587" s="188"/>
      <c r="L587" s="151"/>
      <c r="M587" s="152" t="n">
        <f aca="false">I587-D587</f>
        <v>0</v>
      </c>
    </row>
    <row r="588" customFormat="false" ht="12.75" hidden="false" customHeight="true" outlineLevel="0" collapsed="false">
      <c r="A588" s="148" t="n">
        <v>58726</v>
      </c>
      <c r="B588" s="140"/>
      <c r="C588" s="140"/>
      <c r="D588" s="141"/>
      <c r="E588" s="142"/>
      <c r="F588" s="142"/>
      <c r="G588" s="66"/>
      <c r="H588" s="142"/>
      <c r="I588" s="141"/>
      <c r="J588" s="66"/>
      <c r="K588" s="188"/>
      <c r="L588" s="142"/>
      <c r="M588" s="145" t="n">
        <f aca="false">I588-D588</f>
        <v>0</v>
      </c>
    </row>
    <row r="589" customFormat="false" ht="12.75" hidden="false" customHeight="true" outlineLevel="0" collapsed="false">
      <c r="A589" s="139" t="n">
        <v>58826</v>
      </c>
      <c r="B589" s="149"/>
      <c r="C589" s="149"/>
      <c r="D589" s="150"/>
      <c r="E589" s="151"/>
      <c r="F589" s="151"/>
      <c r="G589" s="68"/>
      <c r="H589" s="151"/>
      <c r="I589" s="150"/>
      <c r="J589" s="68"/>
      <c r="K589" s="188"/>
      <c r="L589" s="151"/>
      <c r="M589" s="152" t="n">
        <f aca="false">I589-D589</f>
        <v>0</v>
      </c>
    </row>
    <row r="590" customFormat="false" ht="12.75" hidden="false" customHeight="true" outlineLevel="0" collapsed="false">
      <c r="A590" s="139" t="n">
        <v>58926</v>
      </c>
      <c r="B590" s="140"/>
      <c r="C590" s="140"/>
      <c r="D590" s="141"/>
      <c r="E590" s="142"/>
      <c r="F590" s="142"/>
      <c r="G590" s="66"/>
      <c r="H590" s="142"/>
      <c r="I590" s="141"/>
      <c r="J590" s="66"/>
      <c r="K590" s="188"/>
      <c r="L590" s="144"/>
      <c r="M590" s="145" t="n">
        <f aca="false">I590-D590</f>
        <v>0</v>
      </c>
    </row>
    <row r="591" customFormat="false" ht="12.75" hidden="false" customHeight="true" outlineLevel="0" collapsed="false">
      <c r="A591" s="148" t="n">
        <v>59026</v>
      </c>
      <c r="B591" s="149"/>
      <c r="C591" s="149"/>
      <c r="D591" s="150"/>
      <c r="E591" s="151"/>
      <c r="F591" s="151"/>
      <c r="G591" s="68"/>
      <c r="H591" s="151"/>
      <c r="I591" s="150"/>
      <c r="J591" s="68"/>
      <c r="K591" s="151"/>
      <c r="L591" s="151"/>
      <c r="M591" s="152" t="n">
        <f aca="false">I591-D591</f>
        <v>0</v>
      </c>
    </row>
    <row r="592" customFormat="false" ht="12.75" hidden="false" customHeight="true" outlineLevel="0" collapsed="false">
      <c r="A592" s="139" t="n">
        <v>59126</v>
      </c>
      <c r="B592" s="140"/>
      <c r="C592" s="140"/>
      <c r="D592" s="141"/>
      <c r="E592" s="142"/>
      <c r="F592" s="142"/>
      <c r="G592" s="66"/>
      <c r="H592" s="142"/>
      <c r="I592" s="141"/>
      <c r="J592" s="66"/>
      <c r="K592" s="142"/>
      <c r="L592" s="142"/>
      <c r="M592" s="145" t="n">
        <f aca="false">I592-D592</f>
        <v>0</v>
      </c>
    </row>
    <row r="593" customFormat="false" ht="12.75" hidden="false" customHeight="true" outlineLevel="0" collapsed="false">
      <c r="A593" s="139" t="n">
        <v>59226</v>
      </c>
      <c r="B593" s="149"/>
      <c r="C593" s="149"/>
      <c r="D593" s="150"/>
      <c r="E593" s="151"/>
      <c r="F593" s="151"/>
      <c r="G593" s="68"/>
      <c r="H593" s="151"/>
      <c r="I593" s="150"/>
      <c r="J593" s="68"/>
      <c r="K593" s="151"/>
      <c r="L593" s="151"/>
      <c r="M593" s="152" t="n">
        <f aca="false">I593-D593</f>
        <v>0</v>
      </c>
    </row>
    <row r="594" customFormat="false" ht="12.75" hidden="false" customHeight="true" outlineLevel="0" collapsed="false">
      <c r="A594" s="148" t="n">
        <v>59326</v>
      </c>
      <c r="B594" s="140"/>
      <c r="C594" s="140"/>
      <c r="D594" s="141"/>
      <c r="E594" s="142"/>
      <c r="F594" s="142"/>
      <c r="G594" s="66"/>
      <c r="H594" s="142"/>
      <c r="I594" s="141"/>
      <c r="J594" s="66"/>
      <c r="K594" s="142"/>
      <c r="L594" s="142"/>
      <c r="M594" s="145" t="n">
        <f aca="false">I594-D594</f>
        <v>0</v>
      </c>
    </row>
    <row r="595" customFormat="false" ht="12.75" hidden="false" customHeight="true" outlineLevel="0" collapsed="false">
      <c r="A595" s="139" t="n">
        <v>59426</v>
      </c>
      <c r="B595" s="149"/>
      <c r="C595" s="149"/>
      <c r="D595" s="150"/>
      <c r="E595" s="151"/>
      <c r="F595" s="151"/>
      <c r="G595" s="68"/>
      <c r="H595" s="151"/>
      <c r="I595" s="150"/>
      <c r="J595" s="68"/>
      <c r="K595" s="151"/>
      <c r="L595" s="151"/>
      <c r="M595" s="152" t="n">
        <f aca="false">I595-D595</f>
        <v>0</v>
      </c>
    </row>
    <row r="596" customFormat="false" ht="12.75" hidden="false" customHeight="true" outlineLevel="0" collapsed="false">
      <c r="A596" s="139" t="n">
        <v>59526</v>
      </c>
      <c r="B596" s="140"/>
      <c r="C596" s="140"/>
      <c r="D596" s="141"/>
      <c r="E596" s="142"/>
      <c r="F596" s="142"/>
      <c r="G596" s="66"/>
      <c r="H596" s="142"/>
      <c r="I596" s="141"/>
      <c r="J596" s="66"/>
      <c r="K596" s="142"/>
      <c r="L596" s="142"/>
      <c r="M596" s="145" t="n">
        <f aca="false">I596-D596</f>
        <v>0</v>
      </c>
    </row>
    <row r="597" customFormat="false" ht="12.75" hidden="false" customHeight="true" outlineLevel="0" collapsed="false">
      <c r="A597" s="148" t="n">
        <v>59626</v>
      </c>
      <c r="B597" s="149"/>
      <c r="C597" s="149"/>
      <c r="D597" s="150"/>
      <c r="E597" s="151"/>
      <c r="F597" s="151"/>
      <c r="G597" s="68"/>
      <c r="H597" s="151"/>
      <c r="I597" s="150"/>
      <c r="J597" s="68"/>
      <c r="K597" s="151"/>
      <c r="L597" s="151"/>
      <c r="M597" s="152" t="n">
        <f aca="false">I597-D597</f>
        <v>0</v>
      </c>
    </row>
    <row r="598" customFormat="false" ht="12.75" hidden="false" customHeight="true" outlineLevel="0" collapsed="false">
      <c r="A598" s="139" t="n">
        <v>59726</v>
      </c>
      <c r="B598" s="140"/>
      <c r="C598" s="140"/>
      <c r="D598" s="141"/>
      <c r="E598" s="142"/>
      <c r="F598" s="142"/>
      <c r="G598" s="66"/>
      <c r="H598" s="142"/>
      <c r="I598" s="141"/>
      <c r="J598" s="66"/>
      <c r="K598" s="142"/>
      <c r="L598" s="142"/>
      <c r="M598" s="145" t="n">
        <f aca="false">I598-D598</f>
        <v>0</v>
      </c>
    </row>
    <row r="599" customFormat="false" ht="12.75" hidden="false" customHeight="true" outlineLevel="0" collapsed="false">
      <c r="A599" s="139" t="n">
        <v>59826</v>
      </c>
      <c r="B599" s="149"/>
      <c r="C599" s="149"/>
      <c r="D599" s="150"/>
      <c r="E599" s="151"/>
      <c r="F599" s="151"/>
      <c r="G599" s="68"/>
      <c r="H599" s="151"/>
      <c r="I599" s="150"/>
      <c r="J599" s="68"/>
      <c r="K599" s="151"/>
      <c r="L599" s="151"/>
      <c r="M599" s="152" t="n">
        <f aca="false">I599-D599</f>
        <v>0</v>
      </c>
    </row>
    <row r="600" customFormat="false" ht="12.75" hidden="false" customHeight="true" outlineLevel="0" collapsed="false">
      <c r="A600" s="148" t="n">
        <v>59926</v>
      </c>
      <c r="B600" s="140"/>
      <c r="C600" s="140"/>
      <c r="D600" s="141"/>
      <c r="E600" s="142"/>
      <c r="F600" s="142"/>
      <c r="G600" s="66"/>
      <c r="H600" s="142"/>
      <c r="I600" s="141"/>
      <c r="J600" s="66"/>
      <c r="K600" s="142"/>
      <c r="L600" s="142"/>
      <c r="M600" s="145" t="n">
        <f aca="false">I600-D600</f>
        <v>0</v>
      </c>
    </row>
    <row r="601" customFormat="false" ht="12.75" hidden="false" customHeight="true" outlineLevel="0" collapsed="false">
      <c r="A601" s="139" t="n">
        <v>60026</v>
      </c>
      <c r="B601" s="149"/>
      <c r="C601" s="149"/>
      <c r="D601" s="150"/>
      <c r="E601" s="151"/>
      <c r="F601" s="151"/>
      <c r="G601" s="68"/>
      <c r="H601" s="151"/>
      <c r="I601" s="150"/>
      <c r="J601" s="68"/>
      <c r="K601" s="151"/>
      <c r="L601" s="151"/>
      <c r="M601" s="152" t="n">
        <f aca="false">I601-D601</f>
        <v>0</v>
      </c>
    </row>
    <row r="602" customFormat="false" ht="12.75" hidden="false" customHeight="true" outlineLevel="0" collapsed="false">
      <c r="A602" s="139" t="n">
        <v>60126</v>
      </c>
      <c r="B602" s="140"/>
      <c r="C602" s="140"/>
      <c r="D602" s="141"/>
      <c r="E602" s="142"/>
      <c r="F602" s="142"/>
      <c r="G602" s="66"/>
      <c r="H602" s="142"/>
      <c r="I602" s="141"/>
      <c r="J602" s="66"/>
      <c r="K602" s="142"/>
      <c r="L602" s="142"/>
      <c r="M602" s="145" t="n">
        <f aca="false">I602-D602</f>
        <v>0</v>
      </c>
    </row>
    <row r="603" customFormat="false" ht="12.75" hidden="false" customHeight="true" outlineLevel="0" collapsed="false">
      <c r="A603" s="148" t="n">
        <v>60226</v>
      </c>
      <c r="B603" s="149"/>
      <c r="C603" s="149"/>
      <c r="D603" s="150"/>
      <c r="E603" s="151"/>
      <c r="F603" s="151"/>
      <c r="G603" s="68"/>
      <c r="H603" s="151"/>
      <c r="I603" s="150"/>
      <c r="J603" s="68"/>
      <c r="K603" s="151"/>
      <c r="L603" s="151"/>
      <c r="M603" s="152" t="n">
        <f aca="false">I603-D603</f>
        <v>0</v>
      </c>
    </row>
    <row r="604" customFormat="false" ht="12.75" hidden="false" customHeight="true" outlineLevel="0" collapsed="false">
      <c r="A604" s="139" t="n">
        <v>60326</v>
      </c>
      <c r="B604" s="140"/>
      <c r="C604" s="140"/>
      <c r="D604" s="141"/>
      <c r="E604" s="142"/>
      <c r="F604" s="142"/>
      <c r="G604" s="66"/>
      <c r="H604" s="142"/>
      <c r="I604" s="141"/>
      <c r="J604" s="66"/>
      <c r="K604" s="142"/>
      <c r="L604" s="142"/>
      <c r="M604" s="145" t="n">
        <f aca="false">I604-D604</f>
        <v>0</v>
      </c>
    </row>
    <row r="605" customFormat="false" ht="12.75" hidden="false" customHeight="true" outlineLevel="0" collapsed="false">
      <c r="A605" s="139" t="n">
        <v>60426</v>
      </c>
      <c r="B605" s="149"/>
      <c r="C605" s="149"/>
      <c r="D605" s="150"/>
      <c r="E605" s="151"/>
      <c r="F605" s="151"/>
      <c r="G605" s="68"/>
      <c r="H605" s="151"/>
      <c r="I605" s="150"/>
      <c r="J605" s="68"/>
      <c r="K605" s="151"/>
      <c r="L605" s="151"/>
      <c r="M605" s="152" t="n">
        <f aca="false">I605-D605</f>
        <v>0</v>
      </c>
    </row>
    <row r="606" customFormat="false" ht="12.75" hidden="false" customHeight="true" outlineLevel="0" collapsed="false">
      <c r="A606" s="148" t="n">
        <v>60526</v>
      </c>
      <c r="B606" s="140"/>
      <c r="C606" s="140"/>
      <c r="D606" s="141"/>
      <c r="E606" s="142"/>
      <c r="F606" s="142"/>
      <c r="G606" s="66"/>
      <c r="H606" s="142"/>
      <c r="I606" s="141"/>
      <c r="J606" s="66"/>
      <c r="K606" s="142"/>
      <c r="L606" s="142"/>
      <c r="M606" s="145" t="n">
        <f aca="false">I606-D606</f>
        <v>0</v>
      </c>
    </row>
    <row r="607" customFormat="false" ht="12.75" hidden="false" customHeight="true" outlineLevel="0" collapsed="false">
      <c r="A607" s="139" t="n">
        <v>60626</v>
      </c>
      <c r="B607" s="149"/>
      <c r="C607" s="149"/>
      <c r="D607" s="150"/>
      <c r="E607" s="151"/>
      <c r="F607" s="151"/>
      <c r="G607" s="68"/>
      <c r="H607" s="151"/>
      <c r="I607" s="150"/>
      <c r="J607" s="68"/>
      <c r="K607" s="151"/>
      <c r="L607" s="151"/>
      <c r="M607" s="152" t="n">
        <f aca="false">I607-D607</f>
        <v>0</v>
      </c>
    </row>
    <row r="608" customFormat="false" ht="12.75" hidden="false" customHeight="true" outlineLevel="0" collapsed="false">
      <c r="A608" s="139" t="n">
        <v>60726</v>
      </c>
      <c r="B608" s="140"/>
      <c r="C608" s="140"/>
      <c r="D608" s="141"/>
      <c r="E608" s="142"/>
      <c r="F608" s="142"/>
      <c r="G608" s="66"/>
      <c r="H608" s="142"/>
      <c r="I608" s="141"/>
      <c r="J608" s="66"/>
      <c r="K608" s="142"/>
      <c r="L608" s="142"/>
      <c r="M608" s="145" t="n">
        <f aca="false">I608-D608</f>
        <v>0</v>
      </c>
    </row>
    <row r="609" customFormat="false" ht="12.75" hidden="false" customHeight="true" outlineLevel="0" collapsed="false">
      <c r="A609" s="148" t="n">
        <v>60826</v>
      </c>
      <c r="B609" s="149"/>
      <c r="C609" s="149"/>
      <c r="D609" s="150"/>
      <c r="E609" s="151"/>
      <c r="F609" s="151"/>
      <c r="G609" s="68"/>
      <c r="H609" s="151"/>
      <c r="I609" s="150"/>
      <c r="J609" s="68"/>
      <c r="K609" s="151"/>
      <c r="L609" s="151"/>
      <c r="M609" s="152" t="n">
        <f aca="false">I609-D609</f>
        <v>0</v>
      </c>
    </row>
    <row r="610" customFormat="false" ht="12.75" hidden="false" customHeight="true" outlineLevel="0" collapsed="false">
      <c r="A610" s="139" t="n">
        <v>60926</v>
      </c>
      <c r="B610" s="140"/>
      <c r="C610" s="140"/>
      <c r="D610" s="141"/>
      <c r="E610" s="142"/>
      <c r="F610" s="142"/>
      <c r="G610" s="66"/>
      <c r="H610" s="142"/>
      <c r="I610" s="141"/>
      <c r="J610" s="66"/>
      <c r="K610" s="142"/>
      <c r="L610" s="142"/>
      <c r="M610" s="145" t="n">
        <f aca="false">I610-D610</f>
        <v>0</v>
      </c>
    </row>
    <row r="611" customFormat="false" ht="12.75" hidden="false" customHeight="true" outlineLevel="0" collapsed="false">
      <c r="A611" s="139" t="n">
        <v>61026</v>
      </c>
      <c r="B611" s="149"/>
      <c r="C611" s="149"/>
      <c r="D611" s="150"/>
      <c r="E611" s="151"/>
      <c r="F611" s="151"/>
      <c r="G611" s="68"/>
      <c r="H611" s="151"/>
      <c r="I611" s="150"/>
      <c r="J611" s="68"/>
      <c r="K611" s="151"/>
      <c r="L611" s="151"/>
      <c r="M611" s="152" t="n">
        <f aca="false">I611-D611</f>
        <v>0</v>
      </c>
    </row>
    <row r="612" customFormat="false" ht="12.75" hidden="false" customHeight="true" outlineLevel="0" collapsed="false">
      <c r="A612" s="148" t="n">
        <v>61126</v>
      </c>
      <c r="B612" s="140"/>
      <c r="C612" s="140"/>
      <c r="D612" s="141"/>
      <c r="E612" s="142"/>
      <c r="F612" s="142"/>
      <c r="G612" s="66"/>
      <c r="H612" s="142"/>
      <c r="I612" s="141"/>
      <c r="J612" s="66"/>
      <c r="K612" s="142"/>
      <c r="L612" s="142"/>
      <c r="M612" s="145" t="n">
        <f aca="false">I612-D612</f>
        <v>0</v>
      </c>
    </row>
    <row r="613" customFormat="false" ht="12.75" hidden="false" customHeight="true" outlineLevel="0" collapsed="false">
      <c r="A613" s="139" t="n">
        <v>61226</v>
      </c>
      <c r="B613" s="149"/>
      <c r="C613" s="149"/>
      <c r="D613" s="150"/>
      <c r="E613" s="151"/>
      <c r="F613" s="151"/>
      <c r="G613" s="68"/>
      <c r="H613" s="151"/>
      <c r="I613" s="150"/>
      <c r="J613" s="68"/>
      <c r="K613" s="151"/>
      <c r="L613" s="151"/>
      <c r="M613" s="152" t="n">
        <f aca="false">I613-D613</f>
        <v>0</v>
      </c>
    </row>
    <row r="614" customFormat="false" ht="12.75" hidden="false" customHeight="true" outlineLevel="0" collapsed="false">
      <c r="A614" s="139" t="n">
        <v>61326</v>
      </c>
      <c r="B614" s="140"/>
      <c r="C614" s="140"/>
      <c r="D614" s="141"/>
      <c r="E614" s="142"/>
      <c r="F614" s="142"/>
      <c r="G614" s="66"/>
      <c r="H614" s="142"/>
      <c r="I614" s="141"/>
      <c r="J614" s="66"/>
      <c r="K614" s="142"/>
      <c r="L614" s="142"/>
      <c r="M614" s="145" t="n">
        <f aca="false">I614-D614</f>
        <v>0</v>
      </c>
    </row>
    <row r="615" customFormat="false" ht="12.75" hidden="false" customHeight="true" outlineLevel="0" collapsed="false">
      <c r="A615" s="148" t="n">
        <v>61426</v>
      </c>
      <c r="B615" s="149"/>
      <c r="C615" s="149"/>
      <c r="D615" s="150"/>
      <c r="E615" s="151"/>
      <c r="F615" s="151"/>
      <c r="G615" s="68"/>
      <c r="H615" s="151"/>
      <c r="I615" s="150"/>
      <c r="J615" s="68"/>
      <c r="K615" s="151"/>
      <c r="L615" s="151"/>
      <c r="M615" s="152" t="n">
        <f aca="false">I615-D615</f>
        <v>0</v>
      </c>
    </row>
    <row r="616" customFormat="false" ht="12.75" hidden="false" customHeight="true" outlineLevel="0" collapsed="false">
      <c r="A616" s="139" t="n">
        <v>61526</v>
      </c>
      <c r="B616" s="140"/>
      <c r="C616" s="140"/>
      <c r="D616" s="141"/>
      <c r="E616" s="142"/>
      <c r="F616" s="142"/>
      <c r="G616" s="66"/>
      <c r="H616" s="142"/>
      <c r="I616" s="141"/>
      <c r="J616" s="66"/>
      <c r="K616" s="142"/>
      <c r="L616" s="142"/>
      <c r="M616" s="145" t="n">
        <f aca="false">I616-D616</f>
        <v>0</v>
      </c>
    </row>
    <row r="617" customFormat="false" ht="12.75" hidden="false" customHeight="true" outlineLevel="0" collapsed="false">
      <c r="A617" s="139" t="n">
        <v>61626</v>
      </c>
      <c r="B617" s="149"/>
      <c r="C617" s="149"/>
      <c r="D617" s="150"/>
      <c r="E617" s="151"/>
      <c r="F617" s="151"/>
      <c r="G617" s="68"/>
      <c r="H617" s="151"/>
      <c r="I617" s="150"/>
      <c r="J617" s="68"/>
      <c r="K617" s="151"/>
      <c r="L617" s="151"/>
      <c r="M617" s="152" t="n">
        <f aca="false">I617-D617</f>
        <v>0</v>
      </c>
    </row>
    <row r="618" customFormat="false" ht="12.75" hidden="false" customHeight="true" outlineLevel="0" collapsed="false">
      <c r="A618" s="148" t="n">
        <v>61726</v>
      </c>
      <c r="B618" s="140"/>
      <c r="C618" s="140"/>
      <c r="D618" s="141"/>
      <c r="E618" s="142"/>
      <c r="F618" s="142"/>
      <c r="G618" s="66"/>
      <c r="H618" s="142"/>
      <c r="I618" s="141"/>
      <c r="J618" s="66"/>
      <c r="K618" s="142"/>
      <c r="L618" s="142"/>
      <c r="M618" s="145" t="n">
        <f aca="false">I618-D618</f>
        <v>0</v>
      </c>
    </row>
    <row r="619" customFormat="false" ht="12.75" hidden="false" customHeight="true" outlineLevel="0" collapsed="false">
      <c r="A619" s="139" t="n">
        <v>61826</v>
      </c>
      <c r="B619" s="149"/>
      <c r="C619" s="149"/>
      <c r="D619" s="150"/>
      <c r="E619" s="151"/>
      <c r="F619" s="151"/>
      <c r="G619" s="68"/>
      <c r="H619" s="151"/>
      <c r="I619" s="150"/>
      <c r="J619" s="68"/>
      <c r="K619" s="151"/>
      <c r="L619" s="151"/>
      <c r="M619" s="152" t="n">
        <f aca="false">I619-D619</f>
        <v>0</v>
      </c>
    </row>
    <row r="620" customFormat="false" ht="12.75" hidden="false" customHeight="true" outlineLevel="0" collapsed="false">
      <c r="A620" s="139" t="n">
        <v>61926</v>
      </c>
      <c r="B620" s="140"/>
      <c r="C620" s="140"/>
      <c r="D620" s="141"/>
      <c r="E620" s="142"/>
      <c r="F620" s="142"/>
      <c r="G620" s="66"/>
      <c r="H620" s="142"/>
      <c r="I620" s="141"/>
      <c r="J620" s="66"/>
      <c r="K620" s="142"/>
      <c r="L620" s="142"/>
      <c r="M620" s="145" t="n">
        <f aca="false">I620-D620</f>
        <v>0</v>
      </c>
    </row>
    <row r="621" customFormat="false" ht="12.75" hidden="false" customHeight="true" outlineLevel="0" collapsed="false">
      <c r="A621" s="148" t="n">
        <v>62026</v>
      </c>
      <c r="B621" s="149"/>
      <c r="C621" s="149"/>
      <c r="D621" s="150"/>
      <c r="E621" s="151"/>
      <c r="F621" s="151"/>
      <c r="G621" s="68"/>
      <c r="H621" s="151"/>
      <c r="I621" s="150"/>
      <c r="J621" s="68"/>
      <c r="K621" s="151"/>
      <c r="L621" s="151"/>
      <c r="M621" s="152" t="n">
        <f aca="false">I621-D621</f>
        <v>0</v>
      </c>
    </row>
    <row r="622" customFormat="false" ht="12.75" hidden="false" customHeight="true" outlineLevel="0" collapsed="false">
      <c r="A622" s="139" t="n">
        <v>62126</v>
      </c>
      <c r="B622" s="140"/>
      <c r="C622" s="140"/>
      <c r="D622" s="141"/>
      <c r="E622" s="142"/>
      <c r="F622" s="142"/>
      <c r="G622" s="66"/>
      <c r="H622" s="142"/>
      <c r="I622" s="141"/>
      <c r="J622" s="66"/>
      <c r="K622" s="142"/>
      <c r="L622" s="142"/>
      <c r="M622" s="145" t="n">
        <f aca="false">I622-D622</f>
        <v>0</v>
      </c>
    </row>
    <row r="623" customFormat="false" ht="12.75" hidden="false" customHeight="true" outlineLevel="0" collapsed="false">
      <c r="A623" s="139" t="n">
        <v>62226</v>
      </c>
      <c r="B623" s="149"/>
      <c r="C623" s="149"/>
      <c r="D623" s="150"/>
      <c r="E623" s="151"/>
      <c r="F623" s="151"/>
      <c r="G623" s="68"/>
      <c r="H623" s="151"/>
      <c r="I623" s="150"/>
      <c r="J623" s="68"/>
      <c r="K623" s="151"/>
      <c r="L623" s="151"/>
      <c r="M623" s="152" t="n">
        <f aca="false">I623-D623</f>
        <v>0</v>
      </c>
    </row>
    <row r="624" customFormat="false" ht="12.75" hidden="false" customHeight="true" outlineLevel="0" collapsed="false">
      <c r="A624" s="148" t="n">
        <v>62326</v>
      </c>
      <c r="B624" s="140"/>
      <c r="C624" s="140"/>
      <c r="D624" s="141"/>
      <c r="E624" s="142"/>
      <c r="F624" s="142"/>
      <c r="G624" s="66"/>
      <c r="H624" s="142"/>
      <c r="I624" s="141"/>
      <c r="J624" s="66"/>
      <c r="K624" s="142"/>
      <c r="L624" s="142"/>
      <c r="M624" s="145" t="n">
        <f aca="false">I624-D624</f>
        <v>0</v>
      </c>
    </row>
    <row r="625" customFormat="false" ht="12.75" hidden="false" customHeight="true" outlineLevel="0" collapsed="false">
      <c r="A625" s="139" t="n">
        <v>62426</v>
      </c>
      <c r="B625" s="149"/>
      <c r="C625" s="149"/>
      <c r="D625" s="150"/>
      <c r="E625" s="151"/>
      <c r="F625" s="151"/>
      <c r="G625" s="68"/>
      <c r="H625" s="151"/>
      <c r="I625" s="150"/>
      <c r="J625" s="68"/>
      <c r="K625" s="151"/>
      <c r="L625" s="151"/>
      <c r="M625" s="152" t="n">
        <f aca="false">I625-D625</f>
        <v>0</v>
      </c>
    </row>
    <row r="626" customFormat="false" ht="12.75" hidden="false" customHeight="true" outlineLevel="0" collapsed="false">
      <c r="A626" s="139" t="n">
        <v>62526</v>
      </c>
      <c r="B626" s="140"/>
      <c r="C626" s="140"/>
      <c r="D626" s="141"/>
      <c r="E626" s="142"/>
      <c r="F626" s="142"/>
      <c r="G626" s="66"/>
      <c r="H626" s="142"/>
      <c r="I626" s="141"/>
      <c r="J626" s="66"/>
      <c r="K626" s="142"/>
      <c r="L626" s="142"/>
      <c r="M626" s="145" t="n">
        <f aca="false">I626-D626</f>
        <v>0</v>
      </c>
    </row>
    <row r="627" customFormat="false" ht="12.75" hidden="false" customHeight="true" outlineLevel="0" collapsed="false">
      <c r="A627" s="148" t="n">
        <v>62626</v>
      </c>
      <c r="B627" s="149"/>
      <c r="C627" s="149"/>
      <c r="D627" s="150"/>
      <c r="E627" s="151"/>
      <c r="F627" s="151"/>
      <c r="G627" s="68"/>
      <c r="H627" s="151"/>
      <c r="I627" s="150"/>
      <c r="J627" s="68"/>
      <c r="K627" s="151"/>
      <c r="L627" s="151"/>
      <c r="M627" s="152" t="n">
        <f aca="false">I627-D627</f>
        <v>0</v>
      </c>
    </row>
    <row r="628" customFormat="false" ht="12.75" hidden="false" customHeight="true" outlineLevel="0" collapsed="false">
      <c r="A628" s="139" t="n">
        <v>62726</v>
      </c>
      <c r="B628" s="140"/>
      <c r="C628" s="140"/>
      <c r="D628" s="141"/>
      <c r="E628" s="142"/>
      <c r="F628" s="142"/>
      <c r="G628" s="66"/>
      <c r="H628" s="142"/>
      <c r="I628" s="141"/>
      <c r="J628" s="66"/>
      <c r="K628" s="142"/>
      <c r="L628" s="142"/>
      <c r="M628" s="145" t="n">
        <f aca="false">I628-D628</f>
        <v>0</v>
      </c>
    </row>
    <row r="629" customFormat="false" ht="12.75" hidden="false" customHeight="true" outlineLevel="0" collapsed="false">
      <c r="A629" s="139" t="n">
        <v>62826</v>
      </c>
      <c r="B629" s="149"/>
      <c r="C629" s="149"/>
      <c r="D629" s="150"/>
      <c r="E629" s="151"/>
      <c r="F629" s="151"/>
      <c r="G629" s="68"/>
      <c r="H629" s="151"/>
      <c r="I629" s="150"/>
      <c r="J629" s="68"/>
      <c r="K629" s="151"/>
      <c r="L629" s="151"/>
      <c r="M629" s="152" t="n">
        <f aca="false">I629-D629</f>
        <v>0</v>
      </c>
    </row>
    <row r="630" customFormat="false" ht="12.75" hidden="false" customHeight="true" outlineLevel="0" collapsed="false">
      <c r="A630" s="148" t="n">
        <v>62926</v>
      </c>
      <c r="B630" s="140"/>
      <c r="C630" s="140"/>
      <c r="D630" s="141"/>
      <c r="E630" s="142"/>
      <c r="F630" s="142"/>
      <c r="G630" s="66"/>
      <c r="H630" s="142"/>
      <c r="I630" s="141"/>
      <c r="J630" s="66"/>
      <c r="K630" s="142"/>
      <c r="L630" s="142"/>
      <c r="M630" s="145" t="n">
        <f aca="false">I630-D630</f>
        <v>0</v>
      </c>
    </row>
    <row r="631" customFormat="false" ht="12.75" hidden="false" customHeight="true" outlineLevel="0" collapsed="false">
      <c r="A631" s="139" t="n">
        <v>63026</v>
      </c>
      <c r="B631" s="149"/>
      <c r="C631" s="149"/>
      <c r="D631" s="150"/>
      <c r="E631" s="151"/>
      <c r="F631" s="151"/>
      <c r="G631" s="68"/>
      <c r="H631" s="151"/>
      <c r="I631" s="150"/>
      <c r="J631" s="68"/>
      <c r="K631" s="151"/>
      <c r="L631" s="151"/>
      <c r="M631" s="152" t="n">
        <f aca="false">I631-D631</f>
        <v>0</v>
      </c>
    </row>
    <row r="632" customFormat="false" ht="12.75" hidden="false" customHeight="true" outlineLevel="0" collapsed="false">
      <c r="A632" s="139" t="n">
        <v>63126</v>
      </c>
      <c r="B632" s="140"/>
      <c r="C632" s="140"/>
      <c r="D632" s="141"/>
      <c r="E632" s="142"/>
      <c r="F632" s="142"/>
      <c r="G632" s="66"/>
      <c r="H632" s="142"/>
      <c r="I632" s="141"/>
      <c r="J632" s="66"/>
      <c r="K632" s="142"/>
      <c r="L632" s="142"/>
      <c r="M632" s="145" t="n">
        <f aca="false">I632-D632</f>
        <v>0</v>
      </c>
    </row>
    <row r="633" customFormat="false" ht="12.75" hidden="false" customHeight="true" outlineLevel="0" collapsed="false">
      <c r="A633" s="148" t="n">
        <v>63226</v>
      </c>
      <c r="B633" s="149"/>
      <c r="C633" s="149"/>
      <c r="D633" s="150"/>
      <c r="E633" s="151"/>
      <c r="F633" s="151"/>
      <c r="G633" s="68"/>
      <c r="H633" s="151"/>
      <c r="I633" s="150"/>
      <c r="J633" s="68"/>
      <c r="K633" s="151"/>
      <c r="L633" s="151"/>
      <c r="M633" s="152" t="n">
        <f aca="false">I633-D633</f>
        <v>0</v>
      </c>
    </row>
    <row r="634" customFormat="false" ht="12.75" hidden="false" customHeight="true" outlineLevel="0" collapsed="false">
      <c r="A634" s="139" t="n">
        <v>63326</v>
      </c>
      <c r="B634" s="140"/>
      <c r="C634" s="140"/>
      <c r="D634" s="141"/>
      <c r="E634" s="142"/>
      <c r="F634" s="142"/>
      <c r="G634" s="66"/>
      <c r="H634" s="142"/>
      <c r="I634" s="141"/>
      <c r="J634" s="66"/>
      <c r="K634" s="142"/>
      <c r="L634" s="142"/>
      <c r="M634" s="145" t="n">
        <f aca="false">I634-D634</f>
        <v>0</v>
      </c>
    </row>
    <row r="635" customFormat="false" ht="12.75" hidden="false" customHeight="true" outlineLevel="0" collapsed="false">
      <c r="A635" s="139" t="n">
        <v>63426</v>
      </c>
      <c r="B635" s="149"/>
      <c r="C635" s="149"/>
      <c r="D635" s="150"/>
      <c r="E635" s="151"/>
      <c r="F635" s="151"/>
      <c r="G635" s="68"/>
      <c r="H635" s="151"/>
      <c r="I635" s="150"/>
      <c r="J635" s="68"/>
      <c r="K635" s="151"/>
      <c r="L635" s="151"/>
      <c r="M635" s="152" t="n">
        <f aca="false">I635-D635</f>
        <v>0</v>
      </c>
    </row>
    <row r="636" customFormat="false" ht="12.75" hidden="false" customHeight="true" outlineLevel="0" collapsed="false">
      <c r="A636" s="148" t="n">
        <v>63526</v>
      </c>
      <c r="B636" s="140"/>
      <c r="C636" s="140"/>
      <c r="D636" s="141"/>
      <c r="E636" s="142"/>
      <c r="F636" s="142"/>
      <c r="G636" s="66"/>
      <c r="H636" s="142"/>
      <c r="I636" s="141"/>
      <c r="J636" s="66"/>
      <c r="K636" s="142"/>
      <c r="L636" s="142"/>
      <c r="M636" s="145" t="n">
        <f aca="false">I636-D636</f>
        <v>0</v>
      </c>
    </row>
    <row r="637" customFormat="false" ht="12.75" hidden="false" customHeight="true" outlineLevel="0" collapsed="false">
      <c r="A637" s="139" t="n">
        <v>63626</v>
      </c>
      <c r="B637" s="149"/>
      <c r="C637" s="149"/>
      <c r="D637" s="150"/>
      <c r="E637" s="151"/>
      <c r="F637" s="151"/>
      <c r="G637" s="68"/>
      <c r="H637" s="151"/>
      <c r="I637" s="150"/>
      <c r="J637" s="68"/>
      <c r="K637" s="151"/>
      <c r="L637" s="151"/>
      <c r="M637" s="152" t="n">
        <f aca="false">I637-D637</f>
        <v>0</v>
      </c>
    </row>
    <row r="638" customFormat="false" ht="12.75" hidden="false" customHeight="true" outlineLevel="0" collapsed="false">
      <c r="A638" s="139" t="n">
        <v>63726</v>
      </c>
      <c r="B638" s="140"/>
      <c r="C638" s="140"/>
      <c r="D638" s="141"/>
      <c r="E638" s="142"/>
      <c r="F638" s="142"/>
      <c r="G638" s="66"/>
      <c r="H638" s="142"/>
      <c r="I638" s="141"/>
      <c r="J638" s="66"/>
      <c r="K638" s="142"/>
      <c r="L638" s="142"/>
      <c r="M638" s="145" t="n">
        <f aca="false">I638-D638</f>
        <v>0</v>
      </c>
    </row>
    <row r="639" customFormat="false" ht="12.75" hidden="false" customHeight="true" outlineLevel="0" collapsed="false">
      <c r="A639" s="148" t="n">
        <v>63826</v>
      </c>
      <c r="B639" s="149"/>
      <c r="C639" s="149"/>
      <c r="D639" s="150"/>
      <c r="E639" s="151"/>
      <c r="F639" s="151"/>
      <c r="G639" s="68"/>
      <c r="H639" s="151"/>
      <c r="I639" s="150"/>
      <c r="J639" s="68"/>
      <c r="K639" s="151"/>
      <c r="L639" s="151"/>
      <c r="M639" s="152" t="n">
        <f aca="false">I639-D639</f>
        <v>0</v>
      </c>
    </row>
    <row r="640" customFormat="false" ht="12.75" hidden="false" customHeight="true" outlineLevel="0" collapsed="false">
      <c r="A640" s="139" t="n">
        <v>63926</v>
      </c>
      <c r="B640" s="140"/>
      <c r="C640" s="140"/>
      <c r="D640" s="141"/>
      <c r="E640" s="142"/>
      <c r="F640" s="142"/>
      <c r="G640" s="66"/>
      <c r="H640" s="142"/>
      <c r="I640" s="141"/>
      <c r="J640" s="66"/>
      <c r="K640" s="142"/>
      <c r="L640" s="142"/>
      <c r="M640" s="145" t="n">
        <f aca="false">I640-D640</f>
        <v>0</v>
      </c>
    </row>
    <row r="641" customFormat="false" ht="12.75" hidden="false" customHeight="true" outlineLevel="0" collapsed="false">
      <c r="A641" s="139" t="n">
        <v>64026</v>
      </c>
      <c r="B641" s="149"/>
      <c r="C641" s="149"/>
      <c r="D641" s="150"/>
      <c r="E641" s="151"/>
      <c r="F641" s="151"/>
      <c r="G641" s="68"/>
      <c r="H641" s="151"/>
      <c r="I641" s="150"/>
      <c r="J641" s="68"/>
      <c r="K641" s="151"/>
      <c r="L641" s="151"/>
      <c r="M641" s="152" t="n">
        <f aca="false">I641-D641</f>
        <v>0</v>
      </c>
    </row>
    <row r="642" customFormat="false" ht="12.75" hidden="false" customHeight="true" outlineLevel="0" collapsed="false">
      <c r="A642" s="148" t="n">
        <v>64126</v>
      </c>
      <c r="B642" s="140"/>
      <c r="C642" s="140"/>
      <c r="D642" s="141"/>
      <c r="E642" s="142"/>
      <c r="F642" s="142"/>
      <c r="G642" s="66"/>
      <c r="H642" s="142"/>
      <c r="I642" s="141"/>
      <c r="J642" s="66"/>
      <c r="K642" s="142"/>
      <c r="L642" s="142"/>
      <c r="M642" s="145" t="n">
        <f aca="false">I642-D642</f>
        <v>0</v>
      </c>
    </row>
    <row r="643" customFormat="false" ht="12.75" hidden="false" customHeight="true" outlineLevel="0" collapsed="false">
      <c r="A643" s="139" t="n">
        <v>64226</v>
      </c>
      <c r="B643" s="149"/>
      <c r="C643" s="149"/>
      <c r="D643" s="150"/>
      <c r="E643" s="151"/>
      <c r="F643" s="151"/>
      <c r="G643" s="68"/>
      <c r="H643" s="151"/>
      <c r="I643" s="150"/>
      <c r="J643" s="68"/>
      <c r="K643" s="151"/>
      <c r="L643" s="151"/>
      <c r="M643" s="152" t="n">
        <f aca="false">I643-D643</f>
        <v>0</v>
      </c>
    </row>
    <row r="644" customFormat="false" ht="12.75" hidden="false" customHeight="true" outlineLevel="0" collapsed="false">
      <c r="A644" s="139" t="n">
        <v>64326</v>
      </c>
      <c r="B644" s="140"/>
      <c r="C644" s="140"/>
      <c r="D644" s="141"/>
      <c r="E644" s="142"/>
      <c r="F644" s="142"/>
      <c r="G644" s="66"/>
      <c r="H644" s="142"/>
      <c r="I644" s="141"/>
      <c r="J644" s="66"/>
      <c r="K644" s="142"/>
      <c r="L644" s="142"/>
      <c r="M644" s="145" t="n">
        <f aca="false">I644-D644</f>
        <v>0</v>
      </c>
    </row>
    <row r="645" customFormat="false" ht="12.75" hidden="false" customHeight="true" outlineLevel="0" collapsed="false">
      <c r="A645" s="148" t="n">
        <v>64426</v>
      </c>
      <c r="B645" s="149"/>
      <c r="C645" s="149"/>
      <c r="D645" s="150"/>
      <c r="E645" s="151"/>
      <c r="F645" s="151"/>
      <c r="G645" s="68"/>
      <c r="H645" s="151"/>
      <c r="I645" s="150"/>
      <c r="J645" s="68"/>
      <c r="K645" s="151"/>
      <c r="L645" s="151"/>
      <c r="M645" s="152" t="n">
        <f aca="false">I645-D645</f>
        <v>0</v>
      </c>
    </row>
    <row r="646" customFormat="false" ht="12.75" hidden="false" customHeight="true" outlineLevel="0" collapsed="false">
      <c r="A646" s="139" t="n">
        <v>64526</v>
      </c>
      <c r="B646" s="140"/>
      <c r="C646" s="140"/>
      <c r="D646" s="141"/>
      <c r="E646" s="142"/>
      <c r="F646" s="142"/>
      <c r="G646" s="66"/>
      <c r="H646" s="142"/>
      <c r="I646" s="141"/>
      <c r="J646" s="66"/>
      <c r="K646" s="142"/>
      <c r="L646" s="142"/>
      <c r="M646" s="145" t="n">
        <f aca="false">I646-D646</f>
        <v>0</v>
      </c>
    </row>
    <row r="647" customFormat="false" ht="12.75" hidden="false" customHeight="true" outlineLevel="0" collapsed="false">
      <c r="A647" s="139" t="n">
        <v>64626</v>
      </c>
      <c r="B647" s="149"/>
      <c r="C647" s="149"/>
      <c r="D647" s="150"/>
      <c r="E647" s="151"/>
      <c r="F647" s="151"/>
      <c r="G647" s="68"/>
      <c r="H647" s="151"/>
      <c r="I647" s="150"/>
      <c r="J647" s="68"/>
      <c r="K647" s="151"/>
      <c r="L647" s="151"/>
      <c r="M647" s="152" t="n">
        <f aca="false">I647-D647</f>
        <v>0</v>
      </c>
    </row>
    <row r="648" customFormat="false" ht="12.75" hidden="false" customHeight="true" outlineLevel="0" collapsed="false">
      <c r="A648" s="148" t="n">
        <v>64726</v>
      </c>
      <c r="B648" s="140"/>
      <c r="C648" s="140"/>
      <c r="D648" s="141"/>
      <c r="E648" s="142"/>
      <c r="F648" s="142"/>
      <c r="G648" s="66"/>
      <c r="H648" s="142"/>
      <c r="I648" s="141"/>
      <c r="J648" s="66"/>
      <c r="K648" s="142"/>
      <c r="L648" s="142"/>
      <c r="M648" s="145" t="n">
        <f aca="false">I648-D648</f>
        <v>0</v>
      </c>
    </row>
    <row r="649" customFormat="false" ht="12.75" hidden="false" customHeight="true" outlineLevel="0" collapsed="false">
      <c r="A649" s="139" t="n">
        <v>64826</v>
      </c>
      <c r="B649" s="149"/>
      <c r="C649" s="149"/>
      <c r="D649" s="150"/>
      <c r="E649" s="151"/>
      <c r="F649" s="151"/>
      <c r="G649" s="68"/>
      <c r="H649" s="151"/>
      <c r="I649" s="150"/>
      <c r="J649" s="68"/>
      <c r="K649" s="151"/>
      <c r="L649" s="151"/>
      <c r="M649" s="152" t="n">
        <f aca="false">I649-D649</f>
        <v>0</v>
      </c>
    </row>
    <row r="650" customFormat="false" ht="12.75" hidden="false" customHeight="true" outlineLevel="0" collapsed="false">
      <c r="A650" s="139" t="n">
        <v>64926</v>
      </c>
      <c r="B650" s="140"/>
      <c r="C650" s="140"/>
      <c r="D650" s="141"/>
      <c r="E650" s="142"/>
      <c r="F650" s="142"/>
      <c r="G650" s="66"/>
      <c r="H650" s="142"/>
      <c r="I650" s="141"/>
      <c r="J650" s="66"/>
      <c r="K650" s="142"/>
      <c r="L650" s="142"/>
      <c r="M650" s="145" t="n">
        <f aca="false">I650-D650</f>
        <v>0</v>
      </c>
    </row>
    <row r="651" customFormat="false" ht="12.75" hidden="false" customHeight="true" outlineLevel="0" collapsed="false">
      <c r="A651" s="148" t="n">
        <v>65026</v>
      </c>
      <c r="B651" s="149"/>
      <c r="C651" s="149"/>
      <c r="D651" s="150"/>
      <c r="E651" s="151"/>
      <c r="F651" s="151"/>
      <c r="G651" s="68"/>
      <c r="H651" s="151"/>
      <c r="I651" s="150"/>
      <c r="J651" s="68"/>
      <c r="K651" s="151"/>
      <c r="L651" s="151"/>
      <c r="M651" s="152" t="n">
        <f aca="false">I651-D651</f>
        <v>0</v>
      </c>
    </row>
    <row r="652" customFormat="false" ht="12.75" hidden="false" customHeight="true" outlineLevel="0" collapsed="false">
      <c r="A652" s="139" t="n">
        <v>65126</v>
      </c>
      <c r="B652" s="140"/>
      <c r="C652" s="140"/>
      <c r="D652" s="141"/>
      <c r="E652" s="142"/>
      <c r="F652" s="142"/>
      <c r="G652" s="66"/>
      <c r="H652" s="142"/>
      <c r="I652" s="141"/>
      <c r="J652" s="66"/>
      <c r="K652" s="142"/>
      <c r="L652" s="142"/>
      <c r="M652" s="145" t="n">
        <f aca="false">I652-D652</f>
        <v>0</v>
      </c>
    </row>
    <row r="653" customFormat="false" ht="12.75" hidden="false" customHeight="true" outlineLevel="0" collapsed="false">
      <c r="A653" s="139" t="n">
        <v>65226</v>
      </c>
      <c r="B653" s="149"/>
      <c r="C653" s="149"/>
      <c r="D653" s="150"/>
      <c r="E653" s="151"/>
      <c r="F653" s="151"/>
      <c r="G653" s="68"/>
      <c r="H653" s="151"/>
      <c r="I653" s="150"/>
      <c r="J653" s="68"/>
      <c r="K653" s="151"/>
      <c r="L653" s="151"/>
      <c r="M653" s="152" t="n">
        <f aca="false">I653-D653</f>
        <v>0</v>
      </c>
    </row>
    <row r="654" customFormat="false" ht="12.75" hidden="false" customHeight="true" outlineLevel="0" collapsed="false">
      <c r="A654" s="148" t="n">
        <v>65326</v>
      </c>
      <c r="B654" s="140"/>
      <c r="C654" s="140"/>
      <c r="D654" s="141"/>
      <c r="E654" s="142"/>
      <c r="F654" s="142"/>
      <c r="G654" s="66"/>
      <c r="H654" s="142"/>
      <c r="I654" s="141"/>
      <c r="J654" s="66"/>
      <c r="K654" s="142"/>
      <c r="L654" s="142"/>
      <c r="M654" s="145" t="n">
        <f aca="false">I654-D654</f>
        <v>0</v>
      </c>
    </row>
    <row r="655" customFormat="false" ht="12.75" hidden="false" customHeight="true" outlineLevel="0" collapsed="false">
      <c r="A655" s="139" t="n">
        <v>65426</v>
      </c>
      <c r="B655" s="149"/>
      <c r="C655" s="149"/>
      <c r="D655" s="150"/>
      <c r="E655" s="151"/>
      <c r="F655" s="151"/>
      <c r="G655" s="68"/>
      <c r="H655" s="151"/>
      <c r="I655" s="150"/>
      <c r="J655" s="68"/>
      <c r="K655" s="151"/>
      <c r="L655" s="151"/>
      <c r="M655" s="152" t="n">
        <f aca="false">I655-D655</f>
        <v>0</v>
      </c>
    </row>
    <row r="656" customFormat="false" ht="12.75" hidden="false" customHeight="true" outlineLevel="0" collapsed="false">
      <c r="A656" s="139" t="n">
        <v>65526</v>
      </c>
      <c r="B656" s="140"/>
      <c r="C656" s="140"/>
      <c r="D656" s="141"/>
      <c r="E656" s="142"/>
      <c r="F656" s="142"/>
      <c r="G656" s="66"/>
      <c r="H656" s="142"/>
      <c r="I656" s="141"/>
      <c r="J656" s="66"/>
      <c r="K656" s="142"/>
      <c r="L656" s="142"/>
      <c r="M656" s="145" t="n">
        <f aca="false">I656-D656</f>
        <v>0</v>
      </c>
    </row>
    <row r="657" customFormat="false" ht="12.75" hidden="false" customHeight="true" outlineLevel="0" collapsed="false">
      <c r="A657" s="148" t="n">
        <v>65626</v>
      </c>
      <c r="B657" s="149"/>
      <c r="C657" s="149"/>
      <c r="D657" s="150"/>
      <c r="E657" s="151"/>
      <c r="F657" s="151"/>
      <c r="G657" s="68"/>
      <c r="H657" s="151"/>
      <c r="I657" s="150"/>
      <c r="J657" s="68"/>
      <c r="K657" s="151"/>
      <c r="L657" s="151"/>
      <c r="M657" s="152" t="n">
        <f aca="false">I657-D657</f>
        <v>0</v>
      </c>
    </row>
    <row r="658" customFormat="false" ht="12.75" hidden="false" customHeight="true" outlineLevel="0" collapsed="false">
      <c r="A658" s="139" t="n">
        <v>65726</v>
      </c>
      <c r="B658" s="140"/>
      <c r="C658" s="140"/>
      <c r="D658" s="141"/>
      <c r="E658" s="142"/>
      <c r="F658" s="142"/>
      <c r="G658" s="66"/>
      <c r="H658" s="142"/>
      <c r="I658" s="141"/>
      <c r="J658" s="66"/>
      <c r="K658" s="142"/>
      <c r="L658" s="142"/>
      <c r="M658" s="145" t="n">
        <f aca="false">I658-D658</f>
        <v>0</v>
      </c>
    </row>
    <row r="659" customFormat="false" ht="12.75" hidden="false" customHeight="true" outlineLevel="0" collapsed="false">
      <c r="A659" s="139" t="n">
        <v>65826</v>
      </c>
      <c r="B659" s="149"/>
      <c r="C659" s="149"/>
      <c r="D659" s="150"/>
      <c r="E659" s="151"/>
      <c r="F659" s="151"/>
      <c r="G659" s="68"/>
      <c r="H659" s="151"/>
      <c r="I659" s="150"/>
      <c r="J659" s="68"/>
      <c r="K659" s="151"/>
      <c r="L659" s="151"/>
      <c r="M659" s="152" t="n">
        <f aca="false">I659-D659</f>
        <v>0</v>
      </c>
    </row>
    <row r="660" customFormat="false" ht="12.75" hidden="false" customHeight="true" outlineLevel="0" collapsed="false">
      <c r="A660" s="148" t="n">
        <v>65926</v>
      </c>
      <c r="B660" s="140"/>
      <c r="C660" s="140"/>
      <c r="D660" s="141"/>
      <c r="E660" s="142"/>
      <c r="F660" s="142"/>
      <c r="G660" s="66"/>
      <c r="H660" s="142"/>
      <c r="I660" s="141"/>
      <c r="J660" s="66"/>
      <c r="K660" s="142"/>
      <c r="L660" s="142"/>
      <c r="M660" s="145" t="n">
        <f aca="false">I660-D660</f>
        <v>0</v>
      </c>
    </row>
    <row r="661" customFormat="false" ht="12.75" hidden="false" customHeight="true" outlineLevel="0" collapsed="false">
      <c r="A661" s="139" t="n">
        <v>66026</v>
      </c>
      <c r="B661" s="149"/>
      <c r="C661" s="149"/>
      <c r="D661" s="150"/>
      <c r="E661" s="151"/>
      <c r="F661" s="151"/>
      <c r="G661" s="68"/>
      <c r="H661" s="151"/>
      <c r="I661" s="150"/>
      <c r="J661" s="68"/>
      <c r="K661" s="151"/>
      <c r="L661" s="151"/>
      <c r="M661" s="152" t="n">
        <f aca="false">I661-D661</f>
        <v>0</v>
      </c>
    </row>
    <row r="662" customFormat="false" ht="12.75" hidden="false" customHeight="true" outlineLevel="0" collapsed="false">
      <c r="A662" s="139" t="n">
        <v>66126</v>
      </c>
      <c r="B662" s="140"/>
      <c r="C662" s="140"/>
      <c r="D662" s="141"/>
      <c r="E662" s="142"/>
      <c r="F662" s="142"/>
      <c r="G662" s="66"/>
      <c r="H662" s="142"/>
      <c r="I662" s="141"/>
      <c r="J662" s="66"/>
      <c r="K662" s="142"/>
      <c r="L662" s="142"/>
      <c r="M662" s="145" t="n">
        <f aca="false">I662-D662</f>
        <v>0</v>
      </c>
    </row>
    <row r="663" customFormat="false" ht="12.75" hidden="false" customHeight="true" outlineLevel="0" collapsed="false">
      <c r="A663" s="148" t="n">
        <v>66226</v>
      </c>
      <c r="B663" s="149"/>
      <c r="C663" s="149"/>
      <c r="D663" s="150"/>
      <c r="E663" s="151"/>
      <c r="F663" s="151"/>
      <c r="G663" s="68"/>
      <c r="H663" s="151"/>
      <c r="I663" s="150"/>
      <c r="J663" s="68"/>
      <c r="K663" s="151"/>
      <c r="L663" s="151"/>
      <c r="M663" s="152" t="n">
        <f aca="false">I663-D663</f>
        <v>0</v>
      </c>
    </row>
    <row r="664" customFormat="false" ht="12.75" hidden="false" customHeight="true" outlineLevel="0" collapsed="false">
      <c r="A664" s="139" t="n">
        <v>66326</v>
      </c>
      <c r="B664" s="140"/>
      <c r="C664" s="140"/>
      <c r="D664" s="141"/>
      <c r="E664" s="142"/>
      <c r="F664" s="142"/>
      <c r="G664" s="66"/>
      <c r="H664" s="142"/>
      <c r="I664" s="141"/>
      <c r="J664" s="66"/>
      <c r="K664" s="142"/>
      <c r="L664" s="142"/>
      <c r="M664" s="145" t="n">
        <f aca="false">I664-D664</f>
        <v>0</v>
      </c>
    </row>
    <row r="665" customFormat="false" ht="12.75" hidden="false" customHeight="true" outlineLevel="0" collapsed="false">
      <c r="A665" s="139" t="n">
        <v>66426</v>
      </c>
      <c r="B665" s="149"/>
      <c r="C665" s="149"/>
      <c r="D665" s="150"/>
      <c r="E665" s="151"/>
      <c r="F665" s="151"/>
      <c r="G665" s="68"/>
      <c r="H665" s="151"/>
      <c r="I665" s="150"/>
      <c r="J665" s="68"/>
      <c r="K665" s="151"/>
      <c r="L665" s="151"/>
      <c r="M665" s="152" t="n">
        <f aca="false">I665-D665</f>
        <v>0</v>
      </c>
    </row>
    <row r="666" customFormat="false" ht="12.75" hidden="false" customHeight="true" outlineLevel="0" collapsed="false">
      <c r="A666" s="148" t="n">
        <v>66526</v>
      </c>
      <c r="B666" s="140"/>
      <c r="C666" s="140"/>
      <c r="D666" s="141"/>
      <c r="E666" s="142"/>
      <c r="F666" s="142"/>
      <c r="G666" s="66"/>
      <c r="H666" s="142"/>
      <c r="I666" s="141"/>
      <c r="J666" s="66"/>
      <c r="K666" s="142"/>
      <c r="L666" s="142"/>
      <c r="M666" s="145" t="n">
        <f aca="false">I666-D666</f>
        <v>0</v>
      </c>
    </row>
    <row r="667" customFormat="false" ht="12.75" hidden="false" customHeight="true" outlineLevel="0" collapsed="false">
      <c r="A667" s="139" t="n">
        <v>66626</v>
      </c>
      <c r="B667" s="149"/>
      <c r="C667" s="149"/>
      <c r="D667" s="150"/>
      <c r="E667" s="151"/>
      <c r="F667" s="151"/>
      <c r="G667" s="68"/>
      <c r="H667" s="151"/>
      <c r="I667" s="150"/>
      <c r="J667" s="68"/>
      <c r="K667" s="151"/>
      <c r="L667" s="151"/>
      <c r="M667" s="152" t="n">
        <f aca="false">I667-D667</f>
        <v>0</v>
      </c>
    </row>
    <row r="668" customFormat="false" ht="12.75" hidden="false" customHeight="true" outlineLevel="0" collapsed="false">
      <c r="A668" s="139" t="n">
        <v>66726</v>
      </c>
      <c r="B668" s="140"/>
      <c r="C668" s="140"/>
      <c r="D668" s="141"/>
      <c r="E668" s="142"/>
      <c r="F668" s="142"/>
      <c r="G668" s="66"/>
      <c r="H668" s="142"/>
      <c r="I668" s="141"/>
      <c r="J668" s="66"/>
      <c r="K668" s="142"/>
      <c r="L668" s="142"/>
      <c r="M668" s="145" t="n">
        <f aca="false">I668-D668</f>
        <v>0</v>
      </c>
    </row>
    <row r="669" customFormat="false" ht="12.75" hidden="false" customHeight="true" outlineLevel="0" collapsed="false">
      <c r="A669" s="148" t="n">
        <v>66826</v>
      </c>
      <c r="B669" s="149"/>
      <c r="C669" s="149"/>
      <c r="D669" s="150"/>
      <c r="E669" s="151"/>
      <c r="F669" s="151"/>
      <c r="G669" s="68"/>
      <c r="H669" s="151"/>
      <c r="I669" s="150"/>
      <c r="J669" s="68"/>
      <c r="K669" s="151"/>
      <c r="L669" s="151"/>
      <c r="M669" s="152" t="n">
        <f aca="false">I669-D669</f>
        <v>0</v>
      </c>
    </row>
    <row r="670" customFormat="false" ht="12.75" hidden="false" customHeight="true" outlineLevel="0" collapsed="false">
      <c r="A670" s="139" t="n">
        <v>66926</v>
      </c>
      <c r="B670" s="140"/>
      <c r="C670" s="140"/>
      <c r="D670" s="141"/>
      <c r="E670" s="142"/>
      <c r="F670" s="142"/>
      <c r="G670" s="66"/>
      <c r="H670" s="142"/>
      <c r="I670" s="141"/>
      <c r="J670" s="66"/>
      <c r="K670" s="142"/>
      <c r="L670" s="142"/>
      <c r="M670" s="145" t="n">
        <f aca="false">I670-D670</f>
        <v>0</v>
      </c>
    </row>
    <row r="671" customFormat="false" ht="12.75" hidden="false" customHeight="true" outlineLevel="0" collapsed="false">
      <c r="A671" s="139" t="n">
        <v>67026</v>
      </c>
      <c r="B671" s="149"/>
      <c r="C671" s="149"/>
      <c r="D671" s="150"/>
      <c r="E671" s="151"/>
      <c r="F671" s="151"/>
      <c r="G671" s="68"/>
      <c r="H671" s="151"/>
      <c r="I671" s="150"/>
      <c r="J671" s="68"/>
      <c r="K671" s="151"/>
      <c r="L671" s="151"/>
      <c r="M671" s="152" t="n">
        <f aca="false">I671-D671</f>
        <v>0</v>
      </c>
    </row>
    <row r="672" customFormat="false" ht="12.75" hidden="false" customHeight="true" outlineLevel="0" collapsed="false">
      <c r="A672" s="148" t="n">
        <v>67126</v>
      </c>
      <c r="B672" s="140"/>
      <c r="C672" s="140"/>
      <c r="D672" s="141"/>
      <c r="E672" s="142"/>
      <c r="F672" s="142"/>
      <c r="G672" s="66"/>
      <c r="H672" s="142"/>
      <c r="I672" s="141"/>
      <c r="J672" s="66"/>
      <c r="K672" s="142"/>
      <c r="L672" s="142"/>
      <c r="M672" s="145" t="n">
        <f aca="false">I672-D672</f>
        <v>0</v>
      </c>
    </row>
    <row r="673" customFormat="false" ht="12.75" hidden="false" customHeight="true" outlineLevel="0" collapsed="false">
      <c r="A673" s="139" t="n">
        <v>67226</v>
      </c>
      <c r="B673" s="149"/>
      <c r="C673" s="149"/>
      <c r="D673" s="150"/>
      <c r="E673" s="151"/>
      <c r="F673" s="151"/>
      <c r="G673" s="68"/>
      <c r="H673" s="151"/>
      <c r="I673" s="150"/>
      <c r="J673" s="68"/>
      <c r="K673" s="151"/>
      <c r="L673" s="151"/>
      <c r="M673" s="152" t="n">
        <f aca="false">I673-D673</f>
        <v>0</v>
      </c>
    </row>
    <row r="674" customFormat="false" ht="12.75" hidden="false" customHeight="true" outlineLevel="0" collapsed="false">
      <c r="A674" s="139" t="n">
        <v>67326</v>
      </c>
      <c r="B674" s="140"/>
      <c r="C674" s="140"/>
      <c r="D674" s="141"/>
      <c r="E674" s="142"/>
      <c r="F674" s="142"/>
      <c r="G674" s="66"/>
      <c r="H674" s="142"/>
      <c r="I674" s="141"/>
      <c r="J674" s="66"/>
      <c r="K674" s="142"/>
      <c r="L674" s="142"/>
      <c r="M674" s="145" t="n">
        <f aca="false">I674-D674</f>
        <v>0</v>
      </c>
    </row>
    <row r="675" customFormat="false" ht="12.75" hidden="false" customHeight="true" outlineLevel="0" collapsed="false">
      <c r="A675" s="148" t="n">
        <v>67426</v>
      </c>
      <c r="B675" s="149"/>
      <c r="C675" s="149"/>
      <c r="D675" s="150"/>
      <c r="E675" s="151"/>
      <c r="F675" s="151"/>
      <c r="G675" s="68"/>
      <c r="H675" s="151"/>
      <c r="I675" s="150"/>
      <c r="J675" s="68"/>
      <c r="K675" s="151"/>
      <c r="L675" s="151"/>
      <c r="M675" s="152" t="n">
        <f aca="false">I675-D675</f>
        <v>0</v>
      </c>
    </row>
    <row r="676" customFormat="false" ht="12.75" hidden="false" customHeight="true" outlineLevel="0" collapsed="false">
      <c r="A676" s="139" t="n">
        <v>67526</v>
      </c>
      <c r="B676" s="140"/>
      <c r="C676" s="140"/>
      <c r="D676" s="141"/>
      <c r="E676" s="142"/>
      <c r="F676" s="142"/>
      <c r="G676" s="66"/>
      <c r="H676" s="142"/>
      <c r="I676" s="141"/>
      <c r="J676" s="66"/>
      <c r="K676" s="142"/>
      <c r="L676" s="142"/>
      <c r="M676" s="145" t="n">
        <f aca="false">I676-D676</f>
        <v>0</v>
      </c>
    </row>
    <row r="677" customFormat="false" ht="12.75" hidden="false" customHeight="true" outlineLevel="0" collapsed="false">
      <c r="A677" s="139" t="n">
        <v>67626</v>
      </c>
      <c r="B677" s="149"/>
      <c r="C677" s="149"/>
      <c r="D677" s="150"/>
      <c r="E677" s="151"/>
      <c r="F677" s="151"/>
      <c r="G677" s="68"/>
      <c r="H677" s="151"/>
      <c r="I677" s="150"/>
      <c r="J677" s="68"/>
      <c r="K677" s="151"/>
      <c r="L677" s="151"/>
      <c r="M677" s="152" t="n">
        <f aca="false">I677-D677</f>
        <v>0</v>
      </c>
    </row>
    <row r="678" customFormat="false" ht="12.75" hidden="false" customHeight="true" outlineLevel="0" collapsed="false">
      <c r="A678" s="148" t="n">
        <v>67726</v>
      </c>
      <c r="B678" s="140"/>
      <c r="C678" s="140"/>
      <c r="D678" s="141"/>
      <c r="E678" s="142"/>
      <c r="F678" s="142"/>
      <c r="G678" s="66"/>
      <c r="H678" s="142"/>
      <c r="I678" s="141"/>
      <c r="J678" s="66"/>
      <c r="K678" s="142"/>
      <c r="L678" s="142"/>
      <c r="M678" s="145" t="n">
        <f aca="false">I678-D678</f>
        <v>0</v>
      </c>
    </row>
    <row r="679" customFormat="false" ht="12.75" hidden="false" customHeight="true" outlineLevel="0" collapsed="false">
      <c r="A679" s="139" t="n">
        <v>67826</v>
      </c>
      <c r="B679" s="149"/>
      <c r="C679" s="149"/>
      <c r="D679" s="150"/>
      <c r="E679" s="151"/>
      <c r="F679" s="151"/>
      <c r="G679" s="68"/>
      <c r="H679" s="151"/>
      <c r="I679" s="150"/>
      <c r="J679" s="68"/>
      <c r="K679" s="151"/>
      <c r="L679" s="151"/>
      <c r="M679" s="152" t="n">
        <f aca="false">I679-D679</f>
        <v>0</v>
      </c>
    </row>
    <row r="680" customFormat="false" ht="12.75" hidden="false" customHeight="true" outlineLevel="0" collapsed="false">
      <c r="A680" s="139" t="n">
        <v>67926</v>
      </c>
      <c r="B680" s="140"/>
      <c r="C680" s="140"/>
      <c r="D680" s="141"/>
      <c r="E680" s="142"/>
      <c r="F680" s="142"/>
      <c r="G680" s="66"/>
      <c r="H680" s="142"/>
      <c r="I680" s="141"/>
      <c r="J680" s="66"/>
      <c r="K680" s="142"/>
      <c r="L680" s="142"/>
      <c r="M680" s="145" t="n">
        <f aca="false">I680-D680</f>
        <v>0</v>
      </c>
    </row>
    <row r="681" customFormat="false" ht="12.75" hidden="false" customHeight="true" outlineLevel="0" collapsed="false">
      <c r="A681" s="148" t="n">
        <v>68026</v>
      </c>
      <c r="B681" s="149"/>
      <c r="C681" s="149"/>
      <c r="D681" s="150"/>
      <c r="E681" s="151"/>
      <c r="F681" s="151"/>
      <c r="G681" s="68"/>
      <c r="H681" s="151"/>
      <c r="I681" s="150"/>
      <c r="J681" s="68"/>
      <c r="K681" s="151"/>
      <c r="L681" s="151"/>
      <c r="M681" s="152" t="n">
        <f aca="false">I681-D681</f>
        <v>0</v>
      </c>
    </row>
    <row r="682" customFormat="false" ht="12.75" hidden="false" customHeight="true" outlineLevel="0" collapsed="false">
      <c r="A682" s="139" t="n">
        <v>68126</v>
      </c>
      <c r="B682" s="140"/>
      <c r="C682" s="140"/>
      <c r="D682" s="141"/>
      <c r="E682" s="142"/>
      <c r="F682" s="142"/>
      <c r="G682" s="66"/>
      <c r="H682" s="142"/>
      <c r="I682" s="141"/>
      <c r="J682" s="66"/>
      <c r="K682" s="142"/>
      <c r="L682" s="142"/>
      <c r="M682" s="145" t="n">
        <f aca="false">I682-D682</f>
        <v>0</v>
      </c>
    </row>
    <row r="683" customFormat="false" ht="12.75" hidden="false" customHeight="true" outlineLevel="0" collapsed="false">
      <c r="A683" s="139" t="n">
        <v>68226</v>
      </c>
      <c r="B683" s="149"/>
      <c r="C683" s="149"/>
      <c r="D683" s="150"/>
      <c r="E683" s="151"/>
      <c r="F683" s="151"/>
      <c r="G683" s="68"/>
      <c r="H683" s="151"/>
      <c r="I683" s="150"/>
      <c r="J683" s="68"/>
      <c r="K683" s="151"/>
      <c r="L683" s="151"/>
      <c r="M683" s="152" t="n">
        <f aca="false">I683-D683</f>
        <v>0</v>
      </c>
    </row>
    <row r="684" customFormat="false" ht="12.75" hidden="false" customHeight="true" outlineLevel="0" collapsed="false">
      <c r="A684" s="148" t="n">
        <v>68326</v>
      </c>
      <c r="B684" s="140"/>
      <c r="C684" s="140"/>
      <c r="D684" s="141"/>
      <c r="E684" s="142"/>
      <c r="F684" s="142"/>
      <c r="G684" s="66"/>
      <c r="H684" s="142"/>
      <c r="I684" s="141"/>
      <c r="J684" s="66"/>
      <c r="K684" s="142"/>
      <c r="L684" s="142"/>
      <c r="M684" s="145" t="n">
        <f aca="false">I684-D684</f>
        <v>0</v>
      </c>
    </row>
    <row r="685" customFormat="false" ht="12.75" hidden="false" customHeight="true" outlineLevel="0" collapsed="false">
      <c r="A685" s="139" t="n">
        <v>68426</v>
      </c>
      <c r="B685" s="149"/>
      <c r="C685" s="149"/>
      <c r="D685" s="150"/>
      <c r="E685" s="151"/>
      <c r="F685" s="151"/>
      <c r="G685" s="68"/>
      <c r="H685" s="151"/>
      <c r="I685" s="150"/>
      <c r="J685" s="68"/>
      <c r="K685" s="151"/>
      <c r="L685" s="151"/>
      <c r="M685" s="152" t="n">
        <f aca="false">I685-D685</f>
        <v>0</v>
      </c>
    </row>
    <row r="686" customFormat="false" ht="12.75" hidden="false" customHeight="true" outlineLevel="0" collapsed="false">
      <c r="A686" s="139" t="n">
        <v>68526</v>
      </c>
      <c r="B686" s="140"/>
      <c r="C686" s="140"/>
      <c r="D686" s="141"/>
      <c r="E686" s="142"/>
      <c r="F686" s="142"/>
      <c r="G686" s="66"/>
      <c r="H686" s="142"/>
      <c r="I686" s="141"/>
      <c r="J686" s="66"/>
      <c r="K686" s="142"/>
      <c r="L686" s="142"/>
      <c r="M686" s="145" t="n">
        <f aca="false">I686-D686</f>
        <v>0</v>
      </c>
    </row>
    <row r="687" customFormat="false" ht="12.75" hidden="false" customHeight="true" outlineLevel="0" collapsed="false">
      <c r="A687" s="148" t="n">
        <v>68626</v>
      </c>
      <c r="B687" s="149"/>
      <c r="C687" s="149"/>
      <c r="D687" s="150"/>
      <c r="E687" s="151"/>
      <c r="F687" s="151"/>
      <c r="G687" s="68"/>
      <c r="H687" s="151"/>
      <c r="I687" s="150"/>
      <c r="J687" s="68"/>
      <c r="K687" s="151"/>
      <c r="L687" s="151"/>
      <c r="M687" s="152" t="n">
        <f aca="false">I687-D687</f>
        <v>0</v>
      </c>
    </row>
    <row r="688" customFormat="false" ht="12.75" hidden="false" customHeight="true" outlineLevel="0" collapsed="false">
      <c r="A688" s="139" t="n">
        <v>68726</v>
      </c>
      <c r="B688" s="140"/>
      <c r="C688" s="140"/>
      <c r="D688" s="141"/>
      <c r="E688" s="142"/>
      <c r="F688" s="142"/>
      <c r="G688" s="66"/>
      <c r="H688" s="142"/>
      <c r="I688" s="141"/>
      <c r="J688" s="66"/>
      <c r="K688" s="142"/>
      <c r="L688" s="142"/>
      <c r="M688" s="145" t="n">
        <f aca="false">I688-D688</f>
        <v>0</v>
      </c>
    </row>
    <row r="689" customFormat="false" ht="12.75" hidden="false" customHeight="true" outlineLevel="0" collapsed="false">
      <c r="A689" s="139" t="n">
        <v>68826</v>
      </c>
      <c r="B689" s="149"/>
      <c r="C689" s="149"/>
      <c r="D689" s="150"/>
      <c r="E689" s="151"/>
      <c r="F689" s="151"/>
      <c r="G689" s="68"/>
      <c r="H689" s="151"/>
      <c r="I689" s="150"/>
      <c r="J689" s="68"/>
      <c r="K689" s="151"/>
      <c r="L689" s="151"/>
      <c r="M689" s="152" t="n">
        <f aca="false">I689-D689</f>
        <v>0</v>
      </c>
    </row>
    <row r="690" customFormat="false" ht="12.75" hidden="false" customHeight="true" outlineLevel="0" collapsed="false">
      <c r="A690" s="148" t="n">
        <v>68926</v>
      </c>
      <c r="B690" s="140"/>
      <c r="C690" s="140"/>
      <c r="D690" s="141"/>
      <c r="E690" s="142"/>
      <c r="F690" s="142"/>
      <c r="G690" s="66"/>
      <c r="H690" s="142"/>
      <c r="I690" s="141"/>
      <c r="J690" s="66"/>
      <c r="K690" s="142"/>
      <c r="L690" s="142"/>
      <c r="M690" s="145" t="n">
        <f aca="false">I690-D690</f>
        <v>0</v>
      </c>
    </row>
    <row r="691" customFormat="false" ht="12.75" hidden="false" customHeight="true" outlineLevel="0" collapsed="false">
      <c r="A691" s="139" t="n">
        <v>69026</v>
      </c>
      <c r="B691" s="149"/>
      <c r="C691" s="149"/>
      <c r="D691" s="150"/>
      <c r="E691" s="151"/>
      <c r="F691" s="151"/>
      <c r="G691" s="68"/>
      <c r="H691" s="151"/>
      <c r="I691" s="150"/>
      <c r="J691" s="68"/>
      <c r="K691" s="151"/>
      <c r="L691" s="151"/>
      <c r="M691" s="152" t="n">
        <f aca="false">I691-D691</f>
        <v>0</v>
      </c>
    </row>
    <row r="692" customFormat="false" ht="12.75" hidden="false" customHeight="true" outlineLevel="0" collapsed="false">
      <c r="A692" s="139" t="n">
        <v>69126</v>
      </c>
      <c r="B692" s="140"/>
      <c r="C692" s="140"/>
      <c r="D692" s="141"/>
      <c r="E692" s="142"/>
      <c r="F692" s="142"/>
      <c r="G692" s="66"/>
      <c r="H692" s="142"/>
      <c r="I692" s="141"/>
      <c r="J692" s="66"/>
      <c r="K692" s="142"/>
      <c r="L692" s="142"/>
      <c r="M692" s="145" t="n">
        <f aca="false">I692-D692</f>
        <v>0</v>
      </c>
    </row>
    <row r="693" customFormat="false" ht="12.75" hidden="false" customHeight="true" outlineLevel="0" collapsed="false">
      <c r="A693" s="148" t="n">
        <v>69226</v>
      </c>
      <c r="B693" s="149"/>
      <c r="C693" s="149"/>
      <c r="D693" s="150"/>
      <c r="E693" s="151"/>
      <c r="F693" s="151"/>
      <c r="G693" s="68"/>
      <c r="H693" s="151"/>
      <c r="I693" s="150"/>
      <c r="J693" s="68"/>
      <c r="K693" s="151"/>
      <c r="L693" s="151"/>
      <c r="M693" s="152" t="n">
        <f aca="false">I693-D693</f>
        <v>0</v>
      </c>
    </row>
    <row r="694" customFormat="false" ht="12.75" hidden="false" customHeight="true" outlineLevel="0" collapsed="false">
      <c r="A694" s="139" t="n">
        <v>69326</v>
      </c>
      <c r="B694" s="140"/>
      <c r="C694" s="140"/>
      <c r="D694" s="141"/>
      <c r="E694" s="142"/>
      <c r="F694" s="142"/>
      <c r="G694" s="66"/>
      <c r="H694" s="142"/>
      <c r="I694" s="141"/>
      <c r="J694" s="66"/>
      <c r="K694" s="142"/>
      <c r="L694" s="142"/>
      <c r="M694" s="145" t="n">
        <f aca="false">I694-D694</f>
        <v>0</v>
      </c>
    </row>
    <row r="695" customFormat="false" ht="12.75" hidden="false" customHeight="true" outlineLevel="0" collapsed="false">
      <c r="A695" s="139" t="n">
        <v>69426</v>
      </c>
      <c r="B695" s="149"/>
      <c r="C695" s="149"/>
      <c r="D695" s="150"/>
      <c r="E695" s="151"/>
      <c r="F695" s="151"/>
      <c r="G695" s="68"/>
      <c r="H695" s="151"/>
      <c r="I695" s="150"/>
      <c r="J695" s="68"/>
      <c r="K695" s="151"/>
      <c r="L695" s="151"/>
      <c r="M695" s="152" t="n">
        <f aca="false">I695-D695</f>
        <v>0</v>
      </c>
    </row>
    <row r="696" customFormat="false" ht="12.75" hidden="false" customHeight="true" outlineLevel="0" collapsed="false">
      <c r="A696" s="148" t="n">
        <v>69526</v>
      </c>
      <c r="B696" s="140"/>
      <c r="C696" s="140"/>
      <c r="D696" s="141"/>
      <c r="E696" s="142"/>
      <c r="F696" s="142"/>
      <c r="G696" s="66"/>
      <c r="H696" s="142"/>
      <c r="I696" s="141"/>
      <c r="J696" s="66"/>
      <c r="K696" s="142"/>
      <c r="L696" s="142"/>
      <c r="M696" s="145" t="n">
        <f aca="false">I696-D696</f>
        <v>0</v>
      </c>
    </row>
    <row r="697" customFormat="false" ht="12.75" hidden="false" customHeight="true" outlineLevel="0" collapsed="false">
      <c r="A697" s="139" t="n">
        <v>69626</v>
      </c>
      <c r="B697" s="149"/>
      <c r="C697" s="149"/>
      <c r="D697" s="150"/>
      <c r="E697" s="151"/>
      <c r="F697" s="151"/>
      <c r="G697" s="68"/>
      <c r="H697" s="151"/>
      <c r="I697" s="150"/>
      <c r="J697" s="68"/>
      <c r="K697" s="151"/>
      <c r="L697" s="151"/>
      <c r="M697" s="152" t="n">
        <f aca="false">I697-D697</f>
        <v>0</v>
      </c>
    </row>
    <row r="698" customFormat="false" ht="12.75" hidden="false" customHeight="true" outlineLevel="0" collapsed="false">
      <c r="A698" s="139" t="n">
        <v>69726</v>
      </c>
      <c r="B698" s="140"/>
      <c r="C698" s="140"/>
      <c r="D698" s="141"/>
      <c r="E698" s="142"/>
      <c r="F698" s="142"/>
      <c r="G698" s="66"/>
      <c r="H698" s="142"/>
      <c r="I698" s="141"/>
      <c r="J698" s="66"/>
      <c r="K698" s="142"/>
      <c r="L698" s="142"/>
      <c r="M698" s="145" t="n">
        <f aca="false">I698-D698</f>
        <v>0</v>
      </c>
    </row>
    <row r="699" customFormat="false" ht="12.75" hidden="false" customHeight="true" outlineLevel="0" collapsed="false">
      <c r="A699" s="148" t="n">
        <v>69826</v>
      </c>
      <c r="B699" s="149"/>
      <c r="C699" s="149"/>
      <c r="D699" s="150"/>
      <c r="E699" s="151"/>
      <c r="F699" s="151"/>
      <c r="G699" s="68"/>
      <c r="H699" s="151"/>
      <c r="I699" s="150"/>
      <c r="J699" s="68"/>
      <c r="K699" s="151"/>
      <c r="L699" s="151"/>
      <c r="M699" s="152" t="n">
        <f aca="false">I699-D699</f>
        <v>0</v>
      </c>
    </row>
    <row r="700" customFormat="false" ht="12.75" hidden="false" customHeight="true" outlineLevel="0" collapsed="false">
      <c r="A700" s="139" t="n">
        <v>69926</v>
      </c>
      <c r="B700" s="140"/>
      <c r="C700" s="140"/>
      <c r="D700" s="141"/>
      <c r="E700" s="142"/>
      <c r="F700" s="142"/>
      <c r="G700" s="66"/>
      <c r="H700" s="142"/>
      <c r="I700" s="141"/>
      <c r="J700" s="66"/>
      <c r="K700" s="142"/>
      <c r="L700" s="142"/>
      <c r="M700" s="145" t="n">
        <f aca="false">I700-D700</f>
        <v>0</v>
      </c>
    </row>
    <row r="701" customFormat="false" ht="12.75" hidden="false" customHeight="true" outlineLevel="0" collapsed="false">
      <c r="A701" s="139" t="n">
        <v>70026</v>
      </c>
      <c r="B701" s="149"/>
      <c r="C701" s="149"/>
      <c r="D701" s="150"/>
      <c r="E701" s="151"/>
      <c r="F701" s="151"/>
      <c r="G701" s="68"/>
      <c r="H701" s="151"/>
      <c r="I701" s="150"/>
      <c r="J701" s="68"/>
      <c r="K701" s="151"/>
      <c r="L701" s="151"/>
      <c r="M701" s="152" t="n">
        <f aca="false">I701-D701</f>
        <v>0</v>
      </c>
    </row>
    <row r="702" customFormat="false" ht="12.75" hidden="false" customHeight="true" outlineLevel="0" collapsed="false">
      <c r="A702" s="148" t="n">
        <v>70126</v>
      </c>
      <c r="B702" s="140"/>
      <c r="C702" s="140"/>
      <c r="D702" s="141"/>
      <c r="E702" s="142"/>
      <c r="F702" s="142"/>
      <c r="G702" s="66"/>
      <c r="H702" s="142"/>
      <c r="I702" s="141"/>
      <c r="J702" s="66"/>
      <c r="K702" s="142"/>
      <c r="L702" s="142"/>
      <c r="M702" s="145" t="n">
        <f aca="false">I702-D702</f>
        <v>0</v>
      </c>
    </row>
    <row r="703" customFormat="false" ht="12.75" hidden="false" customHeight="true" outlineLevel="0" collapsed="false">
      <c r="A703" s="139" t="n">
        <v>70226</v>
      </c>
      <c r="B703" s="149"/>
      <c r="C703" s="149"/>
      <c r="D703" s="150"/>
      <c r="E703" s="151"/>
      <c r="F703" s="151"/>
      <c r="G703" s="68"/>
      <c r="H703" s="151"/>
      <c r="I703" s="150"/>
      <c r="J703" s="68"/>
      <c r="K703" s="151"/>
      <c r="L703" s="151"/>
      <c r="M703" s="152" t="n">
        <f aca="false">I703-D703</f>
        <v>0</v>
      </c>
    </row>
    <row r="704" customFormat="false" ht="12.75" hidden="false" customHeight="true" outlineLevel="0" collapsed="false">
      <c r="A704" s="139" t="n">
        <v>70326</v>
      </c>
      <c r="B704" s="140"/>
      <c r="C704" s="140"/>
      <c r="D704" s="141"/>
      <c r="E704" s="142"/>
      <c r="F704" s="142"/>
      <c r="G704" s="66"/>
      <c r="H704" s="142"/>
      <c r="I704" s="141"/>
      <c r="J704" s="66"/>
      <c r="K704" s="142"/>
      <c r="L704" s="142"/>
      <c r="M704" s="145" t="n">
        <f aca="false">I704-D704</f>
        <v>0</v>
      </c>
    </row>
    <row r="705" customFormat="false" ht="12.75" hidden="false" customHeight="true" outlineLevel="0" collapsed="false">
      <c r="A705" s="148" t="n">
        <v>70426</v>
      </c>
      <c r="B705" s="149"/>
      <c r="C705" s="149"/>
      <c r="D705" s="150"/>
      <c r="E705" s="151"/>
      <c r="F705" s="151"/>
      <c r="G705" s="68"/>
      <c r="H705" s="151"/>
      <c r="I705" s="150"/>
      <c r="J705" s="68"/>
      <c r="K705" s="151"/>
      <c r="L705" s="151"/>
      <c r="M705" s="152" t="n">
        <f aca="false">I705-D705</f>
        <v>0</v>
      </c>
    </row>
    <row r="706" customFormat="false" ht="12.75" hidden="false" customHeight="true" outlineLevel="0" collapsed="false">
      <c r="A706" s="139" t="n">
        <v>70526</v>
      </c>
      <c r="B706" s="140"/>
      <c r="C706" s="140"/>
      <c r="D706" s="141"/>
      <c r="E706" s="142"/>
      <c r="F706" s="142"/>
      <c r="G706" s="66"/>
      <c r="H706" s="142"/>
      <c r="I706" s="141"/>
      <c r="J706" s="66"/>
      <c r="K706" s="142"/>
      <c r="L706" s="142"/>
      <c r="M706" s="145" t="n">
        <f aca="false">I706-D706</f>
        <v>0</v>
      </c>
    </row>
    <row r="707" customFormat="false" ht="12.75" hidden="false" customHeight="true" outlineLevel="0" collapsed="false">
      <c r="A707" s="139" t="n">
        <v>70626</v>
      </c>
      <c r="B707" s="149"/>
      <c r="C707" s="149"/>
      <c r="D707" s="150"/>
      <c r="E707" s="151"/>
      <c r="F707" s="151"/>
      <c r="G707" s="68"/>
      <c r="H707" s="151"/>
      <c r="I707" s="150"/>
      <c r="J707" s="68"/>
      <c r="K707" s="151"/>
      <c r="L707" s="151"/>
      <c r="M707" s="152" t="n">
        <f aca="false">I707-D707</f>
        <v>0</v>
      </c>
    </row>
    <row r="708" customFormat="false" ht="12.75" hidden="false" customHeight="true" outlineLevel="0" collapsed="false">
      <c r="A708" s="148" t="n">
        <v>70726</v>
      </c>
      <c r="B708" s="140"/>
      <c r="C708" s="140"/>
      <c r="D708" s="141"/>
      <c r="E708" s="142"/>
      <c r="F708" s="142"/>
      <c r="G708" s="66"/>
      <c r="H708" s="142"/>
      <c r="I708" s="141"/>
      <c r="J708" s="66"/>
      <c r="K708" s="142"/>
      <c r="L708" s="142"/>
      <c r="M708" s="145" t="n">
        <f aca="false">I708-D708</f>
        <v>0</v>
      </c>
    </row>
    <row r="709" customFormat="false" ht="12.75" hidden="false" customHeight="true" outlineLevel="0" collapsed="false">
      <c r="A709" s="139" t="n">
        <v>70826</v>
      </c>
      <c r="B709" s="149"/>
      <c r="C709" s="149"/>
      <c r="D709" s="150"/>
      <c r="E709" s="151"/>
      <c r="F709" s="151"/>
      <c r="G709" s="68"/>
      <c r="H709" s="151"/>
      <c r="I709" s="150"/>
      <c r="J709" s="68"/>
      <c r="K709" s="151"/>
      <c r="L709" s="151"/>
      <c r="M709" s="152" t="n">
        <f aca="false">I709-D709</f>
        <v>0</v>
      </c>
    </row>
    <row r="710" customFormat="false" ht="12.75" hidden="false" customHeight="true" outlineLevel="0" collapsed="false">
      <c r="A710" s="139" t="n">
        <v>70926</v>
      </c>
      <c r="B710" s="140"/>
      <c r="C710" s="140"/>
      <c r="D710" s="141"/>
      <c r="E710" s="142"/>
      <c r="F710" s="142"/>
      <c r="G710" s="66"/>
      <c r="H710" s="142"/>
      <c r="I710" s="141"/>
      <c r="J710" s="66"/>
      <c r="K710" s="142"/>
      <c r="L710" s="142"/>
      <c r="M710" s="145" t="n">
        <f aca="false">I710-D710</f>
        <v>0</v>
      </c>
    </row>
    <row r="711" customFormat="false" ht="12.75" hidden="false" customHeight="true" outlineLevel="0" collapsed="false">
      <c r="A711" s="148" t="n">
        <v>71026</v>
      </c>
      <c r="B711" s="149"/>
      <c r="C711" s="149"/>
      <c r="D711" s="150"/>
      <c r="E711" s="151"/>
      <c r="F711" s="151"/>
      <c r="G711" s="68"/>
      <c r="H711" s="151"/>
      <c r="I711" s="150"/>
      <c r="J711" s="68"/>
      <c r="K711" s="151"/>
      <c r="L711" s="151"/>
      <c r="M711" s="152" t="n">
        <f aca="false">I711-D711</f>
        <v>0</v>
      </c>
    </row>
    <row r="712" customFormat="false" ht="12.75" hidden="false" customHeight="true" outlineLevel="0" collapsed="false">
      <c r="A712" s="139" t="n">
        <v>71126</v>
      </c>
      <c r="B712" s="140"/>
      <c r="C712" s="140"/>
      <c r="D712" s="141"/>
      <c r="E712" s="142"/>
      <c r="F712" s="142"/>
      <c r="G712" s="66"/>
      <c r="H712" s="142"/>
      <c r="I712" s="141"/>
      <c r="J712" s="66"/>
      <c r="K712" s="142"/>
      <c r="L712" s="142"/>
      <c r="M712" s="145" t="n">
        <f aca="false">I712-D712</f>
        <v>0</v>
      </c>
    </row>
    <row r="713" customFormat="false" ht="12.75" hidden="false" customHeight="true" outlineLevel="0" collapsed="false">
      <c r="A713" s="139" t="n">
        <v>71226</v>
      </c>
      <c r="B713" s="149"/>
      <c r="C713" s="149"/>
      <c r="D713" s="150"/>
      <c r="E713" s="151"/>
      <c r="F713" s="151"/>
      <c r="G713" s="68"/>
      <c r="H713" s="151"/>
      <c r="I713" s="150"/>
      <c r="J713" s="68"/>
      <c r="K713" s="151"/>
      <c r="L713" s="151"/>
      <c r="M713" s="152" t="n">
        <f aca="false">I713-D713</f>
        <v>0</v>
      </c>
    </row>
    <row r="714" customFormat="false" ht="12.75" hidden="false" customHeight="true" outlineLevel="0" collapsed="false">
      <c r="A714" s="148" t="n">
        <v>71326</v>
      </c>
      <c r="B714" s="140"/>
      <c r="C714" s="140"/>
      <c r="D714" s="141"/>
      <c r="E714" s="142"/>
      <c r="F714" s="142"/>
      <c r="G714" s="66"/>
      <c r="H714" s="142"/>
      <c r="I714" s="141"/>
      <c r="J714" s="66"/>
      <c r="K714" s="142"/>
      <c r="L714" s="142"/>
      <c r="M714" s="145" t="n">
        <f aca="false">I714-D714</f>
        <v>0</v>
      </c>
    </row>
    <row r="715" customFormat="false" ht="12.75" hidden="false" customHeight="true" outlineLevel="0" collapsed="false">
      <c r="A715" s="139" t="n">
        <v>71426</v>
      </c>
      <c r="B715" s="149"/>
      <c r="C715" s="149"/>
      <c r="D715" s="150"/>
      <c r="E715" s="151"/>
      <c r="F715" s="151"/>
      <c r="G715" s="68"/>
      <c r="H715" s="151"/>
      <c r="I715" s="150"/>
      <c r="J715" s="68"/>
      <c r="K715" s="151"/>
      <c r="L715" s="151"/>
      <c r="M715" s="152" t="n">
        <f aca="false">I715-D715</f>
        <v>0</v>
      </c>
    </row>
    <row r="716" customFormat="false" ht="12.75" hidden="false" customHeight="true" outlineLevel="0" collapsed="false">
      <c r="A716" s="139" t="n">
        <v>71526</v>
      </c>
      <c r="B716" s="140"/>
      <c r="C716" s="140"/>
      <c r="D716" s="141"/>
      <c r="E716" s="142"/>
      <c r="F716" s="142"/>
      <c r="G716" s="66"/>
      <c r="H716" s="142"/>
      <c r="I716" s="141"/>
      <c r="J716" s="66"/>
      <c r="K716" s="142"/>
      <c r="L716" s="142"/>
      <c r="M716" s="145" t="n">
        <f aca="false">I716-D716</f>
        <v>0</v>
      </c>
    </row>
    <row r="717" customFormat="false" ht="12.75" hidden="false" customHeight="true" outlineLevel="0" collapsed="false">
      <c r="A717" s="148" t="n">
        <v>71626</v>
      </c>
      <c r="B717" s="149"/>
      <c r="C717" s="149"/>
      <c r="D717" s="150"/>
      <c r="E717" s="151"/>
      <c r="F717" s="151"/>
      <c r="G717" s="68"/>
      <c r="H717" s="151"/>
      <c r="I717" s="150"/>
      <c r="J717" s="68"/>
      <c r="K717" s="151"/>
      <c r="L717" s="151"/>
      <c r="M717" s="152" t="n">
        <f aca="false">I717-D717</f>
        <v>0</v>
      </c>
    </row>
    <row r="718" customFormat="false" ht="12.75" hidden="false" customHeight="true" outlineLevel="0" collapsed="false">
      <c r="A718" s="139" t="n">
        <v>71726</v>
      </c>
      <c r="B718" s="140"/>
      <c r="C718" s="140"/>
      <c r="D718" s="141"/>
      <c r="E718" s="142"/>
      <c r="F718" s="142"/>
      <c r="G718" s="66"/>
      <c r="H718" s="142"/>
      <c r="I718" s="141"/>
      <c r="J718" s="66"/>
      <c r="K718" s="142"/>
      <c r="L718" s="142"/>
      <c r="M718" s="145" t="n">
        <f aca="false">I718-D718</f>
        <v>0</v>
      </c>
    </row>
    <row r="719" customFormat="false" ht="12.75" hidden="false" customHeight="true" outlineLevel="0" collapsed="false">
      <c r="A719" s="139" t="n">
        <v>71826</v>
      </c>
      <c r="B719" s="149"/>
      <c r="C719" s="149"/>
      <c r="D719" s="150"/>
      <c r="E719" s="151"/>
      <c r="F719" s="151"/>
      <c r="G719" s="68"/>
      <c r="H719" s="151"/>
      <c r="I719" s="150"/>
      <c r="J719" s="68"/>
      <c r="K719" s="151"/>
      <c r="L719" s="151"/>
      <c r="M719" s="152" t="n">
        <f aca="false">I719-D719</f>
        <v>0</v>
      </c>
    </row>
    <row r="720" customFormat="false" ht="12.75" hidden="false" customHeight="true" outlineLevel="0" collapsed="false">
      <c r="A720" s="148" t="n">
        <v>71926</v>
      </c>
      <c r="B720" s="140"/>
      <c r="C720" s="140"/>
      <c r="D720" s="141"/>
      <c r="E720" s="142"/>
      <c r="F720" s="142"/>
      <c r="G720" s="66"/>
      <c r="H720" s="142"/>
      <c r="I720" s="141"/>
      <c r="J720" s="66"/>
      <c r="K720" s="142"/>
      <c r="L720" s="142"/>
      <c r="M720" s="145" t="n">
        <f aca="false">I720-D720</f>
        <v>0</v>
      </c>
    </row>
    <row r="721" customFormat="false" ht="12.75" hidden="false" customHeight="true" outlineLevel="0" collapsed="false">
      <c r="A721" s="139" t="n">
        <v>72026</v>
      </c>
      <c r="B721" s="149"/>
      <c r="C721" s="149"/>
      <c r="D721" s="150"/>
      <c r="E721" s="151"/>
      <c r="F721" s="151"/>
      <c r="G721" s="68"/>
      <c r="H721" s="151"/>
      <c r="I721" s="150"/>
      <c r="J721" s="68"/>
      <c r="K721" s="151"/>
      <c r="L721" s="151"/>
      <c r="M721" s="152" t="n">
        <f aca="false">I721-D721</f>
        <v>0</v>
      </c>
    </row>
    <row r="722" customFormat="false" ht="12.75" hidden="false" customHeight="true" outlineLevel="0" collapsed="false">
      <c r="A722" s="139" t="n">
        <v>72126</v>
      </c>
      <c r="B722" s="140"/>
      <c r="C722" s="140"/>
      <c r="D722" s="141"/>
      <c r="E722" s="142"/>
      <c r="F722" s="142"/>
      <c r="G722" s="66"/>
      <c r="H722" s="142"/>
      <c r="I722" s="141"/>
      <c r="J722" s="66"/>
      <c r="K722" s="142"/>
      <c r="L722" s="142"/>
      <c r="M722" s="145" t="n">
        <f aca="false">I722-D722</f>
        <v>0</v>
      </c>
    </row>
    <row r="723" customFormat="false" ht="12.75" hidden="false" customHeight="true" outlineLevel="0" collapsed="false">
      <c r="A723" s="148" t="n">
        <v>72226</v>
      </c>
      <c r="B723" s="149"/>
      <c r="C723" s="149"/>
      <c r="D723" s="150"/>
      <c r="E723" s="151"/>
      <c r="F723" s="151"/>
      <c r="G723" s="68"/>
      <c r="H723" s="151"/>
      <c r="I723" s="150"/>
      <c r="J723" s="68"/>
      <c r="K723" s="151"/>
      <c r="L723" s="151"/>
      <c r="M723" s="152" t="n">
        <f aca="false">I723-D723</f>
        <v>0</v>
      </c>
    </row>
    <row r="724" customFormat="false" ht="12.75" hidden="false" customHeight="true" outlineLevel="0" collapsed="false">
      <c r="A724" s="139" t="n">
        <v>72326</v>
      </c>
      <c r="B724" s="140"/>
      <c r="C724" s="140"/>
      <c r="D724" s="141"/>
      <c r="E724" s="142"/>
      <c r="F724" s="142"/>
      <c r="G724" s="66"/>
      <c r="H724" s="142"/>
      <c r="I724" s="141"/>
      <c r="J724" s="66"/>
      <c r="K724" s="142"/>
      <c r="L724" s="142"/>
      <c r="M724" s="145" t="n">
        <f aca="false">I724-D724</f>
        <v>0</v>
      </c>
    </row>
    <row r="725" customFormat="false" ht="12.75" hidden="false" customHeight="true" outlineLevel="0" collapsed="false">
      <c r="A725" s="139" t="n">
        <v>72426</v>
      </c>
      <c r="B725" s="149"/>
      <c r="C725" s="149"/>
      <c r="D725" s="150"/>
      <c r="E725" s="151"/>
      <c r="F725" s="151"/>
      <c r="G725" s="68"/>
      <c r="H725" s="151"/>
      <c r="I725" s="150"/>
      <c r="J725" s="68"/>
      <c r="K725" s="151"/>
      <c r="L725" s="151"/>
      <c r="M725" s="152" t="n">
        <f aca="false">I725-D725</f>
        <v>0</v>
      </c>
    </row>
    <row r="726" customFormat="false" ht="12.75" hidden="false" customHeight="true" outlineLevel="0" collapsed="false">
      <c r="A726" s="148" t="n">
        <v>72526</v>
      </c>
      <c r="B726" s="140"/>
      <c r="C726" s="140"/>
      <c r="D726" s="141"/>
      <c r="E726" s="142"/>
      <c r="F726" s="142"/>
      <c r="G726" s="66"/>
      <c r="H726" s="142"/>
      <c r="I726" s="141"/>
      <c r="J726" s="66"/>
      <c r="K726" s="142"/>
      <c r="L726" s="142"/>
      <c r="M726" s="145" t="n">
        <f aca="false">I726-D726</f>
        <v>0</v>
      </c>
    </row>
    <row r="727" customFormat="false" ht="12.75" hidden="false" customHeight="true" outlineLevel="0" collapsed="false">
      <c r="A727" s="139" t="n">
        <v>72626</v>
      </c>
      <c r="B727" s="149"/>
      <c r="C727" s="149"/>
      <c r="D727" s="150"/>
      <c r="E727" s="151"/>
      <c r="F727" s="151"/>
      <c r="G727" s="68"/>
      <c r="H727" s="151"/>
      <c r="I727" s="150"/>
      <c r="J727" s="68"/>
      <c r="K727" s="151"/>
      <c r="L727" s="151"/>
      <c r="M727" s="152" t="n">
        <f aca="false">I727-D727</f>
        <v>0</v>
      </c>
    </row>
    <row r="728" customFormat="false" ht="12.75" hidden="false" customHeight="true" outlineLevel="0" collapsed="false">
      <c r="A728" s="139" t="n">
        <v>72726</v>
      </c>
      <c r="B728" s="140"/>
      <c r="C728" s="140"/>
      <c r="D728" s="141"/>
      <c r="E728" s="142"/>
      <c r="F728" s="142"/>
      <c r="G728" s="66"/>
      <c r="H728" s="142"/>
      <c r="I728" s="141"/>
      <c r="J728" s="66"/>
      <c r="K728" s="142"/>
      <c r="L728" s="142"/>
      <c r="M728" s="145" t="n">
        <f aca="false">I728-D728</f>
        <v>0</v>
      </c>
    </row>
    <row r="729" customFormat="false" ht="12.75" hidden="false" customHeight="true" outlineLevel="0" collapsed="false">
      <c r="A729" s="148" t="n">
        <v>72826</v>
      </c>
      <c r="B729" s="149"/>
      <c r="C729" s="149"/>
      <c r="D729" s="150"/>
      <c r="E729" s="151"/>
      <c r="F729" s="151"/>
      <c r="G729" s="68"/>
      <c r="H729" s="151"/>
      <c r="I729" s="150"/>
      <c r="J729" s="68"/>
      <c r="K729" s="151"/>
      <c r="L729" s="151"/>
      <c r="M729" s="152" t="n">
        <f aca="false">I729-D729</f>
        <v>0</v>
      </c>
    </row>
    <row r="730" customFormat="false" ht="12.75" hidden="false" customHeight="true" outlineLevel="0" collapsed="false">
      <c r="A730" s="139" t="n">
        <v>72926</v>
      </c>
      <c r="B730" s="140"/>
      <c r="C730" s="140"/>
      <c r="D730" s="141"/>
      <c r="E730" s="142"/>
      <c r="F730" s="142"/>
      <c r="G730" s="66"/>
      <c r="H730" s="142"/>
      <c r="I730" s="141"/>
      <c r="J730" s="66"/>
      <c r="K730" s="142"/>
      <c r="L730" s="142"/>
      <c r="M730" s="145" t="n">
        <f aca="false">I730-D730</f>
        <v>0</v>
      </c>
    </row>
    <row r="731" customFormat="false" ht="12.75" hidden="false" customHeight="true" outlineLevel="0" collapsed="false">
      <c r="A731" s="139" t="n">
        <v>73026</v>
      </c>
      <c r="B731" s="149"/>
      <c r="C731" s="149"/>
      <c r="D731" s="150"/>
      <c r="E731" s="151"/>
      <c r="F731" s="151"/>
      <c r="G731" s="68"/>
      <c r="H731" s="151"/>
      <c r="I731" s="150"/>
      <c r="J731" s="68"/>
      <c r="K731" s="151"/>
      <c r="L731" s="151"/>
      <c r="M731" s="152" t="n">
        <f aca="false">I731-D731</f>
        <v>0</v>
      </c>
    </row>
    <row r="732" customFormat="false" ht="12.75" hidden="false" customHeight="true" outlineLevel="0" collapsed="false">
      <c r="A732" s="148" t="n">
        <v>73126</v>
      </c>
      <c r="B732" s="140"/>
      <c r="C732" s="140"/>
      <c r="D732" s="141"/>
      <c r="E732" s="142"/>
      <c r="F732" s="142"/>
      <c r="G732" s="66"/>
      <c r="H732" s="142"/>
      <c r="I732" s="141"/>
      <c r="J732" s="66"/>
      <c r="K732" s="142"/>
      <c r="L732" s="142"/>
      <c r="M732" s="145" t="n">
        <f aca="false">I732-D732</f>
        <v>0</v>
      </c>
    </row>
    <row r="733" customFormat="false" ht="12.75" hidden="false" customHeight="true" outlineLevel="0" collapsed="false">
      <c r="A733" s="139" t="n">
        <v>73226</v>
      </c>
      <c r="B733" s="149"/>
      <c r="C733" s="149"/>
      <c r="D733" s="150"/>
      <c r="E733" s="151"/>
      <c r="F733" s="151"/>
      <c r="G733" s="68"/>
      <c r="H733" s="151"/>
      <c r="I733" s="150"/>
      <c r="J733" s="68"/>
      <c r="K733" s="151"/>
      <c r="L733" s="151"/>
      <c r="M733" s="152" t="n">
        <f aca="false">I733-D733</f>
        <v>0</v>
      </c>
    </row>
    <row r="734" customFormat="false" ht="12.75" hidden="false" customHeight="true" outlineLevel="0" collapsed="false">
      <c r="A734" s="139" t="n">
        <v>73326</v>
      </c>
      <c r="B734" s="140"/>
      <c r="C734" s="140"/>
      <c r="D734" s="141"/>
      <c r="E734" s="142"/>
      <c r="F734" s="142"/>
      <c r="G734" s="66"/>
      <c r="H734" s="142"/>
      <c r="I734" s="141"/>
      <c r="J734" s="66"/>
      <c r="K734" s="142"/>
      <c r="L734" s="142"/>
      <c r="M734" s="145" t="n">
        <f aca="false">I734-D734</f>
        <v>0</v>
      </c>
    </row>
    <row r="735" customFormat="false" ht="12.75" hidden="false" customHeight="true" outlineLevel="0" collapsed="false">
      <c r="A735" s="148" t="n">
        <v>73426</v>
      </c>
      <c r="B735" s="149"/>
      <c r="C735" s="149"/>
      <c r="D735" s="150"/>
      <c r="E735" s="151"/>
      <c r="F735" s="151"/>
      <c r="G735" s="68"/>
      <c r="H735" s="151"/>
      <c r="I735" s="150"/>
      <c r="J735" s="68"/>
      <c r="K735" s="151"/>
      <c r="L735" s="151"/>
      <c r="M735" s="152" t="n">
        <f aca="false">I735-D735</f>
        <v>0</v>
      </c>
    </row>
    <row r="736" customFormat="false" ht="12.75" hidden="false" customHeight="true" outlineLevel="0" collapsed="false">
      <c r="A736" s="139" t="n">
        <v>73526</v>
      </c>
      <c r="B736" s="140"/>
      <c r="C736" s="140"/>
      <c r="D736" s="141"/>
      <c r="E736" s="142"/>
      <c r="F736" s="142"/>
      <c r="G736" s="66"/>
      <c r="H736" s="142"/>
      <c r="I736" s="141"/>
      <c r="J736" s="66"/>
      <c r="K736" s="142"/>
      <c r="L736" s="142"/>
      <c r="M736" s="145" t="n">
        <f aca="false">I736-D736</f>
        <v>0</v>
      </c>
    </row>
    <row r="737" customFormat="false" ht="12.75" hidden="false" customHeight="true" outlineLevel="0" collapsed="false">
      <c r="A737" s="139" t="n">
        <v>73626</v>
      </c>
      <c r="B737" s="149"/>
      <c r="C737" s="149"/>
      <c r="D737" s="150"/>
      <c r="E737" s="151"/>
      <c r="F737" s="151"/>
      <c r="G737" s="68"/>
      <c r="H737" s="151"/>
      <c r="I737" s="150"/>
      <c r="J737" s="68"/>
      <c r="K737" s="151"/>
      <c r="L737" s="151"/>
      <c r="M737" s="152" t="n">
        <f aca="false">I737-D737</f>
        <v>0</v>
      </c>
    </row>
    <row r="738" customFormat="false" ht="12.75" hidden="false" customHeight="true" outlineLevel="0" collapsed="false">
      <c r="A738" s="148" t="n">
        <v>73726</v>
      </c>
      <c r="B738" s="140"/>
      <c r="C738" s="140"/>
      <c r="D738" s="141"/>
      <c r="E738" s="142"/>
      <c r="F738" s="142"/>
      <c r="G738" s="66"/>
      <c r="H738" s="142"/>
      <c r="I738" s="141"/>
      <c r="J738" s="66"/>
      <c r="K738" s="142"/>
      <c r="L738" s="142"/>
      <c r="M738" s="145" t="n">
        <f aca="false">I738-D738</f>
        <v>0</v>
      </c>
    </row>
    <row r="739" customFormat="false" ht="12.75" hidden="false" customHeight="true" outlineLevel="0" collapsed="false">
      <c r="A739" s="139" t="n">
        <v>73826</v>
      </c>
      <c r="B739" s="149"/>
      <c r="C739" s="149"/>
      <c r="D739" s="150"/>
      <c r="E739" s="151"/>
      <c r="F739" s="151"/>
      <c r="G739" s="68"/>
      <c r="H739" s="151"/>
      <c r="I739" s="150"/>
      <c r="J739" s="68"/>
      <c r="K739" s="151"/>
      <c r="L739" s="151"/>
      <c r="M739" s="152" t="n">
        <f aca="false">I739-D739</f>
        <v>0</v>
      </c>
    </row>
    <row r="740" customFormat="false" ht="12.75" hidden="false" customHeight="true" outlineLevel="0" collapsed="false">
      <c r="A740" s="139" t="n">
        <v>73926</v>
      </c>
      <c r="B740" s="140"/>
      <c r="C740" s="140"/>
      <c r="D740" s="141"/>
      <c r="E740" s="142"/>
      <c r="F740" s="142"/>
      <c r="G740" s="66"/>
      <c r="H740" s="142"/>
      <c r="I740" s="141"/>
      <c r="J740" s="66"/>
      <c r="K740" s="142"/>
      <c r="L740" s="142"/>
      <c r="M740" s="145" t="n">
        <f aca="false">I740-D740</f>
        <v>0</v>
      </c>
    </row>
    <row r="741" customFormat="false" ht="12.75" hidden="false" customHeight="true" outlineLevel="0" collapsed="false">
      <c r="A741" s="148" t="n">
        <v>74026</v>
      </c>
      <c r="B741" s="149"/>
      <c r="C741" s="149"/>
      <c r="D741" s="150"/>
      <c r="E741" s="151"/>
      <c r="F741" s="151"/>
      <c r="G741" s="68"/>
      <c r="H741" s="151"/>
      <c r="I741" s="150"/>
      <c r="J741" s="68"/>
      <c r="K741" s="151"/>
      <c r="L741" s="151"/>
      <c r="M741" s="152" t="n">
        <f aca="false">I741-D741</f>
        <v>0</v>
      </c>
    </row>
    <row r="742" customFormat="false" ht="12.75" hidden="false" customHeight="true" outlineLevel="0" collapsed="false">
      <c r="A742" s="139" t="n">
        <v>74126</v>
      </c>
      <c r="B742" s="140"/>
      <c r="C742" s="140"/>
      <c r="D742" s="141"/>
      <c r="E742" s="142"/>
      <c r="F742" s="142"/>
      <c r="G742" s="66"/>
      <c r="H742" s="142"/>
      <c r="I742" s="141"/>
      <c r="J742" s="66"/>
      <c r="K742" s="142"/>
      <c r="L742" s="142"/>
      <c r="M742" s="145" t="n">
        <f aca="false">I742-D742</f>
        <v>0</v>
      </c>
    </row>
    <row r="743" customFormat="false" ht="12.75" hidden="false" customHeight="true" outlineLevel="0" collapsed="false">
      <c r="A743" s="139" t="n">
        <v>74226</v>
      </c>
      <c r="B743" s="149"/>
      <c r="C743" s="149"/>
      <c r="D743" s="150"/>
      <c r="E743" s="151"/>
      <c r="F743" s="151"/>
      <c r="G743" s="68"/>
      <c r="H743" s="151"/>
      <c r="I743" s="150"/>
      <c r="J743" s="68"/>
      <c r="K743" s="151"/>
      <c r="L743" s="151"/>
      <c r="M743" s="152" t="n">
        <f aca="false">I743-D743</f>
        <v>0</v>
      </c>
    </row>
    <row r="744" customFormat="false" ht="12.75" hidden="false" customHeight="true" outlineLevel="0" collapsed="false">
      <c r="A744" s="148" t="n">
        <v>74326</v>
      </c>
      <c r="B744" s="140"/>
      <c r="C744" s="140"/>
      <c r="D744" s="141"/>
      <c r="E744" s="142"/>
      <c r="F744" s="142"/>
      <c r="G744" s="66"/>
      <c r="H744" s="142"/>
      <c r="I744" s="141"/>
      <c r="J744" s="66"/>
      <c r="K744" s="142"/>
      <c r="L744" s="142"/>
      <c r="M744" s="145" t="n">
        <f aca="false">I744-D744</f>
        <v>0</v>
      </c>
    </row>
    <row r="745" customFormat="false" ht="12.75" hidden="false" customHeight="true" outlineLevel="0" collapsed="false">
      <c r="A745" s="139" t="n">
        <v>74426</v>
      </c>
      <c r="B745" s="149"/>
      <c r="C745" s="149"/>
      <c r="D745" s="150"/>
      <c r="E745" s="151"/>
      <c r="F745" s="151"/>
      <c r="G745" s="68"/>
      <c r="H745" s="151"/>
      <c r="I745" s="150"/>
      <c r="J745" s="68"/>
      <c r="K745" s="151"/>
      <c r="L745" s="151"/>
      <c r="M745" s="152" t="n">
        <f aca="false">I745-D745</f>
        <v>0</v>
      </c>
    </row>
    <row r="746" customFormat="false" ht="12.75" hidden="false" customHeight="true" outlineLevel="0" collapsed="false">
      <c r="A746" s="139" t="n">
        <v>74526</v>
      </c>
      <c r="B746" s="140"/>
      <c r="C746" s="140"/>
      <c r="D746" s="141"/>
      <c r="E746" s="142"/>
      <c r="F746" s="142"/>
      <c r="G746" s="66"/>
      <c r="H746" s="142"/>
      <c r="I746" s="141"/>
      <c r="J746" s="66"/>
      <c r="K746" s="142"/>
      <c r="L746" s="142"/>
      <c r="M746" s="145" t="n">
        <f aca="false">I746-D746</f>
        <v>0</v>
      </c>
    </row>
    <row r="747" customFormat="false" ht="12.75" hidden="false" customHeight="true" outlineLevel="0" collapsed="false">
      <c r="A747" s="148" t="n">
        <v>74626</v>
      </c>
      <c r="B747" s="149"/>
      <c r="C747" s="149"/>
      <c r="D747" s="150"/>
      <c r="E747" s="151"/>
      <c r="F747" s="151"/>
      <c r="G747" s="68"/>
      <c r="H747" s="151"/>
      <c r="I747" s="150"/>
      <c r="J747" s="68"/>
      <c r="K747" s="151"/>
      <c r="L747" s="151"/>
      <c r="M747" s="152" t="n">
        <f aca="false">I747-D747</f>
        <v>0</v>
      </c>
    </row>
    <row r="748" customFormat="false" ht="12.75" hidden="false" customHeight="true" outlineLevel="0" collapsed="false">
      <c r="A748" s="139" t="n">
        <v>74726</v>
      </c>
      <c r="B748" s="140"/>
      <c r="C748" s="140"/>
      <c r="D748" s="141"/>
      <c r="E748" s="142"/>
      <c r="F748" s="142"/>
      <c r="G748" s="66"/>
      <c r="H748" s="142"/>
      <c r="I748" s="141"/>
      <c r="J748" s="66"/>
      <c r="K748" s="142"/>
      <c r="L748" s="142"/>
      <c r="M748" s="145" t="n">
        <f aca="false">I748-D748</f>
        <v>0</v>
      </c>
    </row>
    <row r="749" customFormat="false" ht="12.75" hidden="false" customHeight="true" outlineLevel="0" collapsed="false">
      <c r="A749" s="139" t="n">
        <v>74826</v>
      </c>
      <c r="B749" s="149"/>
      <c r="C749" s="149"/>
      <c r="D749" s="150"/>
      <c r="E749" s="151"/>
      <c r="F749" s="151"/>
      <c r="G749" s="68"/>
      <c r="H749" s="151"/>
      <c r="I749" s="150"/>
      <c r="J749" s="68"/>
      <c r="K749" s="151"/>
      <c r="L749" s="151"/>
      <c r="M749" s="152" t="n">
        <f aca="false">I749-D749</f>
        <v>0</v>
      </c>
    </row>
    <row r="750" customFormat="false" ht="12.75" hidden="false" customHeight="true" outlineLevel="0" collapsed="false">
      <c r="A750" s="148" t="n">
        <v>74926</v>
      </c>
      <c r="B750" s="140"/>
      <c r="C750" s="140"/>
      <c r="D750" s="141"/>
      <c r="E750" s="142"/>
      <c r="F750" s="142"/>
      <c r="G750" s="66"/>
      <c r="H750" s="142"/>
      <c r="I750" s="141"/>
      <c r="J750" s="66"/>
      <c r="K750" s="142"/>
      <c r="L750" s="142"/>
      <c r="M750" s="145" t="n">
        <f aca="false">I750-D750</f>
        <v>0</v>
      </c>
    </row>
    <row r="751" customFormat="false" ht="12.75" hidden="false" customHeight="true" outlineLevel="0" collapsed="false">
      <c r="A751" s="139" t="n">
        <v>75026</v>
      </c>
      <c r="B751" s="149"/>
      <c r="C751" s="149"/>
      <c r="D751" s="150"/>
      <c r="E751" s="151"/>
      <c r="F751" s="151"/>
      <c r="G751" s="68"/>
      <c r="H751" s="151"/>
      <c r="I751" s="150"/>
      <c r="J751" s="68"/>
      <c r="K751" s="151"/>
      <c r="L751" s="151"/>
      <c r="M751" s="152" t="n">
        <f aca="false">I751-D751</f>
        <v>0</v>
      </c>
    </row>
    <row r="752" customFormat="false" ht="12.75" hidden="false" customHeight="true" outlineLevel="0" collapsed="false">
      <c r="A752" s="139" t="n">
        <v>75126</v>
      </c>
      <c r="B752" s="140"/>
      <c r="C752" s="140"/>
      <c r="D752" s="141"/>
      <c r="E752" s="142"/>
      <c r="F752" s="142"/>
      <c r="G752" s="66"/>
      <c r="H752" s="142"/>
      <c r="I752" s="141"/>
      <c r="J752" s="66"/>
      <c r="K752" s="142"/>
      <c r="L752" s="142"/>
      <c r="M752" s="145" t="n">
        <f aca="false">I752-D752</f>
        <v>0</v>
      </c>
    </row>
    <row r="753" customFormat="false" ht="12.75" hidden="false" customHeight="true" outlineLevel="0" collapsed="false">
      <c r="A753" s="148" t="n">
        <v>75226</v>
      </c>
      <c r="B753" s="149"/>
      <c r="C753" s="149"/>
      <c r="D753" s="150"/>
      <c r="E753" s="151"/>
      <c r="F753" s="151"/>
      <c r="G753" s="68"/>
      <c r="H753" s="151"/>
      <c r="I753" s="150"/>
      <c r="J753" s="68"/>
      <c r="K753" s="151"/>
      <c r="L753" s="151"/>
      <c r="M753" s="152" t="n">
        <f aca="false">I753-D753</f>
        <v>0</v>
      </c>
    </row>
    <row r="754" customFormat="false" ht="12.75" hidden="false" customHeight="true" outlineLevel="0" collapsed="false">
      <c r="A754" s="139" t="n">
        <v>75326</v>
      </c>
      <c r="B754" s="140"/>
      <c r="C754" s="140"/>
      <c r="D754" s="141"/>
      <c r="E754" s="142"/>
      <c r="F754" s="142"/>
      <c r="G754" s="66"/>
      <c r="H754" s="142"/>
      <c r="I754" s="141"/>
      <c r="J754" s="66"/>
      <c r="K754" s="142"/>
      <c r="L754" s="142"/>
      <c r="M754" s="145" t="n">
        <f aca="false">I754-D754</f>
        <v>0</v>
      </c>
    </row>
    <row r="755" customFormat="false" ht="12.75" hidden="false" customHeight="true" outlineLevel="0" collapsed="false">
      <c r="A755" s="139" t="n">
        <v>75426</v>
      </c>
      <c r="B755" s="149"/>
      <c r="C755" s="149"/>
      <c r="D755" s="150"/>
      <c r="E755" s="151"/>
      <c r="F755" s="151"/>
      <c r="G755" s="68"/>
      <c r="H755" s="151"/>
      <c r="I755" s="150"/>
      <c r="J755" s="68"/>
      <c r="K755" s="151"/>
      <c r="L755" s="151"/>
      <c r="M755" s="152" t="n">
        <f aca="false">I755-D755</f>
        <v>0</v>
      </c>
    </row>
    <row r="756" customFormat="false" ht="12.75" hidden="false" customHeight="true" outlineLevel="0" collapsed="false">
      <c r="A756" s="148" t="n">
        <v>75526</v>
      </c>
      <c r="B756" s="140"/>
      <c r="C756" s="140"/>
      <c r="D756" s="141"/>
      <c r="E756" s="142"/>
      <c r="F756" s="142"/>
      <c r="G756" s="66"/>
      <c r="H756" s="142"/>
      <c r="I756" s="141"/>
      <c r="J756" s="66"/>
      <c r="K756" s="142"/>
      <c r="L756" s="142"/>
      <c r="M756" s="145" t="n">
        <f aca="false">I756-D756</f>
        <v>0</v>
      </c>
    </row>
    <row r="757" customFormat="false" ht="12.75" hidden="false" customHeight="true" outlineLevel="0" collapsed="false">
      <c r="A757" s="139" t="n">
        <v>75626</v>
      </c>
      <c r="B757" s="149"/>
      <c r="C757" s="149"/>
      <c r="D757" s="150"/>
      <c r="E757" s="151"/>
      <c r="F757" s="151"/>
      <c r="G757" s="68"/>
      <c r="H757" s="151"/>
      <c r="I757" s="150"/>
      <c r="J757" s="68"/>
      <c r="K757" s="151"/>
      <c r="L757" s="151"/>
      <c r="M757" s="152" t="n">
        <f aca="false">I757-D757</f>
        <v>0</v>
      </c>
    </row>
    <row r="758" customFormat="false" ht="12.75" hidden="false" customHeight="true" outlineLevel="0" collapsed="false">
      <c r="A758" s="139" t="n">
        <v>75726</v>
      </c>
      <c r="B758" s="140"/>
      <c r="C758" s="140"/>
      <c r="D758" s="141"/>
      <c r="E758" s="142"/>
      <c r="F758" s="142"/>
      <c r="G758" s="66"/>
      <c r="H758" s="142"/>
      <c r="I758" s="141"/>
      <c r="J758" s="66"/>
      <c r="K758" s="142"/>
      <c r="L758" s="142"/>
      <c r="M758" s="145" t="n">
        <f aca="false">I758-D758</f>
        <v>0</v>
      </c>
    </row>
    <row r="759" customFormat="false" ht="12.75" hidden="false" customHeight="true" outlineLevel="0" collapsed="false">
      <c r="A759" s="148" t="n">
        <v>75826</v>
      </c>
      <c r="B759" s="149"/>
      <c r="C759" s="149"/>
      <c r="D759" s="150"/>
      <c r="E759" s="151"/>
      <c r="F759" s="151"/>
      <c r="G759" s="68"/>
      <c r="H759" s="151"/>
      <c r="I759" s="150"/>
      <c r="J759" s="68"/>
      <c r="K759" s="151"/>
      <c r="L759" s="151"/>
      <c r="M759" s="152" t="n">
        <f aca="false">I759-D759</f>
        <v>0</v>
      </c>
    </row>
    <row r="760" customFormat="false" ht="12.75" hidden="false" customHeight="true" outlineLevel="0" collapsed="false">
      <c r="A760" s="139" t="n">
        <v>75926</v>
      </c>
      <c r="B760" s="140"/>
      <c r="C760" s="140"/>
      <c r="D760" s="141"/>
      <c r="E760" s="142"/>
      <c r="F760" s="142"/>
      <c r="G760" s="66"/>
      <c r="H760" s="142"/>
      <c r="I760" s="141"/>
      <c r="J760" s="66"/>
      <c r="K760" s="142"/>
      <c r="L760" s="142"/>
      <c r="M760" s="145" t="n">
        <f aca="false">I760-D760</f>
        <v>0</v>
      </c>
    </row>
    <row r="761" customFormat="false" ht="12.75" hidden="false" customHeight="true" outlineLevel="0" collapsed="false">
      <c r="A761" s="139" t="n">
        <v>76026</v>
      </c>
      <c r="B761" s="149"/>
      <c r="C761" s="149"/>
      <c r="D761" s="150"/>
      <c r="E761" s="151"/>
      <c r="F761" s="151"/>
      <c r="G761" s="68"/>
      <c r="H761" s="151"/>
      <c r="I761" s="150"/>
      <c r="J761" s="68"/>
      <c r="K761" s="151"/>
      <c r="L761" s="151"/>
      <c r="M761" s="152" t="n">
        <f aca="false">I761-D761</f>
        <v>0</v>
      </c>
    </row>
    <row r="762" customFormat="false" ht="12.75" hidden="false" customHeight="true" outlineLevel="0" collapsed="false">
      <c r="A762" s="148" t="n">
        <v>76126</v>
      </c>
      <c r="B762" s="140"/>
      <c r="C762" s="140"/>
      <c r="D762" s="141"/>
      <c r="E762" s="142"/>
      <c r="F762" s="142"/>
      <c r="G762" s="66"/>
      <c r="H762" s="142"/>
      <c r="I762" s="141"/>
      <c r="J762" s="66"/>
      <c r="K762" s="142"/>
      <c r="L762" s="142"/>
      <c r="M762" s="145" t="n">
        <f aca="false">I762-D762</f>
        <v>0</v>
      </c>
    </row>
    <row r="763" customFormat="false" ht="12.75" hidden="false" customHeight="true" outlineLevel="0" collapsed="false">
      <c r="A763" s="139" t="n">
        <v>76226</v>
      </c>
      <c r="B763" s="149"/>
      <c r="C763" s="149"/>
      <c r="D763" s="150"/>
      <c r="E763" s="151"/>
      <c r="F763" s="151"/>
      <c r="G763" s="68"/>
      <c r="H763" s="151"/>
      <c r="I763" s="150"/>
      <c r="J763" s="68"/>
      <c r="K763" s="151"/>
      <c r="L763" s="151"/>
      <c r="M763" s="152" t="n">
        <f aca="false">I763-D763</f>
        <v>0</v>
      </c>
    </row>
    <row r="764" customFormat="false" ht="12.75" hidden="false" customHeight="true" outlineLevel="0" collapsed="false">
      <c r="A764" s="139" t="n">
        <v>76326</v>
      </c>
      <c r="B764" s="140"/>
      <c r="C764" s="140"/>
      <c r="D764" s="141"/>
      <c r="E764" s="142"/>
      <c r="F764" s="142"/>
      <c r="G764" s="66"/>
      <c r="H764" s="142"/>
      <c r="I764" s="141"/>
      <c r="J764" s="66"/>
      <c r="K764" s="142"/>
      <c r="L764" s="142"/>
      <c r="M764" s="145" t="n">
        <f aca="false">I764-D764</f>
        <v>0</v>
      </c>
    </row>
    <row r="765" customFormat="false" ht="12.75" hidden="false" customHeight="true" outlineLevel="0" collapsed="false">
      <c r="A765" s="148" t="n">
        <v>76426</v>
      </c>
      <c r="B765" s="149"/>
      <c r="C765" s="149"/>
      <c r="D765" s="150"/>
      <c r="E765" s="151"/>
      <c r="F765" s="151"/>
      <c r="G765" s="68"/>
      <c r="H765" s="151"/>
      <c r="I765" s="150"/>
      <c r="J765" s="68"/>
      <c r="K765" s="151"/>
      <c r="L765" s="151"/>
      <c r="M765" s="152" t="n">
        <f aca="false">I765-D765</f>
        <v>0</v>
      </c>
    </row>
    <row r="766" customFormat="false" ht="12.75" hidden="false" customHeight="true" outlineLevel="0" collapsed="false">
      <c r="A766" s="139" t="n">
        <v>76526</v>
      </c>
      <c r="B766" s="140"/>
      <c r="C766" s="140"/>
      <c r="D766" s="141"/>
      <c r="E766" s="142"/>
      <c r="F766" s="142"/>
      <c r="G766" s="66"/>
      <c r="H766" s="142"/>
      <c r="I766" s="141"/>
      <c r="J766" s="66"/>
      <c r="K766" s="142"/>
      <c r="L766" s="142"/>
      <c r="M766" s="145" t="n">
        <f aca="false">I766-D766</f>
        <v>0</v>
      </c>
    </row>
    <row r="767" customFormat="false" ht="12.75" hidden="false" customHeight="true" outlineLevel="0" collapsed="false">
      <c r="A767" s="139" t="n">
        <v>76626</v>
      </c>
      <c r="B767" s="149"/>
      <c r="C767" s="149"/>
      <c r="D767" s="150"/>
      <c r="E767" s="151"/>
      <c r="F767" s="151"/>
      <c r="G767" s="68"/>
      <c r="H767" s="151"/>
      <c r="I767" s="150"/>
      <c r="J767" s="68"/>
      <c r="K767" s="151"/>
      <c r="L767" s="151"/>
      <c r="M767" s="152" t="n">
        <f aca="false">I767-D767</f>
        <v>0</v>
      </c>
    </row>
    <row r="768" customFormat="false" ht="12.75" hidden="false" customHeight="true" outlineLevel="0" collapsed="false">
      <c r="A768" s="148" t="n">
        <v>76726</v>
      </c>
      <c r="B768" s="140"/>
      <c r="C768" s="140"/>
      <c r="D768" s="141"/>
      <c r="E768" s="142"/>
      <c r="F768" s="142"/>
      <c r="G768" s="66"/>
      <c r="H768" s="142"/>
      <c r="I768" s="141"/>
      <c r="J768" s="66"/>
      <c r="K768" s="142"/>
      <c r="L768" s="142"/>
      <c r="M768" s="145" t="n">
        <f aca="false">I768-D768</f>
        <v>0</v>
      </c>
    </row>
    <row r="769" customFormat="false" ht="12.75" hidden="false" customHeight="true" outlineLevel="0" collapsed="false">
      <c r="A769" s="139" t="n">
        <v>76826</v>
      </c>
      <c r="B769" s="149"/>
      <c r="C769" s="149"/>
      <c r="D769" s="150"/>
      <c r="E769" s="151"/>
      <c r="F769" s="151"/>
      <c r="G769" s="68"/>
      <c r="H769" s="151"/>
      <c r="I769" s="150"/>
      <c r="J769" s="68"/>
      <c r="K769" s="151"/>
      <c r="L769" s="151"/>
      <c r="M769" s="152" t="n">
        <f aca="false">I769-D769</f>
        <v>0</v>
      </c>
    </row>
    <row r="770" customFormat="false" ht="12.75" hidden="false" customHeight="true" outlineLevel="0" collapsed="false">
      <c r="A770" s="139" t="n">
        <v>76926</v>
      </c>
      <c r="B770" s="140"/>
      <c r="C770" s="140"/>
      <c r="D770" s="141"/>
      <c r="E770" s="142"/>
      <c r="F770" s="142"/>
      <c r="G770" s="66"/>
      <c r="H770" s="142"/>
      <c r="I770" s="141"/>
      <c r="J770" s="66"/>
      <c r="K770" s="142"/>
      <c r="L770" s="142"/>
      <c r="M770" s="145" t="n">
        <f aca="false">I770-D770</f>
        <v>0</v>
      </c>
    </row>
    <row r="771" customFormat="false" ht="12.75" hidden="false" customHeight="true" outlineLevel="0" collapsed="false">
      <c r="A771" s="148" t="n">
        <v>77026</v>
      </c>
      <c r="B771" s="149"/>
      <c r="C771" s="149"/>
      <c r="D771" s="150"/>
      <c r="E771" s="151"/>
      <c r="F771" s="151"/>
      <c r="G771" s="68"/>
      <c r="H771" s="151"/>
      <c r="I771" s="150"/>
      <c r="J771" s="68"/>
      <c r="K771" s="151"/>
      <c r="L771" s="151"/>
      <c r="M771" s="152" t="n">
        <f aca="false">I771-D771</f>
        <v>0</v>
      </c>
    </row>
    <row r="772" customFormat="false" ht="12.75" hidden="false" customHeight="true" outlineLevel="0" collapsed="false">
      <c r="A772" s="139" t="n">
        <v>77126</v>
      </c>
      <c r="B772" s="140"/>
      <c r="C772" s="140"/>
      <c r="D772" s="141"/>
      <c r="E772" s="142"/>
      <c r="F772" s="142"/>
      <c r="G772" s="66"/>
      <c r="H772" s="142"/>
      <c r="I772" s="141"/>
      <c r="J772" s="66"/>
      <c r="K772" s="142"/>
      <c r="L772" s="142"/>
      <c r="M772" s="145" t="n">
        <f aca="false">I772-D772</f>
        <v>0</v>
      </c>
    </row>
    <row r="773" customFormat="false" ht="12.75" hidden="false" customHeight="true" outlineLevel="0" collapsed="false">
      <c r="A773" s="139" t="n">
        <v>77226</v>
      </c>
      <c r="B773" s="149"/>
      <c r="C773" s="149"/>
      <c r="D773" s="150"/>
      <c r="E773" s="151"/>
      <c r="F773" s="151"/>
      <c r="G773" s="68"/>
      <c r="H773" s="151"/>
      <c r="I773" s="150"/>
      <c r="J773" s="68"/>
      <c r="K773" s="151"/>
      <c r="L773" s="151"/>
      <c r="M773" s="152" t="n">
        <f aca="false">I773-D773</f>
        <v>0</v>
      </c>
    </row>
    <row r="774" customFormat="false" ht="12.75" hidden="false" customHeight="true" outlineLevel="0" collapsed="false">
      <c r="A774" s="148" t="n">
        <v>77326</v>
      </c>
      <c r="B774" s="140"/>
      <c r="C774" s="140"/>
      <c r="D774" s="141"/>
      <c r="E774" s="142"/>
      <c r="F774" s="142"/>
      <c r="G774" s="66"/>
      <c r="H774" s="142"/>
      <c r="I774" s="141"/>
      <c r="J774" s="66"/>
      <c r="K774" s="142"/>
      <c r="L774" s="142"/>
      <c r="M774" s="145" t="n">
        <f aca="false">I774-D774</f>
        <v>0</v>
      </c>
    </row>
    <row r="775" customFormat="false" ht="12.75" hidden="false" customHeight="true" outlineLevel="0" collapsed="false">
      <c r="A775" s="139" t="n">
        <v>77426</v>
      </c>
      <c r="B775" s="149"/>
      <c r="C775" s="149"/>
      <c r="D775" s="150"/>
      <c r="E775" s="151"/>
      <c r="F775" s="151"/>
      <c r="G775" s="68"/>
      <c r="H775" s="151"/>
      <c r="I775" s="150"/>
      <c r="J775" s="68"/>
      <c r="K775" s="151"/>
      <c r="L775" s="151"/>
      <c r="M775" s="152" t="n">
        <f aca="false">I775-D775</f>
        <v>0</v>
      </c>
    </row>
    <row r="776" customFormat="false" ht="12.75" hidden="false" customHeight="true" outlineLevel="0" collapsed="false">
      <c r="A776" s="139" t="n">
        <v>77526</v>
      </c>
      <c r="B776" s="140"/>
      <c r="C776" s="140"/>
      <c r="D776" s="141"/>
      <c r="E776" s="142"/>
      <c r="F776" s="142"/>
      <c r="G776" s="66"/>
      <c r="H776" s="142"/>
      <c r="I776" s="141"/>
      <c r="J776" s="66"/>
      <c r="K776" s="142"/>
      <c r="L776" s="142"/>
      <c r="M776" s="145" t="n">
        <f aca="false">I776-D776</f>
        <v>0</v>
      </c>
    </row>
    <row r="777" customFormat="false" ht="12.75" hidden="false" customHeight="true" outlineLevel="0" collapsed="false">
      <c r="A777" s="148" t="n">
        <v>77626</v>
      </c>
      <c r="B777" s="149"/>
      <c r="C777" s="149"/>
      <c r="D777" s="150"/>
      <c r="E777" s="151"/>
      <c r="F777" s="151"/>
      <c r="G777" s="68"/>
      <c r="H777" s="151"/>
      <c r="I777" s="150"/>
      <c r="J777" s="68"/>
      <c r="K777" s="151"/>
      <c r="L777" s="151"/>
      <c r="M777" s="152" t="n">
        <f aca="false">I777-D777</f>
        <v>0</v>
      </c>
    </row>
    <row r="778" customFormat="false" ht="12.75" hidden="false" customHeight="true" outlineLevel="0" collapsed="false">
      <c r="A778" s="139" t="n">
        <v>77726</v>
      </c>
      <c r="B778" s="140"/>
      <c r="C778" s="140"/>
      <c r="D778" s="141"/>
      <c r="E778" s="142"/>
      <c r="F778" s="142"/>
      <c r="G778" s="66"/>
      <c r="H778" s="142"/>
      <c r="I778" s="141"/>
      <c r="J778" s="66"/>
      <c r="K778" s="142"/>
      <c r="L778" s="142"/>
      <c r="M778" s="145" t="n">
        <f aca="false">I778-D778</f>
        <v>0</v>
      </c>
    </row>
    <row r="779" customFormat="false" ht="12.75" hidden="false" customHeight="true" outlineLevel="0" collapsed="false">
      <c r="A779" s="139" t="n">
        <v>77826</v>
      </c>
      <c r="B779" s="149"/>
      <c r="C779" s="149"/>
      <c r="D779" s="150"/>
      <c r="E779" s="151"/>
      <c r="F779" s="151"/>
      <c r="G779" s="68"/>
      <c r="H779" s="151"/>
      <c r="I779" s="150"/>
      <c r="J779" s="68"/>
      <c r="K779" s="151"/>
      <c r="L779" s="151"/>
      <c r="M779" s="152" t="n">
        <f aca="false">I779-D779</f>
        <v>0</v>
      </c>
    </row>
    <row r="780" customFormat="false" ht="12.75" hidden="false" customHeight="true" outlineLevel="0" collapsed="false">
      <c r="A780" s="148" t="n">
        <v>77926</v>
      </c>
      <c r="B780" s="140"/>
      <c r="C780" s="140"/>
      <c r="D780" s="141"/>
      <c r="E780" s="142"/>
      <c r="F780" s="142"/>
      <c r="G780" s="66"/>
      <c r="H780" s="142"/>
      <c r="I780" s="141"/>
      <c r="J780" s="66"/>
      <c r="K780" s="142"/>
      <c r="L780" s="142"/>
      <c r="M780" s="145" t="n">
        <f aca="false">I780-D780</f>
        <v>0</v>
      </c>
    </row>
    <row r="781" customFormat="false" ht="12.75" hidden="false" customHeight="true" outlineLevel="0" collapsed="false">
      <c r="A781" s="139" t="n">
        <v>78026</v>
      </c>
      <c r="B781" s="149"/>
      <c r="C781" s="149"/>
      <c r="D781" s="150"/>
      <c r="E781" s="151"/>
      <c r="F781" s="151"/>
      <c r="G781" s="68"/>
      <c r="H781" s="151"/>
      <c r="I781" s="150"/>
      <c r="J781" s="68"/>
      <c r="K781" s="151"/>
      <c r="L781" s="151"/>
      <c r="M781" s="152" t="n">
        <f aca="false">I781-D781</f>
        <v>0</v>
      </c>
    </row>
    <row r="782" customFormat="false" ht="12.75" hidden="false" customHeight="true" outlineLevel="0" collapsed="false">
      <c r="A782" s="139" t="n">
        <v>78126</v>
      </c>
      <c r="B782" s="140"/>
      <c r="C782" s="140"/>
      <c r="D782" s="141"/>
      <c r="E782" s="142"/>
      <c r="F782" s="142"/>
      <c r="G782" s="66"/>
      <c r="H782" s="142"/>
      <c r="I782" s="141"/>
      <c r="J782" s="66"/>
      <c r="K782" s="142"/>
      <c r="L782" s="142"/>
      <c r="M782" s="145" t="n">
        <f aca="false">I782-D782</f>
        <v>0</v>
      </c>
    </row>
    <row r="783" customFormat="false" ht="12.75" hidden="false" customHeight="true" outlineLevel="0" collapsed="false">
      <c r="A783" s="148" t="n">
        <v>78226</v>
      </c>
      <c r="B783" s="149"/>
      <c r="C783" s="149"/>
      <c r="D783" s="150"/>
      <c r="E783" s="151"/>
      <c r="F783" s="151"/>
      <c r="G783" s="68"/>
      <c r="H783" s="151"/>
      <c r="I783" s="150"/>
      <c r="J783" s="68"/>
      <c r="K783" s="151"/>
      <c r="L783" s="151"/>
      <c r="M783" s="152" t="n">
        <f aca="false">I783-D783</f>
        <v>0</v>
      </c>
    </row>
    <row r="784" customFormat="false" ht="12.75" hidden="false" customHeight="true" outlineLevel="0" collapsed="false">
      <c r="A784" s="139" t="n">
        <v>78326</v>
      </c>
      <c r="B784" s="140"/>
      <c r="C784" s="140"/>
      <c r="D784" s="141"/>
      <c r="E784" s="142"/>
      <c r="F784" s="142"/>
      <c r="G784" s="66"/>
      <c r="H784" s="142"/>
      <c r="I784" s="141"/>
      <c r="J784" s="66"/>
      <c r="K784" s="142"/>
      <c r="L784" s="142"/>
      <c r="M784" s="145" t="n">
        <f aca="false">I784-D784</f>
        <v>0</v>
      </c>
    </row>
    <row r="785" customFormat="false" ht="12.75" hidden="false" customHeight="true" outlineLevel="0" collapsed="false">
      <c r="A785" s="139" t="n">
        <v>78426</v>
      </c>
      <c r="B785" s="149"/>
      <c r="C785" s="149"/>
      <c r="D785" s="150"/>
      <c r="E785" s="151"/>
      <c r="F785" s="151"/>
      <c r="G785" s="68"/>
      <c r="H785" s="151"/>
      <c r="I785" s="150"/>
      <c r="J785" s="68"/>
      <c r="K785" s="151"/>
      <c r="L785" s="151"/>
      <c r="M785" s="152" t="n">
        <f aca="false">I785-D785</f>
        <v>0</v>
      </c>
    </row>
    <row r="786" customFormat="false" ht="12.75" hidden="false" customHeight="true" outlineLevel="0" collapsed="false">
      <c r="A786" s="148" t="n">
        <v>78526</v>
      </c>
      <c r="B786" s="140"/>
      <c r="C786" s="140"/>
      <c r="D786" s="141"/>
      <c r="E786" s="142"/>
      <c r="F786" s="142"/>
      <c r="G786" s="66"/>
      <c r="H786" s="142"/>
      <c r="I786" s="141"/>
      <c r="J786" s="66"/>
      <c r="K786" s="142"/>
      <c r="L786" s="142"/>
      <c r="M786" s="145" t="n">
        <f aca="false">I786-D786</f>
        <v>0</v>
      </c>
    </row>
    <row r="787" customFormat="false" ht="12.75" hidden="false" customHeight="true" outlineLevel="0" collapsed="false">
      <c r="A787" s="139" t="n">
        <v>78626</v>
      </c>
      <c r="B787" s="149"/>
      <c r="C787" s="149"/>
      <c r="D787" s="150"/>
      <c r="E787" s="151"/>
      <c r="F787" s="151"/>
      <c r="G787" s="68"/>
      <c r="H787" s="151"/>
      <c r="I787" s="150"/>
      <c r="J787" s="68"/>
      <c r="K787" s="151"/>
      <c r="L787" s="151"/>
      <c r="M787" s="152" t="n">
        <f aca="false">I787-D787</f>
        <v>0</v>
      </c>
    </row>
    <row r="788" customFormat="false" ht="12.75" hidden="false" customHeight="true" outlineLevel="0" collapsed="false">
      <c r="A788" s="139" t="n">
        <v>78726</v>
      </c>
      <c r="B788" s="140"/>
      <c r="C788" s="140"/>
      <c r="D788" s="141"/>
      <c r="E788" s="142"/>
      <c r="F788" s="142"/>
      <c r="G788" s="66"/>
      <c r="H788" s="142"/>
      <c r="I788" s="141"/>
      <c r="J788" s="66"/>
      <c r="K788" s="142"/>
      <c r="L788" s="142"/>
      <c r="M788" s="145" t="n">
        <f aca="false">I788-D788</f>
        <v>0</v>
      </c>
    </row>
    <row r="789" customFormat="false" ht="12.75" hidden="false" customHeight="true" outlineLevel="0" collapsed="false">
      <c r="A789" s="148" t="n">
        <v>78826</v>
      </c>
      <c r="B789" s="149"/>
      <c r="C789" s="149"/>
      <c r="D789" s="150"/>
      <c r="E789" s="151"/>
      <c r="F789" s="151"/>
      <c r="G789" s="68"/>
      <c r="H789" s="151"/>
      <c r="I789" s="150"/>
      <c r="J789" s="68"/>
      <c r="K789" s="151"/>
      <c r="L789" s="151"/>
      <c r="M789" s="152" t="n">
        <f aca="false">I789-D789</f>
        <v>0</v>
      </c>
    </row>
    <row r="790" customFormat="false" ht="12.75" hidden="false" customHeight="true" outlineLevel="0" collapsed="false">
      <c r="A790" s="139" t="n">
        <v>78926</v>
      </c>
      <c r="B790" s="140"/>
      <c r="C790" s="140"/>
      <c r="D790" s="141"/>
      <c r="E790" s="142"/>
      <c r="F790" s="142"/>
      <c r="G790" s="66"/>
      <c r="H790" s="142"/>
      <c r="I790" s="141"/>
      <c r="J790" s="66"/>
      <c r="K790" s="142"/>
      <c r="L790" s="142"/>
      <c r="M790" s="145" t="n">
        <f aca="false">I790-D790</f>
        <v>0</v>
      </c>
    </row>
    <row r="791" customFormat="false" ht="12.75" hidden="false" customHeight="true" outlineLevel="0" collapsed="false">
      <c r="A791" s="139" t="n">
        <v>79026</v>
      </c>
      <c r="B791" s="149"/>
      <c r="C791" s="149"/>
      <c r="D791" s="150"/>
      <c r="E791" s="151"/>
      <c r="F791" s="151"/>
      <c r="G791" s="68"/>
      <c r="H791" s="151"/>
      <c r="I791" s="150"/>
      <c r="J791" s="68"/>
      <c r="K791" s="151"/>
      <c r="L791" s="151"/>
      <c r="M791" s="152" t="n">
        <f aca="false">I791-D791</f>
        <v>0</v>
      </c>
    </row>
    <row r="792" customFormat="false" ht="12.75" hidden="false" customHeight="true" outlineLevel="0" collapsed="false">
      <c r="A792" s="148" t="n">
        <v>79126</v>
      </c>
      <c r="B792" s="140"/>
      <c r="C792" s="140"/>
      <c r="D792" s="141"/>
      <c r="E792" s="142"/>
      <c r="F792" s="142"/>
      <c r="G792" s="66"/>
      <c r="H792" s="142"/>
      <c r="I792" s="141"/>
      <c r="J792" s="66"/>
      <c r="K792" s="142"/>
      <c r="L792" s="142"/>
      <c r="M792" s="145" t="n">
        <f aca="false">I792-D792</f>
        <v>0</v>
      </c>
    </row>
    <row r="793" customFormat="false" ht="12.75" hidden="false" customHeight="true" outlineLevel="0" collapsed="false">
      <c r="A793" s="139" t="n">
        <v>79226</v>
      </c>
      <c r="B793" s="149"/>
      <c r="C793" s="149"/>
      <c r="D793" s="150"/>
      <c r="E793" s="151"/>
      <c r="F793" s="151"/>
      <c r="G793" s="68"/>
      <c r="H793" s="151"/>
      <c r="I793" s="150"/>
      <c r="J793" s="68"/>
      <c r="K793" s="151"/>
      <c r="L793" s="151"/>
      <c r="M793" s="152" t="n">
        <f aca="false">I793-D793</f>
        <v>0</v>
      </c>
    </row>
    <row r="794" customFormat="false" ht="12.75" hidden="false" customHeight="true" outlineLevel="0" collapsed="false">
      <c r="A794" s="139" t="n">
        <v>79326</v>
      </c>
      <c r="B794" s="140"/>
      <c r="C794" s="140"/>
      <c r="D794" s="141"/>
      <c r="E794" s="142"/>
      <c r="F794" s="142"/>
      <c r="G794" s="66"/>
      <c r="H794" s="142"/>
      <c r="I794" s="141"/>
      <c r="J794" s="66"/>
      <c r="K794" s="142"/>
      <c r="L794" s="142"/>
      <c r="M794" s="145" t="n">
        <f aca="false">I794-D794</f>
        <v>0</v>
      </c>
    </row>
    <row r="795" customFormat="false" ht="12.75" hidden="false" customHeight="true" outlineLevel="0" collapsed="false">
      <c r="A795" s="148" t="n">
        <v>79426</v>
      </c>
      <c r="B795" s="149"/>
      <c r="C795" s="149"/>
      <c r="D795" s="150"/>
      <c r="E795" s="151"/>
      <c r="F795" s="151"/>
      <c r="G795" s="68"/>
      <c r="H795" s="151"/>
      <c r="I795" s="150"/>
      <c r="J795" s="68"/>
      <c r="K795" s="151"/>
      <c r="L795" s="151"/>
      <c r="M795" s="152" t="n">
        <f aca="false">I795-D795</f>
        <v>0</v>
      </c>
    </row>
    <row r="796" customFormat="false" ht="12.75" hidden="false" customHeight="true" outlineLevel="0" collapsed="false">
      <c r="A796" s="139" t="n">
        <v>79526</v>
      </c>
      <c r="B796" s="140"/>
      <c r="C796" s="140"/>
      <c r="D796" s="141"/>
      <c r="E796" s="142"/>
      <c r="F796" s="142"/>
      <c r="G796" s="66"/>
      <c r="H796" s="142"/>
      <c r="I796" s="141"/>
      <c r="J796" s="66"/>
      <c r="K796" s="142"/>
      <c r="L796" s="142"/>
      <c r="M796" s="145" t="n">
        <f aca="false">I796-D796</f>
        <v>0</v>
      </c>
    </row>
    <row r="797" customFormat="false" ht="12.75" hidden="false" customHeight="true" outlineLevel="0" collapsed="false">
      <c r="A797" s="139" t="n">
        <v>79626</v>
      </c>
      <c r="B797" s="149"/>
      <c r="C797" s="149"/>
      <c r="D797" s="150"/>
      <c r="E797" s="151"/>
      <c r="F797" s="151"/>
      <c r="G797" s="68"/>
      <c r="H797" s="151"/>
      <c r="I797" s="150"/>
      <c r="J797" s="68"/>
      <c r="K797" s="151"/>
      <c r="L797" s="151"/>
      <c r="M797" s="152" t="n">
        <f aca="false">I797-D797</f>
        <v>0</v>
      </c>
    </row>
    <row r="798" customFormat="false" ht="12.75" hidden="false" customHeight="true" outlineLevel="0" collapsed="false">
      <c r="A798" s="148" t="n">
        <v>79726</v>
      </c>
      <c r="B798" s="140"/>
      <c r="C798" s="140"/>
      <c r="D798" s="141"/>
      <c r="E798" s="142"/>
      <c r="F798" s="142"/>
      <c r="G798" s="66"/>
      <c r="H798" s="142"/>
      <c r="I798" s="141"/>
      <c r="J798" s="66"/>
      <c r="K798" s="142"/>
      <c r="L798" s="142"/>
      <c r="M798" s="145" t="n">
        <f aca="false">I798-D798</f>
        <v>0</v>
      </c>
    </row>
    <row r="799" customFormat="false" ht="12.75" hidden="false" customHeight="true" outlineLevel="0" collapsed="false">
      <c r="A799" s="139" t="n">
        <v>79826</v>
      </c>
      <c r="B799" s="149"/>
      <c r="C799" s="149"/>
      <c r="D799" s="150"/>
      <c r="E799" s="151"/>
      <c r="F799" s="151"/>
      <c r="G799" s="68"/>
      <c r="H799" s="151"/>
      <c r="I799" s="150"/>
      <c r="J799" s="68"/>
      <c r="K799" s="151"/>
      <c r="L799" s="151"/>
      <c r="M799" s="152" t="n">
        <f aca="false">I799-D799</f>
        <v>0</v>
      </c>
    </row>
    <row r="800" customFormat="false" ht="12.75" hidden="false" customHeight="true" outlineLevel="0" collapsed="false">
      <c r="A800" s="139" t="n">
        <v>79926</v>
      </c>
      <c r="B800" s="140"/>
      <c r="C800" s="140"/>
      <c r="D800" s="141"/>
      <c r="E800" s="142"/>
      <c r="F800" s="142"/>
      <c r="G800" s="66"/>
      <c r="H800" s="142"/>
      <c r="I800" s="141"/>
      <c r="J800" s="66"/>
      <c r="K800" s="142"/>
      <c r="L800" s="142"/>
      <c r="M800" s="145" t="n">
        <f aca="false">I800-D800</f>
        <v>0</v>
      </c>
    </row>
    <row r="801" customFormat="false" ht="12.75" hidden="false" customHeight="true" outlineLevel="0" collapsed="false">
      <c r="A801" s="148" t="n">
        <v>80026</v>
      </c>
      <c r="B801" s="149"/>
      <c r="C801" s="149"/>
      <c r="D801" s="150"/>
      <c r="E801" s="151"/>
      <c r="F801" s="151"/>
      <c r="G801" s="68"/>
      <c r="H801" s="151"/>
      <c r="I801" s="150"/>
      <c r="J801" s="68"/>
      <c r="K801" s="151"/>
      <c r="L801" s="151"/>
      <c r="M801" s="152" t="n">
        <f aca="false">I801-D801</f>
        <v>0</v>
      </c>
    </row>
    <row r="802" customFormat="false" ht="12.75" hidden="false" customHeight="true" outlineLevel="0" collapsed="false">
      <c r="A802" s="139" t="n">
        <v>80126</v>
      </c>
      <c r="B802" s="140"/>
      <c r="C802" s="140"/>
      <c r="D802" s="141"/>
      <c r="E802" s="142"/>
      <c r="F802" s="142"/>
      <c r="G802" s="66"/>
      <c r="H802" s="142"/>
      <c r="I802" s="141"/>
      <c r="J802" s="66"/>
      <c r="K802" s="142"/>
      <c r="L802" s="142"/>
      <c r="M802" s="145" t="n">
        <f aca="false">I802-D802</f>
        <v>0</v>
      </c>
    </row>
    <row r="803" customFormat="false" ht="12.75" hidden="false" customHeight="true" outlineLevel="0" collapsed="false">
      <c r="A803" s="139" t="n">
        <v>80226</v>
      </c>
      <c r="B803" s="149"/>
      <c r="C803" s="149"/>
      <c r="D803" s="150"/>
      <c r="E803" s="151"/>
      <c r="F803" s="151"/>
      <c r="G803" s="68"/>
      <c r="H803" s="151"/>
      <c r="I803" s="150"/>
      <c r="J803" s="68"/>
      <c r="K803" s="151"/>
      <c r="L803" s="151"/>
      <c r="M803" s="152" t="n">
        <f aca="false">I803-D803</f>
        <v>0</v>
      </c>
    </row>
    <row r="804" customFormat="false" ht="12.75" hidden="false" customHeight="true" outlineLevel="0" collapsed="false">
      <c r="A804" s="148" t="n">
        <v>80326</v>
      </c>
      <c r="B804" s="140"/>
      <c r="C804" s="140"/>
      <c r="D804" s="141"/>
      <c r="E804" s="142"/>
      <c r="F804" s="142"/>
      <c r="G804" s="66"/>
      <c r="H804" s="142"/>
      <c r="I804" s="141"/>
      <c r="J804" s="66"/>
      <c r="K804" s="142"/>
      <c r="L804" s="142"/>
      <c r="M804" s="145" t="n">
        <f aca="false">I804-D804</f>
        <v>0</v>
      </c>
    </row>
    <row r="805" customFormat="false" ht="12.75" hidden="false" customHeight="true" outlineLevel="0" collapsed="false">
      <c r="A805" s="139" t="n">
        <v>80426</v>
      </c>
      <c r="B805" s="149"/>
      <c r="C805" s="149"/>
      <c r="D805" s="150"/>
      <c r="E805" s="151"/>
      <c r="F805" s="151"/>
      <c r="G805" s="68"/>
      <c r="H805" s="151"/>
      <c r="I805" s="150"/>
      <c r="J805" s="68"/>
      <c r="K805" s="151"/>
      <c r="L805" s="151"/>
      <c r="M805" s="152" t="n">
        <f aca="false">I805-D805</f>
        <v>0</v>
      </c>
    </row>
    <row r="806" customFormat="false" ht="12.75" hidden="false" customHeight="true" outlineLevel="0" collapsed="false">
      <c r="A806" s="139" t="n">
        <v>80526</v>
      </c>
      <c r="B806" s="140"/>
      <c r="C806" s="140"/>
      <c r="D806" s="141"/>
      <c r="E806" s="142"/>
      <c r="F806" s="142"/>
      <c r="G806" s="66"/>
      <c r="H806" s="142"/>
      <c r="I806" s="141"/>
      <c r="J806" s="66"/>
      <c r="K806" s="142"/>
      <c r="L806" s="142"/>
      <c r="M806" s="145" t="n">
        <f aca="false">I806-D806</f>
        <v>0</v>
      </c>
    </row>
    <row r="807" customFormat="false" ht="12.75" hidden="false" customHeight="true" outlineLevel="0" collapsed="false">
      <c r="A807" s="148" t="n">
        <v>80626</v>
      </c>
      <c r="B807" s="149"/>
      <c r="C807" s="149"/>
      <c r="D807" s="150"/>
      <c r="E807" s="151"/>
      <c r="F807" s="151"/>
      <c r="G807" s="68"/>
      <c r="H807" s="151"/>
      <c r="I807" s="150"/>
      <c r="J807" s="68"/>
      <c r="K807" s="151"/>
      <c r="L807" s="151"/>
      <c r="M807" s="152" t="n">
        <f aca="false">I807-D807</f>
        <v>0</v>
      </c>
    </row>
    <row r="808" customFormat="false" ht="12.75" hidden="false" customHeight="true" outlineLevel="0" collapsed="false">
      <c r="A808" s="139" t="n">
        <v>80726</v>
      </c>
      <c r="B808" s="140"/>
      <c r="C808" s="140"/>
      <c r="D808" s="141"/>
      <c r="E808" s="142"/>
      <c r="F808" s="142"/>
      <c r="G808" s="66"/>
      <c r="H808" s="142"/>
      <c r="I808" s="141"/>
      <c r="J808" s="66"/>
      <c r="K808" s="142"/>
      <c r="L808" s="142"/>
      <c r="M808" s="145" t="n">
        <f aca="false">I808-D808</f>
        <v>0</v>
      </c>
    </row>
    <row r="809" customFormat="false" ht="12.75" hidden="false" customHeight="true" outlineLevel="0" collapsed="false">
      <c r="A809" s="139" t="n">
        <v>80826</v>
      </c>
      <c r="B809" s="149"/>
      <c r="C809" s="149"/>
      <c r="D809" s="150"/>
      <c r="E809" s="151"/>
      <c r="F809" s="151"/>
      <c r="G809" s="68"/>
      <c r="H809" s="151"/>
      <c r="I809" s="150"/>
      <c r="J809" s="68"/>
      <c r="K809" s="151"/>
      <c r="L809" s="151"/>
      <c r="M809" s="152" t="n">
        <f aca="false">I809-D809</f>
        <v>0</v>
      </c>
    </row>
    <row r="810" customFormat="false" ht="12.75" hidden="false" customHeight="true" outlineLevel="0" collapsed="false">
      <c r="A810" s="148" t="n">
        <v>80926</v>
      </c>
      <c r="B810" s="140"/>
      <c r="C810" s="140"/>
      <c r="D810" s="141"/>
      <c r="E810" s="142"/>
      <c r="F810" s="142"/>
      <c r="G810" s="66"/>
      <c r="H810" s="142"/>
      <c r="I810" s="141"/>
      <c r="J810" s="66"/>
      <c r="K810" s="142"/>
      <c r="L810" s="142"/>
      <c r="M810" s="145" t="n">
        <f aca="false">I810-D810</f>
        <v>0</v>
      </c>
    </row>
    <row r="811" customFormat="false" ht="12.75" hidden="false" customHeight="true" outlineLevel="0" collapsed="false">
      <c r="A811" s="139" t="n">
        <v>81026</v>
      </c>
      <c r="B811" s="149"/>
      <c r="C811" s="149"/>
      <c r="D811" s="150"/>
      <c r="E811" s="151"/>
      <c r="F811" s="151"/>
      <c r="G811" s="68"/>
      <c r="H811" s="151"/>
      <c r="I811" s="150"/>
      <c r="J811" s="68"/>
      <c r="K811" s="151"/>
      <c r="L811" s="151"/>
      <c r="M811" s="152" t="n">
        <f aca="false">I811-D811</f>
        <v>0</v>
      </c>
    </row>
    <row r="812" customFormat="false" ht="12.75" hidden="false" customHeight="true" outlineLevel="0" collapsed="false">
      <c r="A812" s="139" t="n">
        <v>81126</v>
      </c>
      <c r="B812" s="140"/>
      <c r="C812" s="140"/>
      <c r="D812" s="141"/>
      <c r="E812" s="142"/>
      <c r="F812" s="142"/>
      <c r="G812" s="66"/>
      <c r="H812" s="142"/>
      <c r="I812" s="141"/>
      <c r="J812" s="66"/>
      <c r="K812" s="142"/>
      <c r="L812" s="142"/>
      <c r="M812" s="145" t="n">
        <f aca="false">I812-D812</f>
        <v>0</v>
      </c>
    </row>
    <row r="813" customFormat="false" ht="12.75" hidden="false" customHeight="true" outlineLevel="0" collapsed="false">
      <c r="A813" s="148" t="n">
        <v>81226</v>
      </c>
      <c r="B813" s="149"/>
      <c r="C813" s="149"/>
      <c r="D813" s="150"/>
      <c r="E813" s="151"/>
      <c r="F813" s="151"/>
      <c r="G813" s="68"/>
      <c r="H813" s="151"/>
      <c r="I813" s="150"/>
      <c r="J813" s="68"/>
      <c r="K813" s="151"/>
      <c r="L813" s="151"/>
      <c r="M813" s="152" t="n">
        <f aca="false">I813-D813</f>
        <v>0</v>
      </c>
    </row>
    <row r="814" customFormat="false" ht="12.75" hidden="false" customHeight="true" outlineLevel="0" collapsed="false">
      <c r="A814" s="139" t="n">
        <v>81326</v>
      </c>
      <c r="B814" s="140"/>
      <c r="C814" s="140"/>
      <c r="D814" s="141"/>
      <c r="E814" s="142"/>
      <c r="F814" s="142"/>
      <c r="G814" s="66"/>
      <c r="H814" s="142"/>
      <c r="I814" s="141"/>
      <c r="J814" s="66"/>
      <c r="K814" s="142"/>
      <c r="L814" s="142"/>
      <c r="M814" s="145" t="n">
        <f aca="false">I814-D814</f>
        <v>0</v>
      </c>
    </row>
    <row r="815" customFormat="false" ht="12.75" hidden="false" customHeight="true" outlineLevel="0" collapsed="false">
      <c r="A815" s="139" t="n">
        <v>81426</v>
      </c>
      <c r="B815" s="149"/>
      <c r="C815" s="149"/>
      <c r="D815" s="150"/>
      <c r="E815" s="151"/>
      <c r="F815" s="151"/>
      <c r="G815" s="68"/>
      <c r="H815" s="151"/>
      <c r="I815" s="150"/>
      <c r="J815" s="68"/>
      <c r="K815" s="151"/>
      <c r="L815" s="151"/>
      <c r="M815" s="152" t="n">
        <f aca="false">I815-D815</f>
        <v>0</v>
      </c>
    </row>
    <row r="816" customFormat="false" ht="12.75" hidden="false" customHeight="true" outlineLevel="0" collapsed="false">
      <c r="A816" s="148" t="n">
        <v>81526</v>
      </c>
      <c r="B816" s="140"/>
      <c r="C816" s="140"/>
      <c r="D816" s="141"/>
      <c r="E816" s="142"/>
      <c r="F816" s="142"/>
      <c r="G816" s="66"/>
      <c r="H816" s="142"/>
      <c r="I816" s="141"/>
      <c r="J816" s="66"/>
      <c r="K816" s="142"/>
      <c r="L816" s="142"/>
      <c r="M816" s="145" t="n">
        <f aca="false">I816-D816</f>
        <v>0</v>
      </c>
    </row>
    <row r="817" customFormat="false" ht="12.75" hidden="false" customHeight="true" outlineLevel="0" collapsed="false">
      <c r="A817" s="139" t="n">
        <v>81626</v>
      </c>
      <c r="B817" s="149"/>
      <c r="C817" s="149"/>
      <c r="D817" s="150"/>
      <c r="E817" s="151"/>
      <c r="F817" s="151"/>
      <c r="G817" s="68"/>
      <c r="H817" s="151"/>
      <c r="I817" s="150"/>
      <c r="J817" s="68"/>
      <c r="K817" s="151"/>
      <c r="L817" s="151"/>
      <c r="M817" s="152" t="n">
        <f aca="false">I817-D817</f>
        <v>0</v>
      </c>
    </row>
    <row r="818" customFormat="false" ht="12.75" hidden="false" customHeight="true" outlineLevel="0" collapsed="false">
      <c r="A818" s="139" t="n">
        <v>81726</v>
      </c>
      <c r="B818" s="140"/>
      <c r="C818" s="140"/>
      <c r="D818" s="141"/>
      <c r="E818" s="142"/>
      <c r="F818" s="142"/>
      <c r="G818" s="66"/>
      <c r="H818" s="142"/>
      <c r="I818" s="141"/>
      <c r="J818" s="66"/>
      <c r="K818" s="142"/>
      <c r="L818" s="142"/>
      <c r="M818" s="145" t="n">
        <f aca="false">I818-D818</f>
        <v>0</v>
      </c>
    </row>
    <row r="819" customFormat="false" ht="12.75" hidden="false" customHeight="true" outlineLevel="0" collapsed="false">
      <c r="A819" s="148" t="n">
        <v>81826</v>
      </c>
      <c r="B819" s="149"/>
      <c r="C819" s="149"/>
      <c r="D819" s="150"/>
      <c r="E819" s="151"/>
      <c r="F819" s="151"/>
      <c r="G819" s="68"/>
      <c r="H819" s="151"/>
      <c r="I819" s="150"/>
      <c r="J819" s="68"/>
      <c r="K819" s="151"/>
      <c r="L819" s="151"/>
      <c r="M819" s="152" t="n">
        <f aca="false">I819-D819</f>
        <v>0</v>
      </c>
    </row>
    <row r="820" customFormat="false" ht="12.75" hidden="false" customHeight="true" outlineLevel="0" collapsed="false">
      <c r="A820" s="139" t="n">
        <v>81926</v>
      </c>
      <c r="B820" s="140"/>
      <c r="C820" s="140"/>
      <c r="D820" s="141"/>
      <c r="E820" s="142"/>
      <c r="F820" s="142"/>
      <c r="G820" s="66"/>
      <c r="H820" s="142"/>
      <c r="I820" s="141"/>
      <c r="J820" s="66"/>
      <c r="K820" s="142"/>
      <c r="L820" s="142"/>
      <c r="M820" s="145" t="n">
        <f aca="false">I820-D820</f>
        <v>0</v>
      </c>
    </row>
    <row r="821" customFormat="false" ht="12.75" hidden="false" customHeight="true" outlineLevel="0" collapsed="false">
      <c r="A821" s="139" t="n">
        <v>82026</v>
      </c>
      <c r="B821" s="149"/>
      <c r="C821" s="149"/>
      <c r="D821" s="150"/>
      <c r="E821" s="151"/>
      <c r="F821" s="151"/>
      <c r="G821" s="68"/>
      <c r="H821" s="151"/>
      <c r="I821" s="150"/>
      <c r="J821" s="68"/>
      <c r="K821" s="151"/>
      <c r="L821" s="151"/>
      <c r="M821" s="152" t="n">
        <f aca="false">I821-D821</f>
        <v>0</v>
      </c>
    </row>
    <row r="822" customFormat="false" ht="12.75" hidden="false" customHeight="true" outlineLevel="0" collapsed="false">
      <c r="A822" s="148" t="n">
        <v>82126</v>
      </c>
      <c r="B822" s="140"/>
      <c r="C822" s="140"/>
      <c r="D822" s="141"/>
      <c r="E822" s="142"/>
      <c r="F822" s="142"/>
      <c r="G822" s="66"/>
      <c r="H822" s="142"/>
      <c r="I822" s="141"/>
      <c r="J822" s="66"/>
      <c r="K822" s="142"/>
      <c r="L822" s="142"/>
      <c r="M822" s="145" t="n">
        <f aca="false">I822-D822</f>
        <v>0</v>
      </c>
    </row>
    <row r="823" customFormat="false" ht="12.75" hidden="false" customHeight="true" outlineLevel="0" collapsed="false">
      <c r="A823" s="139" t="n">
        <v>82226</v>
      </c>
      <c r="B823" s="149"/>
      <c r="C823" s="149"/>
      <c r="D823" s="150"/>
      <c r="E823" s="151"/>
      <c r="F823" s="151"/>
      <c r="G823" s="68"/>
      <c r="H823" s="151"/>
      <c r="I823" s="150"/>
      <c r="J823" s="68"/>
      <c r="K823" s="151"/>
      <c r="L823" s="151"/>
      <c r="M823" s="152" t="n">
        <f aca="false">I823-D823</f>
        <v>0</v>
      </c>
    </row>
    <row r="824" customFormat="false" ht="12.75" hidden="false" customHeight="true" outlineLevel="0" collapsed="false">
      <c r="A824" s="139" t="n">
        <v>82326</v>
      </c>
      <c r="B824" s="140"/>
      <c r="C824" s="140"/>
      <c r="D824" s="141"/>
      <c r="E824" s="142"/>
      <c r="F824" s="142"/>
      <c r="G824" s="66"/>
      <c r="H824" s="142"/>
      <c r="I824" s="141"/>
      <c r="J824" s="66"/>
      <c r="K824" s="142"/>
      <c r="L824" s="142"/>
      <c r="M824" s="145" t="n">
        <f aca="false">I824-D824</f>
        <v>0</v>
      </c>
    </row>
    <row r="825" customFormat="false" ht="12.75" hidden="false" customHeight="true" outlineLevel="0" collapsed="false">
      <c r="A825" s="148" t="n">
        <v>82426</v>
      </c>
      <c r="B825" s="149"/>
      <c r="C825" s="149"/>
      <c r="D825" s="150"/>
      <c r="E825" s="151"/>
      <c r="F825" s="151"/>
      <c r="G825" s="68"/>
      <c r="H825" s="151"/>
      <c r="I825" s="150"/>
      <c r="J825" s="68"/>
      <c r="K825" s="151"/>
      <c r="L825" s="151"/>
      <c r="M825" s="152" t="n">
        <f aca="false">I825-D825</f>
        <v>0</v>
      </c>
    </row>
    <row r="826" customFormat="false" ht="12.75" hidden="false" customHeight="true" outlineLevel="0" collapsed="false">
      <c r="A826" s="139" t="n">
        <v>82526</v>
      </c>
      <c r="B826" s="140"/>
      <c r="C826" s="140"/>
      <c r="D826" s="141"/>
      <c r="E826" s="142"/>
      <c r="F826" s="142"/>
      <c r="G826" s="66"/>
      <c r="H826" s="142"/>
      <c r="I826" s="141"/>
      <c r="J826" s="66"/>
      <c r="K826" s="142"/>
      <c r="L826" s="142"/>
      <c r="M826" s="145" t="n">
        <f aca="false">I826-D826</f>
        <v>0</v>
      </c>
    </row>
    <row r="827" customFormat="false" ht="12.75" hidden="false" customHeight="true" outlineLevel="0" collapsed="false">
      <c r="A827" s="139" t="n">
        <v>82626</v>
      </c>
      <c r="B827" s="149"/>
      <c r="C827" s="149"/>
      <c r="D827" s="150"/>
      <c r="E827" s="151"/>
      <c r="F827" s="151"/>
      <c r="G827" s="68"/>
      <c r="H827" s="151"/>
      <c r="I827" s="150"/>
      <c r="J827" s="68"/>
      <c r="K827" s="151"/>
      <c r="L827" s="151"/>
      <c r="M827" s="152" t="n">
        <f aca="false">I827-D827</f>
        <v>0</v>
      </c>
    </row>
    <row r="828" customFormat="false" ht="12.75" hidden="false" customHeight="true" outlineLevel="0" collapsed="false">
      <c r="A828" s="148" t="n">
        <v>82726</v>
      </c>
      <c r="B828" s="140"/>
      <c r="C828" s="140"/>
      <c r="D828" s="141"/>
      <c r="E828" s="142"/>
      <c r="F828" s="142"/>
      <c r="G828" s="66"/>
      <c r="H828" s="142"/>
      <c r="I828" s="141"/>
      <c r="J828" s="66"/>
      <c r="K828" s="142"/>
      <c r="L828" s="142"/>
      <c r="M828" s="145" t="n">
        <f aca="false">I828-D828</f>
        <v>0</v>
      </c>
    </row>
    <row r="829" customFormat="false" ht="12.75" hidden="false" customHeight="true" outlineLevel="0" collapsed="false">
      <c r="A829" s="139" t="n">
        <v>82826</v>
      </c>
      <c r="B829" s="149"/>
      <c r="C829" s="149"/>
      <c r="D829" s="150"/>
      <c r="E829" s="151"/>
      <c r="F829" s="151"/>
      <c r="G829" s="68"/>
      <c r="H829" s="151"/>
      <c r="I829" s="150"/>
      <c r="J829" s="68"/>
      <c r="K829" s="151"/>
      <c r="L829" s="151"/>
      <c r="M829" s="152" t="n">
        <f aca="false">I829-D829</f>
        <v>0</v>
      </c>
    </row>
    <row r="830" customFormat="false" ht="12.75" hidden="false" customHeight="true" outlineLevel="0" collapsed="false">
      <c r="A830" s="139" t="n">
        <v>82926</v>
      </c>
      <c r="B830" s="140"/>
      <c r="C830" s="140"/>
      <c r="D830" s="141"/>
      <c r="E830" s="142"/>
      <c r="F830" s="142"/>
      <c r="G830" s="66"/>
      <c r="H830" s="142"/>
      <c r="I830" s="141"/>
      <c r="J830" s="66"/>
      <c r="K830" s="142"/>
      <c r="L830" s="142"/>
      <c r="M830" s="145" t="n">
        <f aca="false">I830-D830</f>
        <v>0</v>
      </c>
    </row>
    <row r="831" customFormat="false" ht="12.75" hidden="false" customHeight="true" outlineLevel="0" collapsed="false">
      <c r="A831" s="148" t="n">
        <v>83026</v>
      </c>
      <c r="B831" s="149"/>
      <c r="C831" s="149"/>
      <c r="D831" s="150"/>
      <c r="E831" s="151"/>
      <c r="F831" s="151"/>
      <c r="G831" s="68"/>
      <c r="H831" s="151"/>
      <c r="I831" s="150"/>
      <c r="J831" s="68"/>
      <c r="K831" s="151"/>
      <c r="L831" s="151"/>
      <c r="M831" s="152" t="n">
        <f aca="false">I831-D831</f>
        <v>0</v>
      </c>
    </row>
    <row r="832" customFormat="false" ht="12.75" hidden="false" customHeight="true" outlineLevel="0" collapsed="false">
      <c r="A832" s="139" t="n">
        <v>83126</v>
      </c>
      <c r="B832" s="140"/>
      <c r="C832" s="140"/>
      <c r="D832" s="141"/>
      <c r="E832" s="142"/>
      <c r="F832" s="142"/>
      <c r="G832" s="66"/>
      <c r="H832" s="142"/>
      <c r="I832" s="141"/>
      <c r="J832" s="66"/>
      <c r="K832" s="142"/>
      <c r="L832" s="142"/>
      <c r="M832" s="145" t="n">
        <f aca="false">I832-D832</f>
        <v>0</v>
      </c>
    </row>
    <row r="833" customFormat="false" ht="12.75" hidden="false" customHeight="true" outlineLevel="0" collapsed="false">
      <c r="A833" s="139" t="n">
        <v>83226</v>
      </c>
      <c r="B833" s="149"/>
      <c r="C833" s="149"/>
      <c r="D833" s="150"/>
      <c r="E833" s="151"/>
      <c r="F833" s="151"/>
      <c r="G833" s="68"/>
      <c r="H833" s="151"/>
      <c r="I833" s="150"/>
      <c r="J833" s="68"/>
      <c r="K833" s="151"/>
      <c r="L833" s="151"/>
      <c r="M833" s="152" t="n">
        <f aca="false">I833-D833</f>
        <v>0</v>
      </c>
    </row>
    <row r="834" customFormat="false" ht="12.75" hidden="false" customHeight="true" outlineLevel="0" collapsed="false">
      <c r="A834" s="148" t="n">
        <v>83326</v>
      </c>
      <c r="B834" s="140"/>
      <c r="C834" s="140"/>
      <c r="D834" s="141"/>
      <c r="E834" s="142"/>
      <c r="F834" s="142"/>
      <c r="G834" s="66"/>
      <c r="H834" s="142"/>
      <c r="I834" s="141"/>
      <c r="J834" s="66"/>
      <c r="K834" s="142"/>
      <c r="L834" s="142"/>
      <c r="M834" s="145" t="n">
        <f aca="false">I834-D834</f>
        <v>0</v>
      </c>
    </row>
    <row r="835" customFormat="false" ht="12.75" hidden="false" customHeight="true" outlineLevel="0" collapsed="false">
      <c r="A835" s="139" t="n">
        <v>83426</v>
      </c>
      <c r="B835" s="149"/>
      <c r="C835" s="149"/>
      <c r="D835" s="150"/>
      <c r="E835" s="151"/>
      <c r="F835" s="151"/>
      <c r="G835" s="68"/>
      <c r="H835" s="151"/>
      <c r="I835" s="150"/>
      <c r="J835" s="68"/>
      <c r="K835" s="151"/>
      <c r="L835" s="151"/>
      <c r="M835" s="152" t="n">
        <f aca="false">I835-D835</f>
        <v>0</v>
      </c>
    </row>
    <row r="836" customFormat="false" ht="12.75" hidden="false" customHeight="true" outlineLevel="0" collapsed="false">
      <c r="A836" s="139" t="n">
        <v>83526</v>
      </c>
      <c r="B836" s="140"/>
      <c r="C836" s="140"/>
      <c r="D836" s="141"/>
      <c r="E836" s="142"/>
      <c r="F836" s="142"/>
      <c r="G836" s="66"/>
      <c r="H836" s="142"/>
      <c r="I836" s="141"/>
      <c r="J836" s="66"/>
      <c r="K836" s="142"/>
      <c r="L836" s="142"/>
      <c r="M836" s="145" t="n">
        <f aca="false">I836-D836</f>
        <v>0</v>
      </c>
    </row>
    <row r="837" customFormat="false" ht="12.75" hidden="false" customHeight="true" outlineLevel="0" collapsed="false">
      <c r="A837" s="148" t="n">
        <v>83626</v>
      </c>
      <c r="B837" s="149"/>
      <c r="C837" s="149"/>
      <c r="D837" s="150"/>
      <c r="E837" s="151"/>
      <c r="F837" s="151"/>
      <c r="G837" s="68"/>
      <c r="H837" s="151"/>
      <c r="I837" s="150"/>
      <c r="J837" s="68"/>
      <c r="K837" s="151"/>
      <c r="L837" s="151"/>
      <c r="M837" s="152" t="n">
        <f aca="false">I837-D837</f>
        <v>0</v>
      </c>
    </row>
    <row r="838" customFormat="false" ht="12.75" hidden="false" customHeight="true" outlineLevel="0" collapsed="false">
      <c r="A838" s="139" t="n">
        <v>83726</v>
      </c>
      <c r="B838" s="140"/>
      <c r="C838" s="140"/>
      <c r="D838" s="141"/>
      <c r="E838" s="142"/>
      <c r="F838" s="142"/>
      <c r="G838" s="66"/>
      <c r="H838" s="142"/>
      <c r="I838" s="141"/>
      <c r="J838" s="66"/>
      <c r="K838" s="142"/>
      <c r="L838" s="142"/>
      <c r="M838" s="145" t="n">
        <f aca="false">I838-D838</f>
        <v>0</v>
      </c>
    </row>
    <row r="839" customFormat="false" ht="12.75" hidden="false" customHeight="true" outlineLevel="0" collapsed="false">
      <c r="A839" s="139" t="n">
        <v>83826</v>
      </c>
      <c r="B839" s="149"/>
      <c r="C839" s="149"/>
      <c r="D839" s="150"/>
      <c r="E839" s="151"/>
      <c r="F839" s="151"/>
      <c r="G839" s="68"/>
      <c r="H839" s="151"/>
      <c r="I839" s="150"/>
      <c r="J839" s="68"/>
      <c r="K839" s="151"/>
      <c r="L839" s="151"/>
      <c r="M839" s="152" t="n">
        <f aca="false">I839-D839</f>
        <v>0</v>
      </c>
    </row>
    <row r="840" customFormat="false" ht="12.75" hidden="false" customHeight="true" outlineLevel="0" collapsed="false">
      <c r="A840" s="148" t="n">
        <v>83926</v>
      </c>
      <c r="B840" s="140"/>
      <c r="C840" s="140"/>
      <c r="D840" s="141"/>
      <c r="E840" s="142"/>
      <c r="F840" s="142"/>
      <c r="G840" s="66"/>
      <c r="H840" s="142"/>
      <c r="I840" s="141"/>
      <c r="J840" s="66"/>
      <c r="K840" s="142"/>
      <c r="L840" s="142"/>
      <c r="M840" s="145" t="n">
        <f aca="false">I840-D840</f>
        <v>0</v>
      </c>
    </row>
    <row r="841" customFormat="false" ht="12.75" hidden="false" customHeight="true" outlineLevel="0" collapsed="false">
      <c r="A841" s="139" t="n">
        <v>84026</v>
      </c>
      <c r="B841" s="149"/>
      <c r="C841" s="149"/>
      <c r="D841" s="150"/>
      <c r="E841" s="151"/>
      <c r="F841" s="151"/>
      <c r="G841" s="68"/>
      <c r="H841" s="151"/>
      <c r="I841" s="150"/>
      <c r="J841" s="68"/>
      <c r="K841" s="151"/>
      <c r="L841" s="151"/>
      <c r="M841" s="152" t="n">
        <f aca="false">I841-D841</f>
        <v>0</v>
      </c>
    </row>
    <row r="842" customFormat="false" ht="12.75" hidden="false" customHeight="true" outlineLevel="0" collapsed="false">
      <c r="A842" s="139" t="n">
        <v>84126</v>
      </c>
      <c r="B842" s="140"/>
      <c r="C842" s="140"/>
      <c r="D842" s="141"/>
      <c r="E842" s="142"/>
      <c r="F842" s="142"/>
      <c r="G842" s="66"/>
      <c r="H842" s="142"/>
      <c r="I842" s="141"/>
      <c r="J842" s="66"/>
      <c r="K842" s="142"/>
      <c r="L842" s="142"/>
      <c r="M842" s="145" t="n">
        <f aca="false">I842-D842</f>
        <v>0</v>
      </c>
    </row>
    <row r="843" customFormat="false" ht="12.75" hidden="false" customHeight="true" outlineLevel="0" collapsed="false">
      <c r="A843" s="148" t="n">
        <v>84226</v>
      </c>
      <c r="B843" s="149"/>
      <c r="C843" s="149"/>
      <c r="D843" s="150"/>
      <c r="E843" s="151"/>
      <c r="F843" s="151"/>
      <c r="G843" s="68"/>
      <c r="H843" s="151"/>
      <c r="I843" s="150"/>
      <c r="J843" s="68"/>
      <c r="K843" s="151"/>
      <c r="L843" s="151"/>
      <c r="M843" s="152" t="n">
        <f aca="false">I843-D843</f>
        <v>0</v>
      </c>
    </row>
    <row r="844" customFormat="false" ht="12.75" hidden="false" customHeight="true" outlineLevel="0" collapsed="false">
      <c r="A844" s="139" t="n">
        <v>84326</v>
      </c>
      <c r="B844" s="140"/>
      <c r="C844" s="140"/>
      <c r="D844" s="141"/>
      <c r="E844" s="142"/>
      <c r="F844" s="142"/>
      <c r="G844" s="66"/>
      <c r="H844" s="142"/>
      <c r="I844" s="141"/>
      <c r="J844" s="66"/>
      <c r="K844" s="142"/>
      <c r="L844" s="142"/>
      <c r="M844" s="145" t="n">
        <f aca="false">I844-D844</f>
        <v>0</v>
      </c>
    </row>
    <row r="845" customFormat="false" ht="12.75" hidden="false" customHeight="true" outlineLevel="0" collapsed="false">
      <c r="A845" s="139" t="n">
        <v>84426</v>
      </c>
      <c r="B845" s="149"/>
      <c r="C845" s="149"/>
      <c r="D845" s="150"/>
      <c r="E845" s="151"/>
      <c r="F845" s="151"/>
      <c r="G845" s="68"/>
      <c r="H845" s="151"/>
      <c r="I845" s="150"/>
      <c r="J845" s="68"/>
      <c r="K845" s="151"/>
      <c r="L845" s="151"/>
      <c r="M845" s="152" t="n">
        <f aca="false">I845-D845</f>
        <v>0</v>
      </c>
    </row>
    <row r="846" customFormat="false" ht="12.75" hidden="false" customHeight="true" outlineLevel="0" collapsed="false">
      <c r="A846" s="148" t="n">
        <v>84526</v>
      </c>
      <c r="B846" s="140"/>
      <c r="C846" s="140"/>
      <c r="D846" s="141"/>
      <c r="E846" s="142"/>
      <c r="F846" s="142"/>
      <c r="G846" s="66"/>
      <c r="H846" s="142"/>
      <c r="I846" s="141"/>
      <c r="J846" s="66"/>
      <c r="K846" s="142"/>
      <c r="L846" s="142"/>
      <c r="M846" s="145" t="n">
        <f aca="false">I846-D846</f>
        <v>0</v>
      </c>
    </row>
    <row r="847" customFormat="false" ht="12.75" hidden="false" customHeight="true" outlineLevel="0" collapsed="false">
      <c r="A847" s="139" t="n">
        <v>84626</v>
      </c>
      <c r="B847" s="149"/>
      <c r="C847" s="149"/>
      <c r="D847" s="150"/>
      <c r="E847" s="151"/>
      <c r="F847" s="151"/>
      <c r="G847" s="68"/>
      <c r="H847" s="151"/>
      <c r="I847" s="150"/>
      <c r="J847" s="68"/>
      <c r="K847" s="151"/>
      <c r="L847" s="151"/>
      <c r="M847" s="152" t="n">
        <f aca="false">I847-D847</f>
        <v>0</v>
      </c>
    </row>
    <row r="848" customFormat="false" ht="12.75" hidden="false" customHeight="true" outlineLevel="0" collapsed="false">
      <c r="A848" s="139" t="n">
        <v>84726</v>
      </c>
      <c r="B848" s="140"/>
      <c r="C848" s="140"/>
      <c r="D848" s="141"/>
      <c r="E848" s="142"/>
      <c r="F848" s="142"/>
      <c r="G848" s="66"/>
      <c r="H848" s="142"/>
      <c r="I848" s="141"/>
      <c r="J848" s="66"/>
      <c r="K848" s="142"/>
      <c r="L848" s="142"/>
      <c r="M848" s="145" t="n">
        <f aca="false">I848-D848</f>
        <v>0</v>
      </c>
    </row>
    <row r="849" customFormat="false" ht="12.75" hidden="false" customHeight="true" outlineLevel="0" collapsed="false">
      <c r="A849" s="148" t="n">
        <v>84826</v>
      </c>
      <c r="B849" s="149"/>
      <c r="C849" s="149"/>
      <c r="D849" s="150"/>
      <c r="E849" s="151"/>
      <c r="F849" s="151"/>
      <c r="G849" s="68"/>
      <c r="H849" s="151"/>
      <c r="I849" s="150"/>
      <c r="J849" s="68"/>
      <c r="K849" s="151"/>
      <c r="L849" s="151"/>
      <c r="M849" s="152" t="n">
        <f aca="false">I849-D849</f>
        <v>0</v>
      </c>
    </row>
    <row r="850" customFormat="false" ht="12.75" hidden="false" customHeight="true" outlineLevel="0" collapsed="false">
      <c r="A850" s="139" t="n">
        <v>84926</v>
      </c>
      <c r="B850" s="140"/>
      <c r="C850" s="140"/>
      <c r="D850" s="141"/>
      <c r="E850" s="142"/>
      <c r="F850" s="142"/>
      <c r="G850" s="66"/>
      <c r="H850" s="142"/>
      <c r="I850" s="141"/>
      <c r="J850" s="66"/>
      <c r="K850" s="142"/>
      <c r="L850" s="142"/>
      <c r="M850" s="145" t="n">
        <f aca="false">I850-D850</f>
        <v>0</v>
      </c>
    </row>
    <row r="851" customFormat="false" ht="12.75" hidden="false" customHeight="true" outlineLevel="0" collapsed="false">
      <c r="A851" s="139" t="n">
        <v>85026</v>
      </c>
      <c r="B851" s="149"/>
      <c r="C851" s="149"/>
      <c r="D851" s="150"/>
      <c r="E851" s="151"/>
      <c r="F851" s="151"/>
      <c r="G851" s="68"/>
      <c r="H851" s="151"/>
      <c r="I851" s="150"/>
      <c r="J851" s="68"/>
      <c r="K851" s="151"/>
      <c r="L851" s="151"/>
      <c r="M851" s="152" t="n">
        <f aca="false">I851-D851</f>
        <v>0</v>
      </c>
    </row>
    <row r="852" customFormat="false" ht="12.75" hidden="false" customHeight="true" outlineLevel="0" collapsed="false">
      <c r="A852" s="148" t="n">
        <v>85126</v>
      </c>
      <c r="B852" s="140"/>
      <c r="C852" s="140"/>
      <c r="D852" s="141"/>
      <c r="E852" s="142"/>
      <c r="F852" s="142"/>
      <c r="G852" s="66"/>
      <c r="H852" s="142"/>
      <c r="I852" s="141"/>
      <c r="J852" s="66"/>
      <c r="K852" s="142"/>
      <c r="L852" s="142"/>
      <c r="M852" s="145" t="n">
        <f aca="false">I852-D852</f>
        <v>0</v>
      </c>
    </row>
    <row r="853" customFormat="false" ht="12.75" hidden="false" customHeight="true" outlineLevel="0" collapsed="false">
      <c r="A853" s="139" t="n">
        <v>85226</v>
      </c>
      <c r="B853" s="149"/>
      <c r="C853" s="149"/>
      <c r="D853" s="150"/>
      <c r="E853" s="151"/>
      <c r="F853" s="151"/>
      <c r="G853" s="68"/>
      <c r="H853" s="151"/>
      <c r="I853" s="150"/>
      <c r="J853" s="68"/>
      <c r="K853" s="151"/>
      <c r="L853" s="151"/>
      <c r="M853" s="152" t="n">
        <f aca="false">I853-D853</f>
        <v>0</v>
      </c>
    </row>
    <row r="854" customFormat="false" ht="12.75" hidden="false" customHeight="true" outlineLevel="0" collapsed="false">
      <c r="A854" s="139" t="n">
        <v>85326</v>
      </c>
      <c r="B854" s="140"/>
      <c r="C854" s="140"/>
      <c r="D854" s="141"/>
      <c r="E854" s="142"/>
      <c r="F854" s="142"/>
      <c r="G854" s="66"/>
      <c r="H854" s="142"/>
      <c r="I854" s="141"/>
      <c r="J854" s="66"/>
      <c r="K854" s="142"/>
      <c r="L854" s="142"/>
      <c r="M854" s="145" t="n">
        <f aca="false">I854-D854</f>
        <v>0</v>
      </c>
    </row>
    <row r="855" customFormat="false" ht="12.75" hidden="false" customHeight="true" outlineLevel="0" collapsed="false">
      <c r="A855" s="148" t="n">
        <v>85426</v>
      </c>
      <c r="B855" s="149"/>
      <c r="C855" s="149"/>
      <c r="D855" s="150"/>
      <c r="E855" s="151"/>
      <c r="F855" s="151"/>
      <c r="G855" s="68"/>
      <c r="H855" s="151"/>
      <c r="I855" s="150"/>
      <c r="J855" s="68"/>
      <c r="K855" s="151"/>
      <c r="L855" s="151"/>
      <c r="M855" s="152" t="n">
        <f aca="false">I855-D855</f>
        <v>0</v>
      </c>
    </row>
    <row r="856" customFormat="false" ht="12.75" hidden="false" customHeight="true" outlineLevel="0" collapsed="false">
      <c r="A856" s="139" t="n">
        <v>85526</v>
      </c>
      <c r="B856" s="140"/>
      <c r="C856" s="140"/>
      <c r="D856" s="141"/>
      <c r="E856" s="142"/>
      <c r="F856" s="142"/>
      <c r="G856" s="66"/>
      <c r="H856" s="142"/>
      <c r="I856" s="141"/>
      <c r="J856" s="66"/>
      <c r="K856" s="142"/>
      <c r="L856" s="142"/>
      <c r="M856" s="145" t="n">
        <f aca="false">I856-D856</f>
        <v>0</v>
      </c>
    </row>
    <row r="857" customFormat="false" ht="12.75" hidden="false" customHeight="true" outlineLevel="0" collapsed="false">
      <c r="A857" s="139" t="n">
        <v>85626</v>
      </c>
      <c r="B857" s="149"/>
      <c r="C857" s="149"/>
      <c r="D857" s="150"/>
      <c r="E857" s="151"/>
      <c r="F857" s="151"/>
      <c r="G857" s="68"/>
      <c r="H857" s="151"/>
      <c r="I857" s="150"/>
      <c r="J857" s="68"/>
      <c r="K857" s="151"/>
      <c r="L857" s="151"/>
      <c r="M857" s="152" t="n">
        <f aca="false">I857-D857</f>
        <v>0</v>
      </c>
    </row>
    <row r="858" customFormat="false" ht="12.75" hidden="false" customHeight="true" outlineLevel="0" collapsed="false">
      <c r="A858" s="148" t="n">
        <v>85726</v>
      </c>
      <c r="B858" s="140"/>
      <c r="C858" s="140"/>
      <c r="D858" s="141"/>
      <c r="E858" s="142"/>
      <c r="F858" s="142"/>
      <c r="G858" s="66"/>
      <c r="H858" s="142"/>
      <c r="I858" s="141"/>
      <c r="J858" s="66"/>
      <c r="K858" s="142"/>
      <c r="L858" s="142"/>
      <c r="M858" s="145" t="n">
        <f aca="false">I858-D858</f>
        <v>0</v>
      </c>
    </row>
    <row r="859" customFormat="false" ht="12.75" hidden="false" customHeight="true" outlineLevel="0" collapsed="false">
      <c r="A859" s="139" t="n">
        <v>85826</v>
      </c>
      <c r="B859" s="149"/>
      <c r="C859" s="149"/>
      <c r="D859" s="150"/>
      <c r="E859" s="151"/>
      <c r="F859" s="151"/>
      <c r="G859" s="68"/>
      <c r="H859" s="151"/>
      <c r="I859" s="150"/>
      <c r="J859" s="68"/>
      <c r="K859" s="151"/>
      <c r="L859" s="151"/>
      <c r="M859" s="152" t="n">
        <f aca="false">I859-D859</f>
        <v>0</v>
      </c>
    </row>
    <row r="860" customFormat="false" ht="12.75" hidden="false" customHeight="true" outlineLevel="0" collapsed="false">
      <c r="A860" s="139" t="n">
        <v>85926</v>
      </c>
      <c r="B860" s="140"/>
      <c r="C860" s="140"/>
      <c r="D860" s="141"/>
      <c r="E860" s="142"/>
      <c r="F860" s="142"/>
      <c r="G860" s="66"/>
      <c r="H860" s="142"/>
      <c r="I860" s="141"/>
      <c r="J860" s="66"/>
      <c r="K860" s="142"/>
      <c r="L860" s="142"/>
      <c r="M860" s="145" t="n">
        <f aca="false">I860-D860</f>
        <v>0</v>
      </c>
    </row>
    <row r="861" customFormat="false" ht="12.75" hidden="false" customHeight="true" outlineLevel="0" collapsed="false">
      <c r="A861" s="148" t="n">
        <v>86026</v>
      </c>
      <c r="B861" s="149"/>
      <c r="C861" s="149"/>
      <c r="D861" s="150"/>
      <c r="E861" s="151"/>
      <c r="F861" s="151"/>
      <c r="G861" s="68"/>
      <c r="H861" s="151"/>
      <c r="I861" s="150"/>
      <c r="J861" s="68"/>
      <c r="K861" s="151"/>
      <c r="L861" s="151"/>
      <c r="M861" s="152" t="n">
        <f aca="false">I861-D861</f>
        <v>0</v>
      </c>
    </row>
    <row r="862" customFormat="false" ht="12.75" hidden="false" customHeight="true" outlineLevel="0" collapsed="false">
      <c r="A862" s="139" t="n">
        <v>86126</v>
      </c>
      <c r="B862" s="140"/>
      <c r="C862" s="140"/>
      <c r="D862" s="141"/>
      <c r="E862" s="142"/>
      <c r="F862" s="142"/>
      <c r="G862" s="66"/>
      <c r="H862" s="142"/>
      <c r="I862" s="141"/>
      <c r="J862" s="66"/>
      <c r="K862" s="142"/>
      <c r="L862" s="142"/>
      <c r="M862" s="145" t="n">
        <f aca="false">I862-D862</f>
        <v>0</v>
      </c>
    </row>
    <row r="863" customFormat="false" ht="12.75" hidden="false" customHeight="true" outlineLevel="0" collapsed="false">
      <c r="A863" s="139" t="n">
        <v>86226</v>
      </c>
      <c r="B863" s="149"/>
      <c r="C863" s="149"/>
      <c r="D863" s="150"/>
      <c r="E863" s="151"/>
      <c r="F863" s="151"/>
      <c r="G863" s="68"/>
      <c r="H863" s="151"/>
      <c r="I863" s="150"/>
      <c r="J863" s="68"/>
      <c r="K863" s="151"/>
      <c r="L863" s="151"/>
      <c r="M863" s="152" t="n">
        <f aca="false">I863-D863</f>
        <v>0</v>
      </c>
    </row>
    <row r="864" customFormat="false" ht="12.75" hidden="false" customHeight="true" outlineLevel="0" collapsed="false">
      <c r="A864" s="148" t="n">
        <v>86326</v>
      </c>
      <c r="B864" s="140"/>
      <c r="C864" s="140"/>
      <c r="D864" s="141"/>
      <c r="E864" s="142"/>
      <c r="F864" s="142"/>
      <c r="G864" s="66"/>
      <c r="H864" s="142"/>
      <c r="I864" s="141"/>
      <c r="J864" s="66"/>
      <c r="K864" s="142"/>
      <c r="L864" s="142"/>
      <c r="M864" s="145" t="n">
        <f aca="false">I864-D864</f>
        <v>0</v>
      </c>
    </row>
    <row r="865" customFormat="false" ht="12.75" hidden="false" customHeight="true" outlineLevel="0" collapsed="false">
      <c r="A865" s="139" t="n">
        <v>86426</v>
      </c>
      <c r="B865" s="149"/>
      <c r="C865" s="149"/>
      <c r="D865" s="150"/>
      <c r="E865" s="151"/>
      <c r="F865" s="151"/>
      <c r="G865" s="68"/>
      <c r="H865" s="151"/>
      <c r="I865" s="150"/>
      <c r="J865" s="68"/>
      <c r="K865" s="151"/>
      <c r="L865" s="151"/>
      <c r="M865" s="152" t="n">
        <f aca="false">I865-D865</f>
        <v>0</v>
      </c>
    </row>
    <row r="866" customFormat="false" ht="12.75" hidden="false" customHeight="true" outlineLevel="0" collapsed="false">
      <c r="A866" s="139" t="n">
        <v>86526</v>
      </c>
      <c r="B866" s="140"/>
      <c r="C866" s="140"/>
      <c r="D866" s="141"/>
      <c r="E866" s="142"/>
      <c r="F866" s="142"/>
      <c r="G866" s="66"/>
      <c r="H866" s="142"/>
      <c r="I866" s="141"/>
      <c r="J866" s="66"/>
      <c r="K866" s="142"/>
      <c r="L866" s="142"/>
      <c r="M866" s="145" t="n">
        <f aca="false">I866-D866</f>
        <v>0</v>
      </c>
    </row>
    <row r="867" customFormat="false" ht="12.75" hidden="false" customHeight="true" outlineLevel="0" collapsed="false">
      <c r="A867" s="148" t="n">
        <v>86626</v>
      </c>
      <c r="B867" s="149"/>
      <c r="C867" s="149"/>
      <c r="D867" s="150"/>
      <c r="E867" s="151"/>
      <c r="F867" s="151"/>
      <c r="G867" s="68"/>
      <c r="H867" s="151"/>
      <c r="I867" s="150"/>
      <c r="J867" s="68"/>
      <c r="K867" s="151"/>
      <c r="L867" s="151"/>
      <c r="M867" s="152" t="n">
        <f aca="false">I867-D867</f>
        <v>0</v>
      </c>
    </row>
    <row r="868" customFormat="false" ht="12.75" hidden="false" customHeight="true" outlineLevel="0" collapsed="false">
      <c r="A868" s="139" t="n">
        <v>86726</v>
      </c>
      <c r="B868" s="140"/>
      <c r="C868" s="140"/>
      <c r="D868" s="141"/>
      <c r="E868" s="142"/>
      <c r="F868" s="142"/>
      <c r="G868" s="66"/>
      <c r="H868" s="142"/>
      <c r="I868" s="141"/>
      <c r="J868" s="66"/>
      <c r="K868" s="142"/>
      <c r="L868" s="142"/>
      <c r="M868" s="145" t="n">
        <f aca="false">I868-D868</f>
        <v>0</v>
      </c>
    </row>
    <row r="869" customFormat="false" ht="12.75" hidden="false" customHeight="true" outlineLevel="0" collapsed="false">
      <c r="A869" s="139" t="n">
        <v>86826</v>
      </c>
      <c r="B869" s="149"/>
      <c r="C869" s="149"/>
      <c r="D869" s="150"/>
      <c r="E869" s="151"/>
      <c r="F869" s="151"/>
      <c r="G869" s="68"/>
      <c r="H869" s="151"/>
      <c r="I869" s="150"/>
      <c r="J869" s="68"/>
      <c r="K869" s="151"/>
      <c r="L869" s="151"/>
      <c r="M869" s="152" t="n">
        <f aca="false">I869-D869</f>
        <v>0</v>
      </c>
    </row>
    <row r="870" customFormat="false" ht="12.75" hidden="false" customHeight="true" outlineLevel="0" collapsed="false">
      <c r="A870" s="148" t="n">
        <v>86926</v>
      </c>
      <c r="B870" s="140"/>
      <c r="C870" s="140"/>
      <c r="D870" s="141"/>
      <c r="E870" s="142"/>
      <c r="F870" s="142"/>
      <c r="G870" s="66"/>
      <c r="H870" s="142"/>
      <c r="I870" s="141"/>
      <c r="J870" s="66"/>
      <c r="K870" s="142"/>
      <c r="L870" s="142"/>
      <c r="M870" s="145" t="n">
        <f aca="false">I870-D870</f>
        <v>0</v>
      </c>
    </row>
    <row r="871" customFormat="false" ht="12.75" hidden="false" customHeight="true" outlineLevel="0" collapsed="false">
      <c r="A871" s="139" t="n">
        <v>87026</v>
      </c>
      <c r="B871" s="149"/>
      <c r="C871" s="149"/>
      <c r="D871" s="150"/>
      <c r="E871" s="151"/>
      <c r="F871" s="151"/>
      <c r="G871" s="68"/>
      <c r="H871" s="151"/>
      <c r="I871" s="150"/>
      <c r="J871" s="68"/>
      <c r="K871" s="151"/>
      <c r="L871" s="151"/>
      <c r="M871" s="152" t="n">
        <f aca="false">I871-D871</f>
        <v>0</v>
      </c>
    </row>
    <row r="872" customFormat="false" ht="12.75" hidden="false" customHeight="true" outlineLevel="0" collapsed="false">
      <c r="A872" s="139" t="n">
        <v>87126</v>
      </c>
      <c r="B872" s="140"/>
      <c r="C872" s="140"/>
      <c r="D872" s="141"/>
      <c r="E872" s="142"/>
      <c r="F872" s="142"/>
      <c r="G872" s="66"/>
      <c r="H872" s="142"/>
      <c r="I872" s="141"/>
      <c r="J872" s="66"/>
      <c r="K872" s="142"/>
      <c r="L872" s="142"/>
      <c r="M872" s="145" t="n">
        <f aca="false">I872-D872</f>
        <v>0</v>
      </c>
    </row>
    <row r="873" customFormat="false" ht="12.75" hidden="false" customHeight="true" outlineLevel="0" collapsed="false">
      <c r="A873" s="148" t="n">
        <v>87226</v>
      </c>
      <c r="B873" s="149"/>
      <c r="C873" s="149"/>
      <c r="D873" s="150"/>
      <c r="E873" s="151"/>
      <c r="F873" s="151"/>
      <c r="G873" s="68"/>
      <c r="H873" s="151"/>
      <c r="I873" s="150"/>
      <c r="J873" s="68"/>
      <c r="K873" s="151"/>
      <c r="L873" s="151"/>
      <c r="M873" s="152" t="n">
        <f aca="false">I873-D873</f>
        <v>0</v>
      </c>
    </row>
    <row r="874" customFormat="false" ht="12.75" hidden="false" customHeight="true" outlineLevel="0" collapsed="false">
      <c r="A874" s="139" t="n">
        <v>87326</v>
      </c>
      <c r="B874" s="140"/>
      <c r="C874" s="140"/>
      <c r="D874" s="141"/>
      <c r="E874" s="142"/>
      <c r="F874" s="142"/>
      <c r="G874" s="66"/>
      <c r="H874" s="142"/>
      <c r="I874" s="141"/>
      <c r="J874" s="66"/>
      <c r="K874" s="142"/>
      <c r="L874" s="142"/>
      <c r="M874" s="145" t="n">
        <f aca="false">I874-D874</f>
        <v>0</v>
      </c>
    </row>
    <row r="875" customFormat="false" ht="12.75" hidden="false" customHeight="true" outlineLevel="0" collapsed="false">
      <c r="A875" s="139" t="n">
        <v>87426</v>
      </c>
      <c r="B875" s="149"/>
      <c r="C875" s="149"/>
      <c r="D875" s="150"/>
      <c r="E875" s="151"/>
      <c r="F875" s="151"/>
      <c r="G875" s="68"/>
      <c r="H875" s="151"/>
      <c r="I875" s="150"/>
      <c r="J875" s="68"/>
      <c r="K875" s="151"/>
      <c r="L875" s="151"/>
      <c r="M875" s="152" t="n">
        <f aca="false">I875-D875</f>
        <v>0</v>
      </c>
    </row>
    <row r="876" customFormat="false" ht="12.75" hidden="false" customHeight="true" outlineLevel="0" collapsed="false">
      <c r="A876" s="148" t="n">
        <v>87526</v>
      </c>
      <c r="B876" s="140"/>
      <c r="C876" s="140"/>
      <c r="D876" s="141"/>
      <c r="E876" s="142"/>
      <c r="F876" s="142"/>
      <c r="G876" s="66"/>
      <c r="H876" s="142"/>
      <c r="I876" s="141"/>
      <c r="J876" s="66"/>
      <c r="K876" s="142"/>
      <c r="L876" s="142"/>
      <c r="M876" s="145" t="n">
        <f aca="false">I876-D876</f>
        <v>0</v>
      </c>
    </row>
    <row r="877" customFormat="false" ht="12.75" hidden="false" customHeight="true" outlineLevel="0" collapsed="false">
      <c r="A877" s="139" t="n">
        <v>87626</v>
      </c>
      <c r="B877" s="149"/>
      <c r="C877" s="149"/>
      <c r="D877" s="150"/>
      <c r="E877" s="151"/>
      <c r="F877" s="151"/>
      <c r="G877" s="68"/>
      <c r="H877" s="151"/>
      <c r="I877" s="150"/>
      <c r="J877" s="68"/>
      <c r="K877" s="151"/>
      <c r="L877" s="151"/>
      <c r="M877" s="152" t="n">
        <f aca="false">I877-D877</f>
        <v>0</v>
      </c>
    </row>
    <row r="878" customFormat="false" ht="12.75" hidden="false" customHeight="true" outlineLevel="0" collapsed="false">
      <c r="A878" s="139" t="n">
        <v>87726</v>
      </c>
      <c r="B878" s="140"/>
      <c r="C878" s="140"/>
      <c r="D878" s="141"/>
      <c r="E878" s="142"/>
      <c r="F878" s="142"/>
      <c r="G878" s="66"/>
      <c r="H878" s="142"/>
      <c r="I878" s="141"/>
      <c r="J878" s="66"/>
      <c r="K878" s="142"/>
      <c r="L878" s="142"/>
      <c r="M878" s="145" t="n">
        <f aca="false">I878-D878</f>
        <v>0</v>
      </c>
    </row>
    <row r="879" customFormat="false" ht="12.75" hidden="false" customHeight="true" outlineLevel="0" collapsed="false">
      <c r="A879" s="148" t="n">
        <v>87826</v>
      </c>
      <c r="B879" s="149"/>
      <c r="C879" s="149"/>
      <c r="D879" s="150"/>
      <c r="E879" s="151"/>
      <c r="F879" s="151"/>
      <c r="G879" s="68"/>
      <c r="H879" s="151"/>
      <c r="I879" s="150"/>
      <c r="J879" s="68"/>
      <c r="K879" s="151"/>
      <c r="L879" s="151"/>
      <c r="M879" s="152" t="n">
        <f aca="false">I879-D879</f>
        <v>0</v>
      </c>
    </row>
    <row r="880" customFormat="false" ht="12.75" hidden="false" customHeight="true" outlineLevel="0" collapsed="false">
      <c r="A880" s="139" t="n">
        <v>87926</v>
      </c>
      <c r="B880" s="140"/>
      <c r="C880" s="140"/>
      <c r="D880" s="141"/>
      <c r="E880" s="142"/>
      <c r="F880" s="142"/>
      <c r="G880" s="66"/>
      <c r="H880" s="142"/>
      <c r="I880" s="141"/>
      <c r="J880" s="66"/>
      <c r="K880" s="142"/>
      <c r="L880" s="142"/>
      <c r="M880" s="145" t="n">
        <f aca="false">I880-D880</f>
        <v>0</v>
      </c>
    </row>
    <row r="881" customFormat="false" ht="12.75" hidden="false" customHeight="true" outlineLevel="0" collapsed="false">
      <c r="A881" s="139" t="n">
        <v>88026</v>
      </c>
      <c r="B881" s="149"/>
      <c r="C881" s="149"/>
      <c r="D881" s="150"/>
      <c r="E881" s="151"/>
      <c r="F881" s="151"/>
      <c r="G881" s="68"/>
      <c r="H881" s="151"/>
      <c r="I881" s="150"/>
      <c r="J881" s="68"/>
      <c r="K881" s="151"/>
      <c r="L881" s="151"/>
      <c r="M881" s="152" t="n">
        <f aca="false">I881-D881</f>
        <v>0</v>
      </c>
    </row>
    <row r="882" customFormat="false" ht="12.75" hidden="false" customHeight="true" outlineLevel="0" collapsed="false">
      <c r="A882" s="148" t="n">
        <v>88126</v>
      </c>
      <c r="B882" s="140"/>
      <c r="C882" s="140"/>
      <c r="D882" s="141"/>
      <c r="E882" s="142"/>
      <c r="F882" s="142"/>
      <c r="G882" s="66"/>
      <c r="H882" s="142"/>
      <c r="I882" s="141"/>
      <c r="J882" s="66"/>
      <c r="K882" s="142"/>
      <c r="L882" s="142"/>
      <c r="M882" s="145" t="n">
        <f aca="false">I882-D882</f>
        <v>0</v>
      </c>
    </row>
    <row r="883" customFormat="false" ht="12.75" hidden="false" customHeight="true" outlineLevel="0" collapsed="false">
      <c r="A883" s="139" t="n">
        <v>88226</v>
      </c>
      <c r="B883" s="149"/>
      <c r="C883" s="149"/>
      <c r="D883" s="150"/>
      <c r="E883" s="151"/>
      <c r="F883" s="151"/>
      <c r="G883" s="68"/>
      <c r="H883" s="151"/>
      <c r="I883" s="150"/>
      <c r="J883" s="68"/>
      <c r="K883" s="151"/>
      <c r="L883" s="151"/>
      <c r="M883" s="152" t="n">
        <f aca="false">I883-D883</f>
        <v>0</v>
      </c>
    </row>
    <row r="884" customFormat="false" ht="12.75" hidden="false" customHeight="true" outlineLevel="0" collapsed="false">
      <c r="A884" s="139" t="n">
        <v>88326</v>
      </c>
      <c r="B884" s="140"/>
      <c r="C884" s="140"/>
      <c r="D884" s="141"/>
      <c r="E884" s="142"/>
      <c r="F884" s="142"/>
      <c r="G884" s="66"/>
      <c r="H884" s="142"/>
      <c r="I884" s="141"/>
      <c r="J884" s="66"/>
      <c r="K884" s="142"/>
      <c r="L884" s="142"/>
      <c r="M884" s="145" t="n">
        <f aca="false">I884-D884</f>
        <v>0</v>
      </c>
    </row>
    <row r="885" customFormat="false" ht="12.75" hidden="false" customHeight="true" outlineLevel="0" collapsed="false">
      <c r="A885" s="148" t="n">
        <v>88426</v>
      </c>
      <c r="B885" s="149"/>
      <c r="C885" s="149"/>
      <c r="D885" s="150"/>
      <c r="E885" s="151"/>
      <c r="F885" s="151"/>
      <c r="G885" s="68"/>
      <c r="H885" s="151"/>
      <c r="I885" s="150"/>
      <c r="J885" s="68"/>
      <c r="K885" s="151"/>
      <c r="L885" s="151"/>
      <c r="M885" s="152" t="n">
        <f aca="false">I885-D885</f>
        <v>0</v>
      </c>
    </row>
    <row r="886" customFormat="false" ht="12.75" hidden="false" customHeight="true" outlineLevel="0" collapsed="false">
      <c r="A886" s="139" t="n">
        <v>88526</v>
      </c>
      <c r="B886" s="140"/>
      <c r="C886" s="140"/>
      <c r="D886" s="141"/>
      <c r="E886" s="142"/>
      <c r="F886" s="142"/>
      <c r="G886" s="66"/>
      <c r="H886" s="142"/>
      <c r="I886" s="141"/>
      <c r="J886" s="66"/>
      <c r="K886" s="142"/>
      <c r="L886" s="142"/>
      <c r="M886" s="145" t="n">
        <f aca="false">I886-D886</f>
        <v>0</v>
      </c>
    </row>
    <row r="887" customFormat="false" ht="12.75" hidden="false" customHeight="true" outlineLevel="0" collapsed="false">
      <c r="A887" s="139" t="n">
        <v>88626</v>
      </c>
      <c r="B887" s="149"/>
      <c r="C887" s="149"/>
      <c r="D887" s="150"/>
      <c r="E887" s="151"/>
      <c r="F887" s="151"/>
      <c r="G887" s="68"/>
      <c r="H887" s="151"/>
      <c r="I887" s="150"/>
      <c r="J887" s="68"/>
      <c r="K887" s="151"/>
      <c r="L887" s="151"/>
      <c r="M887" s="152" t="n">
        <f aca="false">I887-D887</f>
        <v>0</v>
      </c>
    </row>
    <row r="888" customFormat="false" ht="12.75" hidden="false" customHeight="true" outlineLevel="0" collapsed="false">
      <c r="A888" s="148" t="n">
        <v>88726</v>
      </c>
      <c r="B888" s="140"/>
      <c r="C888" s="140"/>
      <c r="D888" s="141"/>
      <c r="E888" s="142"/>
      <c r="F888" s="142"/>
      <c r="G888" s="66"/>
      <c r="H888" s="142"/>
      <c r="I888" s="141"/>
      <c r="J888" s="66"/>
      <c r="K888" s="142"/>
      <c r="L888" s="142"/>
      <c r="M888" s="145" t="n">
        <f aca="false">I888-D888</f>
        <v>0</v>
      </c>
    </row>
    <row r="889" customFormat="false" ht="12.75" hidden="false" customHeight="true" outlineLevel="0" collapsed="false">
      <c r="A889" s="139" t="n">
        <v>88826</v>
      </c>
      <c r="B889" s="149"/>
      <c r="C889" s="149"/>
      <c r="D889" s="150"/>
      <c r="E889" s="151"/>
      <c r="F889" s="151"/>
      <c r="G889" s="68"/>
      <c r="H889" s="151"/>
      <c r="I889" s="150"/>
      <c r="J889" s="68"/>
      <c r="K889" s="151"/>
      <c r="L889" s="151"/>
      <c r="M889" s="152" t="n">
        <f aca="false">I889-D889</f>
        <v>0</v>
      </c>
    </row>
    <row r="890" customFormat="false" ht="12.75" hidden="false" customHeight="true" outlineLevel="0" collapsed="false">
      <c r="A890" s="139" t="n">
        <v>88926</v>
      </c>
      <c r="B890" s="140"/>
      <c r="C890" s="140"/>
      <c r="D890" s="141"/>
      <c r="E890" s="142"/>
      <c r="F890" s="142"/>
      <c r="G890" s="66"/>
      <c r="H890" s="142"/>
      <c r="I890" s="141"/>
      <c r="J890" s="66"/>
      <c r="K890" s="142"/>
      <c r="L890" s="142"/>
      <c r="M890" s="145" t="n">
        <f aca="false">I890-D890</f>
        <v>0</v>
      </c>
    </row>
    <row r="891" customFormat="false" ht="12.75" hidden="false" customHeight="true" outlineLevel="0" collapsed="false">
      <c r="A891" s="148" t="n">
        <v>89026</v>
      </c>
      <c r="B891" s="149"/>
      <c r="C891" s="149"/>
      <c r="D891" s="150"/>
      <c r="E891" s="151"/>
      <c r="F891" s="151"/>
      <c r="G891" s="68"/>
      <c r="H891" s="151"/>
      <c r="I891" s="150"/>
      <c r="J891" s="68"/>
      <c r="K891" s="151"/>
      <c r="L891" s="151"/>
      <c r="M891" s="152" t="n">
        <f aca="false">I891-D891</f>
        <v>0</v>
      </c>
    </row>
    <row r="892" customFormat="false" ht="12.75" hidden="false" customHeight="true" outlineLevel="0" collapsed="false">
      <c r="A892" s="139" t="n">
        <v>89126</v>
      </c>
      <c r="B892" s="140"/>
      <c r="C892" s="140"/>
      <c r="D892" s="141"/>
      <c r="E892" s="142"/>
      <c r="F892" s="142"/>
      <c r="G892" s="66"/>
      <c r="H892" s="142"/>
      <c r="I892" s="141"/>
      <c r="J892" s="66"/>
      <c r="K892" s="142"/>
      <c r="L892" s="142"/>
      <c r="M892" s="145" t="n">
        <f aca="false">I892-D892</f>
        <v>0</v>
      </c>
    </row>
    <row r="893" customFormat="false" ht="12.75" hidden="false" customHeight="true" outlineLevel="0" collapsed="false">
      <c r="A893" s="139" t="n">
        <v>89226</v>
      </c>
      <c r="B893" s="149"/>
      <c r="C893" s="149"/>
      <c r="D893" s="150"/>
      <c r="E893" s="151"/>
      <c r="F893" s="151"/>
      <c r="G893" s="68"/>
      <c r="H893" s="151"/>
      <c r="I893" s="150"/>
      <c r="J893" s="68"/>
      <c r="K893" s="151"/>
      <c r="L893" s="151"/>
      <c r="M893" s="152" t="n">
        <f aca="false">I893-D893</f>
        <v>0</v>
      </c>
    </row>
    <row r="894" customFormat="false" ht="12.75" hidden="false" customHeight="true" outlineLevel="0" collapsed="false">
      <c r="A894" s="148" t="n">
        <v>89326</v>
      </c>
      <c r="B894" s="140"/>
      <c r="C894" s="140"/>
      <c r="D894" s="141"/>
      <c r="E894" s="142"/>
      <c r="F894" s="142"/>
      <c r="G894" s="66"/>
      <c r="H894" s="142"/>
      <c r="I894" s="141"/>
      <c r="J894" s="66"/>
      <c r="K894" s="142"/>
      <c r="L894" s="142"/>
      <c r="M894" s="145" t="n">
        <f aca="false">I894-D894</f>
        <v>0</v>
      </c>
    </row>
    <row r="895" customFormat="false" ht="12.75" hidden="false" customHeight="true" outlineLevel="0" collapsed="false">
      <c r="A895" s="139" t="n">
        <v>89426</v>
      </c>
      <c r="B895" s="149"/>
      <c r="C895" s="149"/>
      <c r="D895" s="150"/>
      <c r="E895" s="151"/>
      <c r="F895" s="151"/>
      <c r="G895" s="68"/>
      <c r="H895" s="151"/>
      <c r="I895" s="150"/>
      <c r="J895" s="68"/>
      <c r="K895" s="151"/>
      <c r="L895" s="151"/>
      <c r="M895" s="152" t="n">
        <f aca="false">I895-D895</f>
        <v>0</v>
      </c>
    </row>
    <row r="896" customFormat="false" ht="12.75" hidden="false" customHeight="true" outlineLevel="0" collapsed="false">
      <c r="A896" s="139" t="n">
        <v>89526</v>
      </c>
      <c r="B896" s="140"/>
      <c r="C896" s="140"/>
      <c r="D896" s="141"/>
      <c r="E896" s="142"/>
      <c r="F896" s="142"/>
      <c r="G896" s="66"/>
      <c r="H896" s="142"/>
      <c r="I896" s="141"/>
      <c r="J896" s="66"/>
      <c r="K896" s="142"/>
      <c r="L896" s="142"/>
      <c r="M896" s="145" t="n">
        <f aca="false">I896-D896</f>
        <v>0</v>
      </c>
    </row>
    <row r="897" customFormat="false" ht="12.75" hidden="false" customHeight="true" outlineLevel="0" collapsed="false">
      <c r="A897" s="148" t="n">
        <v>89626</v>
      </c>
      <c r="B897" s="149"/>
      <c r="C897" s="149"/>
      <c r="D897" s="150"/>
      <c r="E897" s="151"/>
      <c r="F897" s="151"/>
      <c r="G897" s="68"/>
      <c r="H897" s="151"/>
      <c r="I897" s="150"/>
      <c r="J897" s="68"/>
      <c r="K897" s="151"/>
      <c r="L897" s="151"/>
      <c r="M897" s="152" t="n">
        <f aca="false">I897-D897</f>
        <v>0</v>
      </c>
    </row>
    <row r="898" customFormat="false" ht="12.75" hidden="false" customHeight="true" outlineLevel="0" collapsed="false">
      <c r="A898" s="139" t="n">
        <v>89726</v>
      </c>
      <c r="B898" s="140"/>
      <c r="C898" s="140"/>
      <c r="D898" s="141"/>
      <c r="E898" s="142"/>
      <c r="F898" s="142"/>
      <c r="G898" s="66"/>
      <c r="H898" s="142"/>
      <c r="I898" s="141"/>
      <c r="J898" s="66"/>
      <c r="K898" s="142"/>
      <c r="L898" s="142"/>
      <c r="M898" s="145" t="n">
        <f aca="false">I898-D898</f>
        <v>0</v>
      </c>
    </row>
    <row r="899" customFormat="false" ht="12.75" hidden="false" customHeight="true" outlineLevel="0" collapsed="false">
      <c r="A899" s="139" t="n">
        <v>89826</v>
      </c>
      <c r="B899" s="149"/>
      <c r="C899" s="149"/>
      <c r="D899" s="150"/>
      <c r="E899" s="151"/>
      <c r="F899" s="151"/>
      <c r="G899" s="68"/>
      <c r="H899" s="151"/>
      <c r="I899" s="150"/>
      <c r="J899" s="68"/>
      <c r="K899" s="151"/>
      <c r="L899" s="151"/>
      <c r="M899" s="152" t="n">
        <f aca="false">I899-D899</f>
        <v>0</v>
      </c>
    </row>
    <row r="900" customFormat="false" ht="12.75" hidden="false" customHeight="true" outlineLevel="0" collapsed="false">
      <c r="A900" s="148" t="n">
        <v>89926</v>
      </c>
      <c r="B900" s="140"/>
      <c r="C900" s="140"/>
      <c r="D900" s="141"/>
      <c r="E900" s="142"/>
      <c r="F900" s="142"/>
      <c r="G900" s="66"/>
      <c r="H900" s="142"/>
      <c r="I900" s="141"/>
      <c r="J900" s="66"/>
      <c r="K900" s="142"/>
      <c r="L900" s="142"/>
      <c r="M900" s="145" t="n">
        <f aca="false">I900-D900</f>
        <v>0</v>
      </c>
    </row>
    <row r="901" customFormat="false" ht="12.75" hidden="false" customHeight="true" outlineLevel="0" collapsed="false">
      <c r="A901" s="139" t="n">
        <v>90026</v>
      </c>
      <c r="B901" s="149"/>
      <c r="C901" s="149"/>
      <c r="D901" s="150"/>
      <c r="E901" s="151"/>
      <c r="F901" s="151"/>
      <c r="G901" s="68"/>
      <c r="H901" s="151"/>
      <c r="I901" s="150"/>
      <c r="J901" s="68"/>
      <c r="K901" s="151"/>
      <c r="L901" s="151"/>
      <c r="M901" s="152" t="n">
        <f aca="false">I901-D901</f>
        <v>0</v>
      </c>
    </row>
    <row r="902" customFormat="false" ht="12.75" hidden="false" customHeight="true" outlineLevel="0" collapsed="false">
      <c r="A902" s="139" t="n">
        <v>90126</v>
      </c>
      <c r="B902" s="140"/>
      <c r="C902" s="140"/>
      <c r="D902" s="141"/>
      <c r="E902" s="142"/>
      <c r="F902" s="142"/>
      <c r="G902" s="66"/>
      <c r="H902" s="142"/>
      <c r="I902" s="141"/>
      <c r="J902" s="66"/>
      <c r="K902" s="142"/>
      <c r="L902" s="142"/>
      <c r="M902" s="145" t="n">
        <f aca="false">I902-D902</f>
        <v>0</v>
      </c>
    </row>
    <row r="903" customFormat="false" ht="12.75" hidden="false" customHeight="true" outlineLevel="0" collapsed="false">
      <c r="A903" s="148" t="n">
        <v>90226</v>
      </c>
      <c r="B903" s="149"/>
      <c r="C903" s="149"/>
      <c r="D903" s="150"/>
      <c r="E903" s="151"/>
      <c r="F903" s="151"/>
      <c r="G903" s="68"/>
      <c r="H903" s="151"/>
      <c r="I903" s="150"/>
      <c r="J903" s="68"/>
      <c r="K903" s="151"/>
      <c r="L903" s="151"/>
      <c r="M903" s="152" t="n">
        <f aca="false">I903-D903</f>
        <v>0</v>
      </c>
    </row>
    <row r="904" customFormat="false" ht="12.75" hidden="false" customHeight="true" outlineLevel="0" collapsed="false">
      <c r="A904" s="139" t="n">
        <v>90326</v>
      </c>
      <c r="B904" s="140"/>
      <c r="C904" s="140"/>
      <c r="D904" s="141"/>
      <c r="E904" s="142"/>
      <c r="F904" s="142"/>
      <c r="G904" s="66"/>
      <c r="H904" s="142"/>
      <c r="I904" s="141"/>
      <c r="J904" s="66"/>
      <c r="K904" s="142"/>
      <c r="L904" s="142"/>
      <c r="M904" s="145" t="n">
        <f aca="false">I904-D904</f>
        <v>0</v>
      </c>
    </row>
    <row r="905" customFormat="false" ht="12.75" hidden="false" customHeight="true" outlineLevel="0" collapsed="false">
      <c r="A905" s="139" t="n">
        <v>90426</v>
      </c>
      <c r="B905" s="149"/>
      <c r="C905" s="149"/>
      <c r="D905" s="150"/>
      <c r="E905" s="151"/>
      <c r="F905" s="151"/>
      <c r="G905" s="68"/>
      <c r="H905" s="151"/>
      <c r="I905" s="150"/>
      <c r="J905" s="68"/>
      <c r="K905" s="151"/>
      <c r="L905" s="151"/>
      <c r="M905" s="152" t="n">
        <f aca="false">I905-D905</f>
        <v>0</v>
      </c>
    </row>
    <row r="906" customFormat="false" ht="12.75" hidden="false" customHeight="true" outlineLevel="0" collapsed="false">
      <c r="A906" s="148" t="n">
        <v>90526</v>
      </c>
      <c r="B906" s="140"/>
      <c r="C906" s="140"/>
      <c r="D906" s="141"/>
      <c r="E906" s="142"/>
      <c r="F906" s="142"/>
      <c r="G906" s="66"/>
      <c r="H906" s="142"/>
      <c r="I906" s="141"/>
      <c r="J906" s="66"/>
      <c r="K906" s="142"/>
      <c r="L906" s="142"/>
      <c r="M906" s="145" t="n">
        <f aca="false">I906-D906</f>
        <v>0</v>
      </c>
    </row>
    <row r="907" customFormat="false" ht="12.75" hidden="false" customHeight="true" outlineLevel="0" collapsed="false">
      <c r="A907" s="139" t="n">
        <v>90626</v>
      </c>
      <c r="B907" s="149"/>
      <c r="C907" s="149"/>
      <c r="D907" s="150"/>
      <c r="E907" s="151"/>
      <c r="F907" s="151"/>
      <c r="G907" s="68"/>
      <c r="H907" s="151"/>
      <c r="I907" s="150"/>
      <c r="J907" s="68"/>
      <c r="K907" s="151"/>
      <c r="L907" s="151"/>
      <c r="M907" s="152" t="n">
        <f aca="false">I907-D907</f>
        <v>0</v>
      </c>
    </row>
    <row r="908" customFormat="false" ht="12.75" hidden="false" customHeight="true" outlineLevel="0" collapsed="false">
      <c r="A908" s="139" t="n">
        <v>90726</v>
      </c>
      <c r="B908" s="140"/>
      <c r="C908" s="140"/>
      <c r="D908" s="141"/>
      <c r="E908" s="142"/>
      <c r="F908" s="142"/>
      <c r="G908" s="66"/>
      <c r="H908" s="142"/>
      <c r="I908" s="141"/>
      <c r="J908" s="66"/>
      <c r="K908" s="142"/>
      <c r="L908" s="142"/>
      <c r="M908" s="145" t="n">
        <f aca="false">I908-D908</f>
        <v>0</v>
      </c>
    </row>
    <row r="909" customFormat="false" ht="12.75" hidden="false" customHeight="true" outlineLevel="0" collapsed="false">
      <c r="A909" s="148" t="n">
        <v>90826</v>
      </c>
      <c r="B909" s="149"/>
      <c r="C909" s="149"/>
      <c r="D909" s="150"/>
      <c r="E909" s="151"/>
      <c r="F909" s="151"/>
      <c r="G909" s="68"/>
      <c r="H909" s="151"/>
      <c r="I909" s="150"/>
      <c r="J909" s="68"/>
      <c r="K909" s="151"/>
      <c r="L909" s="151"/>
      <c r="M909" s="152" t="n">
        <f aca="false">I909-D909</f>
        <v>0</v>
      </c>
    </row>
    <row r="910" customFormat="false" ht="12.75" hidden="false" customHeight="true" outlineLevel="0" collapsed="false">
      <c r="A910" s="139" t="n">
        <v>90926</v>
      </c>
      <c r="B910" s="140"/>
      <c r="C910" s="140"/>
      <c r="D910" s="141"/>
      <c r="E910" s="142"/>
      <c r="F910" s="142"/>
      <c r="G910" s="66"/>
      <c r="H910" s="142"/>
      <c r="I910" s="141"/>
      <c r="J910" s="66"/>
      <c r="K910" s="142"/>
      <c r="L910" s="142"/>
      <c r="M910" s="145" t="n">
        <f aca="false">I910-D910</f>
        <v>0</v>
      </c>
    </row>
    <row r="911" customFormat="false" ht="12.75" hidden="false" customHeight="true" outlineLevel="0" collapsed="false">
      <c r="A911" s="139" t="n">
        <v>91026</v>
      </c>
      <c r="B911" s="149"/>
      <c r="C911" s="149"/>
      <c r="D911" s="150"/>
      <c r="E911" s="151"/>
      <c r="F911" s="151"/>
      <c r="G911" s="68"/>
      <c r="H911" s="151"/>
      <c r="I911" s="150"/>
      <c r="J911" s="68"/>
      <c r="K911" s="151"/>
      <c r="L911" s="151"/>
      <c r="M911" s="152" t="n">
        <f aca="false">I911-D911</f>
        <v>0</v>
      </c>
    </row>
    <row r="912" customFormat="false" ht="12.75" hidden="false" customHeight="true" outlineLevel="0" collapsed="false">
      <c r="A912" s="148" t="n">
        <v>91126</v>
      </c>
      <c r="B912" s="140"/>
      <c r="C912" s="140"/>
      <c r="D912" s="141"/>
      <c r="E912" s="142"/>
      <c r="F912" s="142"/>
      <c r="G912" s="66"/>
      <c r="H912" s="142"/>
      <c r="I912" s="141"/>
      <c r="J912" s="66"/>
      <c r="K912" s="142"/>
      <c r="L912" s="142"/>
      <c r="M912" s="145" t="n">
        <f aca="false">I912-D912</f>
        <v>0</v>
      </c>
    </row>
    <row r="913" customFormat="false" ht="12.75" hidden="false" customHeight="true" outlineLevel="0" collapsed="false">
      <c r="A913" s="139" t="n">
        <v>91226</v>
      </c>
      <c r="B913" s="149"/>
      <c r="C913" s="149"/>
      <c r="D913" s="150"/>
      <c r="E913" s="151"/>
      <c r="F913" s="151"/>
      <c r="G913" s="68"/>
      <c r="H913" s="151"/>
      <c r="I913" s="150"/>
      <c r="J913" s="68"/>
      <c r="K913" s="151"/>
      <c r="L913" s="151"/>
      <c r="M913" s="152" t="n">
        <f aca="false">I913-D913</f>
        <v>0</v>
      </c>
    </row>
    <row r="914" customFormat="false" ht="12.75" hidden="false" customHeight="true" outlineLevel="0" collapsed="false">
      <c r="A914" s="139" t="n">
        <v>91326</v>
      </c>
      <c r="B914" s="140"/>
      <c r="C914" s="140"/>
      <c r="D914" s="141"/>
      <c r="E914" s="142"/>
      <c r="F914" s="142"/>
      <c r="G914" s="66"/>
      <c r="H914" s="142"/>
      <c r="I914" s="141"/>
      <c r="J914" s="66"/>
      <c r="K914" s="142"/>
      <c r="L914" s="142"/>
      <c r="M914" s="145" t="n">
        <f aca="false">I914-D914</f>
        <v>0</v>
      </c>
    </row>
    <row r="915" customFormat="false" ht="12.75" hidden="false" customHeight="true" outlineLevel="0" collapsed="false">
      <c r="A915" s="148" t="n">
        <v>91426</v>
      </c>
      <c r="B915" s="149"/>
      <c r="C915" s="149"/>
      <c r="D915" s="150"/>
      <c r="E915" s="151"/>
      <c r="F915" s="151"/>
      <c r="G915" s="68"/>
      <c r="H915" s="151"/>
      <c r="I915" s="150"/>
      <c r="J915" s="68"/>
      <c r="K915" s="151"/>
      <c r="L915" s="151"/>
      <c r="M915" s="152" t="n">
        <f aca="false">I915-D915</f>
        <v>0</v>
      </c>
    </row>
    <row r="916" customFormat="false" ht="12.75" hidden="false" customHeight="true" outlineLevel="0" collapsed="false">
      <c r="A916" s="139" t="n">
        <v>91526</v>
      </c>
      <c r="B916" s="140"/>
      <c r="C916" s="140"/>
      <c r="D916" s="141"/>
      <c r="E916" s="142"/>
      <c r="F916" s="142"/>
      <c r="G916" s="66"/>
      <c r="H916" s="142"/>
      <c r="I916" s="141"/>
      <c r="J916" s="66"/>
      <c r="K916" s="142"/>
      <c r="L916" s="142"/>
      <c r="M916" s="145" t="n">
        <f aca="false">I916-D916</f>
        <v>0</v>
      </c>
    </row>
    <row r="917" customFormat="false" ht="12.75" hidden="false" customHeight="true" outlineLevel="0" collapsed="false">
      <c r="A917" s="139" t="n">
        <v>91626</v>
      </c>
      <c r="B917" s="149"/>
      <c r="C917" s="149"/>
      <c r="D917" s="150"/>
      <c r="E917" s="151"/>
      <c r="F917" s="151"/>
      <c r="G917" s="68"/>
      <c r="H917" s="151"/>
      <c r="I917" s="150"/>
      <c r="J917" s="68"/>
      <c r="K917" s="151"/>
      <c r="L917" s="151"/>
      <c r="M917" s="152" t="n">
        <f aca="false">I917-D917</f>
        <v>0</v>
      </c>
    </row>
    <row r="918" customFormat="false" ht="12.75" hidden="false" customHeight="true" outlineLevel="0" collapsed="false">
      <c r="A918" s="148" t="n">
        <v>91726</v>
      </c>
      <c r="B918" s="140"/>
      <c r="C918" s="140"/>
      <c r="D918" s="141"/>
      <c r="E918" s="142"/>
      <c r="F918" s="142"/>
      <c r="G918" s="66"/>
      <c r="H918" s="142"/>
      <c r="I918" s="141"/>
      <c r="J918" s="66"/>
      <c r="K918" s="142"/>
      <c r="L918" s="142"/>
      <c r="M918" s="145" t="n">
        <f aca="false">I918-D918</f>
        <v>0</v>
      </c>
    </row>
    <row r="919" customFormat="false" ht="12.75" hidden="false" customHeight="true" outlineLevel="0" collapsed="false">
      <c r="A919" s="139" t="n">
        <v>91826</v>
      </c>
      <c r="B919" s="149"/>
      <c r="C919" s="149"/>
      <c r="D919" s="150"/>
      <c r="E919" s="151"/>
      <c r="F919" s="151"/>
      <c r="G919" s="68"/>
      <c r="H919" s="151"/>
      <c r="I919" s="150"/>
      <c r="J919" s="68"/>
      <c r="K919" s="151"/>
      <c r="L919" s="151"/>
      <c r="M919" s="152" t="n">
        <f aca="false">I919-D919</f>
        <v>0</v>
      </c>
    </row>
    <row r="920" customFormat="false" ht="12.75" hidden="false" customHeight="true" outlineLevel="0" collapsed="false">
      <c r="A920" s="139" t="n">
        <v>91926</v>
      </c>
      <c r="B920" s="140"/>
      <c r="C920" s="140"/>
      <c r="D920" s="141"/>
      <c r="E920" s="142"/>
      <c r="F920" s="142"/>
      <c r="G920" s="66"/>
      <c r="H920" s="142"/>
      <c r="I920" s="141"/>
      <c r="J920" s="66"/>
      <c r="K920" s="142"/>
      <c r="L920" s="142"/>
      <c r="M920" s="145" t="n">
        <f aca="false">I920-D920</f>
        <v>0</v>
      </c>
    </row>
    <row r="921" customFormat="false" ht="12.75" hidden="false" customHeight="true" outlineLevel="0" collapsed="false">
      <c r="A921" s="148" t="n">
        <v>92026</v>
      </c>
      <c r="B921" s="149"/>
      <c r="C921" s="149"/>
      <c r="D921" s="150"/>
      <c r="E921" s="151"/>
      <c r="F921" s="151"/>
      <c r="G921" s="68"/>
      <c r="H921" s="151"/>
      <c r="I921" s="150"/>
      <c r="J921" s="68"/>
      <c r="K921" s="151"/>
      <c r="L921" s="151"/>
      <c r="M921" s="152" t="n">
        <f aca="false">I921-D921</f>
        <v>0</v>
      </c>
    </row>
    <row r="922" customFormat="false" ht="12.75" hidden="false" customHeight="true" outlineLevel="0" collapsed="false">
      <c r="A922" s="139" t="n">
        <v>92126</v>
      </c>
      <c r="B922" s="140"/>
      <c r="C922" s="140"/>
      <c r="D922" s="141"/>
      <c r="E922" s="142"/>
      <c r="F922" s="142"/>
      <c r="G922" s="66"/>
      <c r="H922" s="142"/>
      <c r="I922" s="141"/>
      <c r="J922" s="66"/>
      <c r="K922" s="142"/>
      <c r="L922" s="142"/>
      <c r="M922" s="145" t="n">
        <f aca="false">I922-D922</f>
        <v>0</v>
      </c>
    </row>
    <row r="923" customFormat="false" ht="12.75" hidden="false" customHeight="true" outlineLevel="0" collapsed="false">
      <c r="A923" s="139" t="n">
        <v>92226</v>
      </c>
      <c r="B923" s="149"/>
      <c r="C923" s="149"/>
      <c r="D923" s="150"/>
      <c r="E923" s="151"/>
      <c r="F923" s="151"/>
      <c r="G923" s="68"/>
      <c r="H923" s="151"/>
      <c r="I923" s="150"/>
      <c r="J923" s="68"/>
      <c r="K923" s="151"/>
      <c r="L923" s="151"/>
      <c r="M923" s="152" t="n">
        <f aca="false">I923-D923</f>
        <v>0</v>
      </c>
    </row>
    <row r="924" customFormat="false" ht="12.75" hidden="false" customHeight="true" outlineLevel="0" collapsed="false">
      <c r="A924" s="148" t="n">
        <v>92326</v>
      </c>
      <c r="B924" s="140"/>
      <c r="C924" s="140"/>
      <c r="D924" s="141"/>
      <c r="E924" s="142"/>
      <c r="F924" s="142"/>
      <c r="G924" s="66"/>
      <c r="H924" s="142"/>
      <c r="I924" s="141"/>
      <c r="J924" s="66"/>
      <c r="K924" s="142"/>
      <c r="L924" s="142"/>
      <c r="M924" s="145" t="n">
        <f aca="false">I924-D924</f>
        <v>0</v>
      </c>
    </row>
    <row r="925" customFormat="false" ht="12.75" hidden="false" customHeight="true" outlineLevel="0" collapsed="false">
      <c r="A925" s="139" t="n">
        <v>92426</v>
      </c>
      <c r="B925" s="149"/>
      <c r="C925" s="149"/>
      <c r="D925" s="150"/>
      <c r="E925" s="151"/>
      <c r="F925" s="151"/>
      <c r="G925" s="68"/>
      <c r="H925" s="151"/>
      <c r="I925" s="150"/>
      <c r="J925" s="68"/>
      <c r="K925" s="151"/>
      <c r="L925" s="151"/>
      <c r="M925" s="152" t="n">
        <f aca="false">I925-D925</f>
        <v>0</v>
      </c>
    </row>
    <row r="926" customFormat="false" ht="12.75" hidden="false" customHeight="true" outlineLevel="0" collapsed="false">
      <c r="A926" s="139" t="n">
        <v>92526</v>
      </c>
      <c r="B926" s="140"/>
      <c r="C926" s="140"/>
      <c r="D926" s="141"/>
      <c r="E926" s="142"/>
      <c r="F926" s="142"/>
      <c r="G926" s="66"/>
      <c r="H926" s="142"/>
      <c r="I926" s="141"/>
      <c r="J926" s="66"/>
      <c r="K926" s="142"/>
      <c r="L926" s="142"/>
      <c r="M926" s="145" t="n">
        <f aca="false">I926-D926</f>
        <v>0</v>
      </c>
    </row>
    <row r="927" customFormat="false" ht="12.75" hidden="false" customHeight="true" outlineLevel="0" collapsed="false">
      <c r="A927" s="148" t="n">
        <v>92626</v>
      </c>
      <c r="B927" s="149"/>
      <c r="C927" s="149"/>
      <c r="D927" s="150"/>
      <c r="E927" s="151"/>
      <c r="F927" s="151"/>
      <c r="G927" s="68"/>
      <c r="H927" s="151"/>
      <c r="I927" s="150"/>
      <c r="J927" s="68"/>
      <c r="K927" s="151"/>
      <c r="L927" s="151"/>
      <c r="M927" s="152" t="n">
        <f aca="false">I927-D927</f>
        <v>0</v>
      </c>
    </row>
    <row r="928" customFormat="false" ht="12.75" hidden="false" customHeight="true" outlineLevel="0" collapsed="false">
      <c r="A928" s="139" t="n">
        <v>92726</v>
      </c>
      <c r="B928" s="140"/>
      <c r="C928" s="140"/>
      <c r="D928" s="141"/>
      <c r="E928" s="142"/>
      <c r="F928" s="142"/>
      <c r="G928" s="66"/>
      <c r="H928" s="142"/>
      <c r="I928" s="141"/>
      <c r="J928" s="66"/>
      <c r="K928" s="142"/>
      <c r="L928" s="142"/>
      <c r="M928" s="145" t="n">
        <f aca="false">I928-D928</f>
        <v>0</v>
      </c>
    </row>
    <row r="929" customFormat="false" ht="12.75" hidden="false" customHeight="true" outlineLevel="0" collapsed="false">
      <c r="A929" s="139" t="n">
        <v>92826</v>
      </c>
      <c r="B929" s="149"/>
      <c r="C929" s="149"/>
      <c r="D929" s="150"/>
      <c r="E929" s="151"/>
      <c r="F929" s="151"/>
      <c r="G929" s="68"/>
      <c r="H929" s="151"/>
      <c r="I929" s="150"/>
      <c r="J929" s="68"/>
      <c r="K929" s="151"/>
      <c r="L929" s="151"/>
      <c r="M929" s="152" t="n">
        <f aca="false">I929-D929</f>
        <v>0</v>
      </c>
    </row>
    <row r="930" customFormat="false" ht="12.75" hidden="false" customHeight="true" outlineLevel="0" collapsed="false">
      <c r="A930" s="148" t="n">
        <v>92926</v>
      </c>
      <c r="B930" s="140"/>
      <c r="C930" s="140"/>
      <c r="D930" s="141"/>
      <c r="E930" s="142"/>
      <c r="F930" s="142"/>
      <c r="G930" s="66"/>
      <c r="H930" s="142"/>
      <c r="I930" s="141"/>
      <c r="J930" s="66"/>
      <c r="K930" s="142"/>
      <c r="L930" s="142"/>
      <c r="M930" s="145" t="n">
        <f aca="false">I930-D930</f>
        <v>0</v>
      </c>
    </row>
    <row r="931" customFormat="false" ht="12.75" hidden="false" customHeight="true" outlineLevel="0" collapsed="false">
      <c r="A931" s="139" t="n">
        <v>93026</v>
      </c>
      <c r="B931" s="149"/>
      <c r="C931" s="149"/>
      <c r="D931" s="150"/>
      <c r="E931" s="151"/>
      <c r="F931" s="151"/>
      <c r="G931" s="68"/>
      <c r="H931" s="151"/>
      <c r="I931" s="150"/>
      <c r="J931" s="68"/>
      <c r="K931" s="151"/>
      <c r="L931" s="151"/>
      <c r="M931" s="152" t="n">
        <f aca="false">I931-D931</f>
        <v>0</v>
      </c>
    </row>
    <row r="932" customFormat="false" ht="12.75" hidden="false" customHeight="true" outlineLevel="0" collapsed="false">
      <c r="A932" s="139" t="n">
        <v>93126</v>
      </c>
      <c r="B932" s="140"/>
      <c r="C932" s="140"/>
      <c r="D932" s="141"/>
      <c r="E932" s="142"/>
      <c r="F932" s="142"/>
      <c r="G932" s="66"/>
      <c r="H932" s="142"/>
      <c r="I932" s="141"/>
      <c r="J932" s="66"/>
      <c r="K932" s="142"/>
      <c r="L932" s="142"/>
      <c r="M932" s="145" t="n">
        <f aca="false">I932-D932</f>
        <v>0</v>
      </c>
    </row>
    <row r="933" customFormat="false" ht="12.75" hidden="false" customHeight="true" outlineLevel="0" collapsed="false">
      <c r="A933" s="148" t="n">
        <v>93226</v>
      </c>
      <c r="B933" s="149"/>
      <c r="C933" s="149"/>
      <c r="D933" s="150"/>
      <c r="E933" s="151"/>
      <c r="F933" s="151"/>
      <c r="G933" s="68"/>
      <c r="H933" s="151"/>
      <c r="I933" s="150"/>
      <c r="J933" s="68"/>
      <c r="K933" s="151"/>
      <c r="L933" s="151"/>
      <c r="M933" s="152" t="n">
        <f aca="false">I933-D933</f>
        <v>0</v>
      </c>
    </row>
    <row r="934" customFormat="false" ht="12.75" hidden="false" customHeight="true" outlineLevel="0" collapsed="false">
      <c r="A934" s="139" t="n">
        <v>93326</v>
      </c>
      <c r="B934" s="140"/>
      <c r="C934" s="140"/>
      <c r="D934" s="141"/>
      <c r="E934" s="142"/>
      <c r="F934" s="142"/>
      <c r="G934" s="66"/>
      <c r="H934" s="142"/>
      <c r="I934" s="141"/>
      <c r="J934" s="66"/>
      <c r="K934" s="142"/>
      <c r="L934" s="142"/>
      <c r="M934" s="145" t="n">
        <f aca="false">I934-D934</f>
        <v>0</v>
      </c>
    </row>
    <row r="935" customFormat="false" ht="12.75" hidden="false" customHeight="true" outlineLevel="0" collapsed="false">
      <c r="A935" s="139" t="n">
        <v>93426</v>
      </c>
      <c r="B935" s="149"/>
      <c r="C935" s="149"/>
      <c r="D935" s="150"/>
      <c r="E935" s="151"/>
      <c r="F935" s="151"/>
      <c r="G935" s="68"/>
      <c r="H935" s="151"/>
      <c r="I935" s="150"/>
      <c r="J935" s="68"/>
      <c r="K935" s="151"/>
      <c r="L935" s="151"/>
      <c r="M935" s="152" t="n">
        <f aca="false">I935-D935</f>
        <v>0</v>
      </c>
    </row>
    <row r="936" customFormat="false" ht="12.75" hidden="false" customHeight="true" outlineLevel="0" collapsed="false">
      <c r="A936" s="148" t="n">
        <v>93526</v>
      </c>
      <c r="B936" s="140"/>
      <c r="C936" s="140"/>
      <c r="D936" s="141"/>
      <c r="E936" s="142"/>
      <c r="F936" s="142"/>
      <c r="G936" s="66"/>
      <c r="H936" s="142"/>
      <c r="I936" s="141"/>
      <c r="J936" s="66"/>
      <c r="K936" s="142"/>
      <c r="L936" s="142"/>
      <c r="M936" s="145" t="n">
        <f aca="false">I936-D936</f>
        <v>0</v>
      </c>
    </row>
    <row r="937" customFormat="false" ht="12.75" hidden="false" customHeight="true" outlineLevel="0" collapsed="false">
      <c r="A937" s="139" t="n">
        <v>93626</v>
      </c>
      <c r="B937" s="149"/>
      <c r="C937" s="149"/>
      <c r="D937" s="150"/>
      <c r="E937" s="151"/>
      <c r="F937" s="151"/>
      <c r="G937" s="68"/>
      <c r="H937" s="151"/>
      <c r="I937" s="150"/>
      <c r="J937" s="68"/>
      <c r="K937" s="151"/>
      <c r="L937" s="151"/>
      <c r="M937" s="152" t="n">
        <f aca="false">I937-D937</f>
        <v>0</v>
      </c>
    </row>
    <row r="938" customFormat="false" ht="12.75" hidden="false" customHeight="true" outlineLevel="0" collapsed="false">
      <c r="A938" s="139" t="n">
        <v>93726</v>
      </c>
      <c r="B938" s="140"/>
      <c r="C938" s="140"/>
      <c r="D938" s="141"/>
      <c r="E938" s="142"/>
      <c r="F938" s="142"/>
      <c r="G938" s="66"/>
      <c r="H938" s="142"/>
      <c r="I938" s="141"/>
      <c r="J938" s="66"/>
      <c r="K938" s="142"/>
      <c r="L938" s="142"/>
      <c r="M938" s="145" t="n">
        <f aca="false">I938-D938</f>
        <v>0</v>
      </c>
    </row>
    <row r="939" customFormat="false" ht="12.75" hidden="false" customHeight="true" outlineLevel="0" collapsed="false">
      <c r="A939" s="148" t="n">
        <v>93826</v>
      </c>
      <c r="B939" s="149"/>
      <c r="C939" s="149"/>
      <c r="D939" s="150"/>
      <c r="E939" s="151"/>
      <c r="F939" s="151"/>
      <c r="G939" s="68"/>
      <c r="H939" s="151"/>
      <c r="I939" s="150"/>
      <c r="J939" s="68"/>
      <c r="K939" s="151"/>
      <c r="L939" s="151"/>
      <c r="M939" s="152" t="n">
        <f aca="false">I939-D939</f>
        <v>0</v>
      </c>
    </row>
    <row r="940" customFormat="false" ht="12.75" hidden="false" customHeight="true" outlineLevel="0" collapsed="false">
      <c r="A940" s="139" t="n">
        <v>93926</v>
      </c>
      <c r="B940" s="140"/>
      <c r="C940" s="140"/>
      <c r="D940" s="141"/>
      <c r="E940" s="142"/>
      <c r="F940" s="142"/>
      <c r="G940" s="66"/>
      <c r="H940" s="142"/>
      <c r="I940" s="141"/>
      <c r="J940" s="66"/>
      <c r="K940" s="142"/>
      <c r="L940" s="142"/>
      <c r="M940" s="145" t="n">
        <f aca="false">I940-D940</f>
        <v>0</v>
      </c>
    </row>
    <row r="941" customFormat="false" ht="12.75" hidden="false" customHeight="true" outlineLevel="0" collapsed="false">
      <c r="A941" s="139" t="n">
        <v>94026</v>
      </c>
      <c r="B941" s="149"/>
      <c r="C941" s="149"/>
      <c r="D941" s="150"/>
      <c r="E941" s="151"/>
      <c r="F941" s="151"/>
      <c r="G941" s="68"/>
      <c r="H941" s="151"/>
      <c r="I941" s="150"/>
      <c r="J941" s="68"/>
      <c r="K941" s="151"/>
      <c r="L941" s="151"/>
      <c r="M941" s="152" t="n">
        <f aca="false">I941-D941</f>
        <v>0</v>
      </c>
    </row>
    <row r="942" customFormat="false" ht="12.75" hidden="false" customHeight="true" outlineLevel="0" collapsed="false">
      <c r="A942" s="148" t="n">
        <v>94126</v>
      </c>
      <c r="B942" s="140"/>
      <c r="C942" s="140"/>
      <c r="D942" s="141"/>
      <c r="E942" s="142"/>
      <c r="F942" s="142"/>
      <c r="G942" s="66"/>
      <c r="H942" s="142"/>
      <c r="I942" s="141"/>
      <c r="J942" s="66"/>
      <c r="K942" s="142"/>
      <c r="L942" s="142"/>
      <c r="M942" s="145" t="n">
        <f aca="false">I942-D942</f>
        <v>0</v>
      </c>
    </row>
    <row r="943" customFormat="false" ht="12.75" hidden="false" customHeight="true" outlineLevel="0" collapsed="false">
      <c r="A943" s="139" t="n">
        <v>94226</v>
      </c>
      <c r="B943" s="149"/>
      <c r="C943" s="149"/>
      <c r="D943" s="150"/>
      <c r="E943" s="151"/>
      <c r="F943" s="151"/>
      <c r="G943" s="68"/>
      <c r="H943" s="151"/>
      <c r="I943" s="150"/>
      <c r="J943" s="68"/>
      <c r="K943" s="151"/>
      <c r="L943" s="151"/>
      <c r="M943" s="152" t="n">
        <f aca="false">I943-D943</f>
        <v>0</v>
      </c>
    </row>
    <row r="944" customFormat="false" ht="12.75" hidden="false" customHeight="true" outlineLevel="0" collapsed="false">
      <c r="A944" s="139" t="n">
        <v>94326</v>
      </c>
      <c r="B944" s="140"/>
      <c r="C944" s="140"/>
      <c r="D944" s="141"/>
      <c r="E944" s="142"/>
      <c r="F944" s="142"/>
      <c r="G944" s="66"/>
      <c r="H944" s="142"/>
      <c r="I944" s="141"/>
      <c r="J944" s="66"/>
      <c r="K944" s="142"/>
      <c r="L944" s="142"/>
      <c r="M944" s="145" t="n">
        <f aca="false">I944-D944</f>
        <v>0</v>
      </c>
    </row>
    <row r="945" customFormat="false" ht="12.75" hidden="false" customHeight="true" outlineLevel="0" collapsed="false">
      <c r="A945" s="148" t="n">
        <v>94426</v>
      </c>
      <c r="B945" s="149"/>
      <c r="C945" s="149"/>
      <c r="D945" s="150"/>
      <c r="E945" s="151"/>
      <c r="F945" s="151"/>
      <c r="G945" s="68"/>
      <c r="H945" s="151"/>
      <c r="I945" s="150"/>
      <c r="J945" s="68"/>
      <c r="K945" s="151"/>
      <c r="L945" s="151"/>
      <c r="M945" s="152" t="n">
        <f aca="false">I945-D945</f>
        <v>0</v>
      </c>
    </row>
    <row r="946" customFormat="false" ht="12.75" hidden="false" customHeight="true" outlineLevel="0" collapsed="false">
      <c r="A946" s="139" t="n">
        <v>94526</v>
      </c>
      <c r="B946" s="140"/>
      <c r="C946" s="140"/>
      <c r="D946" s="141"/>
      <c r="E946" s="142"/>
      <c r="F946" s="142"/>
      <c r="G946" s="66"/>
      <c r="H946" s="142"/>
      <c r="I946" s="141"/>
      <c r="J946" s="66"/>
      <c r="K946" s="142"/>
      <c r="L946" s="142"/>
      <c r="M946" s="145" t="n">
        <f aca="false">I946-D946</f>
        <v>0</v>
      </c>
    </row>
    <row r="947" customFormat="false" ht="12.75" hidden="false" customHeight="true" outlineLevel="0" collapsed="false">
      <c r="A947" s="139" t="n">
        <v>94626</v>
      </c>
      <c r="B947" s="149"/>
      <c r="C947" s="149"/>
      <c r="D947" s="150"/>
      <c r="E947" s="151"/>
      <c r="F947" s="151"/>
      <c r="G947" s="68"/>
      <c r="H947" s="151"/>
      <c r="I947" s="150"/>
      <c r="J947" s="68"/>
      <c r="K947" s="151"/>
      <c r="L947" s="151"/>
      <c r="M947" s="152" t="n">
        <f aca="false">I947-D947</f>
        <v>0</v>
      </c>
    </row>
    <row r="948" customFormat="false" ht="12.75" hidden="false" customHeight="true" outlineLevel="0" collapsed="false">
      <c r="A948" s="148" t="n">
        <v>94726</v>
      </c>
      <c r="B948" s="140"/>
      <c r="C948" s="140"/>
      <c r="D948" s="141"/>
      <c r="E948" s="142"/>
      <c r="F948" s="142"/>
      <c r="G948" s="66"/>
      <c r="H948" s="142"/>
      <c r="I948" s="141"/>
      <c r="J948" s="66"/>
      <c r="K948" s="142"/>
      <c r="L948" s="142"/>
      <c r="M948" s="145" t="n">
        <f aca="false">I948-D948</f>
        <v>0</v>
      </c>
    </row>
    <row r="949" customFormat="false" ht="12.75" hidden="false" customHeight="true" outlineLevel="0" collapsed="false">
      <c r="A949" s="139" t="n">
        <v>94826</v>
      </c>
      <c r="B949" s="149"/>
      <c r="C949" s="149"/>
      <c r="D949" s="150"/>
      <c r="E949" s="151"/>
      <c r="F949" s="151"/>
      <c r="G949" s="68"/>
      <c r="H949" s="151"/>
      <c r="I949" s="150"/>
      <c r="J949" s="68"/>
      <c r="K949" s="151"/>
      <c r="L949" s="151"/>
      <c r="M949" s="152" t="n">
        <f aca="false">I949-D949</f>
        <v>0</v>
      </c>
    </row>
    <row r="950" customFormat="false" ht="12.75" hidden="false" customHeight="true" outlineLevel="0" collapsed="false">
      <c r="A950" s="139" t="n">
        <v>94926</v>
      </c>
      <c r="B950" s="140"/>
      <c r="C950" s="140"/>
      <c r="D950" s="141"/>
      <c r="E950" s="142"/>
      <c r="F950" s="142"/>
      <c r="G950" s="66"/>
      <c r="H950" s="142"/>
      <c r="I950" s="141"/>
      <c r="J950" s="66"/>
      <c r="K950" s="142"/>
      <c r="L950" s="142"/>
      <c r="M950" s="145" t="n">
        <f aca="false">I950-D950</f>
        <v>0</v>
      </c>
    </row>
    <row r="951" customFormat="false" ht="12.75" hidden="false" customHeight="true" outlineLevel="0" collapsed="false">
      <c r="A951" s="148" t="n">
        <v>95026</v>
      </c>
      <c r="B951" s="149"/>
      <c r="C951" s="149"/>
      <c r="D951" s="150"/>
      <c r="E951" s="151"/>
      <c r="F951" s="151"/>
      <c r="G951" s="68"/>
      <c r="H951" s="151"/>
      <c r="I951" s="150"/>
      <c r="J951" s="68"/>
      <c r="K951" s="151"/>
      <c r="L951" s="151"/>
      <c r="M951" s="152" t="n">
        <f aca="false">I951-D951</f>
        <v>0</v>
      </c>
    </row>
    <row r="952" customFormat="false" ht="12.75" hidden="false" customHeight="true" outlineLevel="0" collapsed="false">
      <c r="A952" s="139" t="n">
        <v>95126</v>
      </c>
      <c r="B952" s="140"/>
      <c r="C952" s="140"/>
      <c r="D952" s="141"/>
      <c r="E952" s="142"/>
      <c r="F952" s="142"/>
      <c r="G952" s="66"/>
      <c r="H952" s="142"/>
      <c r="I952" s="141"/>
      <c r="J952" s="66"/>
      <c r="K952" s="142"/>
      <c r="L952" s="142"/>
      <c r="M952" s="145" t="n">
        <f aca="false">I952-D952</f>
        <v>0</v>
      </c>
    </row>
    <row r="953" customFormat="false" ht="12.75" hidden="false" customHeight="true" outlineLevel="0" collapsed="false">
      <c r="A953" s="139" t="n">
        <v>95226</v>
      </c>
      <c r="B953" s="149"/>
      <c r="C953" s="149"/>
      <c r="D953" s="150"/>
      <c r="E953" s="151"/>
      <c r="F953" s="151"/>
      <c r="G953" s="68"/>
      <c r="H953" s="151"/>
      <c r="I953" s="150"/>
      <c r="J953" s="68"/>
      <c r="K953" s="151"/>
      <c r="L953" s="151"/>
      <c r="M953" s="152" t="n">
        <f aca="false">I953-D953</f>
        <v>0</v>
      </c>
    </row>
    <row r="954" customFormat="false" ht="12.75" hidden="false" customHeight="true" outlineLevel="0" collapsed="false">
      <c r="A954" s="148" t="n">
        <v>95326</v>
      </c>
      <c r="B954" s="140"/>
      <c r="C954" s="140"/>
      <c r="D954" s="141"/>
      <c r="E954" s="142"/>
      <c r="F954" s="142"/>
      <c r="G954" s="66"/>
      <c r="H954" s="142"/>
      <c r="I954" s="141"/>
      <c r="J954" s="66"/>
      <c r="K954" s="142"/>
      <c r="L954" s="142"/>
      <c r="M954" s="145" t="n">
        <f aca="false">I954-D954</f>
        <v>0</v>
      </c>
    </row>
    <row r="955" customFormat="false" ht="12.75" hidden="false" customHeight="true" outlineLevel="0" collapsed="false">
      <c r="A955" s="139" t="n">
        <v>95426</v>
      </c>
      <c r="B955" s="149"/>
      <c r="C955" s="149"/>
      <c r="D955" s="150"/>
      <c r="E955" s="151"/>
      <c r="F955" s="151"/>
      <c r="G955" s="68"/>
      <c r="H955" s="151"/>
      <c r="I955" s="150"/>
      <c r="J955" s="68"/>
      <c r="K955" s="151"/>
      <c r="L955" s="151"/>
      <c r="M955" s="152" t="n">
        <f aca="false">I955-D955</f>
        <v>0</v>
      </c>
    </row>
    <row r="956" customFormat="false" ht="12.75" hidden="false" customHeight="true" outlineLevel="0" collapsed="false">
      <c r="A956" s="139" t="n">
        <v>95526</v>
      </c>
      <c r="B956" s="140"/>
      <c r="C956" s="140"/>
      <c r="D956" s="141"/>
      <c r="E956" s="142"/>
      <c r="F956" s="142"/>
      <c r="G956" s="66"/>
      <c r="H956" s="142"/>
      <c r="I956" s="141"/>
      <c r="J956" s="66"/>
      <c r="K956" s="142"/>
      <c r="L956" s="142"/>
      <c r="M956" s="145" t="n">
        <f aca="false">I956-D956</f>
        <v>0</v>
      </c>
    </row>
    <row r="957" customFormat="false" ht="12.75" hidden="false" customHeight="true" outlineLevel="0" collapsed="false">
      <c r="A957" s="148" t="n">
        <v>95626</v>
      </c>
      <c r="B957" s="149"/>
      <c r="C957" s="149"/>
      <c r="D957" s="150"/>
      <c r="E957" s="151"/>
      <c r="F957" s="151"/>
      <c r="G957" s="68"/>
      <c r="H957" s="151"/>
      <c r="I957" s="150"/>
      <c r="J957" s="68"/>
      <c r="K957" s="151"/>
      <c r="L957" s="151"/>
      <c r="M957" s="152" t="n">
        <f aca="false">I957-D957</f>
        <v>0</v>
      </c>
    </row>
    <row r="958" customFormat="false" ht="12.75" hidden="false" customHeight="true" outlineLevel="0" collapsed="false">
      <c r="A958" s="139" t="n">
        <v>95726</v>
      </c>
      <c r="B958" s="140"/>
      <c r="C958" s="140"/>
      <c r="D958" s="141"/>
      <c r="E958" s="142"/>
      <c r="F958" s="142"/>
      <c r="G958" s="66"/>
      <c r="H958" s="142"/>
      <c r="I958" s="141"/>
      <c r="J958" s="66"/>
      <c r="K958" s="142"/>
      <c r="L958" s="142"/>
      <c r="M958" s="145" t="n">
        <f aca="false">I958-D958</f>
        <v>0</v>
      </c>
    </row>
    <row r="959" customFormat="false" ht="12.75" hidden="false" customHeight="true" outlineLevel="0" collapsed="false">
      <c r="A959" s="139" t="n">
        <v>95826</v>
      </c>
      <c r="B959" s="149"/>
      <c r="C959" s="149"/>
      <c r="D959" s="150"/>
      <c r="E959" s="151"/>
      <c r="F959" s="151"/>
      <c r="G959" s="68"/>
      <c r="H959" s="151"/>
      <c r="I959" s="150"/>
      <c r="J959" s="68"/>
      <c r="K959" s="151"/>
      <c r="L959" s="151"/>
      <c r="M959" s="152" t="n">
        <f aca="false">I959-D959</f>
        <v>0</v>
      </c>
    </row>
    <row r="960" customFormat="false" ht="12.75" hidden="false" customHeight="true" outlineLevel="0" collapsed="false">
      <c r="A960" s="148" t="n">
        <v>95926</v>
      </c>
      <c r="B960" s="140"/>
      <c r="C960" s="140"/>
      <c r="D960" s="141"/>
      <c r="E960" s="142"/>
      <c r="F960" s="142"/>
      <c r="G960" s="66"/>
      <c r="H960" s="142"/>
      <c r="I960" s="141"/>
      <c r="J960" s="66"/>
      <c r="K960" s="142"/>
      <c r="L960" s="142"/>
      <c r="M960" s="145" t="n">
        <f aca="false">I960-D960</f>
        <v>0</v>
      </c>
    </row>
    <row r="961" customFormat="false" ht="12.75" hidden="false" customHeight="true" outlineLevel="0" collapsed="false">
      <c r="A961" s="139" t="n">
        <v>96026</v>
      </c>
      <c r="B961" s="149"/>
      <c r="C961" s="149"/>
      <c r="D961" s="150"/>
      <c r="E961" s="151"/>
      <c r="F961" s="151"/>
      <c r="G961" s="68"/>
      <c r="H961" s="151"/>
      <c r="I961" s="150"/>
      <c r="J961" s="68"/>
      <c r="K961" s="151"/>
      <c r="L961" s="151"/>
      <c r="M961" s="152" t="n">
        <f aca="false">I961-D961</f>
        <v>0</v>
      </c>
    </row>
    <row r="962" customFormat="false" ht="12.75" hidden="false" customHeight="true" outlineLevel="0" collapsed="false">
      <c r="A962" s="139" t="n">
        <v>96126</v>
      </c>
      <c r="B962" s="140"/>
      <c r="C962" s="140"/>
      <c r="D962" s="141"/>
      <c r="E962" s="142"/>
      <c r="F962" s="142"/>
      <c r="G962" s="66"/>
      <c r="H962" s="142"/>
      <c r="I962" s="141"/>
      <c r="J962" s="66"/>
      <c r="K962" s="142"/>
      <c r="L962" s="142"/>
      <c r="M962" s="145" t="n">
        <f aca="false">I962-D962</f>
        <v>0</v>
      </c>
    </row>
    <row r="963" customFormat="false" ht="12.75" hidden="false" customHeight="true" outlineLevel="0" collapsed="false">
      <c r="A963" s="148" t="n">
        <v>96226</v>
      </c>
      <c r="B963" s="149"/>
      <c r="C963" s="149"/>
      <c r="D963" s="150"/>
      <c r="E963" s="151"/>
      <c r="F963" s="151"/>
      <c r="G963" s="68"/>
      <c r="H963" s="151"/>
      <c r="I963" s="150"/>
      <c r="J963" s="68"/>
      <c r="K963" s="151"/>
      <c r="L963" s="151"/>
      <c r="M963" s="152" t="n">
        <f aca="false">I963-D963</f>
        <v>0</v>
      </c>
    </row>
    <row r="964" customFormat="false" ht="12.75" hidden="false" customHeight="true" outlineLevel="0" collapsed="false">
      <c r="A964" s="139" t="n">
        <v>96326</v>
      </c>
      <c r="B964" s="140"/>
      <c r="C964" s="140"/>
      <c r="D964" s="141"/>
      <c r="E964" s="142"/>
      <c r="F964" s="142"/>
      <c r="G964" s="66"/>
      <c r="H964" s="142"/>
      <c r="I964" s="141"/>
      <c r="J964" s="66"/>
      <c r="K964" s="142"/>
      <c r="L964" s="142"/>
      <c r="M964" s="145" t="n">
        <f aca="false">I964-D964</f>
        <v>0</v>
      </c>
    </row>
    <row r="965" customFormat="false" ht="12.75" hidden="false" customHeight="true" outlineLevel="0" collapsed="false">
      <c r="A965" s="139" t="n">
        <v>96426</v>
      </c>
      <c r="B965" s="149"/>
      <c r="C965" s="149"/>
      <c r="D965" s="150"/>
      <c r="E965" s="151"/>
      <c r="F965" s="151"/>
      <c r="G965" s="68"/>
      <c r="H965" s="151"/>
      <c r="I965" s="150"/>
      <c r="J965" s="68"/>
      <c r="K965" s="151"/>
      <c r="L965" s="151"/>
      <c r="M965" s="152" t="n">
        <f aca="false">I965-D965</f>
        <v>0</v>
      </c>
    </row>
    <row r="966" customFormat="false" ht="12.75" hidden="false" customHeight="true" outlineLevel="0" collapsed="false">
      <c r="A966" s="148" t="n">
        <v>96526</v>
      </c>
      <c r="B966" s="140"/>
      <c r="C966" s="140"/>
      <c r="D966" s="141"/>
      <c r="E966" s="142"/>
      <c r="F966" s="142"/>
      <c r="G966" s="66"/>
      <c r="H966" s="142"/>
      <c r="I966" s="141"/>
      <c r="J966" s="66"/>
      <c r="K966" s="142"/>
      <c r="L966" s="142"/>
      <c r="M966" s="145" t="n">
        <f aca="false">I966-D966</f>
        <v>0</v>
      </c>
    </row>
    <row r="967" customFormat="false" ht="12.75" hidden="false" customHeight="true" outlineLevel="0" collapsed="false">
      <c r="A967" s="139" t="n">
        <v>96626</v>
      </c>
      <c r="B967" s="149"/>
      <c r="C967" s="149"/>
      <c r="D967" s="150"/>
      <c r="E967" s="151"/>
      <c r="F967" s="151"/>
      <c r="G967" s="68"/>
      <c r="H967" s="151"/>
      <c r="I967" s="150"/>
      <c r="J967" s="68"/>
      <c r="K967" s="151"/>
      <c r="L967" s="151"/>
      <c r="M967" s="152" t="n">
        <f aca="false">I967-D967</f>
        <v>0</v>
      </c>
    </row>
    <row r="968" customFormat="false" ht="12.75" hidden="false" customHeight="true" outlineLevel="0" collapsed="false">
      <c r="A968" s="139" t="n">
        <v>96726</v>
      </c>
      <c r="B968" s="140"/>
      <c r="C968" s="140"/>
      <c r="D968" s="141"/>
      <c r="E968" s="142"/>
      <c r="F968" s="142"/>
      <c r="G968" s="66"/>
      <c r="H968" s="142"/>
      <c r="I968" s="141"/>
      <c r="J968" s="66"/>
      <c r="K968" s="142"/>
      <c r="L968" s="142"/>
      <c r="M968" s="145" t="n">
        <f aca="false">I968-D968</f>
        <v>0</v>
      </c>
    </row>
    <row r="969" customFormat="false" ht="12.75" hidden="false" customHeight="true" outlineLevel="0" collapsed="false">
      <c r="A969" s="148" t="n">
        <v>96826</v>
      </c>
      <c r="B969" s="149"/>
      <c r="C969" s="149"/>
      <c r="D969" s="150"/>
      <c r="E969" s="151"/>
      <c r="F969" s="151"/>
      <c r="G969" s="68"/>
      <c r="H969" s="151"/>
      <c r="I969" s="150"/>
      <c r="J969" s="68"/>
      <c r="K969" s="151"/>
      <c r="L969" s="151"/>
      <c r="M969" s="152" t="n">
        <f aca="false">I969-D969</f>
        <v>0</v>
      </c>
    </row>
    <row r="970" customFormat="false" ht="12.75" hidden="false" customHeight="true" outlineLevel="0" collapsed="false">
      <c r="A970" s="139" t="n">
        <v>96926</v>
      </c>
      <c r="B970" s="140"/>
      <c r="C970" s="140"/>
      <c r="D970" s="141"/>
      <c r="E970" s="142"/>
      <c r="F970" s="142"/>
      <c r="G970" s="66"/>
      <c r="H970" s="142"/>
      <c r="I970" s="141"/>
      <c r="J970" s="66"/>
      <c r="K970" s="142"/>
      <c r="L970" s="142"/>
      <c r="M970" s="145" t="n">
        <f aca="false">I970-D970</f>
        <v>0</v>
      </c>
    </row>
    <row r="971" customFormat="false" ht="12.75" hidden="false" customHeight="true" outlineLevel="0" collapsed="false">
      <c r="A971" s="139" t="n">
        <v>97026</v>
      </c>
      <c r="B971" s="149"/>
      <c r="C971" s="149"/>
      <c r="D971" s="150"/>
      <c r="E971" s="151"/>
      <c r="F971" s="151"/>
      <c r="G971" s="68"/>
      <c r="H971" s="151"/>
      <c r="I971" s="150"/>
      <c r="J971" s="68"/>
      <c r="K971" s="151"/>
      <c r="L971" s="151"/>
      <c r="M971" s="152" t="n">
        <f aca="false">I971-D971</f>
        <v>0</v>
      </c>
    </row>
    <row r="972" customFormat="false" ht="12.75" hidden="false" customHeight="true" outlineLevel="0" collapsed="false">
      <c r="A972" s="148" t="n">
        <v>97126</v>
      </c>
      <c r="B972" s="140"/>
      <c r="C972" s="140"/>
      <c r="D972" s="141"/>
      <c r="E972" s="142"/>
      <c r="F972" s="142"/>
      <c r="G972" s="66"/>
      <c r="H972" s="142"/>
      <c r="I972" s="141"/>
      <c r="J972" s="66"/>
      <c r="K972" s="142"/>
      <c r="L972" s="142"/>
      <c r="M972" s="145" t="n">
        <f aca="false">I972-D972</f>
        <v>0</v>
      </c>
    </row>
    <row r="973" customFormat="false" ht="12.75" hidden="false" customHeight="true" outlineLevel="0" collapsed="false">
      <c r="A973" s="139" t="n">
        <v>97226</v>
      </c>
      <c r="B973" s="149"/>
      <c r="C973" s="149"/>
      <c r="D973" s="150"/>
      <c r="E973" s="151"/>
      <c r="F973" s="151"/>
      <c r="G973" s="68"/>
      <c r="H973" s="151"/>
      <c r="I973" s="150"/>
      <c r="J973" s="68"/>
      <c r="K973" s="151"/>
      <c r="L973" s="151"/>
      <c r="M973" s="152" t="n">
        <f aca="false">I973-D973</f>
        <v>0</v>
      </c>
    </row>
    <row r="974" customFormat="false" ht="12.75" hidden="false" customHeight="true" outlineLevel="0" collapsed="false">
      <c r="A974" s="139" t="n">
        <v>97326</v>
      </c>
      <c r="B974" s="140"/>
      <c r="C974" s="140"/>
      <c r="D974" s="141"/>
      <c r="E974" s="142"/>
      <c r="F974" s="142"/>
      <c r="G974" s="66"/>
      <c r="H974" s="142"/>
      <c r="I974" s="141"/>
      <c r="J974" s="66"/>
      <c r="K974" s="142"/>
      <c r="L974" s="142"/>
      <c r="M974" s="145" t="n">
        <f aca="false">I974-D974</f>
        <v>0</v>
      </c>
    </row>
    <row r="975" customFormat="false" ht="12.75" hidden="false" customHeight="true" outlineLevel="0" collapsed="false">
      <c r="A975" s="148" t="n">
        <v>97426</v>
      </c>
      <c r="B975" s="149"/>
      <c r="C975" s="149"/>
      <c r="D975" s="150"/>
      <c r="E975" s="151"/>
      <c r="F975" s="151"/>
      <c r="G975" s="68"/>
      <c r="H975" s="151"/>
      <c r="I975" s="150"/>
      <c r="J975" s="68"/>
      <c r="K975" s="151"/>
      <c r="L975" s="151"/>
      <c r="M975" s="152" t="n">
        <f aca="false">I975-D975</f>
        <v>0</v>
      </c>
    </row>
    <row r="976" customFormat="false" ht="12.75" hidden="false" customHeight="true" outlineLevel="0" collapsed="false">
      <c r="A976" s="139" t="n">
        <v>97526</v>
      </c>
      <c r="B976" s="140"/>
      <c r="C976" s="140"/>
      <c r="D976" s="141"/>
      <c r="E976" s="142"/>
      <c r="F976" s="142"/>
      <c r="G976" s="66"/>
      <c r="H976" s="142"/>
      <c r="I976" s="141"/>
      <c r="J976" s="66"/>
      <c r="K976" s="142"/>
      <c r="L976" s="142"/>
      <c r="M976" s="145" t="n">
        <f aca="false">I976-D976</f>
        <v>0</v>
      </c>
    </row>
    <row r="977" customFormat="false" ht="12.75" hidden="false" customHeight="true" outlineLevel="0" collapsed="false">
      <c r="A977" s="139" t="n">
        <v>97626</v>
      </c>
      <c r="B977" s="149"/>
      <c r="C977" s="149"/>
      <c r="D977" s="150"/>
      <c r="E977" s="151"/>
      <c r="F977" s="151"/>
      <c r="G977" s="68"/>
      <c r="H977" s="151"/>
      <c r="I977" s="150"/>
      <c r="J977" s="68"/>
      <c r="K977" s="151"/>
      <c r="L977" s="151"/>
      <c r="M977" s="152" t="n">
        <f aca="false">I977-D977</f>
        <v>0</v>
      </c>
    </row>
    <row r="978" customFormat="false" ht="12.75" hidden="false" customHeight="true" outlineLevel="0" collapsed="false">
      <c r="A978" s="148" t="n">
        <v>97726</v>
      </c>
      <c r="B978" s="140"/>
      <c r="C978" s="140"/>
      <c r="D978" s="141"/>
      <c r="E978" s="142"/>
      <c r="F978" s="142"/>
      <c r="G978" s="66"/>
      <c r="H978" s="142"/>
      <c r="I978" s="141"/>
      <c r="J978" s="66"/>
      <c r="K978" s="142"/>
      <c r="L978" s="142"/>
      <c r="M978" s="145" t="n">
        <f aca="false">I978-D978</f>
        <v>0</v>
      </c>
    </row>
    <row r="979" customFormat="false" ht="12.75" hidden="false" customHeight="true" outlineLevel="0" collapsed="false">
      <c r="A979" s="139" t="n">
        <v>97826</v>
      </c>
      <c r="B979" s="149"/>
      <c r="C979" s="149"/>
      <c r="D979" s="150"/>
      <c r="E979" s="151"/>
      <c r="F979" s="151"/>
      <c r="G979" s="68"/>
      <c r="H979" s="151"/>
      <c r="I979" s="150"/>
      <c r="J979" s="68"/>
      <c r="K979" s="151"/>
      <c r="L979" s="151"/>
      <c r="M979" s="152" t="n">
        <f aca="false">I979-D979</f>
        <v>0</v>
      </c>
    </row>
    <row r="980" customFormat="false" ht="12.75" hidden="false" customHeight="true" outlineLevel="0" collapsed="false">
      <c r="A980" s="139" t="n">
        <v>97926</v>
      </c>
      <c r="B980" s="140"/>
      <c r="C980" s="140"/>
      <c r="D980" s="141"/>
      <c r="E980" s="142"/>
      <c r="F980" s="142"/>
      <c r="G980" s="66"/>
      <c r="H980" s="142"/>
      <c r="I980" s="141"/>
      <c r="J980" s="66"/>
      <c r="K980" s="142"/>
      <c r="L980" s="142"/>
      <c r="M980" s="145" t="n">
        <f aca="false">I980-D980</f>
        <v>0</v>
      </c>
    </row>
    <row r="981" customFormat="false" ht="12.75" hidden="false" customHeight="true" outlineLevel="0" collapsed="false">
      <c r="A981" s="148" t="n">
        <v>98026</v>
      </c>
      <c r="B981" s="149"/>
      <c r="C981" s="149"/>
      <c r="D981" s="150"/>
      <c r="E981" s="151"/>
      <c r="F981" s="151"/>
      <c r="G981" s="68"/>
      <c r="H981" s="151"/>
      <c r="I981" s="150"/>
      <c r="J981" s="68"/>
      <c r="K981" s="151"/>
      <c r="L981" s="151"/>
      <c r="M981" s="152" t="n">
        <f aca="false">I981-D981</f>
        <v>0</v>
      </c>
    </row>
    <row r="982" customFormat="false" ht="12.75" hidden="false" customHeight="true" outlineLevel="0" collapsed="false">
      <c r="A982" s="139" t="n">
        <v>98126</v>
      </c>
      <c r="B982" s="140"/>
      <c r="C982" s="140"/>
      <c r="D982" s="141"/>
      <c r="E982" s="142"/>
      <c r="F982" s="142"/>
      <c r="G982" s="66"/>
      <c r="H982" s="142"/>
      <c r="I982" s="141"/>
      <c r="J982" s="66"/>
      <c r="K982" s="142"/>
      <c r="L982" s="142"/>
      <c r="M982" s="145" t="n">
        <f aca="false">I982-D982</f>
        <v>0</v>
      </c>
    </row>
    <row r="983" customFormat="false" ht="12.75" hidden="false" customHeight="true" outlineLevel="0" collapsed="false">
      <c r="A983" s="139" t="n">
        <v>98226</v>
      </c>
      <c r="B983" s="149"/>
      <c r="C983" s="149"/>
      <c r="D983" s="150"/>
      <c r="E983" s="151"/>
      <c r="F983" s="151"/>
      <c r="G983" s="68"/>
      <c r="H983" s="151"/>
      <c r="I983" s="150"/>
      <c r="J983" s="68"/>
      <c r="K983" s="151"/>
      <c r="L983" s="151"/>
      <c r="M983" s="152" t="n">
        <f aca="false">I983-D983</f>
        <v>0</v>
      </c>
    </row>
    <row r="984" customFormat="false" ht="12.75" hidden="false" customHeight="true" outlineLevel="0" collapsed="false">
      <c r="A984" s="148" t="n">
        <v>98326</v>
      </c>
      <c r="B984" s="140"/>
      <c r="C984" s="140"/>
      <c r="D984" s="141"/>
      <c r="E984" s="142"/>
      <c r="F984" s="142"/>
      <c r="G984" s="66"/>
      <c r="H984" s="142"/>
      <c r="I984" s="141"/>
      <c r="J984" s="66"/>
      <c r="K984" s="142"/>
      <c r="L984" s="142"/>
      <c r="M984" s="145" t="n">
        <f aca="false">I984-D984</f>
        <v>0</v>
      </c>
    </row>
    <row r="985" customFormat="false" ht="12.75" hidden="false" customHeight="true" outlineLevel="0" collapsed="false">
      <c r="A985" s="139" t="n">
        <v>98426</v>
      </c>
      <c r="B985" s="149"/>
      <c r="C985" s="149"/>
      <c r="D985" s="150"/>
      <c r="E985" s="151"/>
      <c r="F985" s="151"/>
      <c r="G985" s="68"/>
      <c r="H985" s="151"/>
      <c r="I985" s="150"/>
      <c r="J985" s="68"/>
      <c r="K985" s="151"/>
      <c r="L985" s="151"/>
      <c r="M985" s="152" t="n">
        <f aca="false">I985-D985</f>
        <v>0</v>
      </c>
    </row>
    <row r="986" customFormat="false" ht="12.75" hidden="false" customHeight="true" outlineLevel="0" collapsed="false">
      <c r="A986" s="139" t="n">
        <v>98526</v>
      </c>
      <c r="B986" s="140"/>
      <c r="C986" s="140"/>
      <c r="D986" s="141"/>
      <c r="E986" s="142"/>
      <c r="F986" s="142"/>
      <c r="G986" s="66"/>
      <c r="H986" s="142"/>
      <c r="I986" s="141"/>
      <c r="J986" s="66"/>
      <c r="K986" s="142"/>
      <c r="L986" s="142"/>
      <c r="M986" s="145" t="n">
        <f aca="false">I986-D986</f>
        <v>0</v>
      </c>
    </row>
    <row r="987" customFormat="false" ht="12.75" hidden="false" customHeight="true" outlineLevel="0" collapsed="false">
      <c r="A987" s="148" t="n">
        <v>98626</v>
      </c>
      <c r="B987" s="149"/>
      <c r="C987" s="149"/>
      <c r="D987" s="150"/>
      <c r="E987" s="151"/>
      <c r="F987" s="151"/>
      <c r="G987" s="68"/>
      <c r="H987" s="151"/>
      <c r="I987" s="150"/>
      <c r="J987" s="68"/>
      <c r="K987" s="151"/>
      <c r="L987" s="151"/>
      <c r="M987" s="152" t="n">
        <f aca="false">I987-D987</f>
        <v>0</v>
      </c>
    </row>
    <row r="988" customFormat="false" ht="12.75" hidden="false" customHeight="true" outlineLevel="0" collapsed="false">
      <c r="A988" s="139" t="n">
        <v>98726</v>
      </c>
      <c r="B988" s="140"/>
      <c r="C988" s="140"/>
      <c r="D988" s="141"/>
      <c r="E988" s="142"/>
      <c r="F988" s="142"/>
      <c r="G988" s="66"/>
      <c r="H988" s="142"/>
      <c r="I988" s="141"/>
      <c r="J988" s="66"/>
      <c r="K988" s="142"/>
      <c r="L988" s="142"/>
      <c r="M988" s="145" t="n">
        <f aca="false">I988-D988</f>
        <v>0</v>
      </c>
    </row>
    <row r="989" customFormat="false" ht="12.75" hidden="false" customHeight="true" outlineLevel="0" collapsed="false">
      <c r="A989" s="139" t="n">
        <v>98826</v>
      </c>
      <c r="B989" s="149"/>
      <c r="C989" s="149"/>
      <c r="D989" s="150"/>
      <c r="E989" s="151"/>
      <c r="F989" s="151"/>
      <c r="G989" s="68"/>
      <c r="H989" s="151"/>
      <c r="I989" s="150"/>
      <c r="J989" s="68"/>
      <c r="K989" s="151"/>
      <c r="L989" s="151"/>
      <c r="M989" s="152" t="n">
        <f aca="false">I989-D989</f>
        <v>0</v>
      </c>
    </row>
    <row r="990" customFormat="false" ht="12.75" hidden="false" customHeight="true" outlineLevel="0" collapsed="false">
      <c r="A990" s="148" t="n">
        <v>98926</v>
      </c>
      <c r="B990" s="140"/>
      <c r="C990" s="140"/>
      <c r="D990" s="141"/>
      <c r="E990" s="142"/>
      <c r="F990" s="142"/>
      <c r="G990" s="66"/>
      <c r="H990" s="142"/>
      <c r="I990" s="141"/>
      <c r="J990" s="66"/>
      <c r="K990" s="142"/>
      <c r="L990" s="142"/>
      <c r="M990" s="145" t="n">
        <f aca="false">I990-D990</f>
        <v>0</v>
      </c>
    </row>
    <row r="991" customFormat="false" ht="12.75" hidden="false" customHeight="true" outlineLevel="0" collapsed="false">
      <c r="A991" s="139" t="n">
        <v>99026</v>
      </c>
      <c r="B991" s="149"/>
      <c r="C991" s="149"/>
      <c r="D991" s="150"/>
      <c r="E991" s="151"/>
      <c r="F991" s="151"/>
      <c r="G991" s="68"/>
      <c r="H991" s="151"/>
      <c r="I991" s="150"/>
      <c r="J991" s="68"/>
      <c r="K991" s="151"/>
      <c r="L991" s="151"/>
      <c r="M991" s="152" t="n">
        <f aca="false">I991-D991</f>
        <v>0</v>
      </c>
    </row>
    <row r="992" customFormat="false" ht="12.75" hidden="false" customHeight="true" outlineLevel="0" collapsed="false">
      <c r="A992" s="139" t="n">
        <v>99126</v>
      </c>
      <c r="B992" s="140"/>
      <c r="C992" s="140"/>
      <c r="D992" s="141"/>
      <c r="E992" s="142"/>
      <c r="F992" s="142"/>
      <c r="G992" s="66"/>
      <c r="H992" s="142"/>
      <c r="I992" s="141"/>
      <c r="J992" s="66"/>
      <c r="K992" s="142"/>
      <c r="L992" s="142"/>
      <c r="M992" s="145" t="n">
        <f aca="false">I992-D992</f>
        <v>0</v>
      </c>
    </row>
    <row r="993" customFormat="false" ht="12.75" hidden="false" customHeight="true" outlineLevel="0" collapsed="false">
      <c r="A993" s="148" t="n">
        <v>99226</v>
      </c>
      <c r="B993" s="149"/>
      <c r="C993" s="149"/>
      <c r="D993" s="150"/>
      <c r="E993" s="151"/>
      <c r="F993" s="151"/>
      <c r="G993" s="68"/>
      <c r="H993" s="151"/>
      <c r="I993" s="150"/>
      <c r="J993" s="68"/>
      <c r="K993" s="151"/>
      <c r="L993" s="151"/>
      <c r="M993" s="152" t="n">
        <f aca="false">I993-D993</f>
        <v>0</v>
      </c>
    </row>
    <row r="994" customFormat="false" ht="12.75" hidden="false" customHeight="true" outlineLevel="0" collapsed="false">
      <c r="A994" s="139" t="n">
        <v>99326</v>
      </c>
      <c r="B994" s="140"/>
      <c r="C994" s="140"/>
      <c r="D994" s="141"/>
      <c r="E994" s="142"/>
      <c r="F994" s="142"/>
      <c r="G994" s="66"/>
      <c r="H994" s="142"/>
      <c r="I994" s="141"/>
      <c r="J994" s="66"/>
      <c r="K994" s="142"/>
      <c r="L994" s="142"/>
      <c r="M994" s="145" t="n">
        <f aca="false">I994-D994</f>
        <v>0</v>
      </c>
    </row>
    <row r="995" customFormat="false" ht="12.75" hidden="false" customHeight="true" outlineLevel="0" collapsed="false">
      <c r="A995" s="139" t="n">
        <v>99426</v>
      </c>
      <c r="B995" s="149"/>
      <c r="C995" s="149"/>
      <c r="D995" s="150"/>
      <c r="E995" s="151"/>
      <c r="F995" s="151"/>
      <c r="G995" s="68"/>
      <c r="H995" s="151"/>
      <c r="I995" s="150"/>
      <c r="J995" s="68"/>
      <c r="K995" s="151"/>
      <c r="L995" s="151"/>
      <c r="M995" s="152" t="n">
        <f aca="false">I995-D995</f>
        <v>0</v>
      </c>
    </row>
    <row r="996" customFormat="false" ht="12.75" hidden="false" customHeight="true" outlineLevel="0" collapsed="false">
      <c r="A996" s="148" t="n">
        <v>99526</v>
      </c>
      <c r="B996" s="140"/>
      <c r="C996" s="140"/>
      <c r="D996" s="141"/>
      <c r="E996" s="142"/>
      <c r="F996" s="142"/>
      <c r="G996" s="66"/>
      <c r="H996" s="142"/>
      <c r="I996" s="141"/>
      <c r="J996" s="66"/>
      <c r="K996" s="142"/>
      <c r="L996" s="142"/>
      <c r="M996" s="145" t="n">
        <f aca="false">I996-D996</f>
        <v>0</v>
      </c>
    </row>
    <row r="997" customFormat="false" ht="12.75" hidden="false" customHeight="true" outlineLevel="0" collapsed="false">
      <c r="A997" s="139" t="n">
        <v>99626</v>
      </c>
      <c r="B997" s="149"/>
      <c r="C997" s="149"/>
      <c r="D997" s="150"/>
      <c r="E997" s="151"/>
      <c r="F997" s="151"/>
      <c r="G997" s="68"/>
      <c r="H997" s="151"/>
      <c r="I997" s="150"/>
      <c r="J997" s="68"/>
      <c r="K997" s="151"/>
      <c r="L997" s="151"/>
      <c r="M997" s="152" t="n">
        <f aca="false">I997-D997</f>
        <v>0</v>
      </c>
    </row>
    <row r="998" customFormat="false" ht="12.75" hidden="false" customHeight="true" outlineLevel="0" collapsed="false">
      <c r="A998" s="139" t="n">
        <v>99726</v>
      </c>
      <c r="B998" s="140"/>
      <c r="C998" s="140"/>
      <c r="D998" s="141"/>
      <c r="E998" s="142"/>
      <c r="F998" s="142"/>
      <c r="G998" s="66"/>
      <c r="H998" s="142"/>
      <c r="I998" s="141"/>
      <c r="J998" s="66"/>
      <c r="K998" s="142"/>
      <c r="L998" s="142"/>
      <c r="M998" s="145" t="n">
        <f aca="false">I998-D998</f>
        <v>0</v>
      </c>
    </row>
    <row r="999" customFormat="false" ht="12.75" hidden="false" customHeight="true" outlineLevel="0" collapsed="false">
      <c r="A999" s="148" t="n">
        <v>99826</v>
      </c>
      <c r="B999" s="149"/>
      <c r="C999" s="149"/>
      <c r="D999" s="150"/>
      <c r="E999" s="151"/>
      <c r="F999" s="151"/>
      <c r="G999" s="68"/>
      <c r="H999" s="151"/>
      <c r="I999" s="150"/>
      <c r="J999" s="68"/>
      <c r="K999" s="151"/>
      <c r="L999" s="151"/>
      <c r="M999" s="152" t="n">
        <f aca="false">I999-D999</f>
        <v>0</v>
      </c>
    </row>
    <row r="1000" customFormat="false" ht="12.75" hidden="false" customHeight="true" outlineLevel="0" collapsed="false">
      <c r="A1000" s="139" t="n">
        <v>99926</v>
      </c>
      <c r="B1000" s="140"/>
      <c r="C1000" s="140"/>
      <c r="D1000" s="141"/>
      <c r="E1000" s="142"/>
      <c r="F1000" s="142"/>
      <c r="G1000" s="66"/>
      <c r="H1000" s="142"/>
      <c r="I1000" s="141"/>
      <c r="J1000" s="66"/>
      <c r="K1000" s="142"/>
      <c r="L1000" s="142"/>
      <c r="M1000" s="145" t="n">
        <f aca="false">I1000-D1000</f>
        <v>0</v>
      </c>
    </row>
    <row r="1001" customFormat="false" ht="12.75" hidden="false" customHeight="true" outlineLevel="0" collapsed="false">
      <c r="A1001" s="139" t="n">
        <v>100026</v>
      </c>
      <c r="B1001" s="149"/>
      <c r="C1001" s="149"/>
      <c r="D1001" s="150"/>
      <c r="E1001" s="151"/>
      <c r="F1001" s="151"/>
      <c r="G1001" s="68"/>
      <c r="H1001" s="151"/>
      <c r="I1001" s="150"/>
      <c r="J1001" s="68"/>
      <c r="K1001" s="151"/>
      <c r="L1001" s="151"/>
      <c r="M1001" s="152" t="n">
        <f aca="false">I1001-D1001</f>
        <v>0</v>
      </c>
    </row>
  </sheetData>
  <autoFilter ref="A1:Z1001"/>
  <mergeCells count="74">
    <mergeCell ref="O10:V11"/>
    <mergeCell ref="O12:V12"/>
    <mergeCell ref="O13:V13"/>
    <mergeCell ref="O14:V14"/>
    <mergeCell ref="O15:V15"/>
    <mergeCell ref="O16:V16"/>
    <mergeCell ref="O17:V17"/>
    <mergeCell ref="O19:S20"/>
    <mergeCell ref="P21:R21"/>
    <mergeCell ref="P22:R22"/>
    <mergeCell ref="P23:R23"/>
    <mergeCell ref="P24:R24"/>
    <mergeCell ref="P25:R25"/>
    <mergeCell ref="P26:R26"/>
    <mergeCell ref="P27:R27"/>
    <mergeCell ref="P28:R28"/>
    <mergeCell ref="P29:R29"/>
    <mergeCell ref="P30:R30"/>
    <mergeCell ref="P31:R31"/>
    <mergeCell ref="P32:R32"/>
    <mergeCell ref="P33:R33"/>
    <mergeCell ref="P34:R34"/>
    <mergeCell ref="P35:R35"/>
    <mergeCell ref="P36:R36"/>
    <mergeCell ref="P37:R37"/>
    <mergeCell ref="P38:R38"/>
    <mergeCell ref="P39:R39"/>
    <mergeCell ref="P40:R40"/>
    <mergeCell ref="P41:R41"/>
    <mergeCell ref="O43:S44"/>
    <mergeCell ref="P45:R45"/>
    <mergeCell ref="P46:R46"/>
    <mergeCell ref="P47:R47"/>
    <mergeCell ref="P48:R48"/>
    <mergeCell ref="P49:R49"/>
    <mergeCell ref="P50:R50"/>
    <mergeCell ref="P51:R51"/>
    <mergeCell ref="P52:R52"/>
    <mergeCell ref="P53:R53"/>
    <mergeCell ref="P54:R54"/>
    <mergeCell ref="P55:R55"/>
    <mergeCell ref="P56:R56"/>
    <mergeCell ref="P57:R57"/>
    <mergeCell ref="P58:R58"/>
    <mergeCell ref="O60:T61"/>
    <mergeCell ref="O62:R62"/>
    <mergeCell ref="O63:R63"/>
    <mergeCell ref="O64:R64"/>
    <mergeCell ref="O65:R65"/>
    <mergeCell ref="O66:R66"/>
    <mergeCell ref="O67:R67"/>
    <mergeCell ref="O68:R68"/>
    <mergeCell ref="O69:R69"/>
    <mergeCell ref="O70:R70"/>
    <mergeCell ref="O71:R71"/>
    <mergeCell ref="O72:R72"/>
    <mergeCell ref="O73:R73"/>
    <mergeCell ref="O75:T76"/>
    <mergeCell ref="O77:R77"/>
    <mergeCell ref="O78:R78"/>
    <mergeCell ref="O79:R79"/>
    <mergeCell ref="O80:R80"/>
    <mergeCell ref="O81:R81"/>
    <mergeCell ref="O82:R82"/>
    <mergeCell ref="O84:S85"/>
    <mergeCell ref="P86:S86"/>
    <mergeCell ref="P87:S87"/>
    <mergeCell ref="P88:S88"/>
    <mergeCell ref="P89:S89"/>
    <mergeCell ref="P90:S90"/>
    <mergeCell ref="P91:S91"/>
    <mergeCell ref="P92:S92"/>
    <mergeCell ref="O93:O94"/>
    <mergeCell ref="P93:S94"/>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T365"/>
  <sheetViews>
    <sheetView showFormulas="false" showGridLines="true" showRowColHeaders="true" showZeros="true" rightToLeft="false" tabSelected="false" showOutlineSymbols="true" defaultGridColor="true" view="normal" topLeftCell="A1" colorId="64" zoomScale="68" zoomScaleNormal="68" zoomScalePageLayoutView="100" workbookViewId="0">
      <pane xSplit="1" ySplit="3" topLeftCell="K4" activePane="bottomRight" state="frozen"/>
      <selection pane="topLeft" activeCell="A1" activeCellId="0" sqref="A1"/>
      <selection pane="topRight" activeCell="K1" activeCellId="0" sqref="K1"/>
      <selection pane="bottomLeft" activeCell="A4" activeCellId="0" sqref="A4"/>
      <selection pane="bottomRight" activeCell="P87" activeCellId="0" sqref="P87"/>
    </sheetView>
  </sheetViews>
  <sheetFormatPr defaultColWidth="14.2890625" defaultRowHeight="12.75" customHeight="false" zeroHeight="false" outlineLevelRow="0" outlineLevelCol="0"/>
  <cols>
    <col collapsed="false" customWidth="true" hidden="false" outlineLevel="0" max="1" min="1" style="0" width="16.14"/>
    <col collapsed="false" customWidth="true" hidden="false" outlineLevel="0" max="2" min="2" style="0" width="23.85"/>
    <col collapsed="false" customWidth="true" hidden="false" outlineLevel="0" max="4" min="3" style="0" width="22.58"/>
    <col collapsed="false" customWidth="true" hidden="false" outlineLevel="0" max="5" min="5" style="0" width="47.71"/>
    <col collapsed="false" customWidth="true" hidden="false" outlineLevel="0" max="6" min="6" style="0" width="45.57"/>
    <col collapsed="false" customWidth="true" hidden="false" outlineLevel="0" max="7" min="7" style="0" width="12.29"/>
    <col collapsed="false" customWidth="true" hidden="false" outlineLevel="0" max="8" min="8" style="0" width="20.29"/>
    <col collapsed="false" customWidth="true" hidden="false" outlineLevel="0" max="9" min="9" style="0" width="24.71"/>
    <col collapsed="false" customWidth="true" hidden="false" outlineLevel="0" max="10" min="10" style="0" width="6.71"/>
    <col collapsed="false" customWidth="true" hidden="false" outlineLevel="0" max="11" min="11" style="0" width="77.43"/>
    <col collapsed="false" customWidth="true" hidden="false" outlineLevel="0" max="12" min="12" style="0" width="57.85"/>
    <col collapsed="false" customWidth="true" hidden="false" outlineLevel="0" max="13" min="13" style="0" width="38.29"/>
    <col collapsed="false" customWidth="true" hidden="false" outlineLevel="0" max="14" min="14" style="0" width="7.71"/>
    <col collapsed="false" customWidth="true" hidden="false" outlineLevel="0" max="15" min="15" style="0" width="24.85"/>
    <col collapsed="false" customWidth="true" hidden="false" outlineLevel="0" max="16" min="16" style="0" width="11.57"/>
    <col collapsed="false" customWidth="true" hidden="false" outlineLevel="0" max="17" min="17" style="0" width="3.42"/>
    <col collapsed="false" customWidth="true" hidden="false" outlineLevel="0" max="18" min="18" style="0" width="41.85"/>
    <col collapsed="false" customWidth="true" hidden="false" outlineLevel="0" max="19" min="19" style="0" width="24.57"/>
    <col collapsed="false" customWidth="true" hidden="false" outlineLevel="0" max="20" min="20" style="0" width="11"/>
    <col collapsed="false" customWidth="true" hidden="false" outlineLevel="0" max="26" min="21" style="0" width="8.71"/>
  </cols>
  <sheetData>
    <row r="1" customFormat="false" ht="14.15" hidden="false" customHeight="false" outlineLevel="0" collapsed="false">
      <c r="A1" s="200" t="s">
        <v>92</v>
      </c>
      <c r="B1" s="75" t="s">
        <v>93</v>
      </c>
      <c r="C1" s="75" t="s">
        <v>89</v>
      </c>
      <c r="D1" s="201" t="s">
        <v>94</v>
      </c>
      <c r="E1" s="62" t="s">
        <v>95</v>
      </c>
      <c r="F1" s="63" t="s">
        <v>96</v>
      </c>
      <c r="G1" s="62" t="s">
        <v>97</v>
      </c>
      <c r="H1" s="63" t="s">
        <v>98</v>
      </c>
      <c r="I1" s="201" t="s">
        <v>99</v>
      </c>
      <c r="J1" s="62" t="s">
        <v>100</v>
      </c>
      <c r="K1" s="62" t="s">
        <v>101</v>
      </c>
      <c r="L1" s="62" t="s">
        <v>102</v>
      </c>
      <c r="M1" s="202" t="s">
        <v>103</v>
      </c>
      <c r="N1" s="136"/>
      <c r="O1" s="136"/>
      <c r="P1" s="136"/>
      <c r="Q1" s="136"/>
      <c r="R1" s="136"/>
      <c r="S1" s="136"/>
    </row>
    <row r="2" customFormat="false" ht="15" hidden="false" customHeight="false" outlineLevel="0" collapsed="false">
      <c r="A2" s="203" t="s">
        <v>1171</v>
      </c>
      <c r="B2" s="193" t="s">
        <v>1172</v>
      </c>
      <c r="C2" s="193" t="n">
        <v>2018</v>
      </c>
      <c r="D2" s="204" t="n">
        <v>43383</v>
      </c>
      <c r="E2" s="205" t="s">
        <v>1173</v>
      </c>
      <c r="F2" s="206" t="s">
        <v>798</v>
      </c>
      <c r="G2" s="206" t="s">
        <v>1174</v>
      </c>
      <c r="H2" s="205" t="s">
        <v>544</v>
      </c>
      <c r="I2" s="207" t="n">
        <v>46052</v>
      </c>
      <c r="J2" s="206" t="n">
        <v>1</v>
      </c>
      <c r="K2" s="206" t="s">
        <v>53</v>
      </c>
      <c r="L2" s="206" t="s">
        <v>1175</v>
      </c>
      <c r="M2" s="208" t="n">
        <f aca="false">I2-D2</f>
        <v>2669</v>
      </c>
      <c r="N2" s="146"/>
      <c r="O2" s="209" t="s">
        <v>1176</v>
      </c>
      <c r="P2" s="209"/>
      <c r="Q2" s="146"/>
      <c r="R2" s="146"/>
      <c r="S2" s="146"/>
    </row>
    <row r="3" customFormat="false" ht="14.15" hidden="false" customHeight="false" outlineLevel="0" collapsed="false">
      <c r="A3" s="210" t="s">
        <v>1177</v>
      </c>
      <c r="B3" s="211" t="s">
        <v>1178</v>
      </c>
      <c r="C3" s="211" t="n">
        <v>2022</v>
      </c>
      <c r="D3" s="212" t="n">
        <v>44720</v>
      </c>
      <c r="E3" s="213" t="s">
        <v>1179</v>
      </c>
      <c r="F3" s="213" t="s">
        <v>1180</v>
      </c>
      <c r="G3" s="214" t="s">
        <v>1174</v>
      </c>
      <c r="H3" s="214" t="s">
        <v>706</v>
      </c>
      <c r="I3" s="215" t="n">
        <v>46052</v>
      </c>
      <c r="J3" s="213" t="n">
        <v>1</v>
      </c>
      <c r="K3" s="213" t="s">
        <v>53</v>
      </c>
      <c r="L3" s="213" t="s">
        <v>1181</v>
      </c>
      <c r="M3" s="213" t="n">
        <f aca="false">I3-D3</f>
        <v>1332</v>
      </c>
      <c r="N3" s="153"/>
      <c r="O3" s="216" t="s">
        <v>1182</v>
      </c>
      <c r="P3" s="217" t="n">
        <f aca="false">COUNTIF($G$2:$G$351,"PT")</f>
        <v>0</v>
      </c>
      <c r="Q3" s="153"/>
      <c r="R3" s="153"/>
      <c r="S3" s="153"/>
    </row>
    <row r="4" customFormat="false" ht="14.15" hidden="false" customHeight="false" outlineLevel="0" collapsed="false">
      <c r="A4" s="203" t="s">
        <v>1183</v>
      </c>
      <c r="B4" s="193" t="s">
        <v>1184</v>
      </c>
      <c r="C4" s="193" t="n">
        <v>2018</v>
      </c>
      <c r="D4" s="204" t="n">
        <v>43454</v>
      </c>
      <c r="E4" s="205" t="s">
        <v>1185</v>
      </c>
      <c r="F4" s="206" t="s">
        <v>123</v>
      </c>
      <c r="G4" s="206" t="s">
        <v>1186</v>
      </c>
      <c r="H4" s="205" t="s">
        <v>285</v>
      </c>
      <c r="I4" s="218" t="n">
        <v>46052</v>
      </c>
      <c r="J4" s="206" t="n">
        <v>1</v>
      </c>
      <c r="K4" s="206" t="s">
        <v>1187</v>
      </c>
      <c r="L4" s="206" t="s">
        <v>1175</v>
      </c>
      <c r="M4" s="208" t="n">
        <f aca="false">I4-D4</f>
        <v>2598</v>
      </c>
      <c r="N4" s="153"/>
      <c r="O4" s="219" t="s">
        <v>1188</v>
      </c>
      <c r="P4" s="220" t="n">
        <f aca="false">COUNTIF($G2:$G$351,"PTN")</f>
        <v>3</v>
      </c>
      <c r="Q4" s="153"/>
      <c r="R4" s="153"/>
      <c r="S4" s="153"/>
    </row>
    <row r="5" customFormat="false" ht="14.15" hidden="false" customHeight="false" outlineLevel="0" collapsed="false">
      <c r="A5" s="210" t="s">
        <v>1189</v>
      </c>
      <c r="B5" s="211" t="s">
        <v>1190</v>
      </c>
      <c r="C5" s="211" t="n">
        <v>2022</v>
      </c>
      <c r="D5" s="212" t="n">
        <v>44869</v>
      </c>
      <c r="E5" s="213" t="s">
        <v>1191</v>
      </c>
      <c r="F5" s="213" t="s">
        <v>689</v>
      </c>
      <c r="G5" s="214" t="s">
        <v>1174</v>
      </c>
      <c r="H5" s="214" t="s">
        <v>1059</v>
      </c>
      <c r="I5" s="215" t="n">
        <v>46052</v>
      </c>
      <c r="J5" s="213" t="n">
        <v>1</v>
      </c>
      <c r="K5" s="213" t="s">
        <v>53</v>
      </c>
      <c r="L5" s="213" t="s">
        <v>1175</v>
      </c>
      <c r="M5" s="213" t="n">
        <f aca="false">I5-D5</f>
        <v>1183</v>
      </c>
      <c r="N5" s="153"/>
      <c r="O5" s="216" t="s">
        <v>1192</v>
      </c>
      <c r="P5" s="217" t="n">
        <f aca="false">COUNTIF($G$2:$G$351,"PTE")</f>
        <v>247</v>
      </c>
      <c r="Q5" s="153"/>
      <c r="R5" s="153"/>
      <c r="S5" s="153"/>
    </row>
    <row r="6" customFormat="false" ht="14.15" hidden="false" customHeight="false" outlineLevel="0" collapsed="false">
      <c r="A6" s="203" t="s">
        <v>1193</v>
      </c>
      <c r="B6" s="193" t="s">
        <v>1194</v>
      </c>
      <c r="C6" s="193" t="n">
        <v>2020</v>
      </c>
      <c r="D6" s="204" t="n">
        <v>44162</v>
      </c>
      <c r="E6" s="205" t="s">
        <v>1195</v>
      </c>
      <c r="F6" s="206" t="s">
        <v>1196</v>
      </c>
      <c r="G6" s="206" t="s">
        <v>1174</v>
      </c>
      <c r="H6" s="205" t="s">
        <v>208</v>
      </c>
      <c r="I6" s="218" t="n">
        <v>46052</v>
      </c>
      <c r="J6" s="206" t="n">
        <v>1</v>
      </c>
      <c r="K6" s="206" t="s">
        <v>53</v>
      </c>
      <c r="L6" s="206" t="s">
        <v>1181</v>
      </c>
      <c r="M6" s="208" t="n">
        <f aca="false">I6-D6</f>
        <v>1890</v>
      </c>
      <c r="N6" s="153"/>
      <c r="O6" s="219" t="s">
        <v>8</v>
      </c>
      <c r="P6" s="220" t="n">
        <f aca="false">COUNTIF($G$2:$G$351,"PM")</f>
        <v>1</v>
      </c>
      <c r="Q6" s="153"/>
      <c r="R6" s="153"/>
      <c r="S6" s="153"/>
    </row>
    <row r="7" customFormat="false" ht="15" hidden="false" customHeight="false" outlineLevel="0" collapsed="false">
      <c r="A7" s="210" t="s">
        <v>1197</v>
      </c>
      <c r="B7" s="211" t="s">
        <v>1198</v>
      </c>
      <c r="C7" s="211" t="n">
        <v>2016</v>
      </c>
      <c r="D7" s="212" t="n">
        <v>42391</v>
      </c>
      <c r="E7" s="213" t="s">
        <v>1199</v>
      </c>
      <c r="F7" s="213" t="s">
        <v>1200</v>
      </c>
      <c r="G7" s="214" t="s">
        <v>1174</v>
      </c>
      <c r="H7" s="214" t="s">
        <v>522</v>
      </c>
      <c r="I7" s="215" t="n">
        <v>46052</v>
      </c>
      <c r="J7" s="213" t="n">
        <v>1</v>
      </c>
      <c r="K7" s="213" t="s">
        <v>53</v>
      </c>
      <c r="L7" s="213" t="s">
        <v>1181</v>
      </c>
      <c r="M7" s="213" t="n">
        <f aca="false">I7-D7</f>
        <v>3661</v>
      </c>
      <c r="N7" s="153"/>
      <c r="O7" s="209" t="s">
        <v>140</v>
      </c>
      <c r="P7" s="209" t="n">
        <f aca="false">P3+P4+P5+P6</f>
        <v>251</v>
      </c>
      <c r="Q7" s="153"/>
      <c r="R7" s="153"/>
      <c r="S7" s="153"/>
    </row>
    <row r="8" customFormat="false" ht="14.15" hidden="false" customHeight="false" outlineLevel="0" collapsed="false">
      <c r="A8" s="203" t="s">
        <v>1201</v>
      </c>
      <c r="B8" s="193" t="s">
        <v>1202</v>
      </c>
      <c r="C8" s="193" t="n">
        <v>2021</v>
      </c>
      <c r="D8" s="204" t="n">
        <v>44344</v>
      </c>
      <c r="E8" s="205" t="s">
        <v>1203</v>
      </c>
      <c r="F8" s="206" t="s">
        <v>569</v>
      </c>
      <c r="G8" s="206" t="s">
        <v>1174</v>
      </c>
      <c r="H8" s="205" t="s">
        <v>522</v>
      </c>
      <c r="I8" s="218" t="n">
        <v>46052</v>
      </c>
      <c r="J8" s="206" t="n">
        <v>1</v>
      </c>
      <c r="K8" s="206" t="s">
        <v>53</v>
      </c>
      <c r="L8" s="206" t="s">
        <v>1181</v>
      </c>
      <c r="M8" s="208" t="n">
        <f aca="false">I8-D8</f>
        <v>1708</v>
      </c>
      <c r="N8" s="153"/>
      <c r="O8" s="153"/>
      <c r="P8" s="153"/>
      <c r="Q8" s="153"/>
      <c r="R8" s="153"/>
      <c r="S8" s="153"/>
    </row>
    <row r="9" customFormat="false" ht="14.15" hidden="false" customHeight="false" outlineLevel="0" collapsed="false">
      <c r="A9" s="210" t="s">
        <v>1204</v>
      </c>
      <c r="B9" s="211" t="s">
        <v>1205</v>
      </c>
      <c r="C9" s="211" t="n">
        <v>2022</v>
      </c>
      <c r="D9" s="212" t="n">
        <v>44732</v>
      </c>
      <c r="E9" s="213" t="s">
        <v>1206</v>
      </c>
      <c r="F9" s="213" t="s">
        <v>1025</v>
      </c>
      <c r="G9" s="214" t="s">
        <v>1174</v>
      </c>
      <c r="H9" s="214" t="s">
        <v>1207</v>
      </c>
      <c r="I9" s="215" t="n">
        <v>46052</v>
      </c>
      <c r="J9" s="213" t="n">
        <v>1</v>
      </c>
      <c r="K9" s="213" t="s">
        <v>53</v>
      </c>
      <c r="L9" s="213" t="s">
        <v>1181</v>
      </c>
      <c r="M9" s="213" t="n">
        <f aca="false">I9-D9</f>
        <v>1320</v>
      </c>
      <c r="N9" s="153"/>
      <c r="O9" s="79" t="s">
        <v>151</v>
      </c>
      <c r="P9" s="79"/>
      <c r="Q9" s="79"/>
      <c r="R9" s="79"/>
      <c r="S9" s="79"/>
    </row>
    <row r="10" customFormat="false" ht="14.15" hidden="false" customHeight="false" outlineLevel="0" collapsed="false">
      <c r="A10" s="203" t="s">
        <v>1208</v>
      </c>
      <c r="B10" s="193" t="s">
        <v>1209</v>
      </c>
      <c r="C10" s="193" t="n">
        <v>2017</v>
      </c>
      <c r="D10" s="204" t="n">
        <v>42849</v>
      </c>
      <c r="E10" s="205" t="s">
        <v>1210</v>
      </c>
      <c r="F10" s="206" t="s">
        <v>1211</v>
      </c>
      <c r="G10" s="206" t="s">
        <v>1174</v>
      </c>
      <c r="H10" s="205" t="s">
        <v>706</v>
      </c>
      <c r="I10" s="218" t="n">
        <v>46052</v>
      </c>
      <c r="J10" s="206" t="n">
        <v>1</v>
      </c>
      <c r="K10" s="206" t="s">
        <v>53</v>
      </c>
      <c r="L10" s="206" t="s">
        <v>1175</v>
      </c>
      <c r="M10" s="208" t="n">
        <f aca="false">I10-D10</f>
        <v>3203</v>
      </c>
      <c r="N10" s="153"/>
      <c r="O10" s="79"/>
      <c r="P10" s="79"/>
      <c r="Q10" s="79"/>
      <c r="R10" s="79"/>
      <c r="S10" s="79"/>
    </row>
    <row r="11" customFormat="false" ht="14.15" hidden="false" customHeight="false" outlineLevel="0" collapsed="false">
      <c r="A11" s="210" t="s">
        <v>1212</v>
      </c>
      <c r="B11" s="211" t="s">
        <v>1213</v>
      </c>
      <c r="C11" s="211" t="n">
        <v>2022</v>
      </c>
      <c r="D11" s="212" t="n">
        <v>44820</v>
      </c>
      <c r="E11" s="213" t="s">
        <v>1214</v>
      </c>
      <c r="F11" s="213" t="s">
        <v>211</v>
      </c>
      <c r="G11" s="214" t="s">
        <v>1174</v>
      </c>
      <c r="H11" s="214" t="s">
        <v>1215</v>
      </c>
      <c r="I11" s="215" t="n">
        <v>46052</v>
      </c>
      <c r="J11" s="213" t="n">
        <v>1</v>
      </c>
      <c r="K11" s="213" t="s">
        <v>53</v>
      </c>
      <c r="L11" s="213" t="s">
        <v>1181</v>
      </c>
      <c r="M11" s="213" t="n">
        <f aca="false">I11-D11</f>
        <v>1232</v>
      </c>
      <c r="N11" s="153"/>
      <c r="O11" s="118" t="s">
        <v>20</v>
      </c>
      <c r="P11" s="118"/>
      <c r="Q11" s="118"/>
      <c r="R11" s="118"/>
      <c r="S11" s="118"/>
    </row>
    <row r="12" customFormat="false" ht="14.15" hidden="false" customHeight="false" outlineLevel="0" collapsed="false">
      <c r="A12" s="203" t="s">
        <v>1216</v>
      </c>
      <c r="B12" s="193" t="s">
        <v>1217</v>
      </c>
      <c r="C12" s="193" t="n">
        <v>2023</v>
      </c>
      <c r="D12" s="204" t="n">
        <v>45216</v>
      </c>
      <c r="E12" s="205" t="s">
        <v>1218</v>
      </c>
      <c r="F12" s="206" t="s">
        <v>401</v>
      </c>
      <c r="G12" s="206" t="s">
        <v>1174</v>
      </c>
      <c r="H12" s="205" t="s">
        <v>1215</v>
      </c>
      <c r="I12" s="218" t="n">
        <v>46052</v>
      </c>
      <c r="J12" s="206" t="n">
        <v>1</v>
      </c>
      <c r="K12" s="206" t="s">
        <v>53</v>
      </c>
      <c r="L12" s="206" t="s">
        <v>1181</v>
      </c>
      <c r="M12" s="208" t="n">
        <f aca="false">I12-D12</f>
        <v>836</v>
      </c>
      <c r="N12" s="160"/>
      <c r="O12" s="114" t="s">
        <v>1219</v>
      </c>
      <c r="P12" s="114"/>
      <c r="Q12" s="114"/>
      <c r="R12" s="114"/>
      <c r="S12" s="114"/>
    </row>
    <row r="13" customFormat="false" ht="14.15" hidden="false" customHeight="false" outlineLevel="0" collapsed="false">
      <c r="A13" s="210" t="s">
        <v>1220</v>
      </c>
      <c r="B13" s="211" t="s">
        <v>1221</v>
      </c>
      <c r="C13" s="211" t="n">
        <v>2023</v>
      </c>
      <c r="D13" s="212" t="n">
        <v>45191</v>
      </c>
      <c r="E13" s="213" t="s">
        <v>1222</v>
      </c>
      <c r="F13" s="213" t="s">
        <v>689</v>
      </c>
      <c r="G13" s="214" t="s">
        <v>1174</v>
      </c>
      <c r="H13" s="214" t="s">
        <v>1223</v>
      </c>
      <c r="I13" s="215" t="n">
        <v>46056</v>
      </c>
      <c r="J13" s="213" t="n">
        <v>2</v>
      </c>
      <c r="K13" s="213" t="s">
        <v>53</v>
      </c>
      <c r="L13" s="213" t="s">
        <v>1175</v>
      </c>
      <c r="M13" s="213" t="n">
        <f aca="false">I13-D13</f>
        <v>865</v>
      </c>
      <c r="N13" s="160"/>
      <c r="O13" s="118" t="s">
        <v>26</v>
      </c>
      <c r="P13" s="118"/>
      <c r="Q13" s="118"/>
      <c r="R13" s="118"/>
      <c r="S13" s="118"/>
    </row>
    <row r="14" customFormat="false" ht="14.15" hidden="false" customHeight="false" outlineLevel="0" collapsed="false">
      <c r="A14" s="203" t="s">
        <v>1224</v>
      </c>
      <c r="B14" s="193" t="s">
        <v>1225</v>
      </c>
      <c r="C14" s="193" t="n">
        <v>2021</v>
      </c>
      <c r="D14" s="204" t="n">
        <v>44540</v>
      </c>
      <c r="E14" s="205" t="s">
        <v>1226</v>
      </c>
      <c r="F14" s="206" t="s">
        <v>798</v>
      </c>
      <c r="G14" s="206" t="s">
        <v>1174</v>
      </c>
      <c r="H14" s="205" t="s">
        <v>522</v>
      </c>
      <c r="I14" s="218" t="n">
        <v>46056</v>
      </c>
      <c r="J14" s="206" t="n">
        <v>2</v>
      </c>
      <c r="K14" s="206" t="s">
        <v>53</v>
      </c>
      <c r="L14" s="206" t="s">
        <v>1175</v>
      </c>
      <c r="M14" s="208" t="n">
        <f aca="false">I14-D14</f>
        <v>1516</v>
      </c>
      <c r="N14" s="153"/>
      <c r="O14" s="114" t="s">
        <v>1227</v>
      </c>
      <c r="P14" s="114"/>
      <c r="Q14" s="114"/>
      <c r="R14" s="114"/>
      <c r="S14" s="114"/>
    </row>
    <row r="15" customFormat="false" ht="14.15" hidden="false" customHeight="false" outlineLevel="0" collapsed="false">
      <c r="A15" s="210" t="s">
        <v>1228</v>
      </c>
      <c r="B15" s="211" t="s">
        <v>1229</v>
      </c>
      <c r="C15" s="211" t="n">
        <v>2020</v>
      </c>
      <c r="D15" s="212" t="n">
        <v>44099</v>
      </c>
      <c r="E15" s="213" t="s">
        <v>1230</v>
      </c>
      <c r="F15" s="213" t="s">
        <v>798</v>
      </c>
      <c r="G15" s="214" t="s">
        <v>1174</v>
      </c>
      <c r="H15" s="214" t="s">
        <v>1231</v>
      </c>
      <c r="I15" s="215" t="n">
        <v>46056</v>
      </c>
      <c r="J15" s="213" t="n">
        <v>2</v>
      </c>
      <c r="K15" s="213" t="s">
        <v>53</v>
      </c>
      <c r="L15" s="213" t="s">
        <v>1175</v>
      </c>
      <c r="M15" s="213" t="n">
        <f aca="false">I15-D15</f>
        <v>1957</v>
      </c>
      <c r="N15" s="153"/>
      <c r="O15" s="153"/>
      <c r="P15" s="153"/>
      <c r="Q15" s="153"/>
      <c r="R15" s="153"/>
      <c r="S15" s="153"/>
    </row>
    <row r="16" customFormat="false" ht="14.15" hidden="false" customHeight="false" outlineLevel="0" collapsed="false">
      <c r="A16" s="203" t="s">
        <v>1232</v>
      </c>
      <c r="B16" s="193" t="s">
        <v>1233</v>
      </c>
      <c r="C16" s="193" t="n">
        <v>2021</v>
      </c>
      <c r="D16" s="204" t="n">
        <v>44400</v>
      </c>
      <c r="E16" s="205" t="s">
        <v>1234</v>
      </c>
      <c r="F16" s="206" t="s">
        <v>1235</v>
      </c>
      <c r="G16" s="206" t="s">
        <v>1174</v>
      </c>
      <c r="H16" s="205" t="s">
        <v>522</v>
      </c>
      <c r="I16" s="218" t="n">
        <v>46056</v>
      </c>
      <c r="J16" s="206" t="n">
        <v>2</v>
      </c>
      <c r="K16" s="206" t="s">
        <v>53</v>
      </c>
      <c r="L16" s="206" t="s">
        <v>1175</v>
      </c>
      <c r="M16" s="208" t="n">
        <f aca="false">I16-D16</f>
        <v>1656</v>
      </c>
      <c r="N16" s="153"/>
      <c r="O16" s="79" t="s">
        <v>1236</v>
      </c>
      <c r="P16" s="79"/>
      <c r="Q16" s="79"/>
      <c r="R16" s="79"/>
      <c r="S16" s="79"/>
    </row>
    <row r="17" customFormat="false" ht="14.15" hidden="false" customHeight="false" outlineLevel="0" collapsed="false">
      <c r="A17" s="210" t="s">
        <v>1237</v>
      </c>
      <c r="B17" s="211" t="s">
        <v>1238</v>
      </c>
      <c r="C17" s="211" t="n">
        <v>2019</v>
      </c>
      <c r="D17" s="212" t="n">
        <v>43525</v>
      </c>
      <c r="E17" s="213" t="s">
        <v>1239</v>
      </c>
      <c r="F17" s="213" t="s">
        <v>798</v>
      </c>
      <c r="G17" s="214" t="s">
        <v>1174</v>
      </c>
      <c r="H17" s="214" t="s">
        <v>267</v>
      </c>
      <c r="I17" s="221" t="n">
        <v>46056</v>
      </c>
      <c r="J17" s="213" t="n">
        <v>2</v>
      </c>
      <c r="K17" s="213" t="s">
        <v>53</v>
      </c>
      <c r="L17" s="213" t="s">
        <v>1175</v>
      </c>
      <c r="M17" s="213" t="n">
        <f aca="false">I17-D17</f>
        <v>2531</v>
      </c>
      <c r="N17" s="153"/>
      <c r="O17" s="79"/>
      <c r="P17" s="79"/>
      <c r="Q17" s="79"/>
      <c r="R17" s="79"/>
      <c r="S17" s="79"/>
    </row>
    <row r="18" customFormat="false" ht="15" hidden="false" customHeight="false" outlineLevel="0" collapsed="false">
      <c r="A18" s="203" t="s">
        <v>1240</v>
      </c>
      <c r="B18" s="193" t="s">
        <v>1241</v>
      </c>
      <c r="C18" s="193" t="n">
        <v>2019</v>
      </c>
      <c r="D18" s="204" t="n">
        <v>43761</v>
      </c>
      <c r="E18" s="205" t="s">
        <v>1242</v>
      </c>
      <c r="F18" s="206" t="s">
        <v>1243</v>
      </c>
      <c r="G18" s="206" t="s">
        <v>1174</v>
      </c>
      <c r="H18" s="205" t="s">
        <v>1244</v>
      </c>
      <c r="I18" s="218" t="n">
        <v>46057</v>
      </c>
      <c r="J18" s="206" t="n">
        <v>2</v>
      </c>
      <c r="K18" s="206" t="s">
        <v>53</v>
      </c>
      <c r="L18" s="206" t="s">
        <v>1175</v>
      </c>
      <c r="M18" s="206" t="n">
        <f aca="false">I18-D18</f>
        <v>2296</v>
      </c>
      <c r="N18" s="153"/>
      <c r="O18" s="112" t="s">
        <v>39</v>
      </c>
      <c r="P18" s="112" t="s">
        <v>40</v>
      </c>
      <c r="Q18" s="112"/>
      <c r="R18" s="112"/>
      <c r="S18" s="112" t="s">
        <v>41</v>
      </c>
    </row>
    <row r="19" customFormat="false" ht="14.15" hidden="false" customHeight="false" outlineLevel="0" collapsed="false">
      <c r="A19" s="210" t="s">
        <v>1245</v>
      </c>
      <c r="B19" s="211" t="s">
        <v>1246</v>
      </c>
      <c r="C19" s="211" t="n">
        <v>2020</v>
      </c>
      <c r="D19" s="212" t="n">
        <v>43928</v>
      </c>
      <c r="E19" s="213" t="s">
        <v>1247</v>
      </c>
      <c r="F19" s="213" t="s">
        <v>1068</v>
      </c>
      <c r="G19" s="214" t="s">
        <v>1174</v>
      </c>
      <c r="H19" s="214" t="s">
        <v>544</v>
      </c>
      <c r="I19" s="221" t="n">
        <v>46057</v>
      </c>
      <c r="J19" s="213" t="n">
        <v>2</v>
      </c>
      <c r="K19" s="213" t="s">
        <v>53</v>
      </c>
      <c r="L19" s="213" t="s">
        <v>1175</v>
      </c>
      <c r="M19" s="213" t="n">
        <f aca="false">I19-D19</f>
        <v>2129</v>
      </c>
      <c r="N19" s="153"/>
      <c r="O19" s="147" t="n">
        <v>2009</v>
      </c>
      <c r="P19" s="147" t="n">
        <f aca="false">COUNTIF($C$2:$C$351,"2009")</f>
        <v>1</v>
      </c>
      <c r="Q19" s="147"/>
      <c r="R19" s="147"/>
      <c r="S19" s="165" t="n">
        <f aca="false">(P19/P36)</f>
        <v>0.00398406374501992</v>
      </c>
    </row>
    <row r="20" customFormat="false" ht="14.15" hidden="false" customHeight="false" outlineLevel="0" collapsed="false">
      <c r="A20" s="203" t="s">
        <v>1248</v>
      </c>
      <c r="B20" s="193" t="s">
        <v>1249</v>
      </c>
      <c r="C20" s="193" t="n">
        <v>2019</v>
      </c>
      <c r="D20" s="204" t="n">
        <v>43797</v>
      </c>
      <c r="E20" s="205" t="s">
        <v>1250</v>
      </c>
      <c r="F20" s="206" t="s">
        <v>777</v>
      </c>
      <c r="G20" s="206" t="s">
        <v>1174</v>
      </c>
      <c r="H20" s="205" t="s">
        <v>522</v>
      </c>
      <c r="I20" s="218" t="n">
        <v>46057</v>
      </c>
      <c r="J20" s="206" t="n">
        <v>2</v>
      </c>
      <c r="K20" s="206" t="s">
        <v>53</v>
      </c>
      <c r="L20" s="206" t="s">
        <v>1175</v>
      </c>
      <c r="M20" s="206" t="n">
        <f aca="false">I20-D20</f>
        <v>2260</v>
      </c>
      <c r="N20" s="153"/>
      <c r="O20" s="154" t="n">
        <v>2010</v>
      </c>
      <c r="P20" s="154" t="n">
        <f aca="false">COUNTIF($C$2:$C$351,"2010")</f>
        <v>0</v>
      </c>
      <c r="Q20" s="154"/>
      <c r="R20" s="154"/>
      <c r="S20" s="164" t="n">
        <f aca="false">(P20/P36)</f>
        <v>0</v>
      </c>
    </row>
    <row r="21" customFormat="false" ht="14.15" hidden="false" customHeight="false" outlineLevel="0" collapsed="false">
      <c r="A21" s="210" t="s">
        <v>1251</v>
      </c>
      <c r="B21" s="211" t="s">
        <v>1252</v>
      </c>
      <c r="C21" s="211" t="n">
        <v>2021</v>
      </c>
      <c r="D21" s="212" t="n">
        <v>44497</v>
      </c>
      <c r="E21" s="213" t="s">
        <v>1253</v>
      </c>
      <c r="F21" s="213" t="s">
        <v>1254</v>
      </c>
      <c r="G21" s="214" t="s">
        <v>1174</v>
      </c>
      <c r="H21" s="214" t="s">
        <v>1059</v>
      </c>
      <c r="I21" s="221" t="n">
        <v>46057</v>
      </c>
      <c r="J21" s="213" t="n">
        <v>2</v>
      </c>
      <c r="K21" s="213" t="s">
        <v>53</v>
      </c>
      <c r="L21" s="213" t="s">
        <v>1175</v>
      </c>
      <c r="M21" s="213" t="n">
        <f aca="false">I21-D21</f>
        <v>1560</v>
      </c>
      <c r="N21" s="153"/>
      <c r="O21" s="147" t="n">
        <v>2011</v>
      </c>
      <c r="P21" s="147" t="n">
        <f aca="false">COUNTIF($C$2:$C$351,"2011")</f>
        <v>0</v>
      </c>
      <c r="Q21" s="147"/>
      <c r="R21" s="147"/>
      <c r="S21" s="165" t="n">
        <f aca="false">(P21/P36)</f>
        <v>0</v>
      </c>
    </row>
    <row r="22" customFormat="false" ht="14.15" hidden="false" customHeight="false" outlineLevel="0" collapsed="false">
      <c r="A22" s="203" t="s">
        <v>1255</v>
      </c>
      <c r="B22" s="193" t="s">
        <v>1256</v>
      </c>
      <c r="C22" s="193" t="n">
        <v>2021</v>
      </c>
      <c r="D22" s="204" t="n">
        <v>44524</v>
      </c>
      <c r="E22" s="205" t="s">
        <v>1257</v>
      </c>
      <c r="F22" s="206" t="s">
        <v>1068</v>
      </c>
      <c r="G22" s="206" t="s">
        <v>1174</v>
      </c>
      <c r="H22" s="205" t="s">
        <v>1258</v>
      </c>
      <c r="I22" s="218" t="n">
        <v>46057</v>
      </c>
      <c r="J22" s="206" t="n">
        <v>2</v>
      </c>
      <c r="K22" s="206" t="s">
        <v>53</v>
      </c>
      <c r="L22" s="206" t="s">
        <v>1175</v>
      </c>
      <c r="M22" s="206" t="n">
        <f aca="false">I22-D22</f>
        <v>1533</v>
      </c>
      <c r="N22" s="153"/>
      <c r="O22" s="154" t="n">
        <v>2012</v>
      </c>
      <c r="P22" s="154" t="n">
        <f aca="false">COUNTIF($C$2:$C$351,"2012")</f>
        <v>0</v>
      </c>
      <c r="Q22" s="154"/>
      <c r="R22" s="154"/>
      <c r="S22" s="164" t="n">
        <f aca="false">(P22/P36)</f>
        <v>0</v>
      </c>
    </row>
    <row r="23" customFormat="false" ht="14.15" hidden="false" customHeight="false" outlineLevel="0" collapsed="false">
      <c r="A23" s="210" t="s">
        <v>1259</v>
      </c>
      <c r="B23" s="211" t="s">
        <v>1260</v>
      </c>
      <c r="C23" s="211" t="n">
        <v>2020</v>
      </c>
      <c r="D23" s="212" t="n">
        <v>44132</v>
      </c>
      <c r="E23" s="213" t="s">
        <v>1261</v>
      </c>
      <c r="F23" s="213" t="s">
        <v>1262</v>
      </c>
      <c r="G23" s="214" t="s">
        <v>1174</v>
      </c>
      <c r="H23" s="214" t="s">
        <v>1244</v>
      </c>
      <c r="I23" s="221" t="n">
        <v>46057</v>
      </c>
      <c r="J23" s="213" t="n">
        <v>2</v>
      </c>
      <c r="K23" s="213" t="s">
        <v>53</v>
      </c>
      <c r="L23" s="213" t="s">
        <v>1181</v>
      </c>
      <c r="M23" s="213" t="n">
        <f aca="false">I23-D23</f>
        <v>1925</v>
      </c>
      <c r="N23" s="153"/>
      <c r="O23" s="147" t="n">
        <v>2013</v>
      </c>
      <c r="P23" s="147" t="n">
        <f aca="false">COUNTIF($C$2:$C$351,"2013")</f>
        <v>0</v>
      </c>
      <c r="Q23" s="147"/>
      <c r="R23" s="147"/>
      <c r="S23" s="165" t="n">
        <f aca="false">(P23/P36)</f>
        <v>0</v>
      </c>
    </row>
    <row r="24" customFormat="false" ht="14.15" hidden="false" customHeight="false" outlineLevel="0" collapsed="false">
      <c r="A24" s="203" t="s">
        <v>1263</v>
      </c>
      <c r="B24" s="193" t="s">
        <v>1264</v>
      </c>
      <c r="C24" s="193" t="n">
        <v>2024</v>
      </c>
      <c r="D24" s="204" t="n">
        <v>45630</v>
      </c>
      <c r="E24" s="205" t="s">
        <v>1265</v>
      </c>
      <c r="F24" s="206" t="s">
        <v>509</v>
      </c>
      <c r="G24" s="206" t="s">
        <v>1174</v>
      </c>
      <c r="H24" s="205" t="s">
        <v>1266</v>
      </c>
      <c r="I24" s="218" t="n">
        <v>46058</v>
      </c>
      <c r="J24" s="206" t="n">
        <v>2</v>
      </c>
      <c r="K24" s="206" t="s">
        <v>53</v>
      </c>
      <c r="L24" s="206" t="s">
        <v>1181</v>
      </c>
      <c r="M24" s="206" t="n">
        <f aca="false">I24-D24</f>
        <v>428</v>
      </c>
      <c r="N24" s="153"/>
      <c r="O24" s="154" t="n">
        <v>2014</v>
      </c>
      <c r="P24" s="154" t="n">
        <f aca="false">COUNTIF($C$2:$C$351,"2014")</f>
        <v>0</v>
      </c>
      <c r="Q24" s="154"/>
      <c r="R24" s="154"/>
      <c r="S24" s="164" t="n">
        <f aca="false">(P24/P36)</f>
        <v>0</v>
      </c>
    </row>
    <row r="25" customFormat="false" ht="14.15" hidden="false" customHeight="false" outlineLevel="0" collapsed="false">
      <c r="A25" s="210" t="s">
        <v>1267</v>
      </c>
      <c r="B25" s="211" t="s">
        <v>1268</v>
      </c>
      <c r="C25" s="211" t="n">
        <v>2023</v>
      </c>
      <c r="D25" s="212" t="n">
        <v>44929</v>
      </c>
      <c r="E25" s="213" t="s">
        <v>1269</v>
      </c>
      <c r="F25" s="213" t="s">
        <v>1097</v>
      </c>
      <c r="G25" s="214" t="s">
        <v>1174</v>
      </c>
      <c r="H25" s="214" t="s">
        <v>544</v>
      </c>
      <c r="I25" s="221" t="n">
        <v>46058</v>
      </c>
      <c r="J25" s="213" t="n">
        <v>2</v>
      </c>
      <c r="K25" s="213" t="s">
        <v>53</v>
      </c>
      <c r="L25" s="213" t="s">
        <v>1175</v>
      </c>
      <c r="M25" s="213" t="n">
        <f aca="false">I25-D25</f>
        <v>1129</v>
      </c>
      <c r="N25" s="153"/>
      <c r="O25" s="147" t="n">
        <v>2015</v>
      </c>
      <c r="P25" s="147" t="n">
        <f aca="false">COUNTIF($C$2:$C$351,"2015")</f>
        <v>2</v>
      </c>
      <c r="Q25" s="147"/>
      <c r="R25" s="147"/>
      <c r="S25" s="165" t="n">
        <f aca="false">(P25/P36)</f>
        <v>0.00796812749003984</v>
      </c>
    </row>
    <row r="26" customFormat="false" ht="14.15" hidden="false" customHeight="false" outlineLevel="0" collapsed="false">
      <c r="A26" s="203" t="s">
        <v>1270</v>
      </c>
      <c r="B26" s="193" t="s">
        <v>1271</v>
      </c>
      <c r="C26" s="193" t="n">
        <v>2021</v>
      </c>
      <c r="D26" s="204" t="n">
        <v>44413</v>
      </c>
      <c r="E26" s="205" t="s">
        <v>1272</v>
      </c>
      <c r="F26" s="206" t="s">
        <v>1273</v>
      </c>
      <c r="G26" s="206" t="s">
        <v>1174</v>
      </c>
      <c r="H26" s="205" t="s">
        <v>192</v>
      </c>
      <c r="I26" s="218" t="n">
        <v>46058</v>
      </c>
      <c r="J26" s="206" t="n">
        <v>2</v>
      </c>
      <c r="K26" s="206" t="s">
        <v>53</v>
      </c>
      <c r="L26" s="206" t="s">
        <v>1181</v>
      </c>
      <c r="M26" s="206" t="n">
        <f aca="false">I26-D26</f>
        <v>1645</v>
      </c>
      <c r="N26" s="153"/>
      <c r="O26" s="154" t="n">
        <v>2016</v>
      </c>
      <c r="P26" s="154" t="n">
        <f aca="false">COUNTIF($C$2:$C$351,"2016")</f>
        <v>4</v>
      </c>
      <c r="Q26" s="154"/>
      <c r="R26" s="154"/>
      <c r="S26" s="164" t="n">
        <f aca="false">(P26/P36)</f>
        <v>0.0159362549800797</v>
      </c>
    </row>
    <row r="27" customFormat="false" ht="14.15" hidden="false" customHeight="false" outlineLevel="0" collapsed="false">
      <c r="A27" s="210" t="s">
        <v>1274</v>
      </c>
      <c r="B27" s="211" t="s">
        <v>1275</v>
      </c>
      <c r="C27" s="211" t="n">
        <v>2022</v>
      </c>
      <c r="D27" s="212" t="n">
        <v>44642</v>
      </c>
      <c r="E27" s="213" t="s">
        <v>1276</v>
      </c>
      <c r="F27" s="213" t="s">
        <v>1277</v>
      </c>
      <c r="G27" s="214" t="s">
        <v>1174</v>
      </c>
      <c r="H27" s="214" t="s">
        <v>394</v>
      </c>
      <c r="I27" s="221" t="n">
        <v>46058</v>
      </c>
      <c r="J27" s="213" t="n">
        <v>2</v>
      </c>
      <c r="K27" s="213" t="s">
        <v>53</v>
      </c>
      <c r="L27" s="213" t="s">
        <v>1181</v>
      </c>
      <c r="M27" s="213" t="n">
        <f aca="false">I27-D27</f>
        <v>1416</v>
      </c>
      <c r="N27" s="153"/>
      <c r="O27" s="147" t="n">
        <v>2017</v>
      </c>
      <c r="P27" s="147" t="n">
        <f aca="false">COUNTIF($C$2:$C$351,"2017")</f>
        <v>6</v>
      </c>
      <c r="Q27" s="147"/>
      <c r="R27" s="147"/>
      <c r="S27" s="165" t="n">
        <f aca="false">(P27/P36)</f>
        <v>0.0239043824701195</v>
      </c>
    </row>
    <row r="28" customFormat="false" ht="14.15" hidden="false" customHeight="false" outlineLevel="0" collapsed="false">
      <c r="A28" s="203" t="s">
        <v>1278</v>
      </c>
      <c r="B28" s="193" t="s">
        <v>1279</v>
      </c>
      <c r="C28" s="193" t="n">
        <v>2019</v>
      </c>
      <c r="D28" s="204" t="n">
        <v>43546</v>
      </c>
      <c r="E28" s="205" t="s">
        <v>1280</v>
      </c>
      <c r="F28" s="206" t="s">
        <v>467</v>
      </c>
      <c r="G28" s="206" t="s">
        <v>1174</v>
      </c>
      <c r="H28" s="205" t="s">
        <v>1258</v>
      </c>
      <c r="I28" s="218" t="n">
        <v>46059</v>
      </c>
      <c r="J28" s="206" t="n">
        <v>2</v>
      </c>
      <c r="K28" s="206" t="s">
        <v>53</v>
      </c>
      <c r="L28" s="206" t="s">
        <v>1175</v>
      </c>
      <c r="M28" s="206" t="n">
        <f aca="false">I28-D28</f>
        <v>2513</v>
      </c>
      <c r="N28" s="153"/>
      <c r="O28" s="154" t="n">
        <v>2018</v>
      </c>
      <c r="P28" s="154" t="n">
        <f aca="false">COUNTIF($C$2:$C$351,"2018")</f>
        <v>11</v>
      </c>
      <c r="Q28" s="154"/>
      <c r="R28" s="154"/>
      <c r="S28" s="164" t="n">
        <f aca="false">(P28/P36)</f>
        <v>0.0438247011952191</v>
      </c>
    </row>
    <row r="29" customFormat="false" ht="14.15" hidden="false" customHeight="false" outlineLevel="0" collapsed="false">
      <c r="A29" s="210" t="s">
        <v>1281</v>
      </c>
      <c r="B29" s="211" t="s">
        <v>1282</v>
      </c>
      <c r="C29" s="211" t="n">
        <v>2023</v>
      </c>
      <c r="D29" s="212" t="n">
        <v>45008</v>
      </c>
      <c r="E29" s="213" t="s">
        <v>1283</v>
      </c>
      <c r="F29" s="213" t="s">
        <v>1284</v>
      </c>
      <c r="G29" s="214" t="s">
        <v>1174</v>
      </c>
      <c r="H29" s="214" t="s">
        <v>223</v>
      </c>
      <c r="I29" s="221" t="n">
        <v>46059</v>
      </c>
      <c r="J29" s="213" t="n">
        <v>2</v>
      </c>
      <c r="K29" s="213" t="s">
        <v>53</v>
      </c>
      <c r="L29" s="213" t="s">
        <v>1181</v>
      </c>
      <c r="M29" s="213" t="n">
        <f aca="false">I29-D29</f>
        <v>1051</v>
      </c>
      <c r="N29" s="153"/>
      <c r="O29" s="147" t="n">
        <v>2019</v>
      </c>
      <c r="P29" s="147" t="n">
        <f aca="false">COUNTIF($C$2:$C$351,"2019")</f>
        <v>13</v>
      </c>
      <c r="Q29" s="147"/>
      <c r="R29" s="147"/>
      <c r="S29" s="165" t="n">
        <f aca="false">(P29/P36)</f>
        <v>0.051792828685259</v>
      </c>
    </row>
    <row r="30" customFormat="false" ht="14.15" hidden="false" customHeight="false" outlineLevel="0" collapsed="false">
      <c r="A30" s="203" t="s">
        <v>1285</v>
      </c>
      <c r="B30" s="193" t="s">
        <v>1286</v>
      </c>
      <c r="C30" s="193" t="n">
        <v>2024</v>
      </c>
      <c r="D30" s="204" t="n">
        <v>45562</v>
      </c>
      <c r="E30" s="205" t="s">
        <v>1287</v>
      </c>
      <c r="F30" s="206" t="s">
        <v>1180</v>
      </c>
      <c r="G30" s="206" t="s">
        <v>1174</v>
      </c>
      <c r="H30" s="205" t="s">
        <v>1288</v>
      </c>
      <c r="I30" s="218" t="n">
        <v>46059</v>
      </c>
      <c r="J30" s="206" t="n">
        <v>2</v>
      </c>
      <c r="K30" s="206" t="s">
        <v>53</v>
      </c>
      <c r="L30" s="206" t="s">
        <v>1181</v>
      </c>
      <c r="M30" s="206" t="n">
        <f aca="false">I30-D30</f>
        <v>497</v>
      </c>
      <c r="N30" s="153"/>
      <c r="O30" s="154" t="n">
        <v>2020</v>
      </c>
      <c r="P30" s="154" t="n">
        <f aca="false">COUNTIF($C$2:$C$351,"2020")</f>
        <v>22</v>
      </c>
      <c r="Q30" s="154"/>
      <c r="R30" s="154"/>
      <c r="S30" s="164" t="n">
        <f aca="false">(P30/P36)</f>
        <v>0.0876494023904383</v>
      </c>
    </row>
    <row r="31" customFormat="false" ht="14.15" hidden="false" customHeight="false" outlineLevel="0" collapsed="false">
      <c r="A31" s="210" t="s">
        <v>1289</v>
      </c>
      <c r="B31" s="211" t="s">
        <v>1290</v>
      </c>
      <c r="C31" s="211" t="n">
        <v>2022</v>
      </c>
      <c r="D31" s="212" t="n">
        <v>44812</v>
      </c>
      <c r="E31" s="213" t="s">
        <v>1291</v>
      </c>
      <c r="F31" s="213" t="s">
        <v>168</v>
      </c>
      <c r="G31" s="214" t="s">
        <v>1174</v>
      </c>
      <c r="H31" s="214" t="s">
        <v>208</v>
      </c>
      <c r="I31" s="221" t="n">
        <v>46059</v>
      </c>
      <c r="J31" s="213" t="n">
        <v>2</v>
      </c>
      <c r="K31" s="213" t="s">
        <v>53</v>
      </c>
      <c r="L31" s="213" t="s">
        <v>1181</v>
      </c>
      <c r="M31" s="213" t="n">
        <f aca="false">I31-D31</f>
        <v>1247</v>
      </c>
      <c r="N31" s="153"/>
      <c r="O31" s="147" t="n">
        <v>2021</v>
      </c>
      <c r="P31" s="147" t="n">
        <f aca="false">COUNTIF($C$2:$C$351,"2021")</f>
        <v>32</v>
      </c>
      <c r="Q31" s="147"/>
      <c r="R31" s="147"/>
      <c r="S31" s="165" t="n">
        <f aca="false">(P31/P36)</f>
        <v>0.127490039840637</v>
      </c>
    </row>
    <row r="32" customFormat="false" ht="14.15" hidden="false" customHeight="false" outlineLevel="0" collapsed="false">
      <c r="A32" s="203" t="s">
        <v>1292</v>
      </c>
      <c r="B32" s="193" t="s">
        <v>1293</v>
      </c>
      <c r="C32" s="193" t="n">
        <v>2023</v>
      </c>
      <c r="D32" s="222" t="n">
        <v>45258</v>
      </c>
      <c r="E32" s="205" t="s">
        <v>1294</v>
      </c>
      <c r="F32" s="206" t="s">
        <v>467</v>
      </c>
      <c r="G32" s="206" t="s">
        <v>1174</v>
      </c>
      <c r="H32" s="205" t="s">
        <v>1258</v>
      </c>
      <c r="I32" s="218" t="n">
        <v>46059</v>
      </c>
      <c r="J32" s="206" t="n">
        <v>2</v>
      </c>
      <c r="K32" s="206" t="s">
        <v>53</v>
      </c>
      <c r="L32" s="206" t="s">
        <v>1175</v>
      </c>
      <c r="M32" s="206" t="n">
        <f aca="false">I32-D32</f>
        <v>801</v>
      </c>
      <c r="N32" s="153"/>
      <c r="O32" s="154" t="n">
        <v>2022</v>
      </c>
      <c r="P32" s="154" t="n">
        <f aca="false">COUNTIF($C$2:$C$351,"2022")</f>
        <v>49</v>
      </c>
      <c r="Q32" s="154"/>
      <c r="R32" s="154"/>
      <c r="S32" s="164" t="n">
        <f aca="false">(P32/P36)</f>
        <v>0.195219123505976</v>
      </c>
    </row>
    <row r="33" customFormat="false" ht="14.15" hidden="false" customHeight="false" outlineLevel="0" collapsed="false">
      <c r="A33" s="210" t="s">
        <v>1295</v>
      </c>
      <c r="B33" s="211" t="s">
        <v>1296</v>
      </c>
      <c r="C33" s="211" t="n">
        <v>2023</v>
      </c>
      <c r="D33" s="215" t="n">
        <v>45259</v>
      </c>
      <c r="E33" s="213" t="s">
        <v>1297</v>
      </c>
      <c r="F33" s="213" t="s">
        <v>1298</v>
      </c>
      <c r="G33" s="214" t="s">
        <v>1174</v>
      </c>
      <c r="H33" s="213" t="s">
        <v>192</v>
      </c>
      <c r="I33" s="221" t="n">
        <v>46076</v>
      </c>
      <c r="J33" s="213" t="n">
        <v>2</v>
      </c>
      <c r="K33" s="213" t="s">
        <v>53</v>
      </c>
      <c r="L33" s="213" t="s">
        <v>1175</v>
      </c>
      <c r="M33" s="213" t="n">
        <f aca="false">I33-D33</f>
        <v>817</v>
      </c>
      <c r="N33" s="153"/>
      <c r="O33" s="210" t="n">
        <v>2023</v>
      </c>
      <c r="P33" s="223" t="n">
        <f aca="false">COUNTIF($C$2:$C$351,"2023")</f>
        <v>55</v>
      </c>
      <c r="Q33" s="223"/>
      <c r="R33" s="223"/>
      <c r="S33" s="224" t="n">
        <f aca="false">(P33/P36)</f>
        <v>0.219123505976096</v>
      </c>
    </row>
    <row r="34" customFormat="false" ht="14.15" hidden="false" customHeight="false" outlineLevel="0" collapsed="false">
      <c r="A34" s="203" t="s">
        <v>1299</v>
      </c>
      <c r="B34" s="193" t="s">
        <v>1300</v>
      </c>
      <c r="C34" s="193" t="n">
        <v>2021</v>
      </c>
      <c r="D34" s="218" t="n">
        <v>44455</v>
      </c>
      <c r="E34" s="205" t="s">
        <v>1301</v>
      </c>
      <c r="F34" s="206" t="s">
        <v>191</v>
      </c>
      <c r="G34" s="206" t="s">
        <v>1174</v>
      </c>
      <c r="H34" s="205" t="s">
        <v>522</v>
      </c>
      <c r="I34" s="218" t="n">
        <v>46079</v>
      </c>
      <c r="J34" s="206" t="n">
        <v>2</v>
      </c>
      <c r="K34" s="206" t="s">
        <v>53</v>
      </c>
      <c r="L34" s="206" t="s">
        <v>1181</v>
      </c>
      <c r="M34" s="206" t="n">
        <f aca="false">I34-D34</f>
        <v>1624</v>
      </c>
      <c r="N34" s="153"/>
      <c r="O34" s="154" t="n">
        <v>2024</v>
      </c>
      <c r="P34" s="154" t="n">
        <f aca="false">COUNTIF($C$2:$C$351,"2024")</f>
        <v>45</v>
      </c>
      <c r="Q34" s="154"/>
      <c r="R34" s="154"/>
      <c r="S34" s="164" t="n">
        <f aca="false">P34/$P$36</f>
        <v>0.179282868525896</v>
      </c>
    </row>
    <row r="35" customFormat="false" ht="14.15" hidden="false" customHeight="false" outlineLevel="0" collapsed="false">
      <c r="A35" s="210" t="s">
        <v>1302</v>
      </c>
      <c r="B35" s="211" t="s">
        <v>1303</v>
      </c>
      <c r="C35" s="211" t="n">
        <v>2021</v>
      </c>
      <c r="D35" s="215" t="n">
        <v>44489</v>
      </c>
      <c r="E35" s="213" t="s">
        <v>1304</v>
      </c>
      <c r="F35" s="213" t="s">
        <v>689</v>
      </c>
      <c r="G35" s="214" t="s">
        <v>1174</v>
      </c>
      <c r="H35" s="214" t="s">
        <v>1305</v>
      </c>
      <c r="I35" s="221" t="n">
        <v>46079</v>
      </c>
      <c r="J35" s="213" t="n">
        <v>2</v>
      </c>
      <c r="K35" s="213" t="s">
        <v>53</v>
      </c>
      <c r="L35" s="213" t="s">
        <v>1175</v>
      </c>
      <c r="M35" s="213" t="n">
        <f aca="false">I35-D35</f>
        <v>1590</v>
      </c>
      <c r="N35" s="153"/>
      <c r="O35" s="210" t="n">
        <v>2025</v>
      </c>
      <c r="P35" s="154" t="n">
        <f aca="false">COUNTIF($C$2:$C$351,"2025")</f>
        <v>11</v>
      </c>
      <c r="Q35" s="154"/>
      <c r="R35" s="154"/>
      <c r="S35" s="164" t="n">
        <f aca="false">P35/$P$36</f>
        <v>0.0438247011952191</v>
      </c>
    </row>
    <row r="36" customFormat="false" ht="15" hidden="false" customHeight="false" outlineLevel="0" collapsed="false">
      <c r="A36" s="203" t="s">
        <v>1306</v>
      </c>
      <c r="B36" s="193" t="s">
        <v>1307</v>
      </c>
      <c r="C36" s="193" t="n">
        <v>2022</v>
      </c>
      <c r="D36" s="218" t="n">
        <v>44643</v>
      </c>
      <c r="E36" s="205" t="s">
        <v>1308</v>
      </c>
      <c r="F36" s="206" t="s">
        <v>191</v>
      </c>
      <c r="G36" s="206" t="s">
        <v>1174</v>
      </c>
      <c r="H36" s="205" t="s">
        <v>184</v>
      </c>
      <c r="I36" s="218" t="n">
        <v>46079</v>
      </c>
      <c r="J36" s="206" t="n">
        <v>2</v>
      </c>
      <c r="K36" s="206" t="s">
        <v>53</v>
      </c>
      <c r="L36" s="206" t="s">
        <v>1181</v>
      </c>
      <c r="M36" s="206" t="n">
        <f aca="false">I36-D36</f>
        <v>1436</v>
      </c>
      <c r="N36" s="153"/>
      <c r="O36" s="112" t="s">
        <v>56</v>
      </c>
      <c r="P36" s="112" t="n">
        <f aca="false">SUM(P19:R35)</f>
        <v>251</v>
      </c>
      <c r="Q36" s="112"/>
      <c r="R36" s="112"/>
      <c r="S36" s="166" t="n">
        <f aca="false">SUM(S19:S35)</f>
        <v>1</v>
      </c>
    </row>
    <row r="37" customFormat="false" ht="14.15" hidden="false" customHeight="false" outlineLevel="0" collapsed="false">
      <c r="A37" s="210" t="s">
        <v>1309</v>
      </c>
      <c r="B37" s="211" t="s">
        <v>1310</v>
      </c>
      <c r="C37" s="211" t="n">
        <v>2020</v>
      </c>
      <c r="D37" s="212" t="n">
        <v>44130</v>
      </c>
      <c r="E37" s="213" t="s">
        <v>1311</v>
      </c>
      <c r="F37" s="213" t="s">
        <v>1312</v>
      </c>
      <c r="G37" s="214" t="s">
        <v>1174</v>
      </c>
      <c r="H37" s="214" t="s">
        <v>522</v>
      </c>
      <c r="I37" s="221" t="n">
        <v>46079</v>
      </c>
      <c r="J37" s="213" t="n">
        <v>2</v>
      </c>
      <c r="K37" s="213" t="s">
        <v>53</v>
      </c>
      <c r="L37" s="213" t="s">
        <v>1175</v>
      </c>
      <c r="M37" s="213" t="n">
        <f aca="false">I37-D37</f>
        <v>1949</v>
      </c>
      <c r="N37" s="153"/>
      <c r="O37" s="153"/>
      <c r="P37" s="153"/>
      <c r="Q37" s="153"/>
      <c r="R37" s="153"/>
      <c r="S37" s="153"/>
    </row>
    <row r="38" customFormat="false" ht="14.15" hidden="false" customHeight="false" outlineLevel="0" collapsed="false">
      <c r="A38" s="203" t="s">
        <v>1313</v>
      </c>
      <c r="B38" s="193" t="s">
        <v>1314</v>
      </c>
      <c r="C38" s="193" t="n">
        <v>2023</v>
      </c>
      <c r="D38" s="207" t="n">
        <v>45107</v>
      </c>
      <c r="E38" s="205" t="s">
        <v>1315</v>
      </c>
      <c r="F38" s="206" t="s">
        <v>1316</v>
      </c>
      <c r="G38" s="206" t="s">
        <v>1174</v>
      </c>
      <c r="H38" s="205" t="s">
        <v>968</v>
      </c>
      <c r="I38" s="218" t="n">
        <v>46079</v>
      </c>
      <c r="J38" s="206" t="n">
        <v>2</v>
      </c>
      <c r="K38" s="206" t="s">
        <v>53</v>
      </c>
      <c r="L38" s="206" t="s">
        <v>1181</v>
      </c>
      <c r="M38" s="206" t="n">
        <f aca="false">I38-D38</f>
        <v>972</v>
      </c>
      <c r="N38" s="153"/>
      <c r="O38" s="79" t="s">
        <v>1317</v>
      </c>
      <c r="P38" s="79"/>
      <c r="Q38" s="79"/>
      <c r="R38" s="79"/>
      <c r="S38" s="79"/>
    </row>
    <row r="39" customFormat="false" ht="14.15" hidden="false" customHeight="false" outlineLevel="0" collapsed="false">
      <c r="A39" s="210" t="s">
        <v>1318</v>
      </c>
      <c r="B39" s="211" t="s">
        <v>1319</v>
      </c>
      <c r="C39" s="211" t="n">
        <v>2023</v>
      </c>
      <c r="D39" s="212" t="n">
        <v>45005</v>
      </c>
      <c r="E39" s="213" t="s">
        <v>1320</v>
      </c>
      <c r="F39" s="213" t="s">
        <v>191</v>
      </c>
      <c r="G39" s="214" t="s">
        <v>1174</v>
      </c>
      <c r="H39" s="214" t="s">
        <v>706</v>
      </c>
      <c r="I39" s="221" t="n">
        <v>46079</v>
      </c>
      <c r="J39" s="213" t="n">
        <v>2</v>
      </c>
      <c r="K39" s="213" t="s">
        <v>53</v>
      </c>
      <c r="L39" s="213" t="s">
        <v>1181</v>
      </c>
      <c r="M39" s="213" t="n">
        <f aca="false">I39-D39</f>
        <v>1074</v>
      </c>
      <c r="N39" s="153"/>
      <c r="O39" s="79"/>
      <c r="P39" s="79"/>
      <c r="Q39" s="79"/>
      <c r="R39" s="79"/>
      <c r="S39" s="79"/>
    </row>
    <row r="40" customFormat="false" ht="15" hidden="false" customHeight="false" outlineLevel="0" collapsed="false">
      <c r="A40" s="203" t="s">
        <v>1321</v>
      </c>
      <c r="B40" s="193" t="s">
        <v>1322</v>
      </c>
      <c r="C40" s="193" t="n">
        <v>2016</v>
      </c>
      <c r="D40" s="204" t="n">
        <v>42681</v>
      </c>
      <c r="E40" s="205" t="s">
        <v>1323</v>
      </c>
      <c r="F40" s="206" t="s">
        <v>1324</v>
      </c>
      <c r="G40" s="206" t="s">
        <v>1174</v>
      </c>
      <c r="H40" s="206" t="s">
        <v>1231</v>
      </c>
      <c r="I40" s="218" t="n">
        <v>46083</v>
      </c>
      <c r="J40" s="206" t="n">
        <v>3</v>
      </c>
      <c r="K40" s="206" t="s">
        <v>53</v>
      </c>
      <c r="L40" s="206" t="s">
        <v>1175</v>
      </c>
      <c r="M40" s="206" t="n">
        <f aca="false">I40-D40</f>
        <v>3402</v>
      </c>
      <c r="N40" s="153"/>
      <c r="O40" s="112" t="s">
        <v>62</v>
      </c>
      <c r="P40" s="112" t="s">
        <v>40</v>
      </c>
      <c r="Q40" s="112"/>
      <c r="R40" s="112"/>
      <c r="S40" s="112" t="s">
        <v>41</v>
      </c>
    </row>
    <row r="41" customFormat="false" ht="14.15" hidden="false" customHeight="false" outlineLevel="0" collapsed="false">
      <c r="A41" s="210" t="s">
        <v>1325</v>
      </c>
      <c r="B41" s="211" t="s">
        <v>1326</v>
      </c>
      <c r="C41" s="211" t="n">
        <v>2017</v>
      </c>
      <c r="D41" s="225" t="n">
        <v>43069</v>
      </c>
      <c r="E41" s="213" t="s">
        <v>1327</v>
      </c>
      <c r="F41" s="213" t="s">
        <v>1200</v>
      </c>
      <c r="G41" s="214" t="s">
        <v>1174</v>
      </c>
      <c r="H41" s="214" t="s">
        <v>522</v>
      </c>
      <c r="I41" s="221" t="n">
        <v>46083</v>
      </c>
      <c r="J41" s="213" t="n">
        <v>3</v>
      </c>
      <c r="K41" s="213" t="s">
        <v>53</v>
      </c>
      <c r="L41" s="213" t="s">
        <v>1181</v>
      </c>
      <c r="M41" s="213" t="n">
        <f aca="false">I41-D41</f>
        <v>3014</v>
      </c>
      <c r="N41" s="153"/>
      <c r="O41" s="154" t="s">
        <v>63</v>
      </c>
      <c r="P41" s="154" t="n">
        <f aca="false">COUNTIF($J$2:$J$351,"1")</f>
        <v>11</v>
      </c>
      <c r="Q41" s="154"/>
      <c r="R41" s="154"/>
      <c r="S41" s="164" t="n">
        <f aca="false">(P41/P53)</f>
        <v>0.0438247011952191</v>
      </c>
    </row>
    <row r="42" customFormat="false" ht="14.15" hidden="false" customHeight="false" outlineLevel="0" collapsed="false">
      <c r="A42" s="203" t="s">
        <v>1328</v>
      </c>
      <c r="B42" s="193" t="s">
        <v>1329</v>
      </c>
      <c r="C42" s="193" t="n">
        <v>2022</v>
      </c>
      <c r="D42" s="218" t="n">
        <v>44792</v>
      </c>
      <c r="E42" s="205" t="s">
        <v>1330</v>
      </c>
      <c r="F42" s="206" t="s">
        <v>1331</v>
      </c>
      <c r="G42" s="206" t="s">
        <v>1174</v>
      </c>
      <c r="H42" s="205" t="s">
        <v>544</v>
      </c>
      <c r="I42" s="218" t="n">
        <v>46083</v>
      </c>
      <c r="J42" s="206" t="n">
        <v>3</v>
      </c>
      <c r="K42" s="206" t="s">
        <v>53</v>
      </c>
      <c r="L42" s="206" t="s">
        <v>1175</v>
      </c>
      <c r="M42" s="206" t="n">
        <f aca="false">I42-D42</f>
        <v>1291</v>
      </c>
      <c r="N42" s="153"/>
      <c r="O42" s="147" t="s">
        <v>64</v>
      </c>
      <c r="P42" s="147" t="n">
        <f aca="false">COUNTIF($J$2:$J$351,"2")</f>
        <v>27</v>
      </c>
      <c r="Q42" s="147"/>
      <c r="R42" s="147"/>
      <c r="S42" s="165" t="n">
        <f aca="false">(P42/P53)</f>
        <v>0.107569721115538</v>
      </c>
    </row>
    <row r="43" customFormat="false" ht="14.15" hidden="false" customHeight="false" outlineLevel="0" collapsed="false">
      <c r="A43" s="210" t="s">
        <v>1332</v>
      </c>
      <c r="B43" s="211" t="s">
        <v>1333</v>
      </c>
      <c r="C43" s="211" t="n">
        <v>2023</v>
      </c>
      <c r="D43" s="212" t="n">
        <v>45001</v>
      </c>
      <c r="E43" s="213" t="s">
        <v>1334</v>
      </c>
      <c r="F43" s="213" t="s">
        <v>1316</v>
      </c>
      <c r="G43" s="214" t="s">
        <v>1174</v>
      </c>
      <c r="H43" s="214" t="s">
        <v>522</v>
      </c>
      <c r="I43" s="225" t="n">
        <v>46083</v>
      </c>
      <c r="J43" s="213" t="n">
        <v>3</v>
      </c>
      <c r="K43" s="213" t="s">
        <v>53</v>
      </c>
      <c r="L43" s="213" t="s">
        <v>1181</v>
      </c>
      <c r="M43" s="213" t="n">
        <f aca="false">I43-D43</f>
        <v>1082</v>
      </c>
      <c r="N43" s="153"/>
      <c r="O43" s="154" t="s">
        <v>66</v>
      </c>
      <c r="P43" s="154" t="n">
        <f aca="false">COUNTIF($J$2:$J$351,"3")</f>
        <v>41</v>
      </c>
      <c r="Q43" s="154"/>
      <c r="R43" s="154"/>
      <c r="S43" s="164" t="n">
        <f aca="false">(P43/P53)</f>
        <v>0.163346613545817</v>
      </c>
    </row>
    <row r="44" customFormat="false" ht="14.15" hidden="false" customHeight="false" outlineLevel="0" collapsed="false">
      <c r="A44" s="203" t="s">
        <v>1335</v>
      </c>
      <c r="B44" s="193" t="s">
        <v>1336</v>
      </c>
      <c r="C44" s="193" t="n">
        <v>2023</v>
      </c>
      <c r="D44" s="218" t="n">
        <v>44935</v>
      </c>
      <c r="E44" s="205" t="s">
        <v>1337</v>
      </c>
      <c r="F44" s="206" t="s">
        <v>1338</v>
      </c>
      <c r="G44" s="206" t="s">
        <v>1174</v>
      </c>
      <c r="H44" s="205" t="s">
        <v>570</v>
      </c>
      <c r="I44" s="207" t="n">
        <v>46083</v>
      </c>
      <c r="J44" s="206" t="n">
        <v>3</v>
      </c>
      <c r="K44" s="206" t="s">
        <v>53</v>
      </c>
      <c r="L44" s="206" t="s">
        <v>1339</v>
      </c>
      <c r="M44" s="206" t="n">
        <f aca="false">I44-D44</f>
        <v>1148</v>
      </c>
      <c r="N44" s="153"/>
      <c r="O44" s="147" t="s">
        <v>67</v>
      </c>
      <c r="P44" s="147" t="n">
        <f aca="false">COUNTIF($J$2:$J$351,"4")</f>
        <v>44</v>
      </c>
      <c r="Q44" s="147"/>
      <c r="R44" s="147"/>
      <c r="S44" s="165" t="n">
        <f aca="false">(P44/P53)</f>
        <v>0.175298804780877</v>
      </c>
    </row>
    <row r="45" customFormat="false" ht="14.15" hidden="false" customHeight="false" outlineLevel="0" collapsed="false">
      <c r="A45" s="210" t="s">
        <v>1340</v>
      </c>
      <c r="B45" s="211" t="s">
        <v>1341</v>
      </c>
      <c r="C45" s="211" t="n">
        <v>2023</v>
      </c>
      <c r="D45" s="225" t="n">
        <v>44998</v>
      </c>
      <c r="E45" s="213" t="s">
        <v>1342</v>
      </c>
      <c r="F45" s="213" t="s">
        <v>1343</v>
      </c>
      <c r="G45" s="214" t="s">
        <v>1174</v>
      </c>
      <c r="H45" s="214" t="s">
        <v>570</v>
      </c>
      <c r="I45" s="225" t="n">
        <v>46083</v>
      </c>
      <c r="J45" s="213" t="n">
        <v>3</v>
      </c>
      <c r="K45" s="213" t="s">
        <v>53</v>
      </c>
      <c r="L45" s="213" t="s">
        <v>1175</v>
      </c>
      <c r="M45" s="213" t="n">
        <f aca="false">I45-D45</f>
        <v>1085</v>
      </c>
      <c r="N45" s="160"/>
      <c r="O45" s="154" t="s">
        <v>68</v>
      </c>
      <c r="P45" s="154" t="n">
        <f aca="false">COUNTIF($J$2:$J$351,"5")</f>
        <v>50</v>
      </c>
      <c r="Q45" s="154"/>
      <c r="R45" s="154"/>
      <c r="S45" s="164" t="n">
        <f aca="false">(P45/P53)</f>
        <v>0.199203187250996</v>
      </c>
    </row>
    <row r="46" customFormat="false" ht="14.15" hidden="false" customHeight="false" outlineLevel="0" collapsed="false">
      <c r="A46" s="203" t="s">
        <v>1344</v>
      </c>
      <c r="B46" s="193" t="s">
        <v>1345</v>
      </c>
      <c r="C46" s="193" t="n">
        <v>2022</v>
      </c>
      <c r="D46" s="204" t="n">
        <v>44789</v>
      </c>
      <c r="E46" s="205" t="s">
        <v>1346</v>
      </c>
      <c r="F46" s="206" t="s">
        <v>1347</v>
      </c>
      <c r="G46" s="206" t="s">
        <v>1174</v>
      </c>
      <c r="H46" s="205" t="s">
        <v>544</v>
      </c>
      <c r="I46" s="207" t="n">
        <v>46083</v>
      </c>
      <c r="J46" s="206" t="n">
        <v>3</v>
      </c>
      <c r="K46" s="206" t="s">
        <v>53</v>
      </c>
      <c r="L46" s="206" t="s">
        <v>1181</v>
      </c>
      <c r="M46" s="206" t="n">
        <f aca="false">I46-D46</f>
        <v>1294</v>
      </c>
      <c r="N46" s="153"/>
      <c r="O46" s="147" t="s">
        <v>70</v>
      </c>
      <c r="P46" s="147" t="n">
        <f aca="false">COUNTIF($J$2:$J$351,"6")</f>
        <v>42</v>
      </c>
      <c r="Q46" s="147"/>
      <c r="R46" s="147"/>
      <c r="S46" s="165" t="n">
        <f aca="false">(P46/P53)</f>
        <v>0.167330677290837</v>
      </c>
    </row>
    <row r="47" customFormat="false" ht="14.15" hidden="false" customHeight="false" outlineLevel="0" collapsed="false">
      <c r="A47" s="210" t="s">
        <v>1348</v>
      </c>
      <c r="B47" s="211" t="s">
        <v>1349</v>
      </c>
      <c r="C47" s="211" t="n">
        <v>2021</v>
      </c>
      <c r="D47" s="225" t="n">
        <v>44209</v>
      </c>
      <c r="E47" s="213" t="s">
        <v>1350</v>
      </c>
      <c r="F47" s="213" t="s">
        <v>1312</v>
      </c>
      <c r="G47" s="214" t="s">
        <v>1174</v>
      </c>
      <c r="H47" s="214" t="s">
        <v>544</v>
      </c>
      <c r="I47" s="225" t="n">
        <v>46083</v>
      </c>
      <c r="J47" s="213" t="n">
        <v>3</v>
      </c>
      <c r="K47" s="213" t="s">
        <v>53</v>
      </c>
      <c r="L47" s="213" t="s">
        <v>1175</v>
      </c>
      <c r="M47" s="213" t="n">
        <f aca="false">I47-D47</f>
        <v>1874</v>
      </c>
      <c r="N47" s="153"/>
      <c r="O47" s="154" t="s">
        <v>72</v>
      </c>
      <c r="P47" s="154" t="n">
        <f aca="false">COUNTIF($J$2:$J$351,"7")</f>
        <v>22</v>
      </c>
      <c r="Q47" s="154"/>
      <c r="R47" s="154"/>
      <c r="S47" s="164" t="n">
        <f aca="false">(P47/P53)</f>
        <v>0.0876494023904383</v>
      </c>
    </row>
    <row r="48" customFormat="false" ht="14.15" hidden="false" customHeight="false" outlineLevel="0" collapsed="false">
      <c r="A48" s="203" t="s">
        <v>1351</v>
      </c>
      <c r="B48" s="193" t="s">
        <v>1352</v>
      </c>
      <c r="C48" s="193" t="n">
        <v>2022</v>
      </c>
      <c r="D48" s="207" t="n">
        <v>44651</v>
      </c>
      <c r="E48" s="205" t="s">
        <v>1353</v>
      </c>
      <c r="F48" s="206" t="s">
        <v>1254</v>
      </c>
      <c r="G48" s="206" t="s">
        <v>1174</v>
      </c>
      <c r="H48" s="205" t="s">
        <v>1258</v>
      </c>
      <c r="I48" s="207" t="n">
        <v>46087</v>
      </c>
      <c r="J48" s="206" t="n">
        <v>3</v>
      </c>
      <c r="K48" s="206" t="s">
        <v>53</v>
      </c>
      <c r="L48" s="206" t="s">
        <v>1175</v>
      </c>
      <c r="M48" s="206" t="n">
        <f aca="false">I48-D48</f>
        <v>1436</v>
      </c>
      <c r="N48" s="153"/>
      <c r="O48" s="147" t="s">
        <v>74</v>
      </c>
      <c r="P48" s="147" t="n">
        <f aca="false">COUNTIF($J$2:$J$351,"8")</f>
        <v>14</v>
      </c>
      <c r="Q48" s="147"/>
      <c r="R48" s="147"/>
      <c r="S48" s="165" t="n">
        <f aca="false">(P48/P53)</f>
        <v>0.0557768924302789</v>
      </c>
    </row>
    <row r="49" customFormat="false" ht="14.15" hidden="false" customHeight="false" outlineLevel="0" collapsed="false">
      <c r="A49" s="210" t="s">
        <v>1354</v>
      </c>
      <c r="B49" s="211" t="s">
        <v>1355</v>
      </c>
      <c r="C49" s="211" t="n">
        <v>2023</v>
      </c>
      <c r="D49" s="225" t="n">
        <v>45238</v>
      </c>
      <c r="E49" s="213" t="s">
        <v>1356</v>
      </c>
      <c r="F49" s="213" t="s">
        <v>1357</v>
      </c>
      <c r="G49" s="214" t="s">
        <v>1174</v>
      </c>
      <c r="H49" s="214" t="s">
        <v>1223</v>
      </c>
      <c r="I49" s="225" t="n">
        <v>46087</v>
      </c>
      <c r="J49" s="213" t="n">
        <v>3</v>
      </c>
      <c r="K49" s="213" t="s">
        <v>53</v>
      </c>
      <c r="L49" s="213" t="s">
        <v>1175</v>
      </c>
      <c r="M49" s="213" t="n">
        <f aca="false">I49-D49</f>
        <v>849</v>
      </c>
      <c r="N49" s="153"/>
      <c r="O49" s="154" t="s">
        <v>76</v>
      </c>
      <c r="P49" s="154" t="n">
        <f aca="false">COUNTIF($J$2:$J$351,"9")</f>
        <v>0</v>
      </c>
      <c r="Q49" s="154"/>
      <c r="R49" s="154"/>
      <c r="S49" s="164" t="n">
        <f aca="false">(P49/P53)</f>
        <v>0</v>
      </c>
    </row>
    <row r="50" customFormat="false" ht="14.15" hidden="false" customHeight="false" outlineLevel="0" collapsed="false">
      <c r="A50" s="203" t="s">
        <v>1358</v>
      </c>
      <c r="B50" s="193" t="s">
        <v>1359</v>
      </c>
      <c r="C50" s="193" t="n">
        <v>2024</v>
      </c>
      <c r="D50" s="207" t="n">
        <v>45441</v>
      </c>
      <c r="E50" s="205" t="s">
        <v>1360</v>
      </c>
      <c r="F50" s="206" t="s">
        <v>705</v>
      </c>
      <c r="G50" s="206" t="s">
        <v>1174</v>
      </c>
      <c r="H50" s="205" t="s">
        <v>1288</v>
      </c>
      <c r="I50" s="207" t="n">
        <v>46087</v>
      </c>
      <c r="J50" s="206" t="n">
        <v>3</v>
      </c>
      <c r="K50" s="206" t="s">
        <v>53</v>
      </c>
      <c r="L50" s="206" t="s">
        <v>1181</v>
      </c>
      <c r="M50" s="206" t="n">
        <f aca="false">I50-D50</f>
        <v>646</v>
      </c>
      <c r="N50" s="153"/>
      <c r="O50" s="147" t="s">
        <v>78</v>
      </c>
      <c r="P50" s="147" t="n">
        <f aca="false">COUNTIF($J$2:$J$351,"10")</f>
        <v>0</v>
      </c>
      <c r="Q50" s="147"/>
      <c r="R50" s="147"/>
      <c r="S50" s="165" t="n">
        <f aca="false">(P50/P53)</f>
        <v>0</v>
      </c>
    </row>
    <row r="51" customFormat="false" ht="14.15" hidden="false" customHeight="false" outlineLevel="0" collapsed="false">
      <c r="A51" s="210" t="s">
        <v>1361</v>
      </c>
      <c r="B51" s="211" t="s">
        <v>1362</v>
      </c>
      <c r="C51" s="211" t="n">
        <v>2024</v>
      </c>
      <c r="D51" s="212" t="n">
        <v>45471</v>
      </c>
      <c r="E51" s="213" t="s">
        <v>1363</v>
      </c>
      <c r="F51" s="213" t="s">
        <v>1357</v>
      </c>
      <c r="G51" s="214" t="s">
        <v>1174</v>
      </c>
      <c r="H51" s="214" t="s">
        <v>119</v>
      </c>
      <c r="I51" s="225" t="n">
        <v>46087</v>
      </c>
      <c r="J51" s="213" t="n">
        <v>3</v>
      </c>
      <c r="K51" s="213" t="s">
        <v>53</v>
      </c>
      <c r="L51" s="213" t="s">
        <v>1175</v>
      </c>
      <c r="M51" s="213" t="n">
        <f aca="false">I51-D51</f>
        <v>616</v>
      </c>
      <c r="N51" s="153"/>
      <c r="O51" s="154" t="s">
        <v>80</v>
      </c>
      <c r="P51" s="154" t="n">
        <f aca="false">COUNTIF($J$2:$J$351,"11")</f>
        <v>0</v>
      </c>
      <c r="Q51" s="154"/>
      <c r="R51" s="154"/>
      <c r="S51" s="164" t="n">
        <f aca="false">(P51/P53)</f>
        <v>0</v>
      </c>
      <c r="T51" s="153"/>
    </row>
    <row r="52" customFormat="false" ht="14.15" hidden="false" customHeight="false" outlineLevel="0" collapsed="false">
      <c r="A52" s="203" t="s">
        <v>1364</v>
      </c>
      <c r="B52" s="193" t="s">
        <v>1365</v>
      </c>
      <c r="C52" s="193" t="n">
        <v>2021</v>
      </c>
      <c r="D52" s="207" t="n">
        <v>44530</v>
      </c>
      <c r="E52" s="205" t="s">
        <v>1366</v>
      </c>
      <c r="F52" s="206" t="s">
        <v>191</v>
      </c>
      <c r="G52" s="206" t="s">
        <v>1174</v>
      </c>
      <c r="H52" s="205" t="s">
        <v>522</v>
      </c>
      <c r="I52" s="207" t="n">
        <v>46087</v>
      </c>
      <c r="J52" s="206" t="n">
        <v>3</v>
      </c>
      <c r="K52" s="206" t="s">
        <v>53</v>
      </c>
      <c r="L52" s="206" t="s">
        <v>1181</v>
      </c>
      <c r="M52" s="206" t="n">
        <f aca="false">I52-D52</f>
        <v>1557</v>
      </c>
      <c r="N52" s="153"/>
      <c r="O52" s="147" t="s">
        <v>82</v>
      </c>
      <c r="P52" s="147" t="n">
        <f aca="false">COUNTIF($J$2:$J$351,"12")</f>
        <v>0</v>
      </c>
      <c r="Q52" s="147"/>
      <c r="R52" s="147"/>
      <c r="S52" s="165" t="n">
        <f aca="false">(P52/P53)</f>
        <v>0</v>
      </c>
      <c r="T52" s="153"/>
    </row>
    <row r="53" customFormat="false" ht="15" hidden="false" customHeight="false" outlineLevel="0" collapsed="false">
      <c r="A53" s="210" t="s">
        <v>1367</v>
      </c>
      <c r="B53" s="211" t="s">
        <v>1368</v>
      </c>
      <c r="C53" s="211" t="n">
        <v>2021</v>
      </c>
      <c r="D53" s="225" t="n">
        <v>44377</v>
      </c>
      <c r="E53" s="213" t="s">
        <v>1369</v>
      </c>
      <c r="F53" s="213" t="s">
        <v>449</v>
      </c>
      <c r="G53" s="214" t="s">
        <v>1174</v>
      </c>
      <c r="H53" s="214" t="s">
        <v>522</v>
      </c>
      <c r="I53" s="225" t="n">
        <v>46087</v>
      </c>
      <c r="J53" s="213" t="n">
        <v>3</v>
      </c>
      <c r="K53" s="213" t="s">
        <v>53</v>
      </c>
      <c r="L53" s="213" t="s">
        <v>1181</v>
      </c>
      <c r="M53" s="213" t="n">
        <f aca="false">I53-D53</f>
        <v>1710</v>
      </c>
      <c r="N53" s="153"/>
      <c r="O53" s="112" t="s">
        <v>54</v>
      </c>
      <c r="P53" s="112" t="n">
        <f aca="false">SUM(P41:R52)</f>
        <v>251</v>
      </c>
      <c r="Q53" s="112"/>
      <c r="R53" s="112"/>
      <c r="S53" s="166" t="n">
        <f aca="false">SUM(S41:S52)</f>
        <v>1</v>
      </c>
      <c r="T53" s="153"/>
    </row>
    <row r="54" customFormat="false" ht="14.15" hidden="false" customHeight="false" outlineLevel="0" collapsed="false">
      <c r="A54" s="203" t="s">
        <v>1370</v>
      </c>
      <c r="B54" s="193" t="s">
        <v>1371</v>
      </c>
      <c r="C54" s="193" t="n">
        <v>2020</v>
      </c>
      <c r="D54" s="207" t="n">
        <v>44011</v>
      </c>
      <c r="E54" s="205" t="s">
        <v>1372</v>
      </c>
      <c r="F54" s="206" t="s">
        <v>1373</v>
      </c>
      <c r="G54" s="206" t="s">
        <v>1174</v>
      </c>
      <c r="H54" s="205" t="s">
        <v>522</v>
      </c>
      <c r="I54" s="207" t="n">
        <v>46087</v>
      </c>
      <c r="J54" s="206" t="n">
        <v>3</v>
      </c>
      <c r="K54" s="206" t="s">
        <v>53</v>
      </c>
      <c r="L54" s="206" t="s">
        <v>1175</v>
      </c>
      <c r="M54" s="206" t="n">
        <f aca="false">I54-D54</f>
        <v>2076</v>
      </c>
      <c r="N54" s="160"/>
      <c r="O54" s="153"/>
      <c r="P54" s="153"/>
      <c r="Q54" s="153"/>
      <c r="R54" s="153"/>
      <c r="S54" s="153"/>
      <c r="T54" s="153"/>
    </row>
    <row r="55" customFormat="false" ht="14.15" hidden="false" customHeight="false" outlineLevel="0" collapsed="false">
      <c r="A55" s="210" t="s">
        <v>1374</v>
      </c>
      <c r="B55" s="211" t="s">
        <v>1375</v>
      </c>
      <c r="C55" s="211" t="n">
        <v>2021</v>
      </c>
      <c r="D55" s="225" t="n">
        <v>44453</v>
      </c>
      <c r="E55" s="213" t="s">
        <v>1376</v>
      </c>
      <c r="F55" s="213" t="s">
        <v>1254</v>
      </c>
      <c r="G55" s="214" t="s">
        <v>1174</v>
      </c>
      <c r="H55" s="214" t="s">
        <v>1244</v>
      </c>
      <c r="I55" s="225" t="n">
        <v>46087</v>
      </c>
      <c r="J55" s="213" t="n">
        <v>3</v>
      </c>
      <c r="K55" s="213" t="s">
        <v>53</v>
      </c>
      <c r="L55" s="213" t="s">
        <v>1175</v>
      </c>
      <c r="M55" s="213" t="n">
        <f aca="false">I55-D55</f>
        <v>1634</v>
      </c>
      <c r="N55" s="153"/>
      <c r="O55" s="79" t="s">
        <v>335</v>
      </c>
      <c r="P55" s="79"/>
      <c r="Q55" s="79"/>
      <c r="R55" s="79"/>
      <c r="S55" s="79"/>
      <c r="T55" s="79"/>
    </row>
    <row r="56" customFormat="false" ht="14.15" hidden="false" customHeight="false" outlineLevel="0" collapsed="false">
      <c r="A56" s="203" t="s">
        <v>1377</v>
      </c>
      <c r="B56" s="226" t="s">
        <v>1378</v>
      </c>
      <c r="C56" s="226" t="n">
        <v>2021</v>
      </c>
      <c r="D56" s="204" t="n">
        <v>44371</v>
      </c>
      <c r="E56" s="205" t="s">
        <v>1379</v>
      </c>
      <c r="F56" s="206" t="s">
        <v>1273</v>
      </c>
      <c r="G56" s="206" t="s">
        <v>1174</v>
      </c>
      <c r="H56" s="205" t="s">
        <v>522</v>
      </c>
      <c r="I56" s="207" t="n">
        <v>46087</v>
      </c>
      <c r="J56" s="206" t="n">
        <v>3</v>
      </c>
      <c r="K56" s="206" t="s">
        <v>53</v>
      </c>
      <c r="L56" s="206" t="s">
        <v>1181</v>
      </c>
      <c r="M56" s="206" t="n">
        <f aca="false">I56-D56</f>
        <v>1716</v>
      </c>
      <c r="N56" s="153"/>
      <c r="O56" s="79"/>
      <c r="P56" s="79"/>
      <c r="Q56" s="79"/>
      <c r="R56" s="79"/>
      <c r="S56" s="79"/>
      <c r="T56" s="79"/>
    </row>
    <row r="57" customFormat="false" ht="15" hidden="false" customHeight="false" outlineLevel="0" collapsed="false">
      <c r="A57" s="210" t="s">
        <v>1380</v>
      </c>
      <c r="B57" s="227" t="s">
        <v>1381</v>
      </c>
      <c r="C57" s="227" t="n">
        <v>2023</v>
      </c>
      <c r="D57" s="228" t="n">
        <v>44965</v>
      </c>
      <c r="E57" s="213" t="s">
        <v>1382</v>
      </c>
      <c r="F57" s="213" t="s">
        <v>1383</v>
      </c>
      <c r="G57" s="214" t="s">
        <v>1174</v>
      </c>
      <c r="H57" s="214" t="s">
        <v>570</v>
      </c>
      <c r="I57" s="225" t="n">
        <v>46087</v>
      </c>
      <c r="J57" s="213" t="n">
        <v>3</v>
      </c>
      <c r="K57" s="213" t="s">
        <v>53</v>
      </c>
      <c r="L57" s="213" t="s">
        <v>1175</v>
      </c>
      <c r="M57" s="213" t="n">
        <f aca="false">I57-D57</f>
        <v>1122</v>
      </c>
      <c r="N57" s="153"/>
      <c r="O57" s="112" t="s">
        <v>38</v>
      </c>
      <c r="P57" s="112"/>
      <c r="Q57" s="112"/>
      <c r="R57" s="112"/>
      <c r="S57" s="112" t="s">
        <v>343</v>
      </c>
      <c r="T57" s="112" t="s">
        <v>41</v>
      </c>
    </row>
    <row r="58" customFormat="false" ht="14.15" hidden="false" customHeight="false" outlineLevel="0" collapsed="false">
      <c r="A58" s="203" t="s">
        <v>1384</v>
      </c>
      <c r="B58" s="229" t="s">
        <v>1385</v>
      </c>
      <c r="C58" s="229" t="n">
        <v>2022</v>
      </c>
      <c r="D58" s="230" t="n">
        <v>44792</v>
      </c>
      <c r="E58" s="205" t="s">
        <v>1386</v>
      </c>
      <c r="F58" s="206" t="s">
        <v>1387</v>
      </c>
      <c r="G58" s="206" t="s">
        <v>1174</v>
      </c>
      <c r="H58" s="205" t="s">
        <v>471</v>
      </c>
      <c r="I58" s="207" t="n">
        <v>46087</v>
      </c>
      <c r="J58" s="206" t="n">
        <v>3</v>
      </c>
      <c r="K58" s="206" t="s">
        <v>53</v>
      </c>
      <c r="L58" s="206" t="s">
        <v>1175</v>
      </c>
      <c r="M58" s="208" t="n">
        <f aca="false">I58-D58</f>
        <v>1295</v>
      </c>
      <c r="N58" s="153"/>
      <c r="O58" s="231" t="s">
        <v>42</v>
      </c>
      <c r="P58" s="231"/>
      <c r="Q58" s="231"/>
      <c r="R58" s="231"/>
      <c r="S58" s="231" t="n">
        <f aca="false">COUNTIF($K$2:$K$469,"Classe I - Extremamente tóxico")</f>
        <v>1</v>
      </c>
      <c r="T58" s="232" t="n">
        <f aca="false">(S58/S69)</f>
        <v>0.00398406374501992</v>
      </c>
    </row>
    <row r="59" customFormat="false" ht="14.15" hidden="false" customHeight="false" outlineLevel="0" collapsed="false">
      <c r="A59" s="210" t="s">
        <v>1388</v>
      </c>
      <c r="B59" s="227" t="s">
        <v>1389</v>
      </c>
      <c r="C59" s="227" t="n">
        <v>2022</v>
      </c>
      <c r="D59" s="228" t="n">
        <v>44684</v>
      </c>
      <c r="E59" s="213" t="s">
        <v>1390</v>
      </c>
      <c r="F59" s="213" t="s">
        <v>1316</v>
      </c>
      <c r="G59" s="214" t="s">
        <v>1174</v>
      </c>
      <c r="H59" s="214" t="s">
        <v>192</v>
      </c>
      <c r="I59" s="225" t="n">
        <v>46087</v>
      </c>
      <c r="J59" s="213" t="n">
        <v>3</v>
      </c>
      <c r="K59" s="213" t="s">
        <v>53</v>
      </c>
      <c r="L59" s="213" t="s">
        <v>1181</v>
      </c>
      <c r="M59" s="213" t="n">
        <f aca="false">I59-D59</f>
        <v>1403</v>
      </c>
      <c r="N59" s="153"/>
      <c r="O59" s="231" t="s">
        <v>43</v>
      </c>
      <c r="P59" s="231"/>
      <c r="Q59" s="231"/>
      <c r="R59" s="231"/>
      <c r="S59" s="231" t="n">
        <f aca="false">COUNTIF($K$2:$K$469,"Categoria 1 - Produto Extremamente Tóxico")</f>
        <v>0</v>
      </c>
      <c r="T59" s="232" t="n">
        <f aca="false">(S59/S69)</f>
        <v>0</v>
      </c>
    </row>
    <row r="60" customFormat="false" ht="14.15" hidden="false" customHeight="false" outlineLevel="0" collapsed="false">
      <c r="A60" s="203" t="s">
        <v>1391</v>
      </c>
      <c r="B60" s="233" t="s">
        <v>1392</v>
      </c>
      <c r="C60" s="233" t="n">
        <v>2021</v>
      </c>
      <c r="D60" s="207" t="n">
        <v>44298</v>
      </c>
      <c r="E60" s="205" t="s">
        <v>1393</v>
      </c>
      <c r="F60" s="206" t="s">
        <v>333</v>
      </c>
      <c r="G60" s="206" t="s">
        <v>1174</v>
      </c>
      <c r="H60" s="205" t="s">
        <v>192</v>
      </c>
      <c r="I60" s="207" t="n">
        <v>46087</v>
      </c>
      <c r="J60" s="206" t="n">
        <v>3</v>
      </c>
      <c r="K60" s="206" t="s">
        <v>53</v>
      </c>
      <c r="L60" s="206" t="s">
        <v>1175</v>
      </c>
      <c r="M60" s="206" t="n">
        <f aca="false">I60-D60</f>
        <v>1789</v>
      </c>
      <c r="N60" s="153"/>
      <c r="O60" s="234" t="s">
        <v>44</v>
      </c>
      <c r="P60" s="234"/>
      <c r="Q60" s="234"/>
      <c r="R60" s="234"/>
      <c r="S60" s="234" t="n">
        <f aca="false">COUNTIF($K$2:$K$469,"Categoria 2 - Produto Altamente Tóxico")</f>
        <v>0</v>
      </c>
      <c r="T60" s="235" t="n">
        <f aca="false">(S60/S69)</f>
        <v>0</v>
      </c>
    </row>
    <row r="61" customFormat="false" ht="14.15" hidden="false" customHeight="false" outlineLevel="0" collapsed="false">
      <c r="A61" s="210" t="s">
        <v>1394</v>
      </c>
      <c r="B61" s="211" t="s">
        <v>1395</v>
      </c>
      <c r="C61" s="211" t="n">
        <v>2023</v>
      </c>
      <c r="D61" s="225" t="n">
        <v>45266</v>
      </c>
      <c r="E61" s="213" t="s">
        <v>1396</v>
      </c>
      <c r="F61" s="213" t="s">
        <v>1068</v>
      </c>
      <c r="G61" s="214" t="s">
        <v>1174</v>
      </c>
      <c r="H61" s="214" t="s">
        <v>192</v>
      </c>
      <c r="I61" s="225" t="n">
        <v>46087</v>
      </c>
      <c r="J61" s="213" t="n">
        <v>3</v>
      </c>
      <c r="K61" s="213" t="s">
        <v>53</v>
      </c>
      <c r="L61" s="213" t="s">
        <v>1175</v>
      </c>
      <c r="M61" s="213" t="n">
        <f aca="false">I61-D61</f>
        <v>821</v>
      </c>
      <c r="N61" s="153"/>
      <c r="O61" s="236" t="s">
        <v>45</v>
      </c>
      <c r="P61" s="236"/>
      <c r="Q61" s="236"/>
      <c r="R61" s="236"/>
      <c r="S61" s="236" t="n">
        <f aca="false">COUNTIF($K$2:$K$469,"Classe II - Altamente tóxico")</f>
        <v>0</v>
      </c>
      <c r="T61" s="237" t="n">
        <f aca="false">(S61/S69)</f>
        <v>0</v>
      </c>
    </row>
    <row r="62" customFormat="false" ht="14.15" hidden="false" customHeight="false" outlineLevel="0" collapsed="false">
      <c r="A62" s="203" t="s">
        <v>1397</v>
      </c>
      <c r="B62" s="193" t="s">
        <v>1398</v>
      </c>
      <c r="C62" s="193" t="n">
        <v>2021</v>
      </c>
      <c r="D62" s="207" t="n">
        <v>44403</v>
      </c>
      <c r="E62" s="205" t="s">
        <v>1399</v>
      </c>
      <c r="F62" s="206" t="s">
        <v>1400</v>
      </c>
      <c r="G62" s="206" t="s">
        <v>1174</v>
      </c>
      <c r="H62" s="205" t="s">
        <v>192</v>
      </c>
      <c r="I62" s="207" t="n">
        <v>46087</v>
      </c>
      <c r="J62" s="206" t="n">
        <v>3</v>
      </c>
      <c r="K62" s="206" t="s">
        <v>53</v>
      </c>
      <c r="L62" s="206" t="s">
        <v>1181</v>
      </c>
      <c r="M62" s="208" t="n">
        <f aca="false">I62-D62</f>
        <v>1684</v>
      </c>
      <c r="N62" s="153"/>
      <c r="O62" s="238" t="s">
        <v>46</v>
      </c>
      <c r="P62" s="238"/>
      <c r="Q62" s="238"/>
      <c r="R62" s="238"/>
      <c r="S62" s="238" t="n">
        <f aca="false">COUNTIF($K$2:$K$469,"Categoria 3 - Produto Moderadamente Tóxico")</f>
        <v>0</v>
      </c>
      <c r="T62" s="237" t="n">
        <f aca="false">(S62/S69)</f>
        <v>0</v>
      </c>
    </row>
    <row r="63" customFormat="false" ht="14.15" hidden="false" customHeight="false" outlineLevel="0" collapsed="false">
      <c r="A63" s="210" t="s">
        <v>1401</v>
      </c>
      <c r="B63" s="211" t="s">
        <v>1402</v>
      </c>
      <c r="C63" s="211" t="n">
        <v>2023</v>
      </c>
      <c r="D63" s="225" t="n">
        <v>45126</v>
      </c>
      <c r="E63" s="213" t="s">
        <v>1403</v>
      </c>
      <c r="F63" s="213" t="s">
        <v>1404</v>
      </c>
      <c r="G63" s="214" t="s">
        <v>1174</v>
      </c>
      <c r="H63" s="214" t="s">
        <v>192</v>
      </c>
      <c r="I63" s="225" t="n">
        <v>46087</v>
      </c>
      <c r="J63" s="213" t="n">
        <v>3</v>
      </c>
      <c r="K63" s="213" t="s">
        <v>53</v>
      </c>
      <c r="L63" s="213" t="s">
        <v>1175</v>
      </c>
      <c r="M63" s="213" t="n">
        <f aca="false">I63-D63</f>
        <v>961</v>
      </c>
      <c r="N63" s="153"/>
      <c r="O63" s="239" t="s">
        <v>47</v>
      </c>
      <c r="P63" s="239"/>
      <c r="Q63" s="239"/>
      <c r="R63" s="239"/>
      <c r="S63" s="239" t="n">
        <f aca="false">COUNTIF($K$2:$K$469,"Classe III - Medianamente tóxico")</f>
        <v>0</v>
      </c>
      <c r="T63" s="240" t="n">
        <f aca="false">(S63/S69)</f>
        <v>0</v>
      </c>
    </row>
    <row r="64" customFormat="false" ht="14.15" hidden="false" customHeight="false" outlineLevel="0" collapsed="false">
      <c r="A64" s="203" t="s">
        <v>1405</v>
      </c>
      <c r="B64" s="193" t="s">
        <v>1406</v>
      </c>
      <c r="C64" s="193" t="n">
        <v>2022</v>
      </c>
      <c r="D64" s="207" t="n">
        <v>44797</v>
      </c>
      <c r="E64" s="205" t="s">
        <v>1407</v>
      </c>
      <c r="F64" s="206" t="s">
        <v>1347</v>
      </c>
      <c r="G64" s="206" t="s">
        <v>1174</v>
      </c>
      <c r="H64" s="205" t="s">
        <v>192</v>
      </c>
      <c r="I64" s="207" t="n">
        <v>46087</v>
      </c>
      <c r="J64" s="206" t="n">
        <v>3</v>
      </c>
      <c r="K64" s="206" t="s">
        <v>53</v>
      </c>
      <c r="L64" s="206" t="s">
        <v>1181</v>
      </c>
      <c r="M64" s="206" t="n">
        <f aca="false">I64-D64</f>
        <v>1290</v>
      </c>
      <c r="N64" s="153"/>
      <c r="O64" s="239" t="s">
        <v>48</v>
      </c>
      <c r="P64" s="239"/>
      <c r="Q64" s="239"/>
      <c r="R64" s="239"/>
      <c r="S64" s="239" t="n">
        <f aca="false">COUNTIF($K$2:$K$469,"Categoria 4 - Produto Pouco Tóxico")</f>
        <v>0</v>
      </c>
      <c r="T64" s="240" t="n">
        <f aca="false">(S64/S69)</f>
        <v>0</v>
      </c>
    </row>
    <row r="65" customFormat="false" ht="14.15" hidden="false" customHeight="false" outlineLevel="0" collapsed="false">
      <c r="A65" s="210" t="s">
        <v>1408</v>
      </c>
      <c r="B65" s="211" t="s">
        <v>1409</v>
      </c>
      <c r="C65" s="211" t="n">
        <v>2017</v>
      </c>
      <c r="D65" s="212" t="n">
        <v>42921</v>
      </c>
      <c r="E65" s="213" t="s">
        <v>1410</v>
      </c>
      <c r="F65" s="213" t="s">
        <v>1410</v>
      </c>
      <c r="G65" s="214" t="s">
        <v>1174</v>
      </c>
      <c r="H65" s="214" t="s">
        <v>471</v>
      </c>
      <c r="I65" s="225" t="n">
        <v>46087</v>
      </c>
      <c r="J65" s="213" t="n">
        <v>3</v>
      </c>
      <c r="K65" s="213" t="s">
        <v>53</v>
      </c>
      <c r="L65" s="213" t="s">
        <v>1181</v>
      </c>
      <c r="M65" s="241" t="n">
        <f aca="false">I65-D65</f>
        <v>3166</v>
      </c>
      <c r="N65" s="153"/>
      <c r="O65" s="239" t="s">
        <v>49</v>
      </c>
      <c r="P65" s="239"/>
      <c r="Q65" s="239"/>
      <c r="R65" s="239"/>
      <c r="S65" s="239" t="n">
        <f aca="false">COUNTIF($K$2:$K$469,"Categoria 5 - Produto Improvável de Causar Dano Agudo")</f>
        <v>0</v>
      </c>
      <c r="T65" s="240" t="n">
        <f aca="false">(S65/S69)</f>
        <v>0</v>
      </c>
    </row>
    <row r="66" customFormat="false" ht="14.15" hidden="false" customHeight="false" outlineLevel="0" collapsed="false">
      <c r="A66" s="203" t="s">
        <v>1411</v>
      </c>
      <c r="B66" s="193" t="s">
        <v>1412</v>
      </c>
      <c r="C66" s="193" t="n">
        <v>2015</v>
      </c>
      <c r="D66" s="204" t="n">
        <v>42090</v>
      </c>
      <c r="E66" s="205" t="s">
        <v>1413</v>
      </c>
      <c r="F66" s="206" t="s">
        <v>128</v>
      </c>
      <c r="G66" s="206" t="s">
        <v>1174</v>
      </c>
      <c r="H66" s="205" t="s">
        <v>471</v>
      </c>
      <c r="I66" s="207" t="n">
        <v>46105</v>
      </c>
      <c r="J66" s="206" t="n">
        <v>3</v>
      </c>
      <c r="K66" s="206" t="s">
        <v>53</v>
      </c>
      <c r="L66" s="206" t="s">
        <v>1181</v>
      </c>
      <c r="M66" s="206" t="n">
        <f aca="false">I66-D66</f>
        <v>4015</v>
      </c>
      <c r="N66" s="153"/>
      <c r="O66" s="242" t="s">
        <v>50</v>
      </c>
      <c r="P66" s="242"/>
      <c r="Q66" s="242"/>
      <c r="R66" s="242"/>
      <c r="S66" s="242" t="n">
        <f aca="false">COUNTIF($K$2:$K$469,"Classe IV - Pouco tóxico")</f>
        <v>0</v>
      </c>
      <c r="T66" s="243" t="n">
        <f aca="false">(S66/S69)</f>
        <v>0</v>
      </c>
    </row>
    <row r="67" customFormat="false" ht="14.15" hidden="false" customHeight="false" outlineLevel="0" collapsed="false">
      <c r="A67" s="210" t="s">
        <v>1414</v>
      </c>
      <c r="B67" s="211" t="s">
        <v>1415</v>
      </c>
      <c r="C67" s="211" t="n">
        <v>2022</v>
      </c>
      <c r="D67" s="225" t="n">
        <v>44841</v>
      </c>
      <c r="E67" s="213" t="s">
        <v>1416</v>
      </c>
      <c r="F67" s="213" t="s">
        <v>1235</v>
      </c>
      <c r="G67" s="214" t="s">
        <v>1174</v>
      </c>
      <c r="H67" s="214" t="s">
        <v>532</v>
      </c>
      <c r="I67" s="225" t="n">
        <v>46105</v>
      </c>
      <c r="J67" s="213" t="n">
        <v>3</v>
      </c>
      <c r="K67" s="213" t="s">
        <v>53</v>
      </c>
      <c r="L67" s="213" t="s">
        <v>1175</v>
      </c>
      <c r="M67" s="213" t="n">
        <f aca="false">I67-D67</f>
        <v>1264</v>
      </c>
      <c r="N67" s="153"/>
      <c r="O67" s="242" t="s">
        <v>1417</v>
      </c>
      <c r="P67" s="242"/>
      <c r="Q67" s="242"/>
      <c r="R67" s="242"/>
      <c r="S67" s="242" t="n">
        <f aca="false">COUNTIF($K$2:$K$469,"Produto não classificado")</f>
        <v>3</v>
      </c>
      <c r="T67" s="243" t="n">
        <f aca="false">(S67/S69)</f>
        <v>0.0119521912350598</v>
      </c>
    </row>
    <row r="68" customFormat="false" ht="14.15" hidden="false" customHeight="false" outlineLevel="0" collapsed="false">
      <c r="A68" s="203" t="s">
        <v>1418</v>
      </c>
      <c r="B68" s="193" t="s">
        <v>1419</v>
      </c>
      <c r="C68" s="193" t="n">
        <v>2024</v>
      </c>
      <c r="D68" s="204" t="n">
        <v>45545</v>
      </c>
      <c r="E68" s="205" t="s">
        <v>1420</v>
      </c>
      <c r="F68" s="206" t="s">
        <v>1316</v>
      </c>
      <c r="G68" s="206" t="s">
        <v>1174</v>
      </c>
      <c r="H68" s="205" t="s">
        <v>208</v>
      </c>
      <c r="I68" s="207" t="n">
        <v>46105</v>
      </c>
      <c r="J68" s="206" t="n">
        <v>3</v>
      </c>
      <c r="K68" s="206" t="s">
        <v>53</v>
      </c>
      <c r="L68" s="206" t="s">
        <v>1181</v>
      </c>
      <c r="M68" s="206" t="n">
        <f aca="false">I68-D68</f>
        <v>560</v>
      </c>
      <c r="N68" s="153"/>
      <c r="O68" s="244" t="s">
        <v>53</v>
      </c>
      <c r="P68" s="244"/>
      <c r="Q68" s="244"/>
      <c r="R68" s="244"/>
      <c r="S68" s="244" t="n">
        <f aca="false">COUNTIF($K$2:$K$469,"O perfil toxicológico foi considerado equivalente ao produto técnico de referência")</f>
        <v>247</v>
      </c>
      <c r="T68" s="245" t="n">
        <f aca="false">(S68/S69)</f>
        <v>0.98406374501992</v>
      </c>
    </row>
    <row r="69" customFormat="false" ht="15" hidden="false" customHeight="false" outlineLevel="0" collapsed="false">
      <c r="A69" s="210" t="s">
        <v>1421</v>
      </c>
      <c r="B69" s="211" t="s">
        <v>1422</v>
      </c>
      <c r="C69" s="211" t="n">
        <v>2024</v>
      </c>
      <c r="D69" s="225" t="n">
        <v>45308</v>
      </c>
      <c r="E69" s="213" t="s">
        <v>1423</v>
      </c>
      <c r="F69" s="213" t="s">
        <v>1424</v>
      </c>
      <c r="G69" s="214" t="s">
        <v>1174</v>
      </c>
      <c r="H69" s="214" t="s">
        <v>1223</v>
      </c>
      <c r="I69" s="225" t="n">
        <v>46106</v>
      </c>
      <c r="J69" s="213" t="n">
        <v>3</v>
      </c>
      <c r="K69" s="213" t="s">
        <v>53</v>
      </c>
      <c r="L69" s="213" t="s">
        <v>1181</v>
      </c>
      <c r="M69" s="213" t="n">
        <f aca="false">I69-D69</f>
        <v>798</v>
      </c>
      <c r="N69" s="153"/>
      <c r="O69" s="112" t="s">
        <v>54</v>
      </c>
      <c r="P69" s="112"/>
      <c r="Q69" s="112"/>
      <c r="R69" s="112"/>
      <c r="S69" s="112" t="n">
        <f aca="false">SUM(S58:S68)</f>
        <v>251</v>
      </c>
      <c r="T69" s="175" t="n">
        <f aca="false">(S69/S69)</f>
        <v>1</v>
      </c>
    </row>
    <row r="70" customFormat="false" ht="14.15" hidden="false" customHeight="false" outlineLevel="0" collapsed="false">
      <c r="A70" s="203" t="s">
        <v>1425</v>
      </c>
      <c r="B70" s="193" t="s">
        <v>1426</v>
      </c>
      <c r="C70" s="193" t="n">
        <v>2022</v>
      </c>
      <c r="D70" s="204" t="n">
        <v>44915</v>
      </c>
      <c r="E70" s="205" t="s">
        <v>1427</v>
      </c>
      <c r="F70" s="206" t="s">
        <v>1235</v>
      </c>
      <c r="G70" s="206" t="s">
        <v>1174</v>
      </c>
      <c r="H70" s="205" t="s">
        <v>968</v>
      </c>
      <c r="I70" s="207" t="n">
        <v>46106</v>
      </c>
      <c r="J70" s="206" t="n">
        <v>3</v>
      </c>
      <c r="K70" s="206" t="s">
        <v>53</v>
      </c>
      <c r="L70" s="206" t="s">
        <v>1175</v>
      </c>
      <c r="M70" s="208" t="n">
        <f aca="false">I70-D70</f>
        <v>1191</v>
      </c>
      <c r="N70" s="153"/>
      <c r="O70" s="153"/>
      <c r="P70" s="153"/>
      <c r="Q70" s="153"/>
      <c r="R70" s="153"/>
      <c r="S70" s="153"/>
      <c r="T70" s="153"/>
    </row>
    <row r="71" customFormat="false" ht="14.15" hidden="false" customHeight="false" outlineLevel="0" collapsed="false">
      <c r="A71" s="210" t="s">
        <v>1428</v>
      </c>
      <c r="B71" s="211" t="s">
        <v>1429</v>
      </c>
      <c r="C71" s="211" t="n">
        <v>2021</v>
      </c>
      <c r="D71" s="225" t="n">
        <v>44462</v>
      </c>
      <c r="E71" s="213" t="s">
        <v>1430</v>
      </c>
      <c r="F71" s="213" t="s">
        <v>191</v>
      </c>
      <c r="G71" s="214" t="s">
        <v>1174</v>
      </c>
      <c r="H71" s="214" t="s">
        <v>522</v>
      </c>
      <c r="I71" s="225" t="n">
        <v>46106</v>
      </c>
      <c r="J71" s="213" t="n">
        <v>3</v>
      </c>
      <c r="K71" s="213" t="s">
        <v>53</v>
      </c>
      <c r="L71" s="213" t="s">
        <v>1181</v>
      </c>
      <c r="M71" s="213" t="n">
        <f aca="false">I71-D71</f>
        <v>1644</v>
      </c>
      <c r="N71" s="153"/>
      <c r="O71" s="79" t="s">
        <v>102</v>
      </c>
      <c r="P71" s="79"/>
      <c r="Q71" s="79"/>
      <c r="R71" s="79"/>
      <c r="S71" s="79"/>
      <c r="T71" s="79"/>
    </row>
    <row r="72" customFormat="false" ht="14.15" hidden="false" customHeight="false" outlineLevel="0" collapsed="false">
      <c r="A72" s="203" t="s">
        <v>1431</v>
      </c>
      <c r="B72" s="193" t="s">
        <v>1432</v>
      </c>
      <c r="C72" s="193" t="n">
        <v>2020</v>
      </c>
      <c r="D72" s="204" t="n">
        <v>43908</v>
      </c>
      <c r="E72" s="205" t="s">
        <v>1433</v>
      </c>
      <c r="F72" s="206" t="s">
        <v>1324</v>
      </c>
      <c r="G72" s="206" t="s">
        <v>1174</v>
      </c>
      <c r="H72" s="205" t="s">
        <v>1434</v>
      </c>
      <c r="I72" s="207" t="n">
        <v>46106</v>
      </c>
      <c r="J72" s="206" t="n">
        <v>3</v>
      </c>
      <c r="K72" s="206" t="s">
        <v>53</v>
      </c>
      <c r="L72" s="206" t="s">
        <v>1175</v>
      </c>
      <c r="M72" s="208" t="n">
        <f aca="false">I72-D72</f>
        <v>2198</v>
      </c>
      <c r="N72" s="153"/>
      <c r="O72" s="79"/>
      <c r="P72" s="79"/>
      <c r="Q72" s="79"/>
      <c r="R72" s="79"/>
      <c r="S72" s="79"/>
      <c r="T72" s="79"/>
    </row>
    <row r="73" customFormat="false" ht="15" hidden="false" customHeight="false" outlineLevel="0" collapsed="false">
      <c r="A73" s="210" t="s">
        <v>1435</v>
      </c>
      <c r="B73" s="211" t="s">
        <v>1436</v>
      </c>
      <c r="C73" s="211" t="n">
        <v>2020</v>
      </c>
      <c r="D73" s="212" t="n">
        <v>44162</v>
      </c>
      <c r="E73" s="213" t="s">
        <v>1437</v>
      </c>
      <c r="F73" s="213" t="s">
        <v>191</v>
      </c>
      <c r="G73" s="214" t="s">
        <v>1174</v>
      </c>
      <c r="H73" s="214" t="s">
        <v>208</v>
      </c>
      <c r="I73" s="225" t="n">
        <v>46106</v>
      </c>
      <c r="J73" s="213" t="n">
        <v>3</v>
      </c>
      <c r="K73" s="213" t="s">
        <v>53</v>
      </c>
      <c r="L73" s="213" t="s">
        <v>1181</v>
      </c>
      <c r="M73" s="213" t="n">
        <f aca="false">I73-D73</f>
        <v>1944</v>
      </c>
      <c r="N73" s="153"/>
      <c r="O73" s="112" t="s">
        <v>38</v>
      </c>
      <c r="P73" s="112"/>
      <c r="Q73" s="112"/>
      <c r="R73" s="112"/>
      <c r="S73" s="112" t="s">
        <v>343</v>
      </c>
      <c r="T73" s="112" t="s">
        <v>41</v>
      </c>
    </row>
    <row r="74" customFormat="false" ht="14.15" hidden="false" customHeight="false" outlineLevel="0" collapsed="false">
      <c r="A74" s="203" t="s">
        <v>1438</v>
      </c>
      <c r="B74" s="193" t="s">
        <v>1439</v>
      </c>
      <c r="C74" s="193" t="n">
        <v>2023</v>
      </c>
      <c r="D74" s="204" t="n">
        <v>44995</v>
      </c>
      <c r="E74" s="205" t="s">
        <v>1440</v>
      </c>
      <c r="F74" s="206" t="s">
        <v>230</v>
      </c>
      <c r="G74" s="206" t="s">
        <v>1174</v>
      </c>
      <c r="H74" s="205" t="s">
        <v>1223</v>
      </c>
      <c r="I74" s="207" t="n">
        <v>46106</v>
      </c>
      <c r="J74" s="206" t="n">
        <v>3</v>
      </c>
      <c r="K74" s="206" t="s">
        <v>53</v>
      </c>
      <c r="L74" s="206" t="s">
        <v>1441</v>
      </c>
      <c r="M74" s="208" t="n">
        <f aca="false">I74-D74</f>
        <v>1111</v>
      </c>
      <c r="N74" s="153"/>
      <c r="O74" s="64" t="s">
        <v>57</v>
      </c>
      <c r="P74" s="64"/>
      <c r="Q74" s="64"/>
      <c r="R74" s="64"/>
      <c r="S74" s="176" t="n">
        <f aca="false">COUNTIF($L$1:$L$252,"Classe I - Produto Altamente Perigoso ao Meio Ambiente")</f>
        <v>5</v>
      </c>
      <c r="T74" s="177" t="n">
        <f aca="false">(S74/S78)</f>
        <v>0.0199203187250996</v>
      </c>
    </row>
    <row r="75" customFormat="false" ht="14.15" hidden="false" customHeight="false" outlineLevel="0" collapsed="false">
      <c r="A75" s="210" t="s">
        <v>1442</v>
      </c>
      <c r="B75" s="211" t="s">
        <v>1443</v>
      </c>
      <c r="C75" s="211" t="n">
        <v>2018</v>
      </c>
      <c r="D75" s="212" t="n">
        <v>43151</v>
      </c>
      <c r="E75" s="213" t="s">
        <v>1444</v>
      </c>
      <c r="F75" s="213" t="s">
        <v>1445</v>
      </c>
      <c r="G75" s="214" t="s">
        <v>1174</v>
      </c>
      <c r="H75" s="214" t="s">
        <v>350</v>
      </c>
      <c r="I75" s="225" t="n">
        <v>46106</v>
      </c>
      <c r="J75" s="213" t="n">
        <v>3</v>
      </c>
      <c r="K75" s="213" t="s">
        <v>53</v>
      </c>
      <c r="L75" s="213" t="s">
        <v>1181</v>
      </c>
      <c r="M75" s="213" t="n">
        <f aca="false">I75-D75</f>
        <v>2955</v>
      </c>
      <c r="N75" s="153"/>
      <c r="O75" s="69" t="s">
        <v>58</v>
      </c>
      <c r="P75" s="69"/>
      <c r="Q75" s="69"/>
      <c r="R75" s="69"/>
      <c r="S75" s="178" t="n">
        <f aca="false">COUNTIF($L$2:$L$252,"Classe II - Produto Muito Perigoso ao Meio Ambiente")</f>
        <v>151</v>
      </c>
      <c r="T75" s="179" t="n">
        <f aca="false">(S75/S78)</f>
        <v>0.601593625498008</v>
      </c>
    </row>
    <row r="76" customFormat="false" ht="14.15" hidden="false" customHeight="false" outlineLevel="0" collapsed="false">
      <c r="A76" s="203" t="s">
        <v>1446</v>
      </c>
      <c r="B76" s="193" t="s">
        <v>1447</v>
      </c>
      <c r="C76" s="193" t="n">
        <v>2024</v>
      </c>
      <c r="D76" s="204" t="n">
        <v>45338</v>
      </c>
      <c r="E76" s="205" t="s">
        <v>1448</v>
      </c>
      <c r="F76" s="206" t="s">
        <v>191</v>
      </c>
      <c r="G76" s="206" t="s">
        <v>1174</v>
      </c>
      <c r="H76" s="205" t="s">
        <v>139</v>
      </c>
      <c r="I76" s="207" t="n">
        <v>46106</v>
      </c>
      <c r="J76" s="206" t="n">
        <v>3</v>
      </c>
      <c r="K76" s="206" t="s">
        <v>53</v>
      </c>
      <c r="L76" s="206" t="s">
        <v>1181</v>
      </c>
      <c r="M76" s="208" t="n">
        <f aca="false">I76-D76</f>
        <v>768</v>
      </c>
      <c r="N76" s="153"/>
      <c r="O76" s="71" t="s">
        <v>60</v>
      </c>
      <c r="P76" s="71"/>
      <c r="Q76" s="71"/>
      <c r="R76" s="71"/>
      <c r="S76" s="143" t="n">
        <f aca="false">COUNTIF($L$2:$L$252,"Classe III - Produto perigoso ao meio ambiente")</f>
        <v>93</v>
      </c>
      <c r="T76" s="180" t="n">
        <f aca="false">(S76/S78)</f>
        <v>0.370517928286853</v>
      </c>
    </row>
    <row r="77" customFormat="false" ht="14.15" hidden="false" customHeight="false" outlineLevel="0" collapsed="false">
      <c r="A77" s="210" t="s">
        <v>1449</v>
      </c>
      <c r="B77" s="211" t="s">
        <v>1450</v>
      </c>
      <c r="C77" s="211" t="n">
        <v>2019</v>
      </c>
      <c r="D77" s="212" t="n">
        <v>43630</v>
      </c>
      <c r="E77" s="213" t="s">
        <v>1451</v>
      </c>
      <c r="F77" s="214" t="s">
        <v>1452</v>
      </c>
      <c r="G77" s="214" t="s">
        <v>1174</v>
      </c>
      <c r="H77" s="214" t="s">
        <v>471</v>
      </c>
      <c r="I77" s="225" t="n">
        <v>46106</v>
      </c>
      <c r="J77" s="213" t="n">
        <v>3</v>
      </c>
      <c r="K77" s="213" t="s">
        <v>53</v>
      </c>
      <c r="L77" s="213" t="s">
        <v>1181</v>
      </c>
      <c r="M77" s="213" t="n">
        <f aca="false">I77-D77</f>
        <v>2476</v>
      </c>
      <c r="N77" s="153"/>
      <c r="O77" s="73" t="s">
        <v>61</v>
      </c>
      <c r="P77" s="73"/>
      <c r="Q77" s="73"/>
      <c r="R77" s="73"/>
      <c r="S77" s="181" t="n">
        <f aca="false">COUNTIF($L$2:$L$252,"Classe IV - Produto pouco perigoso ao meio ambiente")</f>
        <v>2</v>
      </c>
      <c r="T77" s="182" t="n">
        <f aca="false">(S77/S78)</f>
        <v>0.00796812749003984</v>
      </c>
    </row>
    <row r="78" customFormat="false" ht="15" hidden="false" customHeight="false" outlineLevel="0" collapsed="false">
      <c r="A78" s="203" t="s">
        <v>1453</v>
      </c>
      <c r="B78" s="193" t="s">
        <v>1454</v>
      </c>
      <c r="C78" s="193" t="n">
        <v>2022</v>
      </c>
      <c r="D78" s="204" t="n">
        <v>44685</v>
      </c>
      <c r="E78" s="205" t="s">
        <v>1455</v>
      </c>
      <c r="F78" s="206" t="s">
        <v>1312</v>
      </c>
      <c r="G78" s="206" t="s">
        <v>1174</v>
      </c>
      <c r="H78" s="205" t="s">
        <v>522</v>
      </c>
      <c r="I78" s="207" t="n">
        <v>46106</v>
      </c>
      <c r="J78" s="206" t="n">
        <v>3</v>
      </c>
      <c r="K78" s="206" t="s">
        <v>53</v>
      </c>
      <c r="L78" s="206" t="s">
        <v>1175</v>
      </c>
      <c r="M78" s="208" t="n">
        <f aca="false">I78-D78</f>
        <v>1421</v>
      </c>
      <c r="N78" s="153"/>
      <c r="O78" s="112" t="s">
        <v>54</v>
      </c>
      <c r="P78" s="112"/>
      <c r="Q78" s="112"/>
      <c r="R78" s="112"/>
      <c r="S78" s="112" t="n">
        <f aca="false">SUM(S74:S77)</f>
        <v>251</v>
      </c>
      <c r="T78" s="175" t="n">
        <f aca="false">(S78/S78)</f>
        <v>1</v>
      </c>
    </row>
    <row r="79" customFormat="false" ht="14.15" hidden="false" customHeight="false" outlineLevel="0" collapsed="false">
      <c r="A79" s="210" t="s">
        <v>1456</v>
      </c>
      <c r="B79" s="211" t="s">
        <v>1457</v>
      </c>
      <c r="C79" s="211" t="n">
        <v>2024</v>
      </c>
      <c r="D79" s="212" t="n">
        <v>45617</v>
      </c>
      <c r="E79" s="213" t="s">
        <v>1458</v>
      </c>
      <c r="F79" s="213" t="s">
        <v>1347</v>
      </c>
      <c r="G79" s="214" t="s">
        <v>1174</v>
      </c>
      <c r="H79" s="214" t="s">
        <v>1459</v>
      </c>
      <c r="I79" s="215" t="n">
        <v>46106</v>
      </c>
      <c r="J79" s="213" t="n">
        <v>3</v>
      </c>
      <c r="K79" s="213" t="s">
        <v>53</v>
      </c>
      <c r="L79" s="213" t="s">
        <v>1181</v>
      </c>
      <c r="M79" s="213" t="n">
        <f aca="false">I79-D79</f>
        <v>489</v>
      </c>
      <c r="N79" s="153"/>
      <c r="O79" s="153"/>
      <c r="P79" s="153"/>
      <c r="Q79" s="153"/>
      <c r="R79" s="153"/>
      <c r="S79" s="153"/>
      <c r="T79" s="153"/>
    </row>
    <row r="80" customFormat="false" ht="14.15" hidden="false" customHeight="false" outlineLevel="0" collapsed="false">
      <c r="A80" s="203" t="s">
        <v>1460</v>
      </c>
      <c r="B80" s="193" t="s">
        <v>1461</v>
      </c>
      <c r="C80" s="193" t="n">
        <v>2023</v>
      </c>
      <c r="D80" s="204" t="n">
        <v>44967</v>
      </c>
      <c r="E80" s="205" t="s">
        <v>1462</v>
      </c>
      <c r="F80" s="206" t="s">
        <v>1463</v>
      </c>
      <c r="G80" s="206" t="s">
        <v>1174</v>
      </c>
      <c r="H80" s="205" t="s">
        <v>394</v>
      </c>
      <c r="I80" s="218" t="n">
        <v>46106</v>
      </c>
      <c r="J80" s="206" t="n">
        <v>3</v>
      </c>
      <c r="K80" s="206" t="s">
        <v>53</v>
      </c>
      <c r="L80" s="206" t="s">
        <v>1181</v>
      </c>
      <c r="M80" s="208" t="n">
        <f aca="false">I80-D80</f>
        <v>1139</v>
      </c>
      <c r="N80" s="153"/>
      <c r="O80" s="246" t="s">
        <v>425</v>
      </c>
      <c r="P80" s="246"/>
      <c r="Q80" s="246"/>
      <c r="R80" s="246"/>
      <c r="S80" s="153"/>
      <c r="T80" s="153"/>
    </row>
    <row r="81" customFormat="false" ht="14.15" hidden="false" customHeight="false" outlineLevel="0" collapsed="false">
      <c r="A81" s="210" t="s">
        <v>1464</v>
      </c>
      <c r="B81" s="211" t="s">
        <v>1465</v>
      </c>
      <c r="C81" s="211" t="n">
        <v>2009</v>
      </c>
      <c r="D81" s="212" t="n">
        <v>40116</v>
      </c>
      <c r="E81" s="213" t="s">
        <v>1466</v>
      </c>
      <c r="F81" s="213" t="s">
        <v>1467</v>
      </c>
      <c r="G81" s="214" t="s">
        <v>1188</v>
      </c>
      <c r="H81" s="214" t="s">
        <v>522</v>
      </c>
      <c r="I81" s="215" t="n">
        <v>46128</v>
      </c>
      <c r="J81" s="213" t="n">
        <v>4</v>
      </c>
      <c r="K81" s="213" t="s">
        <v>1187</v>
      </c>
      <c r="L81" s="213" t="s">
        <v>1339</v>
      </c>
      <c r="M81" s="213" t="n">
        <f aca="false">I81-D81</f>
        <v>6012</v>
      </c>
      <c r="N81" s="153"/>
      <c r="O81" s="246"/>
      <c r="P81" s="246"/>
      <c r="Q81" s="246"/>
      <c r="R81" s="246"/>
      <c r="S81" s="153"/>
      <c r="T81" s="153"/>
    </row>
    <row r="82" customFormat="false" ht="15" hidden="false" customHeight="false" outlineLevel="0" collapsed="false">
      <c r="A82" s="203" t="s">
        <v>1468</v>
      </c>
      <c r="B82" s="193" t="s">
        <v>1469</v>
      </c>
      <c r="C82" s="193" t="n">
        <v>2023</v>
      </c>
      <c r="D82" s="204" t="n">
        <v>45055</v>
      </c>
      <c r="E82" s="205" t="s">
        <v>1470</v>
      </c>
      <c r="F82" s="206" t="s">
        <v>467</v>
      </c>
      <c r="G82" s="206" t="s">
        <v>1174</v>
      </c>
      <c r="H82" s="205" t="s">
        <v>1223</v>
      </c>
      <c r="I82" s="218" t="n">
        <v>46128</v>
      </c>
      <c r="J82" s="206" t="n">
        <v>4</v>
      </c>
      <c r="K82" s="206" t="s">
        <v>53</v>
      </c>
      <c r="L82" s="206" t="s">
        <v>1175</v>
      </c>
      <c r="M82" s="208" t="n">
        <f aca="false">I82-D82</f>
        <v>1073</v>
      </c>
      <c r="N82" s="153"/>
      <c r="O82" s="247" t="s">
        <v>69</v>
      </c>
      <c r="P82" s="248" t="s">
        <v>433</v>
      </c>
      <c r="Q82" s="248"/>
      <c r="R82" s="248"/>
      <c r="S82" s="153"/>
      <c r="T82" s="153"/>
    </row>
    <row r="83" customFormat="false" ht="14.15" hidden="false" customHeight="false" outlineLevel="0" collapsed="false">
      <c r="A83" s="210" t="s">
        <v>1471</v>
      </c>
      <c r="B83" s="211" t="s">
        <v>1472</v>
      </c>
      <c r="C83" s="211" t="n">
        <v>2024</v>
      </c>
      <c r="D83" s="212" t="n">
        <v>45455</v>
      </c>
      <c r="E83" s="213" t="s">
        <v>1473</v>
      </c>
      <c r="F83" s="213" t="s">
        <v>1316</v>
      </c>
      <c r="G83" s="214" t="s">
        <v>1174</v>
      </c>
      <c r="H83" s="214" t="s">
        <v>1223</v>
      </c>
      <c r="I83" s="215" t="n">
        <v>46128</v>
      </c>
      <c r="J83" s="213" t="n">
        <v>4</v>
      </c>
      <c r="K83" s="213" t="s">
        <v>53</v>
      </c>
      <c r="L83" s="213" t="s">
        <v>1181</v>
      </c>
      <c r="M83" s="213" t="n">
        <f aca="false">I83-D83</f>
        <v>673</v>
      </c>
      <c r="N83" s="153"/>
      <c r="O83" s="249" t="s">
        <v>1474</v>
      </c>
      <c r="P83" s="250" t="e">
        <f aca="false">IF(AVERAGEIF(G2:G352,"PT",M2:M352), AVERAGEIF(G2:G352,"PT",M2:M352),0)</f>
        <v>#DIV/0!</v>
      </c>
      <c r="Q83" s="250"/>
      <c r="R83" s="250"/>
    </row>
    <row r="84" customFormat="false" ht="14.15" hidden="false" customHeight="false" outlineLevel="0" collapsed="false">
      <c r="A84" s="203" t="s">
        <v>1475</v>
      </c>
      <c r="B84" s="193" t="s">
        <v>1476</v>
      </c>
      <c r="C84" s="193" t="n">
        <v>2023</v>
      </c>
      <c r="D84" s="204" t="n">
        <v>45260</v>
      </c>
      <c r="E84" s="205" t="s">
        <v>1477</v>
      </c>
      <c r="F84" s="206" t="s">
        <v>1068</v>
      </c>
      <c r="G84" s="206" t="s">
        <v>1174</v>
      </c>
      <c r="H84" s="205" t="s">
        <v>1258</v>
      </c>
      <c r="I84" s="218" t="n">
        <v>46128</v>
      </c>
      <c r="J84" s="206" t="n">
        <v>4</v>
      </c>
      <c r="K84" s="206" t="s">
        <v>53</v>
      </c>
      <c r="L84" s="206" t="s">
        <v>1175</v>
      </c>
      <c r="M84" s="208" t="n">
        <f aca="false">I84-D84</f>
        <v>868</v>
      </c>
      <c r="N84" s="153"/>
      <c r="O84" s="251" t="s">
        <v>1188</v>
      </c>
      <c r="P84" s="250" t="n">
        <f aca="false">IF(AVERAGEIF(G2:G352,"PTN",M2:M352), AVERAGEIF(G2:G352,"PTN",M2:M352),0)</f>
        <v>3272.66666666667</v>
      </c>
      <c r="Q84" s="250"/>
      <c r="R84" s="250"/>
    </row>
    <row r="85" customFormat="false" ht="14.15" hidden="false" customHeight="false" outlineLevel="0" collapsed="false">
      <c r="A85" s="210" t="s">
        <v>1478</v>
      </c>
      <c r="B85" s="211" t="s">
        <v>1479</v>
      </c>
      <c r="C85" s="211" t="n">
        <v>2023</v>
      </c>
      <c r="D85" s="212" t="n">
        <v>45015</v>
      </c>
      <c r="E85" s="213" t="s">
        <v>1480</v>
      </c>
      <c r="F85" s="213" t="s">
        <v>1347</v>
      </c>
      <c r="G85" s="214" t="s">
        <v>1174</v>
      </c>
      <c r="H85" s="214" t="s">
        <v>1258</v>
      </c>
      <c r="I85" s="215" t="n">
        <v>46128</v>
      </c>
      <c r="J85" s="213" t="n">
        <v>4</v>
      </c>
      <c r="K85" s="213" t="s">
        <v>53</v>
      </c>
      <c r="L85" s="213" t="s">
        <v>1181</v>
      </c>
      <c r="M85" s="213" t="n">
        <f aca="false">I85-D85</f>
        <v>1113</v>
      </c>
      <c r="N85" s="153"/>
      <c r="O85" s="249" t="s">
        <v>1174</v>
      </c>
      <c r="P85" s="250" t="n">
        <f aca="false">IF(AVERAGEIF(G2:G353,"PTE",M2:M351), AVERAGEIF(G2:G353,"PTE",M2:M353),0)</f>
        <v>1452.74898785425</v>
      </c>
      <c r="Q85" s="250"/>
      <c r="R85" s="250"/>
    </row>
    <row r="86" customFormat="false" ht="14.15" hidden="false" customHeight="false" outlineLevel="0" collapsed="false">
      <c r="A86" s="203" t="s">
        <v>1481</v>
      </c>
      <c r="B86" s="193" t="s">
        <v>1482</v>
      </c>
      <c r="C86" s="193" t="n">
        <v>2019</v>
      </c>
      <c r="D86" s="204" t="n">
        <v>43767</v>
      </c>
      <c r="E86" s="205" t="s">
        <v>1483</v>
      </c>
      <c r="F86" s="206" t="s">
        <v>1200</v>
      </c>
      <c r="G86" s="206" t="s">
        <v>1174</v>
      </c>
      <c r="H86" s="205" t="s">
        <v>192</v>
      </c>
      <c r="I86" s="218" t="n">
        <v>46128</v>
      </c>
      <c r="J86" s="206" t="n">
        <v>4</v>
      </c>
      <c r="K86" s="206" t="s">
        <v>53</v>
      </c>
      <c r="L86" s="206" t="s">
        <v>1181</v>
      </c>
      <c r="M86" s="208" t="n">
        <f aca="false">I86-D86</f>
        <v>2361</v>
      </c>
      <c r="N86" s="153"/>
      <c r="O86" s="251" t="s">
        <v>8</v>
      </c>
      <c r="P86" s="250" t="n">
        <f aca="false">IF(AVERAGEIF(G2:G354,"PM",M2:M354), AVERAGEIF(G2:G354,"PM",M2:M354),0)</f>
        <v>2598</v>
      </c>
      <c r="Q86" s="250"/>
      <c r="R86" s="250"/>
    </row>
    <row r="87" customFormat="false" ht="15" hidden="false" customHeight="false" outlineLevel="0" collapsed="false">
      <c r="A87" s="210" t="s">
        <v>1484</v>
      </c>
      <c r="B87" s="211" t="s">
        <v>1485</v>
      </c>
      <c r="C87" s="211" t="n">
        <v>2022</v>
      </c>
      <c r="D87" s="212" t="n">
        <v>44875</v>
      </c>
      <c r="E87" s="213" t="s">
        <v>1486</v>
      </c>
      <c r="F87" s="213" t="s">
        <v>157</v>
      </c>
      <c r="G87" s="214" t="s">
        <v>1174</v>
      </c>
      <c r="H87" s="214" t="s">
        <v>1258</v>
      </c>
      <c r="I87" s="221" t="n">
        <v>46128</v>
      </c>
      <c r="J87" s="213" t="n">
        <v>4</v>
      </c>
      <c r="K87" s="213" t="s">
        <v>53</v>
      </c>
      <c r="L87" s="213" t="s">
        <v>1181</v>
      </c>
      <c r="M87" s="213" t="n">
        <f aca="false">I87-D87</f>
        <v>1253</v>
      </c>
      <c r="N87" s="153"/>
      <c r="O87" s="252" t="s">
        <v>86</v>
      </c>
      <c r="P87" s="253" t="n">
        <f aca="false">AVERAGEIF(M2:M351,"&gt;0",M2:M351)</f>
        <v>1479.06374501992</v>
      </c>
      <c r="Q87" s="253"/>
      <c r="R87" s="253"/>
    </row>
    <row r="88" customFormat="false" ht="14.15" hidden="false" customHeight="false" outlineLevel="0" collapsed="false">
      <c r="A88" s="203" t="s">
        <v>1487</v>
      </c>
      <c r="B88" s="193" t="s">
        <v>1488</v>
      </c>
      <c r="C88" s="193" t="n">
        <v>2023</v>
      </c>
      <c r="D88" s="204" t="n">
        <v>45188</v>
      </c>
      <c r="E88" s="205" t="s">
        <v>1489</v>
      </c>
      <c r="F88" s="206" t="s">
        <v>1490</v>
      </c>
      <c r="G88" s="206" t="s">
        <v>1174</v>
      </c>
      <c r="H88" s="205" t="s">
        <v>208</v>
      </c>
      <c r="I88" s="218" t="n">
        <v>46128</v>
      </c>
      <c r="J88" s="206" t="n">
        <v>4</v>
      </c>
      <c r="K88" s="206" t="s">
        <v>53</v>
      </c>
      <c r="L88" s="206" t="s">
        <v>1181</v>
      </c>
      <c r="M88" s="206" t="n">
        <f aca="false">I88-D88</f>
        <v>940</v>
      </c>
      <c r="N88" s="153"/>
      <c r="O88" s="153"/>
      <c r="P88" s="153"/>
      <c r="Q88" s="153"/>
      <c r="R88" s="153"/>
    </row>
    <row r="89" customFormat="false" ht="14.15" hidden="false" customHeight="false" outlineLevel="0" collapsed="false">
      <c r="A89" s="210" t="s">
        <v>1491</v>
      </c>
      <c r="B89" s="211" t="s">
        <v>1492</v>
      </c>
      <c r="C89" s="211" t="n">
        <v>2024</v>
      </c>
      <c r="D89" s="212" t="n">
        <v>45408</v>
      </c>
      <c r="E89" s="213" t="s">
        <v>1493</v>
      </c>
      <c r="F89" s="213" t="s">
        <v>823</v>
      </c>
      <c r="G89" s="214" t="s">
        <v>1174</v>
      </c>
      <c r="H89" s="214" t="s">
        <v>1223</v>
      </c>
      <c r="I89" s="221" t="n">
        <v>46128</v>
      </c>
      <c r="J89" s="213" t="n">
        <v>4</v>
      </c>
      <c r="K89" s="213" t="s">
        <v>53</v>
      </c>
      <c r="L89" s="213" t="s">
        <v>1181</v>
      </c>
      <c r="M89" s="213" t="n">
        <f aca="false">I89-D89</f>
        <v>720</v>
      </c>
      <c r="N89" s="153"/>
      <c r="O89" s="153"/>
      <c r="P89" s="153"/>
      <c r="Q89" s="153"/>
      <c r="R89" s="153"/>
    </row>
    <row r="90" customFormat="false" ht="14.15" hidden="false" customHeight="false" outlineLevel="0" collapsed="false">
      <c r="A90" s="203" t="s">
        <v>1494</v>
      </c>
      <c r="B90" s="193" t="s">
        <v>1495</v>
      </c>
      <c r="C90" s="193" t="n">
        <v>2023</v>
      </c>
      <c r="D90" s="204" t="n">
        <v>45288</v>
      </c>
      <c r="E90" s="205" t="s">
        <v>1496</v>
      </c>
      <c r="F90" s="206" t="s">
        <v>191</v>
      </c>
      <c r="G90" s="206" t="s">
        <v>1174</v>
      </c>
      <c r="H90" s="205" t="s">
        <v>1223</v>
      </c>
      <c r="I90" s="218" t="n">
        <v>46128</v>
      </c>
      <c r="J90" s="206" t="n">
        <v>4</v>
      </c>
      <c r="K90" s="206" t="s">
        <v>53</v>
      </c>
      <c r="L90" s="206" t="s">
        <v>1181</v>
      </c>
      <c r="M90" s="206" t="n">
        <f aca="false">I90-D90</f>
        <v>840</v>
      </c>
      <c r="N90" s="153"/>
      <c r="O90" s="153"/>
      <c r="P90" s="153"/>
      <c r="Q90" s="153"/>
      <c r="R90" s="153"/>
    </row>
    <row r="91" customFormat="false" ht="14.15" hidden="false" customHeight="false" outlineLevel="0" collapsed="false">
      <c r="A91" s="210" t="s">
        <v>1497</v>
      </c>
      <c r="B91" s="211" t="s">
        <v>1498</v>
      </c>
      <c r="C91" s="211" t="n">
        <v>2024</v>
      </c>
      <c r="D91" s="212" t="n">
        <v>45589</v>
      </c>
      <c r="E91" s="213" t="s">
        <v>1499</v>
      </c>
      <c r="F91" s="213" t="s">
        <v>1500</v>
      </c>
      <c r="G91" s="214" t="s">
        <v>1174</v>
      </c>
      <c r="H91" s="214" t="s">
        <v>1501</v>
      </c>
      <c r="I91" s="221" t="n">
        <v>46128</v>
      </c>
      <c r="J91" s="213" t="n">
        <v>4</v>
      </c>
      <c r="K91" s="213" t="s">
        <v>53</v>
      </c>
      <c r="L91" s="213" t="s">
        <v>1175</v>
      </c>
      <c r="M91" s="213" t="n">
        <f aca="false">I91-D91</f>
        <v>539</v>
      </c>
      <c r="N91" s="153"/>
      <c r="O91" s="153"/>
      <c r="P91" s="153"/>
      <c r="Q91" s="153"/>
      <c r="R91" s="153"/>
    </row>
    <row r="92" customFormat="false" ht="14.15" hidden="false" customHeight="false" outlineLevel="0" collapsed="false">
      <c r="A92" s="203" t="s">
        <v>1502</v>
      </c>
      <c r="B92" s="193" t="s">
        <v>1503</v>
      </c>
      <c r="C92" s="193" t="n">
        <v>2019</v>
      </c>
      <c r="D92" s="204" t="n">
        <v>43567</v>
      </c>
      <c r="E92" s="205" t="s">
        <v>1504</v>
      </c>
      <c r="F92" s="206" t="s">
        <v>191</v>
      </c>
      <c r="G92" s="206" t="s">
        <v>1174</v>
      </c>
      <c r="H92" s="205" t="s">
        <v>267</v>
      </c>
      <c r="I92" s="218" t="n">
        <v>46128</v>
      </c>
      <c r="J92" s="206" t="n">
        <v>4</v>
      </c>
      <c r="K92" s="206" t="s">
        <v>53</v>
      </c>
      <c r="L92" s="206" t="s">
        <v>1181</v>
      </c>
      <c r="M92" s="206" t="n">
        <f aca="false">I92-D92</f>
        <v>2561</v>
      </c>
      <c r="N92" s="153"/>
      <c r="O92" s="153"/>
      <c r="P92" s="153"/>
      <c r="Q92" s="153"/>
      <c r="R92" s="153"/>
    </row>
    <row r="93" customFormat="false" ht="14.15" hidden="false" customHeight="false" outlineLevel="0" collapsed="false">
      <c r="A93" s="210" t="s">
        <v>1505</v>
      </c>
      <c r="B93" s="211" t="s">
        <v>1506</v>
      </c>
      <c r="C93" s="211" t="n">
        <v>2020</v>
      </c>
      <c r="D93" s="212" t="n">
        <v>44117</v>
      </c>
      <c r="E93" s="213" t="s">
        <v>1507</v>
      </c>
      <c r="F93" s="213" t="s">
        <v>191</v>
      </c>
      <c r="G93" s="214" t="s">
        <v>1174</v>
      </c>
      <c r="H93" s="214" t="s">
        <v>267</v>
      </c>
      <c r="I93" s="221" t="n">
        <v>46128</v>
      </c>
      <c r="J93" s="213" t="n">
        <v>4</v>
      </c>
      <c r="K93" s="213" t="s">
        <v>53</v>
      </c>
      <c r="L93" s="213" t="s">
        <v>1181</v>
      </c>
      <c r="M93" s="213" t="n">
        <f aca="false">I93-D93</f>
        <v>2011</v>
      </c>
      <c r="N93" s="153"/>
      <c r="O93" s="153"/>
      <c r="P93" s="153"/>
      <c r="Q93" s="153"/>
      <c r="R93" s="153"/>
    </row>
    <row r="94" customFormat="false" ht="14.15" hidden="false" customHeight="false" outlineLevel="0" collapsed="false">
      <c r="A94" s="203" t="s">
        <v>1508</v>
      </c>
      <c r="B94" s="193" t="s">
        <v>1509</v>
      </c>
      <c r="C94" s="193" t="n">
        <v>2021</v>
      </c>
      <c r="D94" s="204" t="n">
        <v>44477</v>
      </c>
      <c r="E94" s="205" t="s">
        <v>1510</v>
      </c>
      <c r="F94" s="206" t="s">
        <v>1511</v>
      </c>
      <c r="G94" s="206" t="s">
        <v>1174</v>
      </c>
      <c r="H94" s="205" t="s">
        <v>267</v>
      </c>
      <c r="I94" s="218" t="n">
        <v>46128</v>
      </c>
      <c r="J94" s="206" t="n">
        <v>4</v>
      </c>
      <c r="K94" s="206" t="s">
        <v>53</v>
      </c>
      <c r="L94" s="206" t="s">
        <v>1181</v>
      </c>
      <c r="M94" s="206" t="n">
        <f aca="false">I94-D94</f>
        <v>1651</v>
      </c>
      <c r="N94" s="153"/>
      <c r="O94" s="153"/>
      <c r="P94" s="153"/>
      <c r="Q94" s="153"/>
      <c r="R94" s="153"/>
    </row>
    <row r="95" customFormat="false" ht="14.15" hidden="false" customHeight="false" outlineLevel="0" collapsed="false">
      <c r="A95" s="210" t="s">
        <v>1512</v>
      </c>
      <c r="B95" s="211" t="s">
        <v>1513</v>
      </c>
      <c r="C95" s="211" t="n">
        <v>2020</v>
      </c>
      <c r="D95" s="212" t="n">
        <v>44182</v>
      </c>
      <c r="E95" s="213" t="s">
        <v>1514</v>
      </c>
      <c r="F95" s="213" t="s">
        <v>1500</v>
      </c>
      <c r="G95" s="214" t="s">
        <v>1174</v>
      </c>
      <c r="H95" s="214" t="s">
        <v>267</v>
      </c>
      <c r="I95" s="221" t="n">
        <v>46128</v>
      </c>
      <c r="J95" s="213" t="n">
        <v>4</v>
      </c>
      <c r="K95" s="213" t="s">
        <v>53</v>
      </c>
      <c r="L95" s="213" t="s">
        <v>1175</v>
      </c>
      <c r="M95" s="213" t="n">
        <f aca="false">I95-D95</f>
        <v>1946</v>
      </c>
      <c r="N95" s="153"/>
      <c r="O95" s="153"/>
      <c r="P95" s="153"/>
      <c r="Q95" s="153"/>
      <c r="R95" s="153"/>
    </row>
    <row r="96" customFormat="false" ht="14.15" hidden="false" customHeight="false" outlineLevel="0" collapsed="false">
      <c r="A96" s="203" t="s">
        <v>1515</v>
      </c>
      <c r="B96" s="193" t="s">
        <v>1516</v>
      </c>
      <c r="C96" s="193" t="n">
        <v>2018</v>
      </c>
      <c r="D96" s="204" t="n">
        <v>43357</v>
      </c>
      <c r="E96" s="205" t="s">
        <v>1517</v>
      </c>
      <c r="F96" s="206" t="s">
        <v>157</v>
      </c>
      <c r="G96" s="206" t="s">
        <v>1174</v>
      </c>
      <c r="H96" s="205" t="s">
        <v>267</v>
      </c>
      <c r="I96" s="218" t="n">
        <v>46128</v>
      </c>
      <c r="J96" s="206" t="n">
        <v>4</v>
      </c>
      <c r="K96" s="206" t="s">
        <v>53</v>
      </c>
      <c r="L96" s="206" t="s">
        <v>1181</v>
      </c>
      <c r="M96" s="206" t="n">
        <f aca="false">I96-D96</f>
        <v>2771</v>
      </c>
      <c r="N96" s="153"/>
      <c r="O96" s="153"/>
      <c r="P96" s="153"/>
      <c r="Q96" s="153"/>
      <c r="R96" s="153"/>
    </row>
    <row r="97" customFormat="false" ht="14.15" hidden="false" customHeight="false" outlineLevel="0" collapsed="false">
      <c r="A97" s="210" t="s">
        <v>1518</v>
      </c>
      <c r="B97" s="211" t="s">
        <v>1519</v>
      </c>
      <c r="C97" s="211" t="n">
        <v>2022</v>
      </c>
      <c r="D97" s="212" t="n">
        <v>44580</v>
      </c>
      <c r="E97" s="213" t="s">
        <v>1520</v>
      </c>
      <c r="F97" s="213" t="s">
        <v>777</v>
      </c>
      <c r="G97" s="214" t="s">
        <v>1174</v>
      </c>
      <c r="H97" s="213" t="s">
        <v>223</v>
      </c>
      <c r="I97" s="221" t="n">
        <v>46128</v>
      </c>
      <c r="J97" s="213" t="n">
        <v>4</v>
      </c>
      <c r="K97" s="213" t="s">
        <v>53</v>
      </c>
      <c r="L97" s="213" t="s">
        <v>1175</v>
      </c>
      <c r="M97" s="213" t="n">
        <f aca="false">I97-D97</f>
        <v>1548</v>
      </c>
      <c r="N97" s="153"/>
      <c r="O97" s="153"/>
      <c r="P97" s="153"/>
      <c r="Q97" s="153"/>
      <c r="R97" s="153"/>
    </row>
    <row r="98" customFormat="false" ht="14.15" hidden="false" customHeight="false" outlineLevel="0" collapsed="false">
      <c r="A98" s="203" t="s">
        <v>1521</v>
      </c>
      <c r="B98" s="193" t="s">
        <v>1522</v>
      </c>
      <c r="C98" s="193" t="n">
        <v>2020</v>
      </c>
      <c r="D98" s="204" t="n">
        <v>44097</v>
      </c>
      <c r="E98" s="205" t="s">
        <v>1523</v>
      </c>
      <c r="F98" s="206" t="s">
        <v>1316</v>
      </c>
      <c r="G98" s="206" t="s">
        <v>1174</v>
      </c>
      <c r="H98" s="205" t="s">
        <v>267</v>
      </c>
      <c r="I98" s="218" t="n">
        <v>46135</v>
      </c>
      <c r="J98" s="206" t="n">
        <v>4</v>
      </c>
      <c r="K98" s="206" t="s">
        <v>53</v>
      </c>
      <c r="L98" s="206" t="s">
        <v>1181</v>
      </c>
      <c r="M98" s="206" t="n">
        <f aca="false">I98-D98</f>
        <v>2038</v>
      </c>
      <c r="N98" s="153"/>
      <c r="O98" s="153"/>
      <c r="P98" s="153"/>
      <c r="Q98" s="153"/>
      <c r="R98" s="153"/>
    </row>
    <row r="99" customFormat="false" ht="14.15" hidden="false" customHeight="false" outlineLevel="0" collapsed="false">
      <c r="A99" s="210" t="s">
        <v>1524</v>
      </c>
      <c r="B99" s="211" t="s">
        <v>1525</v>
      </c>
      <c r="C99" s="211" t="n">
        <v>2022</v>
      </c>
      <c r="D99" s="212" t="n">
        <v>44592</v>
      </c>
      <c r="E99" s="213" t="s">
        <v>1526</v>
      </c>
      <c r="F99" s="213" t="s">
        <v>1527</v>
      </c>
      <c r="G99" s="214" t="s">
        <v>1174</v>
      </c>
      <c r="H99" s="214" t="s">
        <v>522</v>
      </c>
      <c r="I99" s="221" t="n">
        <v>46142</v>
      </c>
      <c r="J99" s="213" t="n">
        <v>4</v>
      </c>
      <c r="K99" s="213" t="s">
        <v>53</v>
      </c>
      <c r="L99" s="213" t="s">
        <v>1181</v>
      </c>
      <c r="M99" s="213" t="n">
        <f aca="false">I99-D99</f>
        <v>1550</v>
      </c>
    </row>
    <row r="100" customFormat="false" ht="26.85" hidden="false" customHeight="false" outlineLevel="0" collapsed="false">
      <c r="A100" s="203" t="s">
        <v>1528</v>
      </c>
      <c r="B100" s="193" t="s">
        <v>1529</v>
      </c>
      <c r="C100" s="193" t="n">
        <v>2020</v>
      </c>
      <c r="D100" s="204" t="n">
        <v>43853</v>
      </c>
      <c r="E100" s="205" t="s">
        <v>1530</v>
      </c>
      <c r="F100" s="206" t="s">
        <v>1531</v>
      </c>
      <c r="G100" s="206" t="s">
        <v>1174</v>
      </c>
      <c r="H100" s="205" t="s">
        <v>570</v>
      </c>
      <c r="I100" s="218" t="n">
        <v>46142</v>
      </c>
      <c r="J100" s="206" t="n">
        <v>4</v>
      </c>
      <c r="K100" s="205" t="s">
        <v>53</v>
      </c>
      <c r="L100" s="206" t="s">
        <v>1181</v>
      </c>
      <c r="M100" s="206" t="n">
        <f aca="false">I100-D100</f>
        <v>2289</v>
      </c>
    </row>
    <row r="101" customFormat="false" ht="14.15" hidden="false" customHeight="false" outlineLevel="0" collapsed="false">
      <c r="A101" s="210" t="s">
        <v>1532</v>
      </c>
      <c r="B101" s="211" t="s">
        <v>1533</v>
      </c>
      <c r="C101" s="211" t="n">
        <v>2025</v>
      </c>
      <c r="D101" s="212" t="n">
        <v>45674</v>
      </c>
      <c r="E101" s="213" t="s">
        <v>1534</v>
      </c>
      <c r="F101" s="213" t="s">
        <v>1347</v>
      </c>
      <c r="G101" s="214" t="s">
        <v>1174</v>
      </c>
      <c r="H101" s="214" t="s">
        <v>813</v>
      </c>
      <c r="I101" s="221" t="n">
        <v>46142</v>
      </c>
      <c r="J101" s="213" t="n">
        <v>4</v>
      </c>
      <c r="K101" s="213" t="s">
        <v>53</v>
      </c>
      <c r="L101" s="213" t="s">
        <v>1181</v>
      </c>
      <c r="M101" s="213" t="n">
        <f aca="false">I101-D101</f>
        <v>468</v>
      </c>
    </row>
    <row r="102" customFormat="false" ht="26.85" hidden="false" customHeight="false" outlineLevel="0" collapsed="false">
      <c r="A102" s="203" t="s">
        <v>1535</v>
      </c>
      <c r="B102" s="193" t="s">
        <v>1536</v>
      </c>
      <c r="C102" s="193" t="n">
        <v>2023</v>
      </c>
      <c r="D102" s="222" t="n">
        <v>45013</v>
      </c>
      <c r="E102" s="205" t="s">
        <v>1537</v>
      </c>
      <c r="F102" s="206" t="s">
        <v>790</v>
      </c>
      <c r="G102" s="206" t="s">
        <v>1174</v>
      </c>
      <c r="H102" s="205" t="s">
        <v>1538</v>
      </c>
      <c r="I102" s="218" t="n">
        <v>46142</v>
      </c>
      <c r="J102" s="206" t="n">
        <v>4</v>
      </c>
      <c r="K102" s="205" t="s">
        <v>53</v>
      </c>
      <c r="L102" s="206" t="s">
        <v>1181</v>
      </c>
      <c r="M102" s="206" t="n">
        <f aca="false">I102-D102</f>
        <v>1129</v>
      </c>
    </row>
    <row r="103" customFormat="false" ht="14.15" hidden="false" customHeight="false" outlineLevel="0" collapsed="false">
      <c r="A103" s="210" t="s">
        <v>1539</v>
      </c>
      <c r="B103" s="211" t="s">
        <v>1540</v>
      </c>
      <c r="C103" s="211" t="n">
        <v>2023</v>
      </c>
      <c r="D103" s="215" t="n">
        <v>45135</v>
      </c>
      <c r="E103" s="213" t="s">
        <v>1541</v>
      </c>
      <c r="F103" s="213" t="s">
        <v>1400</v>
      </c>
      <c r="G103" s="214" t="s">
        <v>1174</v>
      </c>
      <c r="H103" s="214" t="s">
        <v>522</v>
      </c>
      <c r="I103" s="221" t="n">
        <v>46142</v>
      </c>
      <c r="J103" s="213" t="n">
        <v>4</v>
      </c>
      <c r="K103" s="213" t="s">
        <v>53</v>
      </c>
      <c r="L103" s="213" t="s">
        <v>1181</v>
      </c>
      <c r="M103" s="213" t="n">
        <f aca="false">I103-D103</f>
        <v>1007</v>
      </c>
    </row>
    <row r="104" customFormat="false" ht="26.85" hidden="false" customHeight="false" outlineLevel="0" collapsed="false">
      <c r="A104" s="203" t="s">
        <v>1542</v>
      </c>
      <c r="B104" s="193" t="s">
        <v>1543</v>
      </c>
      <c r="C104" s="193" t="n">
        <v>2024</v>
      </c>
      <c r="D104" s="218" t="n">
        <v>45642</v>
      </c>
      <c r="E104" s="205" t="s">
        <v>1544</v>
      </c>
      <c r="F104" s="206" t="s">
        <v>1324</v>
      </c>
      <c r="G104" s="206" t="s">
        <v>1174</v>
      </c>
      <c r="H104" s="205" t="s">
        <v>1223</v>
      </c>
      <c r="I104" s="218" t="n">
        <v>46142</v>
      </c>
      <c r="J104" s="206" t="n">
        <v>4</v>
      </c>
      <c r="K104" s="205" t="s">
        <v>53</v>
      </c>
      <c r="L104" s="206" t="s">
        <v>1175</v>
      </c>
      <c r="M104" s="206" t="n">
        <f aca="false">I104-D104</f>
        <v>500</v>
      </c>
    </row>
    <row r="105" customFormat="false" ht="14.15" hidden="false" customHeight="false" outlineLevel="0" collapsed="false">
      <c r="A105" s="210" t="s">
        <v>1545</v>
      </c>
      <c r="B105" s="211" t="s">
        <v>1546</v>
      </c>
      <c r="C105" s="211" t="n">
        <v>2020</v>
      </c>
      <c r="D105" s="215" t="n">
        <v>44026</v>
      </c>
      <c r="E105" s="213" t="s">
        <v>1547</v>
      </c>
      <c r="F105" s="213" t="s">
        <v>793</v>
      </c>
      <c r="G105" s="214" t="s">
        <v>1174</v>
      </c>
      <c r="H105" s="214" t="s">
        <v>263</v>
      </c>
      <c r="I105" s="221" t="n">
        <v>46142</v>
      </c>
      <c r="J105" s="213" t="n">
        <v>4</v>
      </c>
      <c r="K105" s="213" t="s">
        <v>53</v>
      </c>
      <c r="L105" s="213" t="s">
        <v>1181</v>
      </c>
      <c r="M105" s="213" t="n">
        <f aca="false">I105-D105</f>
        <v>2116</v>
      </c>
    </row>
    <row r="106" customFormat="false" ht="26.85" hidden="false" customHeight="false" outlineLevel="0" collapsed="false">
      <c r="A106" s="203" t="s">
        <v>1548</v>
      </c>
      <c r="B106" s="193" t="s">
        <v>1549</v>
      </c>
      <c r="C106" s="193" t="n">
        <v>2018</v>
      </c>
      <c r="D106" s="218" t="n">
        <v>43202</v>
      </c>
      <c r="E106" s="205" t="s">
        <v>1550</v>
      </c>
      <c r="F106" s="206" t="s">
        <v>1511</v>
      </c>
      <c r="G106" s="206" t="s">
        <v>1174</v>
      </c>
      <c r="H106" s="205" t="s">
        <v>263</v>
      </c>
      <c r="I106" s="218" t="n">
        <v>46142</v>
      </c>
      <c r="J106" s="206" t="n">
        <v>4</v>
      </c>
      <c r="K106" s="205" t="s">
        <v>53</v>
      </c>
      <c r="L106" s="206" t="s">
        <v>1181</v>
      </c>
      <c r="M106" s="206" t="n">
        <f aca="false">I106-D106</f>
        <v>2940</v>
      </c>
    </row>
    <row r="107" customFormat="false" ht="14.15" hidden="false" customHeight="false" outlineLevel="0" collapsed="false">
      <c r="A107" s="210" t="s">
        <v>1551</v>
      </c>
      <c r="B107" s="211" t="s">
        <v>1552</v>
      </c>
      <c r="C107" s="211" t="n">
        <v>2018</v>
      </c>
      <c r="D107" s="212" t="n">
        <v>43311</v>
      </c>
      <c r="E107" s="213" t="s">
        <v>1553</v>
      </c>
      <c r="F107" s="213" t="s">
        <v>1338</v>
      </c>
      <c r="G107" s="214" t="s">
        <v>1174</v>
      </c>
      <c r="H107" s="214" t="s">
        <v>267</v>
      </c>
      <c r="I107" s="221" t="n">
        <v>46142</v>
      </c>
      <c r="J107" s="213" t="n">
        <v>4</v>
      </c>
      <c r="K107" s="213" t="s">
        <v>53</v>
      </c>
      <c r="L107" s="213" t="s">
        <v>1181</v>
      </c>
      <c r="M107" s="213" t="n">
        <f aca="false">I107-D107</f>
        <v>2831</v>
      </c>
    </row>
    <row r="108" customFormat="false" ht="26.85" hidden="false" customHeight="false" outlineLevel="0" collapsed="false">
      <c r="A108" s="203" t="s">
        <v>1554</v>
      </c>
      <c r="B108" s="193" t="s">
        <v>1555</v>
      </c>
      <c r="C108" s="193" t="n">
        <v>2021</v>
      </c>
      <c r="D108" s="207" t="n">
        <v>44543</v>
      </c>
      <c r="E108" s="205" t="s">
        <v>1556</v>
      </c>
      <c r="F108" s="206" t="s">
        <v>1200</v>
      </c>
      <c r="G108" s="206" t="s">
        <v>1174</v>
      </c>
      <c r="H108" s="205" t="s">
        <v>1557</v>
      </c>
      <c r="I108" s="218" t="n">
        <v>46142</v>
      </c>
      <c r="J108" s="206" t="n">
        <v>4</v>
      </c>
      <c r="K108" s="205" t="s">
        <v>53</v>
      </c>
      <c r="L108" s="206" t="s">
        <v>1181</v>
      </c>
      <c r="M108" s="206" t="n">
        <f aca="false">I108-D108</f>
        <v>1599</v>
      </c>
    </row>
    <row r="109" customFormat="false" ht="14.15" hidden="false" customHeight="false" outlineLevel="0" collapsed="false">
      <c r="A109" s="210" t="s">
        <v>1558</v>
      </c>
      <c r="B109" s="211" t="s">
        <v>1559</v>
      </c>
      <c r="C109" s="211" t="n">
        <v>2025</v>
      </c>
      <c r="D109" s="212" t="n">
        <v>45674</v>
      </c>
      <c r="E109" s="213" t="s">
        <v>1560</v>
      </c>
      <c r="F109" s="213" t="s">
        <v>1324</v>
      </c>
      <c r="G109" s="214" t="s">
        <v>1174</v>
      </c>
      <c r="H109" s="214" t="s">
        <v>354</v>
      </c>
      <c r="I109" s="221" t="n">
        <v>46142</v>
      </c>
      <c r="J109" s="213" t="n">
        <v>4</v>
      </c>
      <c r="K109" s="213" t="s">
        <v>53</v>
      </c>
      <c r="L109" s="213" t="s">
        <v>1181</v>
      </c>
      <c r="M109" s="213" t="n">
        <f aca="false">I109-D109</f>
        <v>468</v>
      </c>
    </row>
    <row r="110" customFormat="false" ht="26.85" hidden="false" customHeight="false" outlineLevel="0" collapsed="false">
      <c r="A110" s="203" t="s">
        <v>1561</v>
      </c>
      <c r="B110" s="193" t="s">
        <v>1562</v>
      </c>
      <c r="C110" s="193" t="n">
        <v>2024</v>
      </c>
      <c r="D110" s="207" t="n">
        <v>45408</v>
      </c>
      <c r="E110" s="205" t="s">
        <v>1563</v>
      </c>
      <c r="F110" s="206" t="s">
        <v>1150</v>
      </c>
      <c r="G110" s="206" t="s">
        <v>1174</v>
      </c>
      <c r="H110" s="205" t="s">
        <v>888</v>
      </c>
      <c r="I110" s="218" t="n">
        <v>46142</v>
      </c>
      <c r="J110" s="206" t="n">
        <v>4</v>
      </c>
      <c r="K110" s="205" t="s">
        <v>53</v>
      </c>
      <c r="L110" s="206" t="s">
        <v>1181</v>
      </c>
      <c r="M110" s="206" t="n">
        <f aca="false">I110-D110</f>
        <v>734</v>
      </c>
    </row>
    <row r="111" customFormat="false" ht="14.15" hidden="false" customHeight="false" outlineLevel="0" collapsed="false">
      <c r="A111" s="210" t="s">
        <v>1564</v>
      </c>
      <c r="B111" s="211" t="s">
        <v>1565</v>
      </c>
      <c r="C111" s="211" t="n">
        <v>2022</v>
      </c>
      <c r="D111" s="225" t="n">
        <v>44917</v>
      </c>
      <c r="E111" s="213" t="s">
        <v>1566</v>
      </c>
      <c r="F111" s="213" t="s">
        <v>1284</v>
      </c>
      <c r="G111" s="214" t="s">
        <v>1174</v>
      </c>
      <c r="H111" s="214" t="s">
        <v>1567</v>
      </c>
      <c r="I111" s="221" t="n">
        <v>46142</v>
      </c>
      <c r="J111" s="213" t="n">
        <v>4</v>
      </c>
      <c r="K111" s="213" t="s">
        <v>53</v>
      </c>
      <c r="L111" s="213" t="s">
        <v>1181</v>
      </c>
      <c r="M111" s="213" t="n">
        <f aca="false">I111-D111</f>
        <v>1225</v>
      </c>
    </row>
    <row r="112" customFormat="false" ht="26.85" hidden="false" customHeight="false" outlineLevel="0" collapsed="false">
      <c r="A112" s="203" t="s">
        <v>1568</v>
      </c>
      <c r="B112" s="193" t="s">
        <v>1569</v>
      </c>
      <c r="C112" s="193" t="n">
        <v>2023</v>
      </c>
      <c r="D112" s="218" t="n">
        <v>44995</v>
      </c>
      <c r="E112" s="205" t="s">
        <v>1570</v>
      </c>
      <c r="F112" s="206" t="s">
        <v>157</v>
      </c>
      <c r="G112" s="206" t="s">
        <v>1174</v>
      </c>
      <c r="H112" s="205" t="s">
        <v>1571</v>
      </c>
      <c r="I112" s="218" t="n">
        <v>46142</v>
      </c>
      <c r="J112" s="206" t="n">
        <v>4</v>
      </c>
      <c r="K112" s="205" t="s">
        <v>53</v>
      </c>
      <c r="L112" s="206" t="s">
        <v>1181</v>
      </c>
      <c r="M112" s="206" t="n">
        <f aca="false">I112-D112</f>
        <v>1147</v>
      </c>
    </row>
    <row r="113" customFormat="false" ht="14.15" hidden="false" customHeight="false" outlineLevel="0" collapsed="false">
      <c r="A113" s="210" t="s">
        <v>1572</v>
      </c>
      <c r="B113" s="211" t="s">
        <v>1573</v>
      </c>
      <c r="C113" s="211" t="n">
        <v>2024</v>
      </c>
      <c r="D113" s="212" t="n">
        <v>45473</v>
      </c>
      <c r="E113" s="213" t="s">
        <v>1574</v>
      </c>
      <c r="F113" s="213" t="s">
        <v>1424</v>
      </c>
      <c r="G113" s="214" t="s">
        <v>1174</v>
      </c>
      <c r="H113" s="254" t="s">
        <v>354</v>
      </c>
      <c r="I113" s="221" t="n">
        <v>46142</v>
      </c>
      <c r="J113" s="213" t="n">
        <v>4</v>
      </c>
      <c r="K113" s="213" t="s">
        <v>53</v>
      </c>
      <c r="L113" s="213" t="s">
        <v>1181</v>
      </c>
      <c r="M113" s="213" t="n">
        <f aca="false">I113-D113</f>
        <v>669</v>
      </c>
    </row>
    <row r="114" customFormat="false" ht="26.85" hidden="false" customHeight="false" outlineLevel="0" collapsed="false">
      <c r="A114" s="203" t="s">
        <v>1575</v>
      </c>
      <c r="B114" s="193" t="s">
        <v>1576</v>
      </c>
      <c r="C114" s="193" t="n">
        <v>2020</v>
      </c>
      <c r="D114" s="218" t="n">
        <v>44168</v>
      </c>
      <c r="E114" s="205" t="s">
        <v>1577</v>
      </c>
      <c r="F114" s="206" t="s">
        <v>449</v>
      </c>
      <c r="G114" s="206" t="s">
        <v>1174</v>
      </c>
      <c r="H114" s="255" t="s">
        <v>139</v>
      </c>
      <c r="I114" s="218" t="n">
        <v>46142</v>
      </c>
      <c r="J114" s="206" t="n">
        <v>4</v>
      </c>
      <c r="K114" s="205" t="s">
        <v>53</v>
      </c>
      <c r="L114" s="206" t="s">
        <v>1181</v>
      </c>
      <c r="M114" s="206" t="n">
        <f aca="false">I114-D114</f>
        <v>1974</v>
      </c>
    </row>
    <row r="115" customFormat="false" ht="14.15" hidden="false" customHeight="false" outlineLevel="0" collapsed="false">
      <c r="A115" s="210" t="s">
        <v>1578</v>
      </c>
      <c r="B115" s="211" t="s">
        <v>1579</v>
      </c>
      <c r="C115" s="211" t="n">
        <v>2024</v>
      </c>
      <c r="D115" s="225" t="n">
        <v>45302</v>
      </c>
      <c r="E115" s="213" t="s">
        <v>1580</v>
      </c>
      <c r="F115" s="213" t="s">
        <v>168</v>
      </c>
      <c r="G115" s="214" t="s">
        <v>1174</v>
      </c>
      <c r="H115" s="214" t="s">
        <v>139</v>
      </c>
      <c r="I115" s="221" t="n">
        <v>46142</v>
      </c>
      <c r="J115" s="213" t="n">
        <v>4</v>
      </c>
      <c r="K115" s="213" t="s">
        <v>53</v>
      </c>
      <c r="L115" s="213" t="s">
        <v>1181</v>
      </c>
      <c r="M115" s="213" t="n">
        <f aca="false">I115-D115</f>
        <v>840</v>
      </c>
    </row>
    <row r="116" customFormat="false" ht="26.85" hidden="false" customHeight="false" outlineLevel="0" collapsed="false">
      <c r="A116" s="203" t="s">
        <v>1581</v>
      </c>
      <c r="B116" s="193" t="s">
        <v>1582</v>
      </c>
      <c r="C116" s="193" t="n">
        <v>2024</v>
      </c>
      <c r="D116" s="204" t="n">
        <v>45359</v>
      </c>
      <c r="E116" s="205" t="s">
        <v>1583</v>
      </c>
      <c r="F116" s="205" t="s">
        <v>1490</v>
      </c>
      <c r="G116" s="206" t="s">
        <v>1174</v>
      </c>
      <c r="H116" s="205" t="s">
        <v>139</v>
      </c>
      <c r="I116" s="218" t="n">
        <v>46142</v>
      </c>
      <c r="J116" s="206" t="n">
        <v>4</v>
      </c>
      <c r="K116" s="205" t="s">
        <v>53</v>
      </c>
      <c r="L116" s="206" t="s">
        <v>1181</v>
      </c>
      <c r="M116" s="206" t="n">
        <f aca="false">I116-D116</f>
        <v>783</v>
      </c>
    </row>
    <row r="117" customFormat="false" ht="14.15" hidden="false" customHeight="false" outlineLevel="0" collapsed="false">
      <c r="A117" s="210" t="s">
        <v>1584</v>
      </c>
      <c r="B117" s="211" t="s">
        <v>1585</v>
      </c>
      <c r="C117" s="211" t="n">
        <v>2023</v>
      </c>
      <c r="D117" s="225" t="n">
        <v>45148</v>
      </c>
      <c r="E117" s="213" t="s">
        <v>1586</v>
      </c>
      <c r="F117" s="213" t="s">
        <v>1298</v>
      </c>
      <c r="G117" s="214" t="s">
        <v>1174</v>
      </c>
      <c r="H117" s="214" t="s">
        <v>139</v>
      </c>
      <c r="I117" s="221" t="n">
        <v>46142</v>
      </c>
      <c r="J117" s="213" t="n">
        <v>4</v>
      </c>
      <c r="K117" s="213" t="s">
        <v>53</v>
      </c>
      <c r="L117" s="213" t="s">
        <v>1175</v>
      </c>
      <c r="M117" s="213" t="n">
        <f aca="false">I117-D117</f>
        <v>994</v>
      </c>
    </row>
    <row r="118" customFormat="false" ht="26.85" hidden="false" customHeight="false" outlineLevel="0" collapsed="false">
      <c r="A118" s="203" t="s">
        <v>1587</v>
      </c>
      <c r="B118" s="193" t="s">
        <v>1588</v>
      </c>
      <c r="C118" s="193" t="n">
        <v>2022</v>
      </c>
      <c r="D118" s="204" t="n">
        <v>44865</v>
      </c>
      <c r="E118" s="205" t="s">
        <v>1589</v>
      </c>
      <c r="F118" s="206" t="s">
        <v>793</v>
      </c>
      <c r="G118" s="206" t="s">
        <v>1174</v>
      </c>
      <c r="H118" s="205" t="s">
        <v>139</v>
      </c>
      <c r="I118" s="218" t="n">
        <v>46142</v>
      </c>
      <c r="J118" s="206" t="n">
        <v>4</v>
      </c>
      <c r="K118" s="205" t="s">
        <v>53</v>
      </c>
      <c r="L118" s="206" t="s">
        <v>1181</v>
      </c>
      <c r="M118" s="206" t="n">
        <f aca="false">I118-D118</f>
        <v>1277</v>
      </c>
    </row>
    <row r="119" customFormat="false" ht="14.15" hidden="false" customHeight="false" outlineLevel="0" collapsed="false">
      <c r="A119" s="210" t="s">
        <v>1590</v>
      </c>
      <c r="B119" s="211" t="s">
        <v>1591</v>
      </c>
      <c r="C119" s="211" t="n">
        <v>2024</v>
      </c>
      <c r="D119" s="212" t="n">
        <v>45302</v>
      </c>
      <c r="E119" s="213" t="s">
        <v>1592</v>
      </c>
      <c r="F119" s="213" t="s">
        <v>1180</v>
      </c>
      <c r="G119" s="214" t="s">
        <v>1174</v>
      </c>
      <c r="H119" s="214" t="s">
        <v>139</v>
      </c>
      <c r="I119" s="221" t="n">
        <v>46142</v>
      </c>
      <c r="J119" s="213" t="n">
        <v>4</v>
      </c>
      <c r="K119" s="213" t="s">
        <v>53</v>
      </c>
      <c r="L119" s="213" t="s">
        <v>1181</v>
      </c>
      <c r="M119" s="213" t="n">
        <f aca="false">I119-D119</f>
        <v>840</v>
      </c>
    </row>
    <row r="120" customFormat="false" ht="26.85" hidden="false" customHeight="false" outlineLevel="0" collapsed="false">
      <c r="A120" s="203" t="s">
        <v>1593</v>
      </c>
      <c r="B120" s="193" t="s">
        <v>1594</v>
      </c>
      <c r="C120" s="193" t="n">
        <v>2024</v>
      </c>
      <c r="D120" s="204" t="n">
        <v>45323</v>
      </c>
      <c r="E120" s="205" t="s">
        <v>1595</v>
      </c>
      <c r="F120" s="206" t="s">
        <v>1490</v>
      </c>
      <c r="G120" s="206" t="s">
        <v>1174</v>
      </c>
      <c r="H120" s="205" t="s">
        <v>1596</v>
      </c>
      <c r="I120" s="218" t="n">
        <v>46142</v>
      </c>
      <c r="J120" s="206" t="n">
        <v>4</v>
      </c>
      <c r="K120" s="205" t="s">
        <v>53</v>
      </c>
      <c r="L120" s="206" t="s">
        <v>1181</v>
      </c>
      <c r="M120" s="206" t="n">
        <f aca="false">I120-D120</f>
        <v>819</v>
      </c>
    </row>
    <row r="121" customFormat="false" ht="14.15" hidden="false" customHeight="false" outlineLevel="0" collapsed="false">
      <c r="A121" s="210" t="s">
        <v>1597</v>
      </c>
      <c r="B121" s="211" t="s">
        <v>1598</v>
      </c>
      <c r="C121" s="211" t="n">
        <v>2023</v>
      </c>
      <c r="D121" s="212" t="n">
        <v>45134</v>
      </c>
      <c r="E121" s="213" t="s">
        <v>1599</v>
      </c>
      <c r="F121" s="213" t="s">
        <v>780</v>
      </c>
      <c r="G121" s="214" t="s">
        <v>1174</v>
      </c>
      <c r="H121" s="214" t="s">
        <v>1258</v>
      </c>
      <c r="I121" s="221" t="n">
        <v>46142</v>
      </c>
      <c r="J121" s="213" t="n">
        <v>4</v>
      </c>
      <c r="K121" s="213" t="s">
        <v>53</v>
      </c>
      <c r="L121" s="213" t="s">
        <v>1175</v>
      </c>
      <c r="M121" s="213" t="n">
        <f aca="false">I121-D121</f>
        <v>1008</v>
      </c>
    </row>
    <row r="122" customFormat="false" ht="26.85" hidden="false" customHeight="false" outlineLevel="0" collapsed="false">
      <c r="A122" s="203" t="s">
        <v>1600</v>
      </c>
      <c r="B122" s="193" t="s">
        <v>1601</v>
      </c>
      <c r="C122" s="193" t="n">
        <v>2017</v>
      </c>
      <c r="D122" s="204" t="n">
        <v>42886</v>
      </c>
      <c r="E122" s="205" t="s">
        <v>1602</v>
      </c>
      <c r="F122" s="206" t="s">
        <v>467</v>
      </c>
      <c r="G122" s="206" t="s">
        <v>1174</v>
      </c>
      <c r="H122" s="205" t="s">
        <v>354</v>
      </c>
      <c r="I122" s="218" t="n">
        <v>46142</v>
      </c>
      <c r="J122" s="206" t="n">
        <v>4</v>
      </c>
      <c r="K122" s="205" t="s">
        <v>53</v>
      </c>
      <c r="L122" s="206" t="s">
        <v>1175</v>
      </c>
      <c r="M122" s="206" t="n">
        <f aca="false">I122-D122</f>
        <v>3256</v>
      </c>
    </row>
    <row r="123" customFormat="false" ht="14.15" hidden="false" customHeight="false" outlineLevel="0" collapsed="false">
      <c r="A123" s="210" t="s">
        <v>1603</v>
      </c>
      <c r="B123" s="211" t="s">
        <v>1604</v>
      </c>
      <c r="C123" s="211" t="n">
        <v>2021</v>
      </c>
      <c r="D123" s="212" t="n">
        <v>44361</v>
      </c>
      <c r="E123" s="213" t="s">
        <v>1605</v>
      </c>
      <c r="F123" s="213" t="s">
        <v>1343</v>
      </c>
      <c r="G123" s="214" t="s">
        <v>1174</v>
      </c>
      <c r="H123" s="214" t="s">
        <v>471</v>
      </c>
      <c r="I123" s="221" t="n">
        <v>46142</v>
      </c>
      <c r="J123" s="213" t="n">
        <v>4</v>
      </c>
      <c r="K123" s="213" t="s">
        <v>53</v>
      </c>
      <c r="L123" s="213" t="s">
        <v>1175</v>
      </c>
      <c r="M123" s="213" t="n">
        <f aca="false">I123-D123</f>
        <v>1781</v>
      </c>
    </row>
    <row r="124" customFormat="false" ht="26.85" hidden="false" customHeight="false" outlineLevel="0" collapsed="false">
      <c r="A124" s="203" t="s">
        <v>1606</v>
      </c>
      <c r="B124" s="193" t="s">
        <v>1607</v>
      </c>
      <c r="C124" s="193" t="n">
        <v>2021</v>
      </c>
      <c r="D124" s="204" t="n">
        <v>44491</v>
      </c>
      <c r="E124" s="205" t="s">
        <v>1608</v>
      </c>
      <c r="F124" s="206" t="s">
        <v>1609</v>
      </c>
      <c r="G124" s="206" t="s">
        <v>1174</v>
      </c>
      <c r="H124" s="205" t="s">
        <v>570</v>
      </c>
      <c r="I124" s="218" t="n">
        <v>46142</v>
      </c>
      <c r="J124" s="206" t="n">
        <v>4</v>
      </c>
      <c r="K124" s="205" t="s">
        <v>53</v>
      </c>
      <c r="L124" s="206" t="s">
        <v>1441</v>
      </c>
      <c r="M124" s="206" t="n">
        <f aca="false">I124-D124</f>
        <v>1651</v>
      </c>
    </row>
    <row r="125" customFormat="false" ht="14.15" hidden="false" customHeight="false" outlineLevel="0" collapsed="false">
      <c r="A125" s="210" t="s">
        <v>1610</v>
      </c>
      <c r="B125" s="211" t="s">
        <v>1611</v>
      </c>
      <c r="C125" s="211" t="n">
        <v>2024</v>
      </c>
      <c r="D125" s="212" t="n">
        <v>45384</v>
      </c>
      <c r="E125" s="213" t="s">
        <v>1612</v>
      </c>
      <c r="F125" s="213" t="s">
        <v>1613</v>
      </c>
      <c r="G125" s="214" t="s">
        <v>1174</v>
      </c>
      <c r="H125" s="214" t="s">
        <v>633</v>
      </c>
      <c r="I125" s="221" t="n">
        <v>46157</v>
      </c>
      <c r="J125" s="213" t="n">
        <v>5</v>
      </c>
      <c r="K125" s="213" t="s">
        <v>53</v>
      </c>
      <c r="L125" s="213" t="s">
        <v>1181</v>
      </c>
      <c r="M125" s="213" t="n">
        <f aca="false">I125-D125</f>
        <v>773</v>
      </c>
    </row>
    <row r="126" customFormat="false" ht="26.85" hidden="false" customHeight="false" outlineLevel="0" collapsed="false">
      <c r="A126" s="203" t="s">
        <v>1614</v>
      </c>
      <c r="B126" s="193" t="s">
        <v>1615</v>
      </c>
      <c r="C126" s="193" t="n">
        <v>2019</v>
      </c>
      <c r="D126" s="204" t="n">
        <v>43714</v>
      </c>
      <c r="E126" s="205" t="s">
        <v>1616</v>
      </c>
      <c r="F126" s="206" t="s">
        <v>191</v>
      </c>
      <c r="G126" s="206" t="s">
        <v>1174</v>
      </c>
      <c r="H126" s="205" t="s">
        <v>532</v>
      </c>
      <c r="I126" s="218" t="n">
        <v>46157</v>
      </c>
      <c r="J126" s="206" t="n">
        <v>5</v>
      </c>
      <c r="K126" s="205" t="s">
        <v>53</v>
      </c>
      <c r="L126" s="206" t="s">
        <v>1181</v>
      </c>
      <c r="M126" s="206" t="n">
        <f aca="false">I126-D126</f>
        <v>2443</v>
      </c>
    </row>
    <row r="127" customFormat="false" ht="14.15" hidden="false" customHeight="false" outlineLevel="0" collapsed="false">
      <c r="A127" s="210" t="s">
        <v>1617</v>
      </c>
      <c r="B127" s="211" t="s">
        <v>1618</v>
      </c>
      <c r="C127" s="211" t="n">
        <v>2024</v>
      </c>
      <c r="D127" s="212" t="n">
        <v>45511</v>
      </c>
      <c r="E127" s="213" t="s">
        <v>1619</v>
      </c>
      <c r="F127" s="213" t="s">
        <v>1490</v>
      </c>
      <c r="G127" s="214" t="s">
        <v>1174</v>
      </c>
      <c r="H127" s="214" t="s">
        <v>522</v>
      </c>
      <c r="I127" s="221" t="n">
        <v>46157</v>
      </c>
      <c r="J127" s="213" t="n">
        <v>5</v>
      </c>
      <c r="K127" s="213" t="s">
        <v>53</v>
      </c>
      <c r="L127" s="213" t="s">
        <v>1181</v>
      </c>
      <c r="M127" s="213" t="n">
        <f aca="false">I127-D127</f>
        <v>646</v>
      </c>
    </row>
    <row r="128" customFormat="false" ht="26.85" hidden="false" customHeight="false" outlineLevel="0" collapsed="false">
      <c r="A128" s="203" t="s">
        <v>1620</v>
      </c>
      <c r="B128" s="193" t="s">
        <v>1621</v>
      </c>
      <c r="C128" s="193" t="n">
        <v>2025</v>
      </c>
      <c r="D128" s="204" t="n">
        <v>45665</v>
      </c>
      <c r="E128" s="205" t="s">
        <v>1622</v>
      </c>
      <c r="F128" s="206" t="s">
        <v>1424</v>
      </c>
      <c r="G128" s="206" t="s">
        <v>1174</v>
      </c>
      <c r="H128" s="205" t="s">
        <v>781</v>
      </c>
      <c r="I128" s="218" t="n">
        <v>46157</v>
      </c>
      <c r="J128" s="206" t="n">
        <v>5</v>
      </c>
      <c r="K128" s="205" t="s">
        <v>53</v>
      </c>
      <c r="L128" s="206" t="s">
        <v>1181</v>
      </c>
      <c r="M128" s="206" t="n">
        <f aca="false">I128-D128</f>
        <v>492</v>
      </c>
    </row>
    <row r="129" customFormat="false" ht="14.15" hidden="false" customHeight="false" outlineLevel="0" collapsed="false">
      <c r="A129" s="210" t="s">
        <v>1623</v>
      </c>
      <c r="B129" s="211" t="s">
        <v>1624</v>
      </c>
      <c r="C129" s="211" t="n">
        <v>2023</v>
      </c>
      <c r="D129" s="212" t="n">
        <v>44966</v>
      </c>
      <c r="E129" s="213" t="s">
        <v>1625</v>
      </c>
      <c r="F129" s="213" t="s">
        <v>790</v>
      </c>
      <c r="G129" s="214" t="s">
        <v>1174</v>
      </c>
      <c r="H129" s="214" t="s">
        <v>1231</v>
      </c>
      <c r="I129" s="221" t="n">
        <v>46157</v>
      </c>
      <c r="J129" s="213" t="n">
        <v>5</v>
      </c>
      <c r="K129" s="213" t="s">
        <v>53</v>
      </c>
      <c r="L129" s="213" t="s">
        <v>1181</v>
      </c>
      <c r="M129" s="213" t="n">
        <f aca="false">I129-D129</f>
        <v>1191</v>
      </c>
    </row>
    <row r="130" customFormat="false" ht="26.85" hidden="false" customHeight="false" outlineLevel="0" collapsed="false">
      <c r="A130" s="203" t="s">
        <v>1626</v>
      </c>
      <c r="B130" s="193" t="s">
        <v>1627</v>
      </c>
      <c r="C130" s="193" t="n">
        <v>2023</v>
      </c>
      <c r="D130" s="204" t="n">
        <v>45121</v>
      </c>
      <c r="E130" s="205" t="s">
        <v>1628</v>
      </c>
      <c r="F130" s="206" t="s">
        <v>1277</v>
      </c>
      <c r="G130" s="206" t="s">
        <v>1174</v>
      </c>
      <c r="H130" s="205" t="s">
        <v>522</v>
      </c>
      <c r="I130" s="218" t="n">
        <v>46157</v>
      </c>
      <c r="J130" s="206" t="n">
        <v>5</v>
      </c>
      <c r="K130" s="205" t="s">
        <v>53</v>
      </c>
      <c r="L130" s="206" t="s">
        <v>1181</v>
      </c>
      <c r="M130" s="206" t="n">
        <f aca="false">I130-D130</f>
        <v>1036</v>
      </c>
    </row>
    <row r="131" customFormat="false" ht="14.15" hidden="false" customHeight="false" outlineLevel="0" collapsed="false">
      <c r="A131" s="210" t="s">
        <v>1629</v>
      </c>
      <c r="B131" s="211" t="s">
        <v>1630</v>
      </c>
      <c r="C131" s="211" t="n">
        <v>2018</v>
      </c>
      <c r="D131" s="212" t="n">
        <v>43178</v>
      </c>
      <c r="E131" s="213" t="s">
        <v>1631</v>
      </c>
      <c r="F131" s="213" t="s">
        <v>123</v>
      </c>
      <c r="G131" s="214" t="s">
        <v>1174</v>
      </c>
      <c r="H131" s="214" t="s">
        <v>192</v>
      </c>
      <c r="I131" s="221" t="n">
        <v>46157</v>
      </c>
      <c r="J131" s="213" t="n">
        <v>5</v>
      </c>
      <c r="K131" s="213" t="s">
        <v>53</v>
      </c>
      <c r="L131" s="213" t="s">
        <v>1181</v>
      </c>
      <c r="M131" s="213" t="n">
        <f aca="false">I131-D131</f>
        <v>2979</v>
      </c>
    </row>
    <row r="132" customFormat="false" ht="26.85" hidden="false" customHeight="false" outlineLevel="0" collapsed="false">
      <c r="A132" s="203" t="s">
        <v>1632</v>
      </c>
      <c r="B132" s="193" t="s">
        <v>1633</v>
      </c>
      <c r="C132" s="193" t="n">
        <v>2024</v>
      </c>
      <c r="D132" s="204" t="n">
        <v>45376</v>
      </c>
      <c r="E132" s="205" t="s">
        <v>1634</v>
      </c>
      <c r="F132" s="206" t="s">
        <v>1635</v>
      </c>
      <c r="G132" s="206" t="s">
        <v>1174</v>
      </c>
      <c r="H132" s="205" t="s">
        <v>544</v>
      </c>
      <c r="I132" s="218" t="n">
        <v>46157</v>
      </c>
      <c r="J132" s="206" t="n">
        <v>5</v>
      </c>
      <c r="K132" s="205" t="s">
        <v>53</v>
      </c>
      <c r="L132" s="206" t="s">
        <v>1175</v>
      </c>
      <c r="M132" s="206" t="n">
        <f aca="false">I132-D132</f>
        <v>781</v>
      </c>
    </row>
    <row r="133" customFormat="false" ht="14.15" hidden="false" customHeight="false" outlineLevel="0" collapsed="false">
      <c r="A133" s="210" t="s">
        <v>1636</v>
      </c>
      <c r="B133" s="211" t="s">
        <v>1637</v>
      </c>
      <c r="C133" s="211" t="n">
        <v>2021</v>
      </c>
      <c r="D133" s="212" t="n">
        <v>44560</v>
      </c>
      <c r="E133" s="213" t="s">
        <v>1638</v>
      </c>
      <c r="F133" s="213" t="s">
        <v>1639</v>
      </c>
      <c r="G133" s="214" t="s">
        <v>1174</v>
      </c>
      <c r="H133" s="214" t="s">
        <v>471</v>
      </c>
      <c r="I133" s="221" t="n">
        <v>46157</v>
      </c>
      <c r="J133" s="213" t="n">
        <v>5</v>
      </c>
      <c r="K133" s="213" t="s">
        <v>53</v>
      </c>
      <c r="L133" s="213" t="s">
        <v>1175</v>
      </c>
      <c r="M133" s="213" t="n">
        <f aca="false">I133-D133</f>
        <v>1597</v>
      </c>
    </row>
    <row r="134" customFormat="false" ht="26.85" hidden="false" customHeight="false" outlineLevel="0" collapsed="false">
      <c r="A134" s="203" t="s">
        <v>1640</v>
      </c>
      <c r="B134" s="193" t="s">
        <v>1641</v>
      </c>
      <c r="C134" s="193" t="n">
        <v>2023</v>
      </c>
      <c r="D134" s="204" t="n">
        <v>45159</v>
      </c>
      <c r="E134" s="205" t="s">
        <v>1642</v>
      </c>
      <c r="F134" s="206" t="s">
        <v>823</v>
      </c>
      <c r="G134" s="206" t="s">
        <v>1174</v>
      </c>
      <c r="H134" s="205" t="s">
        <v>544</v>
      </c>
      <c r="I134" s="218" t="n">
        <v>46164</v>
      </c>
      <c r="J134" s="206" t="n">
        <v>5</v>
      </c>
      <c r="K134" s="205" t="s">
        <v>53</v>
      </c>
      <c r="L134" s="206" t="s">
        <v>1181</v>
      </c>
      <c r="M134" s="206" t="n">
        <f aca="false">I134-D134</f>
        <v>1005</v>
      </c>
    </row>
    <row r="135" customFormat="false" ht="14.15" hidden="false" customHeight="false" outlineLevel="0" collapsed="false">
      <c r="A135" s="210" t="s">
        <v>1643</v>
      </c>
      <c r="B135" s="211" t="s">
        <v>1644</v>
      </c>
      <c r="C135" s="211" t="n">
        <v>2022</v>
      </c>
      <c r="D135" s="212" t="n">
        <v>44769</v>
      </c>
      <c r="E135" s="213" t="s">
        <v>1645</v>
      </c>
      <c r="F135" s="213" t="s">
        <v>1235</v>
      </c>
      <c r="G135" s="214" t="s">
        <v>1174</v>
      </c>
      <c r="H135" s="214" t="s">
        <v>250</v>
      </c>
      <c r="I135" s="221" t="n">
        <v>46164</v>
      </c>
      <c r="J135" s="213" t="n">
        <v>5</v>
      </c>
      <c r="K135" s="213" t="s">
        <v>53</v>
      </c>
      <c r="L135" s="213" t="s">
        <v>1181</v>
      </c>
      <c r="M135" s="213" t="n">
        <f aca="false">I135-D135</f>
        <v>1395</v>
      </c>
    </row>
    <row r="136" customFormat="false" ht="15" hidden="false" customHeight="true" outlineLevel="0" collapsed="false">
      <c r="A136" s="203" t="s">
        <v>1646</v>
      </c>
      <c r="B136" s="193" t="s">
        <v>1647</v>
      </c>
      <c r="C136" s="193" t="n">
        <v>2019</v>
      </c>
      <c r="D136" s="204" t="n">
        <v>43812</v>
      </c>
      <c r="E136" s="205" t="s">
        <v>1648</v>
      </c>
      <c r="F136" s="206" t="s">
        <v>191</v>
      </c>
      <c r="G136" s="206" t="s">
        <v>1174</v>
      </c>
      <c r="H136" s="205" t="s">
        <v>250</v>
      </c>
      <c r="I136" s="218" t="n">
        <v>46164</v>
      </c>
      <c r="J136" s="206" t="n">
        <v>5</v>
      </c>
      <c r="K136" s="205" t="s">
        <v>53</v>
      </c>
      <c r="L136" s="206" t="s">
        <v>1181</v>
      </c>
      <c r="M136" s="206" t="n">
        <f aca="false">I136-D136</f>
        <v>2352</v>
      </c>
    </row>
    <row r="137" customFormat="false" ht="15" hidden="false" customHeight="true" outlineLevel="0" collapsed="false">
      <c r="A137" s="210" t="s">
        <v>1649</v>
      </c>
      <c r="B137" s="211" t="s">
        <v>1650</v>
      </c>
      <c r="C137" s="211" t="n">
        <v>2020</v>
      </c>
      <c r="D137" s="212" t="n">
        <v>44125</v>
      </c>
      <c r="E137" s="213" t="s">
        <v>1651</v>
      </c>
      <c r="F137" s="213" t="s">
        <v>1316</v>
      </c>
      <c r="G137" s="214" t="s">
        <v>1174</v>
      </c>
      <c r="H137" s="214" t="s">
        <v>250</v>
      </c>
      <c r="I137" s="221" t="n">
        <v>46164</v>
      </c>
      <c r="J137" s="213" t="n">
        <v>5</v>
      </c>
      <c r="K137" s="213" t="s">
        <v>53</v>
      </c>
      <c r="L137" s="213" t="s">
        <v>1181</v>
      </c>
      <c r="M137" s="213" t="n">
        <f aca="false">I137-D137</f>
        <v>2039</v>
      </c>
    </row>
    <row r="138" customFormat="false" ht="15" hidden="false" customHeight="true" outlineLevel="0" collapsed="false">
      <c r="A138" s="203" t="s">
        <v>1652</v>
      </c>
      <c r="B138" s="193" t="s">
        <v>1653</v>
      </c>
      <c r="C138" s="193" t="n">
        <v>2023</v>
      </c>
      <c r="D138" s="204" t="n">
        <v>45163</v>
      </c>
      <c r="E138" s="205" t="s">
        <v>1654</v>
      </c>
      <c r="F138" s="206" t="s">
        <v>1655</v>
      </c>
      <c r="G138" s="206" t="s">
        <v>1174</v>
      </c>
      <c r="H138" s="205" t="s">
        <v>522</v>
      </c>
      <c r="I138" s="218" t="n">
        <v>46164</v>
      </c>
      <c r="J138" s="206" t="n">
        <v>5</v>
      </c>
      <c r="K138" s="205" t="s">
        <v>53</v>
      </c>
      <c r="L138" s="206" t="s">
        <v>1181</v>
      </c>
      <c r="M138" s="206" t="n">
        <f aca="false">I138-D138</f>
        <v>1001</v>
      </c>
    </row>
    <row r="139" customFormat="false" ht="15" hidden="false" customHeight="true" outlineLevel="0" collapsed="false">
      <c r="A139" s="210" t="s">
        <v>1656</v>
      </c>
      <c r="B139" s="211" t="s">
        <v>1657</v>
      </c>
      <c r="C139" s="211" t="n">
        <v>2023</v>
      </c>
      <c r="D139" s="212" t="n">
        <v>45001</v>
      </c>
      <c r="E139" s="213" t="s">
        <v>1658</v>
      </c>
      <c r="F139" s="213" t="s">
        <v>777</v>
      </c>
      <c r="G139" s="214" t="s">
        <v>1174</v>
      </c>
      <c r="H139" s="214" t="s">
        <v>522</v>
      </c>
      <c r="I139" s="221" t="n">
        <v>46164</v>
      </c>
      <c r="J139" s="213" t="n">
        <v>5</v>
      </c>
      <c r="K139" s="213" t="s">
        <v>53</v>
      </c>
      <c r="L139" s="213" t="s">
        <v>1181</v>
      </c>
      <c r="M139" s="213" t="n">
        <f aca="false">I139-D139</f>
        <v>1163</v>
      </c>
    </row>
    <row r="140" customFormat="false" ht="15" hidden="false" customHeight="true" outlineLevel="0" collapsed="false">
      <c r="A140" s="203" t="s">
        <v>1659</v>
      </c>
      <c r="B140" s="193" t="s">
        <v>1660</v>
      </c>
      <c r="C140" s="193" t="n">
        <v>2021</v>
      </c>
      <c r="D140" s="204" t="n">
        <v>44315</v>
      </c>
      <c r="E140" s="205" t="s">
        <v>1661</v>
      </c>
      <c r="F140" s="206" t="s">
        <v>1150</v>
      </c>
      <c r="G140" s="206" t="s">
        <v>1174</v>
      </c>
      <c r="H140" s="205" t="s">
        <v>522</v>
      </c>
      <c r="I140" s="218" t="n">
        <v>46164</v>
      </c>
      <c r="J140" s="206" t="n">
        <v>5</v>
      </c>
      <c r="K140" s="205" t="s">
        <v>53</v>
      </c>
      <c r="L140" s="206" t="s">
        <v>1181</v>
      </c>
      <c r="M140" s="206" t="n">
        <f aca="false">I140-D140</f>
        <v>1849</v>
      </c>
    </row>
    <row r="141" customFormat="false" ht="15" hidden="false" customHeight="true" outlineLevel="0" collapsed="false">
      <c r="A141" s="210" t="s">
        <v>1662</v>
      </c>
      <c r="B141" s="211" t="s">
        <v>1663</v>
      </c>
      <c r="C141" s="211" t="n">
        <v>2024</v>
      </c>
      <c r="D141" s="212" t="n">
        <v>45328</v>
      </c>
      <c r="E141" s="213" t="s">
        <v>1664</v>
      </c>
      <c r="F141" s="213" t="s">
        <v>477</v>
      </c>
      <c r="G141" s="214" t="s">
        <v>1174</v>
      </c>
      <c r="H141" s="214" t="s">
        <v>310</v>
      </c>
      <c r="I141" s="221" t="n">
        <v>46167</v>
      </c>
      <c r="J141" s="213" t="n">
        <v>5</v>
      </c>
      <c r="K141" s="213" t="s">
        <v>53</v>
      </c>
      <c r="L141" s="213" t="s">
        <v>1181</v>
      </c>
      <c r="M141" s="213" t="n">
        <f aca="false">I141-D141</f>
        <v>839</v>
      </c>
    </row>
    <row r="142" customFormat="false" ht="15" hidden="false" customHeight="true" outlineLevel="0" collapsed="false">
      <c r="A142" s="203" t="s">
        <v>1665</v>
      </c>
      <c r="B142" s="193" t="s">
        <v>1666</v>
      </c>
      <c r="C142" s="193" t="n">
        <v>2023</v>
      </c>
      <c r="D142" s="204" t="n">
        <v>45034</v>
      </c>
      <c r="E142" s="205" t="s">
        <v>1667</v>
      </c>
      <c r="F142" s="206" t="s">
        <v>477</v>
      </c>
      <c r="G142" s="206" t="s">
        <v>1174</v>
      </c>
      <c r="H142" s="205" t="s">
        <v>526</v>
      </c>
      <c r="I142" s="218" t="n">
        <v>46167</v>
      </c>
      <c r="J142" s="206" t="n">
        <v>5</v>
      </c>
      <c r="K142" s="205" t="s">
        <v>53</v>
      </c>
      <c r="L142" s="206" t="s">
        <v>1181</v>
      </c>
      <c r="M142" s="206" t="n">
        <f aca="false">I142-D142</f>
        <v>1133</v>
      </c>
    </row>
    <row r="143" customFormat="false" ht="15" hidden="false" customHeight="true" outlineLevel="0" collapsed="false">
      <c r="A143" s="210" t="s">
        <v>1668</v>
      </c>
      <c r="B143" s="211" t="s">
        <v>1669</v>
      </c>
      <c r="C143" s="211" t="n">
        <v>2017</v>
      </c>
      <c r="D143" s="212" t="n">
        <v>42886</v>
      </c>
      <c r="E143" s="213" t="s">
        <v>1670</v>
      </c>
      <c r="F143" s="213" t="s">
        <v>128</v>
      </c>
      <c r="G143" s="214" t="s">
        <v>1174</v>
      </c>
      <c r="H143" s="214" t="s">
        <v>354</v>
      </c>
      <c r="I143" s="221" t="n">
        <v>46167</v>
      </c>
      <c r="J143" s="213" t="n">
        <v>5</v>
      </c>
      <c r="K143" s="213" t="s">
        <v>53</v>
      </c>
      <c r="L143" s="213" t="s">
        <v>1181</v>
      </c>
      <c r="M143" s="213" t="n">
        <f aca="false">I143-D143</f>
        <v>3281</v>
      </c>
    </row>
    <row r="144" customFormat="false" ht="15" hidden="false" customHeight="true" outlineLevel="0" collapsed="false">
      <c r="A144" s="203" t="s">
        <v>1671</v>
      </c>
      <c r="B144" s="193" t="s">
        <v>1672</v>
      </c>
      <c r="C144" s="193" t="n">
        <v>2023</v>
      </c>
      <c r="D144" s="204" t="n">
        <v>45268</v>
      </c>
      <c r="E144" s="205" t="s">
        <v>1673</v>
      </c>
      <c r="F144" s="206" t="s">
        <v>138</v>
      </c>
      <c r="G144" s="206" t="s">
        <v>1174</v>
      </c>
      <c r="H144" s="205" t="s">
        <v>208</v>
      </c>
      <c r="I144" s="218" t="n">
        <v>46167</v>
      </c>
      <c r="J144" s="206" t="n">
        <v>5</v>
      </c>
      <c r="K144" s="205" t="s">
        <v>53</v>
      </c>
      <c r="L144" s="206" t="s">
        <v>1175</v>
      </c>
      <c r="M144" s="206" t="n">
        <f aca="false">I144-D144</f>
        <v>899</v>
      </c>
    </row>
    <row r="145" customFormat="false" ht="15" hidden="false" customHeight="true" outlineLevel="0" collapsed="false">
      <c r="A145" s="210" t="s">
        <v>1674</v>
      </c>
      <c r="B145" s="211" t="s">
        <v>1675</v>
      </c>
      <c r="C145" s="211" t="n">
        <v>2024</v>
      </c>
      <c r="D145" s="212" t="n">
        <v>45404</v>
      </c>
      <c r="E145" s="213" t="s">
        <v>1676</v>
      </c>
      <c r="F145" s="213" t="s">
        <v>1424</v>
      </c>
      <c r="G145" s="214" t="s">
        <v>1174</v>
      </c>
      <c r="H145" s="214" t="s">
        <v>544</v>
      </c>
      <c r="I145" s="221" t="n">
        <v>46167</v>
      </c>
      <c r="J145" s="213" t="n">
        <v>5</v>
      </c>
      <c r="K145" s="213" t="s">
        <v>53</v>
      </c>
      <c r="L145" s="213" t="s">
        <v>1181</v>
      </c>
      <c r="M145" s="213" t="n">
        <f aca="false">I145-D145</f>
        <v>763</v>
      </c>
    </row>
    <row r="146" customFormat="false" ht="15" hidden="false" customHeight="true" outlineLevel="0" collapsed="false">
      <c r="A146" s="203" t="s">
        <v>1677</v>
      </c>
      <c r="B146" s="193" t="s">
        <v>1678</v>
      </c>
      <c r="C146" s="193" t="n">
        <v>2022</v>
      </c>
      <c r="D146" s="204" t="n">
        <v>44636</v>
      </c>
      <c r="E146" s="205" t="s">
        <v>1679</v>
      </c>
      <c r="F146" s="206" t="s">
        <v>1235</v>
      </c>
      <c r="G146" s="206" t="s">
        <v>1174</v>
      </c>
      <c r="H146" s="205" t="s">
        <v>192</v>
      </c>
      <c r="I146" s="256" t="n">
        <v>46168</v>
      </c>
      <c r="J146" s="206" t="n">
        <v>5</v>
      </c>
      <c r="K146" s="205" t="s">
        <v>53</v>
      </c>
      <c r="L146" s="206" t="s">
        <v>1175</v>
      </c>
      <c r="M146" s="206" t="n">
        <f aca="false">I146-D146</f>
        <v>1532</v>
      </c>
    </row>
    <row r="147" customFormat="false" ht="15" hidden="false" customHeight="true" outlineLevel="0" collapsed="false">
      <c r="A147" s="210" t="s">
        <v>1680</v>
      </c>
      <c r="B147" s="211" t="s">
        <v>1681</v>
      </c>
      <c r="C147" s="211" t="n">
        <v>2020</v>
      </c>
      <c r="D147" s="212" t="n">
        <v>44166</v>
      </c>
      <c r="E147" s="213" t="s">
        <v>1682</v>
      </c>
      <c r="F147" s="213" t="s">
        <v>1424</v>
      </c>
      <c r="G147" s="214" t="s">
        <v>1174</v>
      </c>
      <c r="H147" s="214" t="s">
        <v>192</v>
      </c>
      <c r="I147" s="257" t="n">
        <v>46168</v>
      </c>
      <c r="J147" s="258" t="n">
        <v>5</v>
      </c>
      <c r="K147" s="213" t="s">
        <v>53</v>
      </c>
      <c r="L147" s="213" t="s">
        <v>1181</v>
      </c>
      <c r="M147" s="213" t="n">
        <f aca="false">I147-D147</f>
        <v>2002</v>
      </c>
    </row>
    <row r="148" customFormat="false" ht="15" hidden="false" customHeight="true" outlineLevel="0" collapsed="false">
      <c r="A148" s="203" t="s">
        <v>1683</v>
      </c>
      <c r="B148" s="193" t="s">
        <v>1684</v>
      </c>
      <c r="C148" s="193" t="n">
        <v>2022</v>
      </c>
      <c r="D148" s="204" t="n">
        <v>44684</v>
      </c>
      <c r="E148" s="205" t="s">
        <v>1685</v>
      </c>
      <c r="F148" s="206" t="s">
        <v>1424</v>
      </c>
      <c r="G148" s="206" t="s">
        <v>1174</v>
      </c>
      <c r="H148" s="205" t="s">
        <v>192</v>
      </c>
      <c r="I148" s="218" t="n">
        <v>46169</v>
      </c>
      <c r="J148" s="206" t="n">
        <v>5</v>
      </c>
      <c r="K148" s="205" t="s">
        <v>53</v>
      </c>
      <c r="L148" s="206" t="s">
        <v>1175</v>
      </c>
      <c r="M148" s="206" t="n">
        <f aca="false">I148-D148</f>
        <v>1485</v>
      </c>
    </row>
    <row r="149" customFormat="false" ht="15" hidden="false" customHeight="true" outlineLevel="0" collapsed="false">
      <c r="A149" s="210" t="s">
        <v>1686</v>
      </c>
      <c r="B149" s="211" t="s">
        <v>1687</v>
      </c>
      <c r="C149" s="211" t="n">
        <v>2022</v>
      </c>
      <c r="D149" s="212" t="n">
        <v>44776</v>
      </c>
      <c r="E149" s="213" t="s">
        <v>1688</v>
      </c>
      <c r="F149" s="213" t="s">
        <v>1689</v>
      </c>
      <c r="G149" s="214" t="s">
        <v>1174</v>
      </c>
      <c r="H149" s="214" t="s">
        <v>192</v>
      </c>
      <c r="I149" s="215" t="n">
        <v>46169</v>
      </c>
      <c r="J149" s="213" t="n">
        <v>5</v>
      </c>
      <c r="K149" s="213" t="s">
        <v>53</v>
      </c>
      <c r="L149" s="213" t="s">
        <v>1181</v>
      </c>
      <c r="M149" s="213" t="n">
        <f aca="false">I149-D149</f>
        <v>1393</v>
      </c>
    </row>
    <row r="150" customFormat="false" ht="15" hidden="false" customHeight="true" outlineLevel="0" collapsed="false">
      <c r="A150" s="203" t="s">
        <v>1690</v>
      </c>
      <c r="B150" s="193" t="s">
        <v>1691</v>
      </c>
      <c r="C150" s="193" t="n">
        <v>2025</v>
      </c>
      <c r="D150" s="204" t="n">
        <v>45751</v>
      </c>
      <c r="E150" s="205" t="s">
        <v>1692</v>
      </c>
      <c r="F150" s="206" t="s">
        <v>1693</v>
      </c>
      <c r="G150" s="206" t="s">
        <v>1174</v>
      </c>
      <c r="H150" s="205" t="s">
        <v>1258</v>
      </c>
      <c r="I150" s="218" t="n">
        <v>46169</v>
      </c>
      <c r="J150" s="206" t="n">
        <v>5</v>
      </c>
      <c r="K150" s="205" t="s">
        <v>53</v>
      </c>
      <c r="L150" s="206" t="s">
        <v>1181</v>
      </c>
      <c r="M150" s="206" t="n">
        <f aca="false">I150-D150</f>
        <v>418</v>
      </c>
    </row>
    <row r="151" customFormat="false" ht="15" hidden="false" customHeight="true" outlineLevel="0" collapsed="false">
      <c r="A151" s="210" t="s">
        <v>1694</v>
      </c>
      <c r="B151" s="211" t="s">
        <v>1695</v>
      </c>
      <c r="C151" s="211" t="n">
        <v>2024</v>
      </c>
      <c r="D151" s="212" t="n">
        <v>45377</v>
      </c>
      <c r="E151" s="213" t="s">
        <v>1696</v>
      </c>
      <c r="F151" s="213" t="s">
        <v>671</v>
      </c>
      <c r="G151" s="214" t="s">
        <v>1174</v>
      </c>
      <c r="H151" s="214" t="s">
        <v>532</v>
      </c>
      <c r="I151" s="215" t="n">
        <v>46169</v>
      </c>
      <c r="J151" s="213" t="n">
        <v>5</v>
      </c>
      <c r="K151" s="213" t="s">
        <v>53</v>
      </c>
      <c r="L151" s="213" t="s">
        <v>1441</v>
      </c>
      <c r="M151" s="213" t="n">
        <f aca="false">I151-D151</f>
        <v>792</v>
      </c>
    </row>
    <row r="152" customFormat="false" ht="15" hidden="false" customHeight="true" outlineLevel="0" collapsed="false">
      <c r="A152" s="203" t="s">
        <v>1697</v>
      </c>
      <c r="B152" s="193" t="s">
        <v>1698</v>
      </c>
      <c r="C152" s="193" t="n">
        <v>2025</v>
      </c>
      <c r="D152" s="204" t="n">
        <v>45804</v>
      </c>
      <c r="E152" s="205" t="s">
        <v>1699</v>
      </c>
      <c r="F152" s="206" t="s">
        <v>1424</v>
      </c>
      <c r="G152" s="206" t="s">
        <v>1174</v>
      </c>
      <c r="H152" s="205" t="s">
        <v>208</v>
      </c>
      <c r="I152" s="218" t="n">
        <v>46169</v>
      </c>
      <c r="J152" s="206" t="n">
        <v>5</v>
      </c>
      <c r="K152" s="205" t="s">
        <v>53</v>
      </c>
      <c r="L152" s="206" t="s">
        <v>1181</v>
      </c>
      <c r="M152" s="206" t="n">
        <f aca="false">I152-D152</f>
        <v>365</v>
      </c>
    </row>
    <row r="153" customFormat="false" ht="15" hidden="false" customHeight="true" outlineLevel="0" collapsed="false">
      <c r="A153" s="210" t="s">
        <v>1700</v>
      </c>
      <c r="B153" s="211" t="s">
        <v>1701</v>
      </c>
      <c r="C153" s="211" t="n">
        <v>2022</v>
      </c>
      <c r="D153" s="212" t="n">
        <v>44914</v>
      </c>
      <c r="E153" s="213" t="s">
        <v>1702</v>
      </c>
      <c r="F153" s="213" t="s">
        <v>1689</v>
      </c>
      <c r="G153" s="214" t="s">
        <v>1174</v>
      </c>
      <c r="H153" s="214" t="s">
        <v>1703</v>
      </c>
      <c r="I153" s="221" t="n">
        <v>46169</v>
      </c>
      <c r="J153" s="213" t="n">
        <v>5</v>
      </c>
      <c r="K153" s="213" t="s">
        <v>53</v>
      </c>
      <c r="L153" s="213" t="s">
        <v>1181</v>
      </c>
      <c r="M153" s="213" t="n">
        <f aca="false">I153-D153</f>
        <v>1255</v>
      </c>
    </row>
    <row r="154" customFormat="false" ht="15" hidden="false" customHeight="true" outlineLevel="0" collapsed="false">
      <c r="A154" s="203" t="s">
        <v>1704</v>
      </c>
      <c r="B154" s="193" t="s">
        <v>1705</v>
      </c>
      <c r="C154" s="193" t="n">
        <v>2023</v>
      </c>
      <c r="D154" s="218" t="n">
        <v>45100</v>
      </c>
      <c r="E154" s="205" t="s">
        <v>1706</v>
      </c>
      <c r="F154" s="206" t="s">
        <v>1097</v>
      </c>
      <c r="G154" s="206" t="s">
        <v>1174</v>
      </c>
      <c r="H154" s="205" t="s">
        <v>208</v>
      </c>
      <c r="I154" s="218" t="n">
        <v>46169</v>
      </c>
      <c r="J154" s="206" t="n">
        <v>5</v>
      </c>
      <c r="K154" s="205" t="s">
        <v>53</v>
      </c>
      <c r="L154" s="206" t="s">
        <v>1175</v>
      </c>
      <c r="M154" s="206" t="n">
        <f aca="false">I154-D154</f>
        <v>1069</v>
      </c>
    </row>
    <row r="155" customFormat="false" ht="15" hidden="false" customHeight="true" outlineLevel="0" collapsed="false">
      <c r="A155" s="210" t="s">
        <v>1707</v>
      </c>
      <c r="B155" s="211" t="s">
        <v>1708</v>
      </c>
      <c r="C155" s="211" t="n">
        <v>2024</v>
      </c>
      <c r="D155" s="215" t="n">
        <v>45348</v>
      </c>
      <c r="E155" s="213" t="s">
        <v>1709</v>
      </c>
      <c r="F155" s="213" t="s">
        <v>1710</v>
      </c>
      <c r="G155" s="214" t="s">
        <v>1174</v>
      </c>
      <c r="H155" s="214" t="s">
        <v>1258</v>
      </c>
      <c r="I155" s="221" t="n">
        <v>46169</v>
      </c>
      <c r="J155" s="213" t="n">
        <v>5</v>
      </c>
      <c r="K155" s="213" t="s">
        <v>53</v>
      </c>
      <c r="L155" s="213" t="s">
        <v>1181</v>
      </c>
      <c r="M155" s="213" t="n">
        <f aca="false">I155-D155</f>
        <v>821</v>
      </c>
    </row>
    <row r="156" customFormat="false" ht="15" hidden="false" customHeight="true" outlineLevel="0" collapsed="false">
      <c r="A156" s="203" t="s">
        <v>1711</v>
      </c>
      <c r="B156" s="193" t="s">
        <v>1712</v>
      </c>
      <c r="C156" s="193" t="n">
        <v>2020</v>
      </c>
      <c r="D156" s="218" t="n">
        <v>44098</v>
      </c>
      <c r="E156" s="205" t="s">
        <v>1713</v>
      </c>
      <c r="F156" s="206" t="s">
        <v>780</v>
      </c>
      <c r="G156" s="206" t="s">
        <v>1174</v>
      </c>
      <c r="H156" s="205" t="s">
        <v>968</v>
      </c>
      <c r="I156" s="218" t="n">
        <v>46169</v>
      </c>
      <c r="J156" s="206" t="n">
        <v>5</v>
      </c>
      <c r="K156" s="205" t="s">
        <v>53</v>
      </c>
      <c r="L156" s="206" t="s">
        <v>1175</v>
      </c>
      <c r="M156" s="206" t="n">
        <f aca="false">I156-D156</f>
        <v>2071</v>
      </c>
    </row>
    <row r="157" customFormat="false" ht="15" hidden="false" customHeight="true" outlineLevel="0" collapsed="false">
      <c r="A157" s="210" t="s">
        <v>1714</v>
      </c>
      <c r="B157" s="211" t="s">
        <v>1715</v>
      </c>
      <c r="C157" s="211" t="n">
        <v>2024</v>
      </c>
      <c r="D157" s="215" t="n">
        <v>45516</v>
      </c>
      <c r="E157" s="213" t="s">
        <v>1716</v>
      </c>
      <c r="F157" s="213" t="s">
        <v>1424</v>
      </c>
      <c r="G157" s="214" t="s">
        <v>1174</v>
      </c>
      <c r="H157" s="214" t="s">
        <v>573</v>
      </c>
      <c r="I157" s="221" t="n">
        <v>46169</v>
      </c>
      <c r="J157" s="213" t="n">
        <v>5</v>
      </c>
      <c r="K157" s="213" t="s">
        <v>53</v>
      </c>
      <c r="L157" s="213" t="s">
        <v>1181</v>
      </c>
      <c r="M157" s="213" t="n">
        <f aca="false">I157-D157</f>
        <v>653</v>
      </c>
    </row>
    <row r="158" customFormat="false" ht="15" hidden="false" customHeight="true" outlineLevel="0" collapsed="false">
      <c r="A158" s="203" t="s">
        <v>1717</v>
      </c>
      <c r="B158" s="193" t="s">
        <v>1718</v>
      </c>
      <c r="C158" s="193" t="n">
        <v>2018</v>
      </c>
      <c r="D158" s="218" t="n">
        <v>43259</v>
      </c>
      <c r="E158" s="205" t="s">
        <v>1719</v>
      </c>
      <c r="F158" s="206" t="s">
        <v>1490</v>
      </c>
      <c r="G158" s="206" t="s">
        <v>1174</v>
      </c>
      <c r="H158" s="205" t="s">
        <v>263</v>
      </c>
      <c r="I158" s="218" t="n">
        <v>46169</v>
      </c>
      <c r="J158" s="206" t="n">
        <v>5</v>
      </c>
      <c r="K158" s="205" t="s">
        <v>53</v>
      </c>
      <c r="L158" s="206" t="s">
        <v>1181</v>
      </c>
      <c r="M158" s="206" t="n">
        <f aca="false">I158-D158</f>
        <v>2910</v>
      </c>
    </row>
    <row r="159" customFormat="false" ht="15" hidden="false" customHeight="true" outlineLevel="0" collapsed="false">
      <c r="A159" s="210" t="s">
        <v>1720</v>
      </c>
      <c r="B159" s="211" t="s">
        <v>1721</v>
      </c>
      <c r="C159" s="211" t="n">
        <v>2018</v>
      </c>
      <c r="D159" s="212" t="n">
        <v>43259</v>
      </c>
      <c r="E159" s="213" t="s">
        <v>1722</v>
      </c>
      <c r="F159" s="213" t="s">
        <v>1723</v>
      </c>
      <c r="G159" s="214" t="s">
        <v>1174</v>
      </c>
      <c r="H159" s="214" t="s">
        <v>263</v>
      </c>
      <c r="I159" s="221" t="n">
        <v>46169</v>
      </c>
      <c r="J159" s="213" t="n">
        <v>5</v>
      </c>
      <c r="K159" s="213" t="s">
        <v>53</v>
      </c>
      <c r="L159" s="213" t="s">
        <v>1181</v>
      </c>
      <c r="M159" s="213" t="n">
        <f aca="false">I159-D159</f>
        <v>2910</v>
      </c>
    </row>
    <row r="160" customFormat="false" ht="15" hidden="false" customHeight="true" outlineLevel="0" collapsed="false">
      <c r="A160" s="203" t="s">
        <v>1724</v>
      </c>
      <c r="B160" s="193" t="s">
        <v>1725</v>
      </c>
      <c r="C160" s="193" t="n">
        <v>2022</v>
      </c>
      <c r="D160" s="207" t="n">
        <v>44826</v>
      </c>
      <c r="E160" s="205" t="s">
        <v>1726</v>
      </c>
      <c r="F160" s="206" t="s">
        <v>1727</v>
      </c>
      <c r="G160" s="206" t="s">
        <v>1174</v>
      </c>
      <c r="H160" s="205" t="s">
        <v>1557</v>
      </c>
      <c r="I160" s="218" t="n">
        <v>46169</v>
      </c>
      <c r="J160" s="206" t="n">
        <v>5</v>
      </c>
      <c r="K160" s="205" t="s">
        <v>53</v>
      </c>
      <c r="L160" s="206" t="s">
        <v>1181</v>
      </c>
      <c r="M160" s="206" t="n">
        <f aca="false">I160-D160</f>
        <v>1343</v>
      </c>
    </row>
    <row r="161" customFormat="false" ht="15" hidden="false" customHeight="true" outlineLevel="0" collapsed="false">
      <c r="A161" s="210" t="s">
        <v>1728</v>
      </c>
      <c r="B161" s="211" t="s">
        <v>1729</v>
      </c>
      <c r="C161" s="211" t="n">
        <v>2018</v>
      </c>
      <c r="D161" s="212" t="n">
        <v>43390</v>
      </c>
      <c r="E161" s="213" t="s">
        <v>1730</v>
      </c>
      <c r="F161" s="213" t="s">
        <v>467</v>
      </c>
      <c r="G161" s="214" t="s">
        <v>1174</v>
      </c>
      <c r="H161" s="214" t="s">
        <v>267</v>
      </c>
      <c r="I161" s="221" t="n">
        <v>46169</v>
      </c>
      <c r="J161" s="213" t="n">
        <v>5</v>
      </c>
      <c r="K161" s="213" t="s">
        <v>53</v>
      </c>
      <c r="L161" s="213" t="s">
        <v>1175</v>
      </c>
      <c r="M161" s="213" t="n">
        <f aca="false">I161-D161</f>
        <v>2779</v>
      </c>
    </row>
    <row r="162" customFormat="false" ht="15" hidden="false" customHeight="true" outlineLevel="0" collapsed="false">
      <c r="A162" s="203" t="s">
        <v>1731</v>
      </c>
      <c r="B162" s="193" t="s">
        <v>1732</v>
      </c>
      <c r="C162" s="193" t="n">
        <v>2021</v>
      </c>
      <c r="D162" s="204" t="n">
        <v>44546</v>
      </c>
      <c r="E162" s="205" t="s">
        <v>1733</v>
      </c>
      <c r="F162" s="206" t="s">
        <v>211</v>
      </c>
      <c r="G162" s="206" t="s">
        <v>1174</v>
      </c>
      <c r="H162" s="205" t="s">
        <v>394</v>
      </c>
      <c r="I162" s="218" t="n">
        <v>46169</v>
      </c>
      <c r="J162" s="206" t="n">
        <v>5</v>
      </c>
      <c r="K162" s="205" t="s">
        <v>53</v>
      </c>
      <c r="L162" s="206" t="s">
        <v>1181</v>
      </c>
      <c r="M162" s="206" t="n">
        <f aca="false">I162-D162</f>
        <v>1623</v>
      </c>
    </row>
    <row r="163" customFormat="false" ht="15" hidden="false" customHeight="true" outlineLevel="0" collapsed="false">
      <c r="A163" s="210" t="s">
        <v>1734</v>
      </c>
      <c r="B163" s="211" t="s">
        <v>1735</v>
      </c>
      <c r="C163" s="211" t="n">
        <v>2022</v>
      </c>
      <c r="D163" s="225" t="n">
        <v>44739</v>
      </c>
      <c r="E163" s="213" t="s">
        <v>1736</v>
      </c>
      <c r="F163" s="213" t="s">
        <v>1243</v>
      </c>
      <c r="G163" s="214" t="s">
        <v>1174</v>
      </c>
      <c r="H163" s="214" t="s">
        <v>1231</v>
      </c>
      <c r="I163" s="221" t="n">
        <v>46169</v>
      </c>
      <c r="J163" s="213" t="n">
        <v>5</v>
      </c>
      <c r="K163" s="213" t="s">
        <v>53</v>
      </c>
      <c r="L163" s="213" t="s">
        <v>1175</v>
      </c>
      <c r="M163" s="213" t="n">
        <f aca="false">I163-D163</f>
        <v>1430</v>
      </c>
    </row>
    <row r="164" customFormat="false" ht="15" hidden="false" customHeight="true" outlineLevel="0" collapsed="false">
      <c r="A164" s="203" t="s">
        <v>1737</v>
      </c>
      <c r="B164" s="193" t="s">
        <v>1738</v>
      </c>
      <c r="C164" s="193" t="n">
        <v>2022</v>
      </c>
      <c r="D164" s="218" t="n">
        <v>44624</v>
      </c>
      <c r="E164" s="205" t="s">
        <v>1739</v>
      </c>
      <c r="F164" s="206" t="s">
        <v>1243</v>
      </c>
      <c r="G164" s="206" t="s">
        <v>1174</v>
      </c>
      <c r="H164" s="205" t="s">
        <v>1740</v>
      </c>
      <c r="I164" s="218" t="n">
        <v>46169</v>
      </c>
      <c r="J164" s="206" t="n">
        <v>5</v>
      </c>
      <c r="K164" s="205" t="s">
        <v>53</v>
      </c>
      <c r="L164" s="206" t="s">
        <v>1175</v>
      </c>
      <c r="M164" s="206" t="n">
        <f aca="false">I164-D164</f>
        <v>1545</v>
      </c>
    </row>
    <row r="165" customFormat="false" ht="15" hidden="false" customHeight="true" outlineLevel="0" collapsed="false">
      <c r="A165" s="210" t="s">
        <v>1741</v>
      </c>
      <c r="B165" s="211" t="s">
        <v>1742</v>
      </c>
      <c r="C165" s="211" t="n">
        <v>2018</v>
      </c>
      <c r="D165" s="212" t="n">
        <v>43230</v>
      </c>
      <c r="E165" s="213" t="s">
        <v>1743</v>
      </c>
      <c r="F165" s="213" t="s">
        <v>191</v>
      </c>
      <c r="G165" s="214" t="s">
        <v>1174</v>
      </c>
      <c r="H165" s="214" t="s">
        <v>522</v>
      </c>
      <c r="I165" s="221" t="n">
        <v>46169</v>
      </c>
      <c r="J165" s="213" t="n">
        <v>5</v>
      </c>
      <c r="K165" s="213" t="s">
        <v>53</v>
      </c>
      <c r="L165" s="213" t="s">
        <v>1181</v>
      </c>
      <c r="M165" s="213" t="n">
        <f aca="false">I165-D165</f>
        <v>2939</v>
      </c>
    </row>
    <row r="166" customFormat="false" ht="15" hidden="false" customHeight="true" outlineLevel="0" collapsed="false">
      <c r="A166" s="203" t="s">
        <v>1744</v>
      </c>
      <c r="B166" s="193" t="s">
        <v>1745</v>
      </c>
      <c r="C166" s="193" t="n">
        <v>2022</v>
      </c>
      <c r="D166" s="218" t="n">
        <v>44740</v>
      </c>
      <c r="E166" s="205" t="s">
        <v>1746</v>
      </c>
      <c r="F166" s="206" t="s">
        <v>1273</v>
      </c>
      <c r="G166" s="206" t="s">
        <v>1174</v>
      </c>
      <c r="H166" s="205" t="s">
        <v>184</v>
      </c>
      <c r="I166" s="218" t="n">
        <v>46169</v>
      </c>
      <c r="J166" s="206" t="n">
        <v>5</v>
      </c>
      <c r="K166" s="205" t="s">
        <v>53</v>
      </c>
      <c r="L166" s="206" t="s">
        <v>1181</v>
      </c>
      <c r="M166" s="206" t="n">
        <f aca="false">I166-D166</f>
        <v>1429</v>
      </c>
    </row>
    <row r="167" customFormat="false" ht="15" hidden="false" customHeight="true" outlineLevel="0" collapsed="false">
      <c r="A167" s="210" t="s">
        <v>1747</v>
      </c>
      <c r="B167" s="211" t="s">
        <v>1748</v>
      </c>
      <c r="C167" s="211" t="n">
        <v>2023</v>
      </c>
      <c r="D167" s="225" t="n">
        <v>44988</v>
      </c>
      <c r="E167" s="213" t="s">
        <v>1749</v>
      </c>
      <c r="F167" s="213" t="s">
        <v>1635</v>
      </c>
      <c r="G167" s="214" t="s">
        <v>1174</v>
      </c>
      <c r="H167" s="214" t="s">
        <v>573</v>
      </c>
      <c r="I167" s="221" t="n">
        <v>46169</v>
      </c>
      <c r="J167" s="213" t="n">
        <v>5</v>
      </c>
      <c r="K167" s="213" t="s">
        <v>53</v>
      </c>
      <c r="L167" s="213" t="s">
        <v>1175</v>
      </c>
      <c r="M167" s="213" t="n">
        <f aca="false">I167-D167</f>
        <v>1181</v>
      </c>
    </row>
    <row r="168" customFormat="false" ht="15" hidden="false" customHeight="true" outlineLevel="0" collapsed="false">
      <c r="A168" s="203" t="s">
        <v>1750</v>
      </c>
      <c r="B168" s="193" t="s">
        <v>1751</v>
      </c>
      <c r="C168" s="193" t="n">
        <v>2023</v>
      </c>
      <c r="D168" s="204" t="n">
        <v>44950</v>
      </c>
      <c r="E168" s="205" t="s">
        <v>1752</v>
      </c>
      <c r="F168" s="206" t="s">
        <v>1284</v>
      </c>
      <c r="G168" s="206" t="s">
        <v>1174</v>
      </c>
      <c r="H168" s="205" t="s">
        <v>573</v>
      </c>
      <c r="I168" s="218" t="n">
        <v>46169</v>
      </c>
      <c r="J168" s="206" t="n">
        <v>5</v>
      </c>
      <c r="K168" s="205" t="s">
        <v>53</v>
      </c>
      <c r="L168" s="206" t="s">
        <v>1181</v>
      </c>
      <c r="M168" s="206" t="n">
        <f aca="false">I168-D168</f>
        <v>1219</v>
      </c>
    </row>
    <row r="169" customFormat="false" ht="15" hidden="false" customHeight="true" outlineLevel="0" collapsed="false">
      <c r="A169" s="210" t="s">
        <v>1753</v>
      </c>
      <c r="B169" s="211" t="s">
        <v>1754</v>
      </c>
      <c r="C169" s="211" t="n">
        <v>2022</v>
      </c>
      <c r="D169" s="225" t="n">
        <v>44614</v>
      </c>
      <c r="E169" s="213" t="s">
        <v>1755</v>
      </c>
      <c r="F169" s="213" t="s">
        <v>408</v>
      </c>
      <c r="G169" s="214" t="s">
        <v>1174</v>
      </c>
      <c r="H169" s="214" t="s">
        <v>522</v>
      </c>
      <c r="I169" s="225" t="n">
        <v>46169</v>
      </c>
      <c r="J169" s="213" t="n">
        <v>5</v>
      </c>
      <c r="K169" s="213" t="s">
        <v>53</v>
      </c>
      <c r="L169" s="213" t="s">
        <v>1175</v>
      </c>
      <c r="M169" s="213" t="n">
        <f aca="false">I169-D169</f>
        <v>1555</v>
      </c>
    </row>
    <row r="170" customFormat="false" ht="15" hidden="false" customHeight="true" outlineLevel="0" collapsed="false">
      <c r="A170" s="203" t="s">
        <v>1756</v>
      </c>
      <c r="B170" s="193" t="s">
        <v>1757</v>
      </c>
      <c r="C170" s="193" t="n">
        <v>2023</v>
      </c>
      <c r="D170" s="207" t="n">
        <v>45184</v>
      </c>
      <c r="E170" s="205" t="s">
        <v>1758</v>
      </c>
      <c r="F170" s="206" t="s">
        <v>1025</v>
      </c>
      <c r="G170" s="206" t="s">
        <v>1174</v>
      </c>
      <c r="H170" s="205" t="s">
        <v>350</v>
      </c>
      <c r="I170" s="218" t="n">
        <v>46169</v>
      </c>
      <c r="J170" s="206" t="n">
        <v>5</v>
      </c>
      <c r="K170" s="205" t="s">
        <v>53</v>
      </c>
      <c r="L170" s="206" t="s">
        <v>1181</v>
      </c>
      <c r="M170" s="206" t="n">
        <f aca="false">I170-D170</f>
        <v>985</v>
      </c>
    </row>
    <row r="171" customFormat="false" ht="15" hidden="false" customHeight="true" outlineLevel="0" collapsed="false">
      <c r="A171" s="210" t="s">
        <v>1759</v>
      </c>
      <c r="B171" s="211" t="s">
        <v>1760</v>
      </c>
      <c r="C171" s="211" t="n">
        <v>2022</v>
      </c>
      <c r="D171" s="225" t="n">
        <v>44817</v>
      </c>
      <c r="E171" s="213" t="s">
        <v>1761</v>
      </c>
      <c r="F171" s="213" t="s">
        <v>1025</v>
      </c>
      <c r="G171" s="214" t="s">
        <v>1174</v>
      </c>
      <c r="H171" s="214" t="s">
        <v>267</v>
      </c>
      <c r="I171" s="221" t="n">
        <v>46169</v>
      </c>
      <c r="J171" s="213" t="n">
        <v>5</v>
      </c>
      <c r="K171" s="213" t="s">
        <v>53</v>
      </c>
      <c r="L171" s="213" t="s">
        <v>1181</v>
      </c>
      <c r="M171" s="213" t="n">
        <f aca="false">I171-D171</f>
        <v>1352</v>
      </c>
    </row>
    <row r="172" customFormat="false" ht="15" hidden="false" customHeight="true" outlineLevel="0" collapsed="false">
      <c r="A172" s="203" t="s">
        <v>1762</v>
      </c>
      <c r="B172" s="193" t="s">
        <v>1763</v>
      </c>
      <c r="C172" s="193" t="n">
        <v>2022</v>
      </c>
      <c r="D172" s="207" t="n">
        <v>44789</v>
      </c>
      <c r="E172" s="205" t="s">
        <v>1764</v>
      </c>
      <c r="F172" s="206" t="s">
        <v>1025</v>
      </c>
      <c r="G172" s="206" t="s">
        <v>1174</v>
      </c>
      <c r="H172" s="205" t="s">
        <v>208</v>
      </c>
      <c r="I172" s="218" t="n">
        <v>46169</v>
      </c>
      <c r="J172" s="206" t="n">
        <v>5</v>
      </c>
      <c r="K172" s="205" t="s">
        <v>53</v>
      </c>
      <c r="L172" s="206" t="s">
        <v>1181</v>
      </c>
      <c r="M172" s="206" t="n">
        <f aca="false">I172-D172</f>
        <v>1380</v>
      </c>
    </row>
    <row r="173" customFormat="false" ht="15" hidden="false" customHeight="true" outlineLevel="0" collapsed="false">
      <c r="A173" s="210" t="s">
        <v>1765</v>
      </c>
      <c r="B173" s="211" t="s">
        <v>1766</v>
      </c>
      <c r="C173" s="211" t="n">
        <v>2015</v>
      </c>
      <c r="D173" s="212" t="n">
        <v>42368</v>
      </c>
      <c r="E173" s="213" t="s">
        <v>1767</v>
      </c>
      <c r="F173" s="213" t="s">
        <v>1211</v>
      </c>
      <c r="G173" s="214" t="s">
        <v>1174</v>
      </c>
      <c r="H173" s="214" t="s">
        <v>706</v>
      </c>
      <c r="I173" s="221" t="n">
        <v>46169</v>
      </c>
      <c r="J173" s="213" t="n">
        <v>5</v>
      </c>
      <c r="K173" s="213" t="s">
        <v>53</v>
      </c>
      <c r="L173" s="213" t="s">
        <v>1175</v>
      </c>
      <c r="M173" s="213" t="n">
        <f aca="false">I173-D173</f>
        <v>3801</v>
      </c>
    </row>
    <row r="174" customFormat="false" ht="15" hidden="false" customHeight="true" outlineLevel="0" collapsed="false">
      <c r="A174" s="203" t="s">
        <v>1768</v>
      </c>
      <c r="B174" s="193" t="s">
        <v>1769</v>
      </c>
      <c r="C174" s="193" t="n">
        <v>2023</v>
      </c>
      <c r="D174" s="207" t="n">
        <v>45275</v>
      </c>
      <c r="E174" s="205" t="s">
        <v>1770</v>
      </c>
      <c r="F174" s="206" t="s">
        <v>689</v>
      </c>
      <c r="G174" s="206" t="s">
        <v>1174</v>
      </c>
      <c r="H174" s="205" t="s">
        <v>522</v>
      </c>
      <c r="I174" s="207" t="n">
        <v>46169</v>
      </c>
      <c r="J174" s="206" t="n">
        <v>5</v>
      </c>
      <c r="K174" s="205" t="s">
        <v>53</v>
      </c>
      <c r="L174" s="206" t="s">
        <v>1175</v>
      </c>
      <c r="M174" s="206" t="n">
        <f aca="false">I174-D174</f>
        <v>894</v>
      </c>
    </row>
    <row r="175" customFormat="false" ht="18" hidden="false" customHeight="true" outlineLevel="0" collapsed="false">
      <c r="A175" s="210" t="s">
        <v>1771</v>
      </c>
      <c r="B175" s="211" t="s">
        <v>1772</v>
      </c>
      <c r="C175" s="211" t="n">
        <v>2024</v>
      </c>
      <c r="D175" s="225" t="n">
        <v>45624</v>
      </c>
      <c r="E175" s="213" t="s">
        <v>1773</v>
      </c>
      <c r="F175" s="213" t="s">
        <v>333</v>
      </c>
      <c r="G175" s="214" t="s">
        <v>1174</v>
      </c>
      <c r="H175" s="214" t="s">
        <v>1223</v>
      </c>
      <c r="I175" s="225" t="n">
        <v>46181</v>
      </c>
      <c r="J175" s="213" t="n">
        <v>6</v>
      </c>
      <c r="K175" s="213" t="s">
        <v>53</v>
      </c>
      <c r="L175" s="213" t="s">
        <v>1175</v>
      </c>
      <c r="M175" s="213" t="n">
        <f aca="false">I175-D175</f>
        <v>557</v>
      </c>
    </row>
    <row r="176" customFormat="false" ht="15" hidden="false" customHeight="true" outlineLevel="0" collapsed="false">
      <c r="A176" s="203" t="s">
        <v>1774</v>
      </c>
      <c r="B176" s="193" t="s">
        <v>1775</v>
      </c>
      <c r="C176" s="193" t="n">
        <v>2024</v>
      </c>
      <c r="D176" s="207" t="n">
        <v>45412</v>
      </c>
      <c r="E176" s="205" t="s">
        <v>1776</v>
      </c>
      <c r="F176" s="206" t="s">
        <v>1025</v>
      </c>
      <c r="G176" s="206" t="s">
        <v>1174</v>
      </c>
      <c r="H176" s="205" t="s">
        <v>1223</v>
      </c>
      <c r="I176" s="207" t="n">
        <v>46181</v>
      </c>
      <c r="J176" s="206" t="n">
        <v>6</v>
      </c>
      <c r="K176" s="205" t="s">
        <v>53</v>
      </c>
      <c r="L176" s="206" t="s">
        <v>1181</v>
      </c>
      <c r="M176" s="206" t="n">
        <f aca="false">I176-D176</f>
        <v>769</v>
      </c>
    </row>
    <row r="177" customFormat="false" ht="15" hidden="false" customHeight="true" outlineLevel="0" collapsed="false">
      <c r="A177" s="210" t="s">
        <v>1777</v>
      </c>
      <c r="B177" s="211" t="s">
        <v>1778</v>
      </c>
      <c r="C177" s="211" t="n">
        <v>2024</v>
      </c>
      <c r="D177" s="225" t="n">
        <v>45572</v>
      </c>
      <c r="E177" s="213" t="s">
        <v>1779</v>
      </c>
      <c r="F177" s="213" t="s">
        <v>1025</v>
      </c>
      <c r="G177" s="214" t="s">
        <v>1174</v>
      </c>
      <c r="H177" s="214" t="s">
        <v>1223</v>
      </c>
      <c r="I177" s="225" t="n">
        <v>46181</v>
      </c>
      <c r="J177" s="213" t="n">
        <v>6</v>
      </c>
      <c r="K177" s="213" t="s">
        <v>53</v>
      </c>
      <c r="L177" s="213" t="s">
        <v>1181</v>
      </c>
      <c r="M177" s="213" t="n">
        <f aca="false">I177-D177</f>
        <v>609</v>
      </c>
    </row>
    <row r="178" customFormat="false" ht="15" hidden="false" customHeight="true" outlineLevel="0" collapsed="false">
      <c r="A178" s="203" t="s">
        <v>1780</v>
      </c>
      <c r="B178" s="193" t="s">
        <v>1781</v>
      </c>
      <c r="C178" s="193" t="n">
        <v>2023</v>
      </c>
      <c r="D178" s="259" t="n">
        <v>45167</v>
      </c>
      <c r="E178" s="205" t="s">
        <v>1782</v>
      </c>
      <c r="F178" s="206" t="s">
        <v>1783</v>
      </c>
      <c r="G178" s="206" t="s">
        <v>1174</v>
      </c>
      <c r="H178" s="205" t="s">
        <v>1223</v>
      </c>
      <c r="I178" s="207" t="n">
        <v>46182</v>
      </c>
      <c r="J178" s="206" t="n">
        <v>6</v>
      </c>
      <c r="K178" s="205" t="s">
        <v>53</v>
      </c>
      <c r="L178" s="206" t="s">
        <v>1181</v>
      </c>
      <c r="M178" s="206" t="n">
        <f aca="false">I178-D178</f>
        <v>1015</v>
      </c>
    </row>
    <row r="179" customFormat="false" ht="15" hidden="false" customHeight="true" outlineLevel="0" collapsed="false">
      <c r="A179" s="210" t="s">
        <v>1784</v>
      </c>
      <c r="B179" s="211" t="s">
        <v>1785</v>
      </c>
      <c r="C179" s="211" t="n">
        <v>2022</v>
      </c>
      <c r="D179" s="260" t="n">
        <v>44719</v>
      </c>
      <c r="E179" s="213" t="s">
        <v>1786</v>
      </c>
      <c r="F179" s="213" t="s">
        <v>1331</v>
      </c>
      <c r="G179" s="214" t="s">
        <v>1174</v>
      </c>
      <c r="H179" s="214" t="s">
        <v>1258</v>
      </c>
      <c r="I179" s="225" t="n">
        <v>46182</v>
      </c>
      <c r="J179" s="213" t="n">
        <v>6</v>
      </c>
      <c r="K179" s="213" t="s">
        <v>53</v>
      </c>
      <c r="L179" s="213" t="s">
        <v>1175</v>
      </c>
      <c r="M179" s="213" t="n">
        <f aca="false">I179-D179</f>
        <v>1463</v>
      </c>
    </row>
    <row r="180" customFormat="false" ht="15" hidden="false" customHeight="true" outlineLevel="0" collapsed="false">
      <c r="A180" s="203" t="s">
        <v>1787</v>
      </c>
      <c r="B180" s="193" t="s">
        <v>1788</v>
      </c>
      <c r="C180" s="193" t="n">
        <v>2021</v>
      </c>
      <c r="D180" s="207" t="n">
        <v>44463</v>
      </c>
      <c r="E180" s="205" t="s">
        <v>1789</v>
      </c>
      <c r="F180" s="206" t="s">
        <v>1790</v>
      </c>
      <c r="G180" s="206" t="s">
        <v>1188</v>
      </c>
      <c r="H180" s="205" t="s">
        <v>1791</v>
      </c>
      <c r="I180" s="207" t="n">
        <v>46182</v>
      </c>
      <c r="J180" s="206" t="n">
        <v>6</v>
      </c>
      <c r="K180" s="205" t="s">
        <v>1792</v>
      </c>
      <c r="L180" s="206" t="s">
        <v>1181</v>
      </c>
      <c r="M180" s="206" t="n">
        <f aca="false">I180-D180</f>
        <v>1719</v>
      </c>
    </row>
    <row r="181" customFormat="false" ht="15" hidden="false" customHeight="true" outlineLevel="0" collapsed="false">
      <c r="A181" s="210" t="s">
        <v>1793</v>
      </c>
      <c r="B181" s="211" t="s">
        <v>1794</v>
      </c>
      <c r="C181" s="211" t="n">
        <v>2023</v>
      </c>
      <c r="D181" s="260" t="n">
        <v>45253</v>
      </c>
      <c r="E181" s="213" t="s">
        <v>1795</v>
      </c>
      <c r="F181" s="213" t="s">
        <v>1609</v>
      </c>
      <c r="G181" s="214" t="s">
        <v>1174</v>
      </c>
      <c r="H181" s="214" t="s">
        <v>1258</v>
      </c>
      <c r="I181" s="225" t="n">
        <v>46182</v>
      </c>
      <c r="J181" s="213" t="n">
        <v>6</v>
      </c>
      <c r="K181" s="213" t="s">
        <v>53</v>
      </c>
      <c r="L181" s="213" t="s">
        <v>1441</v>
      </c>
      <c r="M181" s="213" t="n">
        <f aca="false">I181-D181</f>
        <v>929</v>
      </c>
    </row>
    <row r="182" customFormat="false" ht="15" hidden="false" customHeight="true" outlineLevel="0" collapsed="false">
      <c r="A182" s="203" t="s">
        <v>1796</v>
      </c>
      <c r="B182" s="193" t="s">
        <v>1797</v>
      </c>
      <c r="C182" s="193" t="n">
        <v>2022</v>
      </c>
      <c r="D182" s="259" t="n">
        <v>44645</v>
      </c>
      <c r="E182" s="205" t="s">
        <v>1798</v>
      </c>
      <c r="F182" s="206" t="s">
        <v>365</v>
      </c>
      <c r="G182" s="206" t="s">
        <v>1174</v>
      </c>
      <c r="H182" s="205" t="s">
        <v>1258</v>
      </c>
      <c r="I182" s="207" t="n">
        <v>46182</v>
      </c>
      <c r="J182" s="206" t="n">
        <v>6</v>
      </c>
      <c r="K182" s="205" t="s">
        <v>53</v>
      </c>
      <c r="L182" s="206" t="s">
        <v>1175</v>
      </c>
      <c r="M182" s="206" t="n">
        <f aca="false">I182-D182</f>
        <v>1537</v>
      </c>
    </row>
    <row r="183" customFormat="false" ht="15" hidden="false" customHeight="true" outlineLevel="0" collapsed="false">
      <c r="A183" s="210" t="s">
        <v>1799</v>
      </c>
      <c r="B183" s="211" t="s">
        <v>1800</v>
      </c>
      <c r="C183" s="211" t="n">
        <v>2024</v>
      </c>
      <c r="D183" s="260" t="n">
        <v>45621</v>
      </c>
      <c r="E183" s="213" t="s">
        <v>1801</v>
      </c>
      <c r="F183" s="213" t="s">
        <v>1235</v>
      </c>
      <c r="G183" s="214" t="s">
        <v>1174</v>
      </c>
      <c r="H183" s="214" t="s">
        <v>1258</v>
      </c>
      <c r="I183" s="225" t="n">
        <v>46183</v>
      </c>
      <c r="J183" s="213" t="n">
        <v>6</v>
      </c>
      <c r="K183" s="213" t="s">
        <v>53</v>
      </c>
      <c r="L183" s="213" t="s">
        <v>1175</v>
      </c>
      <c r="M183" s="213" t="n">
        <f aca="false">I183-D183</f>
        <v>562</v>
      </c>
    </row>
    <row r="184" customFormat="false" ht="15" hidden="false" customHeight="true" outlineLevel="0" collapsed="false">
      <c r="A184" s="203" t="s">
        <v>1802</v>
      </c>
      <c r="B184" s="193" t="s">
        <v>1803</v>
      </c>
      <c r="C184" s="193" t="n">
        <v>2022</v>
      </c>
      <c r="D184" s="259" t="n">
        <v>44720</v>
      </c>
      <c r="E184" s="205" t="s">
        <v>1804</v>
      </c>
      <c r="F184" s="206" t="s">
        <v>1235</v>
      </c>
      <c r="G184" s="206" t="s">
        <v>1174</v>
      </c>
      <c r="H184" s="205" t="s">
        <v>1258</v>
      </c>
      <c r="I184" s="207" t="n">
        <v>46183</v>
      </c>
      <c r="J184" s="206" t="n">
        <v>6</v>
      </c>
      <c r="K184" s="205" t="s">
        <v>53</v>
      </c>
      <c r="L184" s="206" t="s">
        <v>1175</v>
      </c>
      <c r="M184" s="206" t="n">
        <f aca="false">I184-D184</f>
        <v>1463</v>
      </c>
    </row>
    <row r="185" customFormat="false" ht="15" hidden="false" customHeight="true" outlineLevel="0" collapsed="false">
      <c r="A185" s="210" t="s">
        <v>1805</v>
      </c>
      <c r="B185" s="211" t="s">
        <v>1806</v>
      </c>
      <c r="C185" s="211" t="n">
        <v>2022</v>
      </c>
      <c r="D185" s="260" t="n">
        <v>44834</v>
      </c>
      <c r="E185" s="213" t="s">
        <v>1807</v>
      </c>
      <c r="F185" s="213" t="s">
        <v>1298</v>
      </c>
      <c r="G185" s="214" t="s">
        <v>1174</v>
      </c>
      <c r="H185" s="214" t="s">
        <v>1258</v>
      </c>
      <c r="I185" s="225" t="n">
        <v>46183</v>
      </c>
      <c r="J185" s="213" t="n">
        <v>6</v>
      </c>
      <c r="K185" s="213" t="s">
        <v>53</v>
      </c>
      <c r="L185" s="213" t="s">
        <v>1175</v>
      </c>
      <c r="M185" s="213" t="n">
        <f aca="false">I185-D185</f>
        <v>1349</v>
      </c>
    </row>
    <row r="186" customFormat="false" ht="15" hidden="false" customHeight="true" outlineLevel="0" collapsed="false">
      <c r="A186" s="203" t="s">
        <v>1808</v>
      </c>
      <c r="B186" s="193" t="s">
        <v>1809</v>
      </c>
      <c r="C186" s="193" t="n">
        <v>2024</v>
      </c>
      <c r="D186" s="259" t="n">
        <v>45345</v>
      </c>
      <c r="E186" s="205" t="s">
        <v>1810</v>
      </c>
      <c r="F186" s="206" t="s">
        <v>790</v>
      </c>
      <c r="G186" s="206" t="s">
        <v>1174</v>
      </c>
      <c r="H186" s="205" t="s">
        <v>208</v>
      </c>
      <c r="I186" s="207" t="n">
        <v>46183</v>
      </c>
      <c r="J186" s="206" t="n">
        <v>6</v>
      </c>
      <c r="K186" s="205" t="s">
        <v>53</v>
      </c>
      <c r="L186" s="206" t="s">
        <v>1181</v>
      </c>
      <c r="M186" s="206" t="n">
        <f aca="false">I186-D186</f>
        <v>838</v>
      </c>
    </row>
    <row r="187" customFormat="false" ht="15" hidden="false" customHeight="true" outlineLevel="0" collapsed="false">
      <c r="A187" s="210" t="s">
        <v>1811</v>
      </c>
      <c r="B187" s="211" t="s">
        <v>1812</v>
      </c>
      <c r="C187" s="211" t="n">
        <v>2025</v>
      </c>
      <c r="D187" s="260" t="n">
        <v>45726</v>
      </c>
      <c r="E187" s="213" t="s">
        <v>1813</v>
      </c>
      <c r="F187" s="213" t="s">
        <v>238</v>
      </c>
      <c r="G187" s="214" t="s">
        <v>1174</v>
      </c>
      <c r="H187" s="214" t="s">
        <v>208</v>
      </c>
      <c r="I187" s="225" t="n">
        <v>46183</v>
      </c>
      <c r="J187" s="213" t="n">
        <v>6</v>
      </c>
      <c r="K187" s="213" t="s">
        <v>53</v>
      </c>
      <c r="L187" s="213" t="s">
        <v>1181</v>
      </c>
      <c r="M187" s="213" t="n">
        <f aca="false">I187-D187</f>
        <v>457</v>
      </c>
    </row>
    <row r="188" customFormat="false" ht="15" hidden="false" customHeight="true" outlineLevel="0" collapsed="false">
      <c r="A188" s="203" t="s">
        <v>1814</v>
      </c>
      <c r="B188" s="193" t="s">
        <v>1815</v>
      </c>
      <c r="C188" s="193" t="n">
        <v>2024</v>
      </c>
      <c r="D188" s="259" t="n">
        <v>45392</v>
      </c>
      <c r="E188" s="205" t="s">
        <v>1816</v>
      </c>
      <c r="F188" s="206" t="s">
        <v>1817</v>
      </c>
      <c r="G188" s="206" t="s">
        <v>1174</v>
      </c>
      <c r="H188" s="205" t="s">
        <v>208</v>
      </c>
      <c r="I188" s="207" t="n">
        <v>46183</v>
      </c>
      <c r="J188" s="206" t="n">
        <v>6</v>
      </c>
      <c r="K188" s="205" t="s">
        <v>53</v>
      </c>
      <c r="L188" s="206" t="s">
        <v>1181</v>
      </c>
      <c r="M188" s="206" t="n">
        <f aca="false">I188-D188</f>
        <v>791</v>
      </c>
    </row>
    <row r="189" customFormat="false" ht="15" hidden="false" customHeight="true" outlineLevel="0" collapsed="false">
      <c r="A189" s="210" t="s">
        <v>1818</v>
      </c>
      <c r="B189" s="211" t="s">
        <v>1819</v>
      </c>
      <c r="C189" s="211" t="n">
        <v>2024</v>
      </c>
      <c r="D189" s="260" t="n">
        <v>45587</v>
      </c>
      <c r="E189" s="213" t="s">
        <v>1820</v>
      </c>
      <c r="F189" s="213" t="s">
        <v>689</v>
      </c>
      <c r="G189" s="214" t="s">
        <v>1174</v>
      </c>
      <c r="H189" s="214" t="s">
        <v>208</v>
      </c>
      <c r="I189" s="221" t="n">
        <v>46184</v>
      </c>
      <c r="J189" s="213" t="n">
        <v>6</v>
      </c>
      <c r="K189" s="213" t="s">
        <v>53</v>
      </c>
      <c r="L189" s="213" t="s">
        <v>1175</v>
      </c>
      <c r="M189" s="213" t="n">
        <f aca="false">I189-D189</f>
        <v>597</v>
      </c>
    </row>
    <row r="190" customFormat="false" ht="15" hidden="false" customHeight="true" outlineLevel="0" collapsed="false">
      <c r="A190" s="203" t="s">
        <v>1821</v>
      </c>
      <c r="B190" s="193" t="s">
        <v>1822</v>
      </c>
      <c r="C190" s="193" t="n">
        <v>2021</v>
      </c>
      <c r="D190" s="259" t="n">
        <v>44439</v>
      </c>
      <c r="E190" s="205" t="s">
        <v>1823</v>
      </c>
      <c r="F190" s="206" t="s">
        <v>1150</v>
      </c>
      <c r="G190" s="206" t="s">
        <v>1174</v>
      </c>
      <c r="H190" s="205" t="s">
        <v>208</v>
      </c>
      <c r="I190" s="218" t="n">
        <v>46184</v>
      </c>
      <c r="J190" s="206" t="n">
        <v>6</v>
      </c>
      <c r="K190" s="205" t="s">
        <v>53</v>
      </c>
      <c r="L190" s="206" t="s">
        <v>1181</v>
      </c>
      <c r="M190" s="206" t="n">
        <f aca="false">I190-D190</f>
        <v>1745</v>
      </c>
    </row>
    <row r="191" customFormat="false" ht="15" hidden="false" customHeight="true" outlineLevel="0" collapsed="false">
      <c r="A191" s="210" t="s">
        <v>1824</v>
      </c>
      <c r="B191" s="211" t="s">
        <v>1825</v>
      </c>
      <c r="C191" s="211" t="n">
        <v>2024</v>
      </c>
      <c r="D191" s="260" t="n">
        <v>45440</v>
      </c>
      <c r="E191" s="213" t="s">
        <v>1826</v>
      </c>
      <c r="F191" s="213" t="s">
        <v>1827</v>
      </c>
      <c r="G191" s="214" t="s">
        <v>1174</v>
      </c>
      <c r="H191" s="214" t="s">
        <v>208</v>
      </c>
      <c r="I191" s="221" t="n">
        <v>46184</v>
      </c>
      <c r="J191" s="213" t="n">
        <v>6</v>
      </c>
      <c r="K191" s="213" t="s">
        <v>53</v>
      </c>
      <c r="L191" s="213" t="s">
        <v>1175</v>
      </c>
      <c r="M191" s="213" t="n">
        <f aca="false">I191-D191</f>
        <v>744</v>
      </c>
    </row>
    <row r="192" customFormat="false" ht="15" hidden="false" customHeight="true" outlineLevel="0" collapsed="false">
      <c r="A192" s="203" t="s">
        <v>1828</v>
      </c>
      <c r="B192" s="193" t="s">
        <v>1829</v>
      </c>
      <c r="C192" s="193" t="n">
        <v>2023</v>
      </c>
      <c r="D192" s="259" t="n">
        <v>45138</v>
      </c>
      <c r="E192" s="205" t="s">
        <v>1830</v>
      </c>
      <c r="F192" s="206" t="s">
        <v>1273</v>
      </c>
      <c r="G192" s="206" t="s">
        <v>1174</v>
      </c>
      <c r="H192" s="205" t="s">
        <v>1740</v>
      </c>
      <c r="I192" s="218" t="n">
        <v>46184</v>
      </c>
      <c r="J192" s="206" t="n">
        <v>6</v>
      </c>
      <c r="K192" s="205" t="s">
        <v>53</v>
      </c>
      <c r="L192" s="206" t="s">
        <v>1181</v>
      </c>
      <c r="M192" s="206" t="n">
        <f aca="false">I192-D192</f>
        <v>1046</v>
      </c>
    </row>
    <row r="193" customFormat="false" ht="15" hidden="false" customHeight="true" outlineLevel="0" collapsed="false">
      <c r="A193" s="210" t="s">
        <v>1831</v>
      </c>
      <c r="B193" s="211" t="s">
        <v>1832</v>
      </c>
      <c r="C193" s="211" t="n">
        <v>2021</v>
      </c>
      <c r="D193" s="260" t="n">
        <v>44340</v>
      </c>
      <c r="E193" s="213" t="s">
        <v>1833</v>
      </c>
      <c r="F193" s="213" t="s">
        <v>1727</v>
      </c>
      <c r="G193" s="214" t="s">
        <v>1174</v>
      </c>
      <c r="H193" s="214" t="s">
        <v>231</v>
      </c>
      <c r="I193" s="221" t="n">
        <v>46184</v>
      </c>
      <c r="J193" s="213" t="n">
        <v>6</v>
      </c>
      <c r="K193" s="213" t="s">
        <v>53</v>
      </c>
      <c r="L193" s="213" t="s">
        <v>1181</v>
      </c>
      <c r="M193" s="213" t="n">
        <f aca="false">I193-D193</f>
        <v>1844</v>
      </c>
    </row>
    <row r="194" customFormat="false" ht="15" hidden="false" customHeight="true" outlineLevel="0" collapsed="false">
      <c r="A194" s="203" t="s">
        <v>1834</v>
      </c>
      <c r="B194" s="193" t="s">
        <v>1835</v>
      </c>
      <c r="C194" s="193" t="n">
        <v>2020</v>
      </c>
      <c r="D194" s="207" t="n">
        <v>44159</v>
      </c>
      <c r="E194" s="205" t="s">
        <v>1836</v>
      </c>
      <c r="F194" s="206" t="s">
        <v>1424</v>
      </c>
      <c r="G194" s="206" t="s">
        <v>1174</v>
      </c>
      <c r="H194" s="205" t="s">
        <v>1231</v>
      </c>
      <c r="I194" s="218" t="n">
        <v>46184</v>
      </c>
      <c r="J194" s="206" t="n">
        <v>6</v>
      </c>
      <c r="K194" s="205" t="s">
        <v>53</v>
      </c>
      <c r="L194" s="206" t="s">
        <v>1175</v>
      </c>
      <c r="M194" s="206" t="n">
        <f aca="false">I194-D194</f>
        <v>2025</v>
      </c>
    </row>
    <row r="195" customFormat="false" ht="15" hidden="false" customHeight="true" outlineLevel="0" collapsed="false">
      <c r="A195" s="210" t="s">
        <v>1837</v>
      </c>
      <c r="B195" s="211" t="s">
        <v>1838</v>
      </c>
      <c r="C195" s="211" t="n">
        <v>2024</v>
      </c>
      <c r="D195" s="260" t="n">
        <v>45631</v>
      </c>
      <c r="E195" s="213" t="s">
        <v>1839</v>
      </c>
      <c r="F195" s="213" t="s">
        <v>1710</v>
      </c>
      <c r="G195" s="214" t="s">
        <v>1174</v>
      </c>
      <c r="H195" s="214" t="s">
        <v>192</v>
      </c>
      <c r="I195" s="221" t="n">
        <v>46185</v>
      </c>
      <c r="J195" s="213" t="n">
        <v>6</v>
      </c>
      <c r="K195" s="213" t="s">
        <v>53</v>
      </c>
      <c r="L195" s="213" t="s">
        <v>1181</v>
      </c>
      <c r="M195" s="213" t="n">
        <f aca="false">I195-D195</f>
        <v>554</v>
      </c>
    </row>
    <row r="196" customFormat="false" ht="15" hidden="false" customHeight="true" outlineLevel="0" collapsed="false">
      <c r="A196" s="203" t="s">
        <v>1840</v>
      </c>
      <c r="B196" s="193" t="s">
        <v>1841</v>
      </c>
      <c r="C196" s="193" t="n">
        <v>2020</v>
      </c>
      <c r="D196" s="259" t="n">
        <v>44112</v>
      </c>
      <c r="E196" s="205" t="s">
        <v>1842</v>
      </c>
      <c r="F196" s="206" t="s">
        <v>1180</v>
      </c>
      <c r="G196" s="206" t="s">
        <v>1174</v>
      </c>
      <c r="H196" s="205" t="s">
        <v>192</v>
      </c>
      <c r="I196" s="207" t="n">
        <v>46185</v>
      </c>
      <c r="J196" s="206" t="n">
        <v>6</v>
      </c>
      <c r="K196" s="205" t="s">
        <v>53</v>
      </c>
      <c r="L196" s="206" t="s">
        <v>1181</v>
      </c>
      <c r="M196" s="206" t="n">
        <f aca="false">I196-D196</f>
        <v>2073</v>
      </c>
    </row>
    <row r="197" customFormat="false" ht="16.5" hidden="false" customHeight="true" outlineLevel="0" collapsed="false">
      <c r="A197" s="210" t="s">
        <v>1843</v>
      </c>
      <c r="B197" s="211" t="s">
        <v>1844</v>
      </c>
      <c r="C197" s="211" t="n">
        <v>2020</v>
      </c>
      <c r="D197" s="260" t="n">
        <v>44160</v>
      </c>
      <c r="E197" s="213" t="s">
        <v>1845</v>
      </c>
      <c r="F197" s="213" t="s">
        <v>365</v>
      </c>
      <c r="G197" s="214" t="s">
        <v>1174</v>
      </c>
      <c r="H197" s="214" t="s">
        <v>267</v>
      </c>
      <c r="I197" s="221" t="n">
        <v>46199</v>
      </c>
      <c r="J197" s="213" t="n">
        <v>6</v>
      </c>
      <c r="K197" s="213" t="s">
        <v>53</v>
      </c>
      <c r="L197" s="213" t="s">
        <v>1175</v>
      </c>
      <c r="M197" s="213" t="n">
        <f aca="false">I197-D197</f>
        <v>2039</v>
      </c>
    </row>
    <row r="198" customFormat="false" ht="15" hidden="false" customHeight="true" outlineLevel="0" collapsed="false">
      <c r="A198" s="203" t="s">
        <v>1846</v>
      </c>
      <c r="B198" s="193" t="s">
        <v>1847</v>
      </c>
      <c r="C198" s="193" t="n">
        <v>2019</v>
      </c>
      <c r="D198" s="259" t="n">
        <v>43587</v>
      </c>
      <c r="E198" s="205" t="s">
        <v>1848</v>
      </c>
      <c r="F198" s="206" t="s">
        <v>1180</v>
      </c>
      <c r="G198" s="206" t="s">
        <v>1174</v>
      </c>
      <c r="H198" s="205" t="s">
        <v>267</v>
      </c>
      <c r="I198" s="207" t="n">
        <v>46199</v>
      </c>
      <c r="J198" s="206" t="n">
        <v>6</v>
      </c>
      <c r="K198" s="205" t="s">
        <v>53</v>
      </c>
      <c r="L198" s="206" t="s">
        <v>1181</v>
      </c>
      <c r="M198" s="206" t="n">
        <f aca="false">I198-D198</f>
        <v>2612</v>
      </c>
    </row>
    <row r="199" customFormat="false" ht="15" hidden="false" customHeight="true" outlineLevel="0" collapsed="false">
      <c r="A199" s="210" t="s">
        <v>1849</v>
      </c>
      <c r="B199" s="211" t="s">
        <v>1850</v>
      </c>
      <c r="C199" s="211" t="n">
        <v>2016</v>
      </c>
      <c r="D199" s="260" t="n">
        <v>42599</v>
      </c>
      <c r="E199" s="213" t="s">
        <v>1851</v>
      </c>
      <c r="F199" s="213" t="s">
        <v>1200</v>
      </c>
      <c r="G199" s="214" t="s">
        <v>1174</v>
      </c>
      <c r="H199" s="214" t="s">
        <v>267</v>
      </c>
      <c r="I199" s="221" t="n">
        <v>46199</v>
      </c>
      <c r="J199" s="213" t="n">
        <v>6</v>
      </c>
      <c r="K199" s="213" t="s">
        <v>53</v>
      </c>
      <c r="L199" s="213" t="s">
        <v>1181</v>
      </c>
      <c r="M199" s="213" t="n">
        <f aca="false">I199-D199</f>
        <v>3600</v>
      </c>
    </row>
    <row r="200" customFormat="false" ht="15" hidden="false" customHeight="true" outlineLevel="0" collapsed="false">
      <c r="A200" s="203" t="s">
        <v>1852</v>
      </c>
      <c r="B200" s="193" t="s">
        <v>1853</v>
      </c>
      <c r="C200" s="193" t="n">
        <v>2023</v>
      </c>
      <c r="D200" s="259" t="n">
        <v>45168</v>
      </c>
      <c r="E200" s="205" t="s">
        <v>1854</v>
      </c>
      <c r="F200" s="206" t="s">
        <v>1235</v>
      </c>
      <c r="G200" s="206" t="s">
        <v>1174</v>
      </c>
      <c r="H200" s="205" t="s">
        <v>192</v>
      </c>
      <c r="I200" s="207" t="n">
        <v>46199</v>
      </c>
      <c r="J200" s="206" t="n">
        <v>6</v>
      </c>
      <c r="K200" s="205" t="s">
        <v>53</v>
      </c>
      <c r="L200" s="206" t="s">
        <v>1175</v>
      </c>
      <c r="M200" s="206" t="n">
        <f aca="false">I200-D200</f>
        <v>1031</v>
      </c>
    </row>
    <row r="201" customFormat="false" ht="15" hidden="false" customHeight="true" outlineLevel="0" collapsed="false">
      <c r="A201" s="210" t="s">
        <v>1855</v>
      </c>
      <c r="B201" s="211" t="s">
        <v>1856</v>
      </c>
      <c r="C201" s="211" t="n">
        <v>2024</v>
      </c>
      <c r="D201" s="260" t="n">
        <v>45623</v>
      </c>
      <c r="E201" s="213" t="s">
        <v>1857</v>
      </c>
      <c r="F201" s="213" t="s">
        <v>1235</v>
      </c>
      <c r="G201" s="214" t="s">
        <v>1174</v>
      </c>
      <c r="H201" s="214" t="s">
        <v>192</v>
      </c>
      <c r="I201" s="225" t="n">
        <v>46199</v>
      </c>
      <c r="J201" s="213" t="n">
        <v>6</v>
      </c>
      <c r="K201" s="213" t="s">
        <v>53</v>
      </c>
      <c r="L201" s="213" t="s">
        <v>1175</v>
      </c>
      <c r="M201" s="213" t="n">
        <f aca="false">I201-D201</f>
        <v>576</v>
      </c>
    </row>
    <row r="202" customFormat="false" ht="15" hidden="false" customHeight="true" outlineLevel="0" collapsed="false">
      <c r="A202" s="203" t="s">
        <v>1858</v>
      </c>
      <c r="B202" s="193" t="s">
        <v>1859</v>
      </c>
      <c r="C202" s="193" t="n">
        <v>2022</v>
      </c>
      <c r="D202" s="259" t="n">
        <v>44859</v>
      </c>
      <c r="E202" s="205" t="s">
        <v>1860</v>
      </c>
      <c r="F202" s="206" t="s">
        <v>1298</v>
      </c>
      <c r="G202" s="206" t="s">
        <v>1174</v>
      </c>
      <c r="H202" s="205" t="s">
        <v>1231</v>
      </c>
      <c r="I202" s="207" t="n">
        <v>46199</v>
      </c>
      <c r="J202" s="206" t="n">
        <v>6</v>
      </c>
      <c r="K202" s="205" t="s">
        <v>53</v>
      </c>
      <c r="L202" s="206" t="s">
        <v>1175</v>
      </c>
      <c r="M202" s="206" t="n">
        <f aca="false">I202-D202</f>
        <v>1340</v>
      </c>
    </row>
    <row r="203" customFormat="false" ht="15" hidden="false" customHeight="true" outlineLevel="0" collapsed="false">
      <c r="A203" s="210" t="s">
        <v>1861</v>
      </c>
      <c r="B203" s="211" t="s">
        <v>1862</v>
      </c>
      <c r="C203" s="211" t="n">
        <v>2021</v>
      </c>
      <c r="D203" s="260" t="n">
        <v>44524</v>
      </c>
      <c r="E203" s="213" t="s">
        <v>1863</v>
      </c>
      <c r="F203" s="213" t="s">
        <v>1490</v>
      </c>
      <c r="G203" s="214" t="s">
        <v>1174</v>
      </c>
      <c r="H203" s="214" t="s">
        <v>1231</v>
      </c>
      <c r="I203" s="225" t="n">
        <v>46199</v>
      </c>
      <c r="J203" s="213" t="n">
        <v>6</v>
      </c>
      <c r="K203" s="213" t="s">
        <v>53</v>
      </c>
      <c r="L203" s="213" t="s">
        <v>1181</v>
      </c>
      <c r="M203" s="213" t="n">
        <f aca="false">I203-D203</f>
        <v>1675</v>
      </c>
    </row>
    <row r="204" customFormat="false" ht="15" hidden="false" customHeight="true" outlineLevel="0" collapsed="false">
      <c r="A204" s="203" t="s">
        <v>1864</v>
      </c>
      <c r="B204" s="193" t="s">
        <v>1865</v>
      </c>
      <c r="C204" s="193" t="n">
        <v>2021</v>
      </c>
      <c r="D204" s="259" t="n">
        <v>44497</v>
      </c>
      <c r="E204" s="205" t="s">
        <v>1866</v>
      </c>
      <c r="F204" s="206" t="s">
        <v>1150</v>
      </c>
      <c r="G204" s="206" t="s">
        <v>1174</v>
      </c>
      <c r="H204" s="205" t="s">
        <v>1231</v>
      </c>
      <c r="I204" s="207" t="n">
        <v>46199</v>
      </c>
      <c r="J204" s="206" t="n">
        <v>6</v>
      </c>
      <c r="K204" s="205" t="s">
        <v>53</v>
      </c>
      <c r="L204" s="206" t="s">
        <v>1181</v>
      </c>
      <c r="M204" s="206" t="n">
        <f aca="false">I204-D204</f>
        <v>1702</v>
      </c>
    </row>
    <row r="205" customFormat="false" ht="15" hidden="false" customHeight="true" outlineLevel="0" collapsed="false">
      <c r="A205" s="210" t="s">
        <v>1867</v>
      </c>
      <c r="B205" s="211" t="s">
        <v>1868</v>
      </c>
      <c r="C205" s="211" t="n">
        <v>2024</v>
      </c>
      <c r="D205" s="260" t="n">
        <v>45370</v>
      </c>
      <c r="E205" s="213" t="s">
        <v>1869</v>
      </c>
      <c r="F205" s="213" t="s">
        <v>671</v>
      </c>
      <c r="G205" s="214" t="s">
        <v>1174</v>
      </c>
      <c r="H205" s="214" t="s">
        <v>522</v>
      </c>
      <c r="I205" s="225" t="n">
        <v>46199</v>
      </c>
      <c r="J205" s="213" t="n">
        <v>6</v>
      </c>
      <c r="K205" s="213" t="s">
        <v>53</v>
      </c>
      <c r="L205" s="213" t="s">
        <v>1441</v>
      </c>
      <c r="M205" s="213" t="n">
        <f aca="false">I205-D205</f>
        <v>829</v>
      </c>
    </row>
    <row r="206" customFormat="false" ht="15" hidden="false" customHeight="true" outlineLevel="0" collapsed="false">
      <c r="A206" s="203" t="s">
        <v>1870</v>
      </c>
      <c r="B206" s="193" t="s">
        <v>1871</v>
      </c>
      <c r="C206" s="193" t="n">
        <v>2024</v>
      </c>
      <c r="D206" s="259" t="n">
        <v>45595</v>
      </c>
      <c r="E206" s="205" t="s">
        <v>1872</v>
      </c>
      <c r="F206" s="206" t="s">
        <v>777</v>
      </c>
      <c r="G206" s="206" t="s">
        <v>1174</v>
      </c>
      <c r="H206" s="205" t="s">
        <v>1223</v>
      </c>
      <c r="I206" s="207" t="n">
        <v>46199</v>
      </c>
      <c r="J206" s="206" t="n">
        <v>6</v>
      </c>
      <c r="K206" s="205" t="s">
        <v>53</v>
      </c>
      <c r="L206" s="206" t="s">
        <v>1181</v>
      </c>
      <c r="M206" s="206" t="n">
        <f aca="false">I206-D206</f>
        <v>604</v>
      </c>
    </row>
    <row r="207" customFormat="false" ht="15" hidden="false" customHeight="true" outlineLevel="0" collapsed="false">
      <c r="A207" s="210" t="s">
        <v>1873</v>
      </c>
      <c r="B207" s="211" t="s">
        <v>1874</v>
      </c>
      <c r="C207" s="211" t="n">
        <v>2022</v>
      </c>
      <c r="D207" s="260" t="n">
        <v>44608</v>
      </c>
      <c r="E207" s="213" t="s">
        <v>1875</v>
      </c>
      <c r="F207" s="213" t="s">
        <v>1490</v>
      </c>
      <c r="G207" s="214" t="s">
        <v>1174</v>
      </c>
      <c r="H207" s="214" t="s">
        <v>223</v>
      </c>
      <c r="I207" s="225" t="n">
        <v>46199</v>
      </c>
      <c r="J207" s="213" t="n">
        <v>6</v>
      </c>
      <c r="K207" s="213" t="s">
        <v>53</v>
      </c>
      <c r="L207" s="213" t="s">
        <v>1181</v>
      </c>
      <c r="M207" s="213" t="n">
        <f aca="false">I207-D207</f>
        <v>1591</v>
      </c>
    </row>
    <row r="208" customFormat="false" ht="15" hidden="false" customHeight="true" outlineLevel="0" collapsed="false">
      <c r="A208" s="203" t="s">
        <v>1876</v>
      </c>
      <c r="B208" s="193" t="s">
        <v>1877</v>
      </c>
      <c r="C208" s="193" t="n">
        <v>2024</v>
      </c>
      <c r="D208" s="207" t="n">
        <v>45555</v>
      </c>
      <c r="E208" s="205" t="s">
        <v>1878</v>
      </c>
      <c r="F208" s="206" t="s">
        <v>1879</v>
      </c>
      <c r="G208" s="206" t="s">
        <v>1174</v>
      </c>
      <c r="H208" s="205" t="s">
        <v>1880</v>
      </c>
      <c r="I208" s="207" t="n">
        <v>46199</v>
      </c>
      <c r="J208" s="206" t="n">
        <v>6</v>
      </c>
      <c r="K208" s="205" t="s">
        <v>53</v>
      </c>
      <c r="L208" s="206" t="s">
        <v>1181</v>
      </c>
      <c r="M208" s="206" t="n">
        <f aca="false">I208-D208</f>
        <v>644</v>
      </c>
    </row>
    <row r="209" customFormat="false" ht="15" hidden="false" customHeight="true" outlineLevel="0" collapsed="false">
      <c r="A209" s="210" t="s">
        <v>1881</v>
      </c>
      <c r="B209" s="211" t="s">
        <v>1882</v>
      </c>
      <c r="C209" s="211" t="n">
        <v>2025</v>
      </c>
      <c r="D209" s="260" t="n">
        <v>45698</v>
      </c>
      <c r="E209" s="213" t="s">
        <v>1883</v>
      </c>
      <c r="F209" s="213" t="s">
        <v>1097</v>
      </c>
      <c r="G209" s="214" t="s">
        <v>1174</v>
      </c>
      <c r="H209" s="214" t="s">
        <v>522</v>
      </c>
      <c r="I209" s="225" t="n">
        <v>46199</v>
      </c>
      <c r="J209" s="213" t="n">
        <v>6</v>
      </c>
      <c r="K209" s="213" t="s">
        <v>53</v>
      </c>
      <c r="L209" s="213" t="s">
        <v>1175</v>
      </c>
      <c r="M209" s="213" t="n">
        <f aca="false">I209-D209</f>
        <v>501</v>
      </c>
    </row>
    <row r="210" customFormat="false" ht="15" hidden="false" customHeight="true" outlineLevel="0" collapsed="false">
      <c r="A210" s="203" t="s">
        <v>1884</v>
      </c>
      <c r="B210" s="193" t="s">
        <v>1885</v>
      </c>
      <c r="C210" s="193" t="n">
        <v>2025</v>
      </c>
      <c r="D210" s="259" t="n">
        <v>45902</v>
      </c>
      <c r="E210" s="205" t="s">
        <v>1886</v>
      </c>
      <c r="F210" s="206" t="s">
        <v>207</v>
      </c>
      <c r="G210" s="206" t="s">
        <v>1174</v>
      </c>
      <c r="H210" s="205" t="s">
        <v>522</v>
      </c>
      <c r="I210" s="207" t="n">
        <v>46199</v>
      </c>
      <c r="J210" s="206" t="n">
        <v>6</v>
      </c>
      <c r="K210" s="205" t="s">
        <v>53</v>
      </c>
      <c r="L210" s="206" t="s">
        <v>1181</v>
      </c>
      <c r="M210" s="206" t="n">
        <f aca="false">I210-D210</f>
        <v>297</v>
      </c>
    </row>
    <row r="211" customFormat="false" ht="15" hidden="false" customHeight="true" outlineLevel="0" collapsed="false">
      <c r="A211" s="210" t="s">
        <v>1887</v>
      </c>
      <c r="B211" s="211" t="s">
        <v>1888</v>
      </c>
      <c r="C211" s="211" t="n">
        <v>2022</v>
      </c>
      <c r="D211" s="260" t="n">
        <v>44623</v>
      </c>
      <c r="E211" s="213" t="s">
        <v>1889</v>
      </c>
      <c r="F211" s="213" t="s">
        <v>1890</v>
      </c>
      <c r="G211" s="214" t="s">
        <v>1174</v>
      </c>
      <c r="H211" s="214" t="s">
        <v>522</v>
      </c>
      <c r="I211" s="225" t="n">
        <v>46199</v>
      </c>
      <c r="J211" s="213" t="n">
        <v>6</v>
      </c>
      <c r="K211" s="213" t="s">
        <v>53</v>
      </c>
      <c r="L211" s="213" t="s">
        <v>1181</v>
      </c>
      <c r="M211" s="213" t="n">
        <f aca="false">I211-D211</f>
        <v>1576</v>
      </c>
    </row>
    <row r="212" customFormat="false" ht="15" hidden="false" customHeight="true" outlineLevel="0" collapsed="false">
      <c r="A212" s="203" t="s">
        <v>1891</v>
      </c>
      <c r="B212" s="193" t="s">
        <v>1892</v>
      </c>
      <c r="C212" s="193" t="n">
        <v>2022</v>
      </c>
      <c r="D212" s="259" t="n">
        <v>44616</v>
      </c>
      <c r="E212" s="205" t="s">
        <v>1893</v>
      </c>
      <c r="F212" s="206" t="s">
        <v>1894</v>
      </c>
      <c r="G212" s="206" t="s">
        <v>1174</v>
      </c>
      <c r="H212" s="205" t="s">
        <v>522</v>
      </c>
      <c r="I212" s="207" t="n">
        <v>46199</v>
      </c>
      <c r="J212" s="206" t="n">
        <v>6</v>
      </c>
      <c r="K212" s="205" t="s">
        <v>53</v>
      </c>
      <c r="L212" s="206" t="s">
        <v>1181</v>
      </c>
      <c r="M212" s="206" t="n">
        <f aca="false">I212-D212</f>
        <v>1583</v>
      </c>
    </row>
    <row r="213" customFormat="false" ht="15" hidden="false" customHeight="true" outlineLevel="0" collapsed="false">
      <c r="A213" s="210" t="s">
        <v>1895</v>
      </c>
      <c r="B213" s="211" t="s">
        <v>1896</v>
      </c>
      <c r="C213" s="211" t="n">
        <v>2023</v>
      </c>
      <c r="D213" s="260" t="n">
        <v>45202</v>
      </c>
      <c r="E213" s="213" t="s">
        <v>1897</v>
      </c>
      <c r="F213" s="213" t="s">
        <v>1068</v>
      </c>
      <c r="G213" s="214" t="s">
        <v>1174</v>
      </c>
      <c r="H213" s="214" t="s">
        <v>573</v>
      </c>
      <c r="I213" s="225" t="n">
        <v>46199</v>
      </c>
      <c r="J213" s="213" t="n">
        <v>6</v>
      </c>
      <c r="K213" s="213" t="s">
        <v>53</v>
      </c>
      <c r="L213" s="213" t="s">
        <v>1175</v>
      </c>
      <c r="M213" s="213" t="n">
        <f aca="false">I213-D213</f>
        <v>997</v>
      </c>
    </row>
    <row r="214" customFormat="false" ht="15" hidden="false" customHeight="true" outlineLevel="0" collapsed="false">
      <c r="A214" s="203" t="s">
        <v>1898</v>
      </c>
      <c r="B214" s="193" t="s">
        <v>1899</v>
      </c>
      <c r="C214" s="193" t="n">
        <v>2023</v>
      </c>
      <c r="D214" s="259" t="n">
        <v>45077</v>
      </c>
      <c r="E214" s="205" t="s">
        <v>1900</v>
      </c>
      <c r="F214" s="261" t="s">
        <v>902</v>
      </c>
      <c r="G214" s="206" t="s">
        <v>1174</v>
      </c>
      <c r="H214" s="262" t="s">
        <v>522</v>
      </c>
      <c r="I214" s="207" t="n">
        <v>46199</v>
      </c>
      <c r="J214" s="206" t="n">
        <v>6</v>
      </c>
      <c r="K214" s="205" t="s">
        <v>53</v>
      </c>
      <c r="L214" s="206" t="s">
        <v>1181</v>
      </c>
      <c r="M214" s="206" t="n">
        <f aca="false">I214-D214</f>
        <v>1122</v>
      </c>
    </row>
    <row r="215" customFormat="false" ht="15" hidden="false" customHeight="true" outlineLevel="0" collapsed="false">
      <c r="A215" s="210" t="s">
        <v>1901</v>
      </c>
      <c r="B215" s="211" t="s">
        <v>1902</v>
      </c>
      <c r="C215" s="211" t="n">
        <v>2024</v>
      </c>
      <c r="D215" s="260" t="n">
        <v>45504</v>
      </c>
      <c r="E215" s="213" t="s">
        <v>1903</v>
      </c>
      <c r="F215" s="213" t="s">
        <v>1383</v>
      </c>
      <c r="G215" s="214" t="s">
        <v>1174</v>
      </c>
      <c r="H215" s="214" t="s">
        <v>522</v>
      </c>
      <c r="I215" s="225" t="n">
        <v>46199</v>
      </c>
      <c r="J215" s="213" t="n">
        <v>6</v>
      </c>
      <c r="K215" s="213" t="s">
        <v>53</v>
      </c>
      <c r="L215" s="213" t="s">
        <v>1175</v>
      </c>
      <c r="M215" s="213" t="n">
        <f aca="false">I215-D215</f>
        <v>695</v>
      </c>
    </row>
    <row r="216" customFormat="false" ht="15" hidden="false" customHeight="true" outlineLevel="0" collapsed="false">
      <c r="A216" s="203" t="s">
        <v>1904</v>
      </c>
      <c r="B216" s="193" t="s">
        <v>1905</v>
      </c>
      <c r="C216" s="193" t="n">
        <v>2023</v>
      </c>
      <c r="D216" s="259" t="n">
        <v>45000</v>
      </c>
      <c r="E216" s="205" t="s">
        <v>1906</v>
      </c>
      <c r="F216" s="206" t="s">
        <v>823</v>
      </c>
      <c r="G216" s="206" t="s">
        <v>1174</v>
      </c>
      <c r="H216" s="205" t="s">
        <v>1223</v>
      </c>
      <c r="I216" s="207" t="n">
        <v>46205</v>
      </c>
      <c r="J216" s="206" t="n">
        <v>6</v>
      </c>
      <c r="K216" s="205" t="s">
        <v>53</v>
      </c>
      <c r="L216" s="206" t="s">
        <v>1181</v>
      </c>
      <c r="M216" s="206" t="n">
        <f aca="false">I216-D216</f>
        <v>1205</v>
      </c>
    </row>
    <row r="217" customFormat="false" ht="15" hidden="false" customHeight="true" outlineLevel="0" collapsed="false">
      <c r="A217" s="210" t="s">
        <v>1907</v>
      </c>
      <c r="B217" s="211" t="s">
        <v>1908</v>
      </c>
      <c r="C217" s="211" t="n">
        <v>2019</v>
      </c>
      <c r="D217" s="260" t="n">
        <v>43644</v>
      </c>
      <c r="E217" s="213" t="s">
        <v>1909</v>
      </c>
      <c r="F217" s="213" t="s">
        <v>1316</v>
      </c>
      <c r="G217" s="214" t="s">
        <v>1174</v>
      </c>
      <c r="H217" s="214" t="s">
        <v>522</v>
      </c>
      <c r="I217" s="221" t="n">
        <v>46210</v>
      </c>
      <c r="J217" s="213" t="n">
        <v>7</v>
      </c>
      <c r="K217" s="213" t="s">
        <v>53</v>
      </c>
      <c r="L217" s="213" t="s">
        <v>1181</v>
      </c>
      <c r="M217" s="213" t="n">
        <f aca="false">I217-D217</f>
        <v>2566</v>
      </c>
    </row>
    <row r="218" customFormat="false" ht="15" hidden="false" customHeight="true" outlineLevel="0" collapsed="false">
      <c r="A218" s="203" t="s">
        <v>1910</v>
      </c>
      <c r="B218" s="193" t="s">
        <v>1911</v>
      </c>
      <c r="C218" s="193" t="n">
        <v>2024</v>
      </c>
      <c r="D218" s="259" t="n">
        <v>45348</v>
      </c>
      <c r="E218" s="205" t="s">
        <v>1912</v>
      </c>
      <c r="F218" s="206" t="s">
        <v>1312</v>
      </c>
      <c r="G218" s="206" t="s">
        <v>1174</v>
      </c>
      <c r="H218" s="205" t="s">
        <v>139</v>
      </c>
      <c r="I218" s="207" t="n">
        <v>46210</v>
      </c>
      <c r="J218" s="206" t="n">
        <v>7</v>
      </c>
      <c r="K218" s="205" t="s">
        <v>53</v>
      </c>
      <c r="L218" s="206" t="s">
        <v>1175</v>
      </c>
      <c r="M218" s="206" t="n">
        <f aca="false">I218-D218</f>
        <v>862</v>
      </c>
    </row>
    <row r="219" customFormat="false" ht="15" hidden="false" customHeight="true" outlineLevel="0" collapsed="false">
      <c r="A219" s="210" t="s">
        <v>1913</v>
      </c>
      <c r="B219" s="211" t="s">
        <v>1914</v>
      </c>
      <c r="C219" s="211" t="n">
        <v>2021</v>
      </c>
      <c r="D219" s="260" t="n">
        <v>44414</v>
      </c>
      <c r="E219" s="213" t="s">
        <v>1915</v>
      </c>
      <c r="F219" s="213" t="s">
        <v>1916</v>
      </c>
      <c r="G219" s="214" t="s">
        <v>1174</v>
      </c>
      <c r="H219" s="214" t="s">
        <v>1740</v>
      </c>
      <c r="I219" s="221" t="n">
        <v>46212</v>
      </c>
      <c r="J219" s="213" t="n">
        <v>7</v>
      </c>
      <c r="K219" s="213" t="s">
        <v>53</v>
      </c>
      <c r="L219" s="213" t="s">
        <v>1181</v>
      </c>
      <c r="M219" s="213" t="n">
        <f aca="false">I219-D219</f>
        <v>1798</v>
      </c>
    </row>
    <row r="220" customFormat="false" ht="26.85" hidden="false" customHeight="false" outlineLevel="0" collapsed="false">
      <c r="A220" s="203" t="s">
        <v>1917</v>
      </c>
      <c r="B220" s="193" t="s">
        <v>1918</v>
      </c>
      <c r="C220" s="193" t="n">
        <v>2021</v>
      </c>
      <c r="D220" s="207" t="n">
        <v>44461</v>
      </c>
      <c r="E220" s="205" t="s">
        <v>1919</v>
      </c>
      <c r="F220" s="206" t="s">
        <v>1068</v>
      </c>
      <c r="G220" s="206" t="s">
        <v>1174</v>
      </c>
      <c r="H220" s="205" t="s">
        <v>1305</v>
      </c>
      <c r="I220" s="218" t="n">
        <v>46212</v>
      </c>
      <c r="J220" s="206" t="n">
        <v>7</v>
      </c>
      <c r="K220" s="205" t="s">
        <v>53</v>
      </c>
      <c r="L220" s="206" t="s">
        <v>1175</v>
      </c>
      <c r="M220" s="206" t="n">
        <f aca="false">I220-D220</f>
        <v>1751</v>
      </c>
    </row>
    <row r="221" customFormat="false" ht="15" hidden="false" customHeight="true" outlineLevel="0" collapsed="false">
      <c r="A221" s="210" t="s">
        <v>1920</v>
      </c>
      <c r="B221" s="211" t="s">
        <v>1921</v>
      </c>
      <c r="C221" s="211" t="n">
        <v>2020</v>
      </c>
      <c r="D221" s="260" t="n">
        <v>44125</v>
      </c>
      <c r="E221" s="213" t="s">
        <v>1922</v>
      </c>
      <c r="F221" s="213" t="s">
        <v>1923</v>
      </c>
      <c r="G221" s="263" t="s">
        <v>1188</v>
      </c>
      <c r="H221" s="214" t="s">
        <v>453</v>
      </c>
      <c r="I221" s="221" t="n">
        <v>46212</v>
      </c>
      <c r="J221" s="213" t="n">
        <v>7</v>
      </c>
      <c r="K221" s="213" t="s">
        <v>1187</v>
      </c>
      <c r="L221" s="213" t="s">
        <v>1175</v>
      </c>
      <c r="M221" s="213" t="n">
        <f aca="false">I221-D221</f>
        <v>2087</v>
      </c>
    </row>
    <row r="222" customFormat="false" ht="15" hidden="false" customHeight="true" outlineLevel="0" collapsed="false">
      <c r="A222" s="203" t="s">
        <v>1924</v>
      </c>
      <c r="B222" s="193" t="s">
        <v>1925</v>
      </c>
      <c r="C222" s="193" t="n">
        <v>2023</v>
      </c>
      <c r="D222" s="259" t="n">
        <v>45252</v>
      </c>
      <c r="E222" s="205" t="s">
        <v>1926</v>
      </c>
      <c r="F222" s="206" t="s">
        <v>449</v>
      </c>
      <c r="G222" s="206" t="s">
        <v>1174</v>
      </c>
      <c r="H222" s="205" t="s">
        <v>1223</v>
      </c>
      <c r="I222" s="207" t="n">
        <v>46212</v>
      </c>
      <c r="J222" s="206" t="n">
        <v>7</v>
      </c>
      <c r="K222" s="205" t="s">
        <v>53</v>
      </c>
      <c r="L222" s="206" t="s">
        <v>1181</v>
      </c>
      <c r="M222" s="206" t="n">
        <f aca="false">I222-D222</f>
        <v>960</v>
      </c>
    </row>
    <row r="223" customFormat="false" ht="15" hidden="false" customHeight="true" outlineLevel="0" collapsed="false">
      <c r="A223" s="210" t="s">
        <v>1927</v>
      </c>
      <c r="B223" s="211" t="s">
        <v>1928</v>
      </c>
      <c r="C223" s="211" t="n">
        <v>2025</v>
      </c>
      <c r="D223" s="260" t="n">
        <v>45826</v>
      </c>
      <c r="E223" s="213" t="s">
        <v>1929</v>
      </c>
      <c r="F223" s="213" t="s">
        <v>1827</v>
      </c>
      <c r="G223" s="263" t="s">
        <v>1174</v>
      </c>
      <c r="H223" s="214" t="s">
        <v>1223</v>
      </c>
      <c r="I223" s="221" t="n">
        <v>46212</v>
      </c>
      <c r="J223" s="213" t="n">
        <v>7</v>
      </c>
      <c r="K223" s="213" t="s">
        <v>53</v>
      </c>
      <c r="L223" s="213" t="s">
        <v>1175</v>
      </c>
      <c r="M223" s="213" t="n">
        <f aca="false">I223-D223</f>
        <v>386</v>
      </c>
    </row>
    <row r="224" customFormat="false" ht="15" hidden="false" customHeight="true" outlineLevel="0" collapsed="false">
      <c r="A224" s="203" t="s">
        <v>1930</v>
      </c>
      <c r="B224" s="193" t="s">
        <v>1931</v>
      </c>
      <c r="C224" s="193" t="n">
        <v>2016</v>
      </c>
      <c r="D224" s="259" t="n">
        <v>42398</v>
      </c>
      <c r="E224" s="205" t="s">
        <v>1932</v>
      </c>
      <c r="F224" s="206" t="s">
        <v>138</v>
      </c>
      <c r="G224" s="206" t="s">
        <v>1174</v>
      </c>
      <c r="H224" s="205" t="s">
        <v>354</v>
      </c>
      <c r="I224" s="207" t="n">
        <v>46218</v>
      </c>
      <c r="J224" s="206" t="n">
        <v>7</v>
      </c>
      <c r="K224" s="205" t="s">
        <v>53</v>
      </c>
      <c r="L224" s="206" t="s">
        <v>1175</v>
      </c>
      <c r="M224" s="206" t="n">
        <f aca="false">I224-D224</f>
        <v>3820</v>
      </c>
    </row>
    <row r="225" customFormat="false" ht="15" hidden="false" customHeight="true" outlineLevel="0" collapsed="false">
      <c r="A225" s="210" t="s">
        <v>1933</v>
      </c>
      <c r="B225" s="211" t="s">
        <v>1934</v>
      </c>
      <c r="C225" s="211" t="n">
        <v>2022</v>
      </c>
      <c r="D225" s="260" t="n">
        <v>44820</v>
      </c>
      <c r="E225" s="213" t="s">
        <v>1935</v>
      </c>
      <c r="F225" s="213" t="s">
        <v>1693</v>
      </c>
      <c r="G225" s="263" t="s">
        <v>1174</v>
      </c>
      <c r="H225" s="214" t="s">
        <v>1936</v>
      </c>
      <c r="I225" s="221" t="n">
        <v>46223</v>
      </c>
      <c r="J225" s="213" t="n">
        <v>7</v>
      </c>
      <c r="K225" s="213" t="s">
        <v>53</v>
      </c>
      <c r="L225" s="213" t="s">
        <v>1181</v>
      </c>
      <c r="M225" s="213" t="n">
        <f aca="false">I225-D225</f>
        <v>1403</v>
      </c>
    </row>
    <row r="226" customFormat="false" ht="15" hidden="false" customHeight="true" outlineLevel="0" collapsed="false">
      <c r="A226" s="203" t="s">
        <v>1937</v>
      </c>
      <c r="B226" s="193" t="s">
        <v>1938</v>
      </c>
      <c r="C226" s="193" t="n">
        <v>2023</v>
      </c>
      <c r="D226" s="259" t="n">
        <v>45016</v>
      </c>
      <c r="E226" s="205" t="s">
        <v>1939</v>
      </c>
      <c r="F226" s="206" t="s">
        <v>1511</v>
      </c>
      <c r="G226" s="206" t="s">
        <v>1174</v>
      </c>
      <c r="H226" s="205" t="s">
        <v>522</v>
      </c>
      <c r="I226" s="207" t="n">
        <v>46223</v>
      </c>
      <c r="J226" s="206" t="n">
        <v>7</v>
      </c>
      <c r="K226" s="205" t="s">
        <v>53</v>
      </c>
      <c r="L226" s="206" t="s">
        <v>1181</v>
      </c>
      <c r="M226" s="206" t="n">
        <f aca="false">I226-D226</f>
        <v>1207</v>
      </c>
    </row>
    <row r="227" customFormat="false" ht="15" hidden="false" customHeight="true" outlineLevel="0" collapsed="false">
      <c r="A227" s="210" t="s">
        <v>1940</v>
      </c>
      <c r="B227" s="211" t="s">
        <v>1941</v>
      </c>
      <c r="C227" s="211" t="n">
        <v>2023</v>
      </c>
      <c r="D227" s="260" t="n">
        <v>45107</v>
      </c>
      <c r="E227" s="213" t="s">
        <v>1942</v>
      </c>
      <c r="F227" s="213" t="s">
        <v>689</v>
      </c>
      <c r="G227" s="263" t="s">
        <v>1174</v>
      </c>
      <c r="H227" s="214" t="s">
        <v>522</v>
      </c>
      <c r="I227" s="221" t="n">
        <v>46223</v>
      </c>
      <c r="J227" s="213" t="n">
        <v>7</v>
      </c>
      <c r="K227" s="213" t="s">
        <v>53</v>
      </c>
      <c r="L227" s="213" t="s">
        <v>1175</v>
      </c>
      <c r="M227" s="213" t="n">
        <f aca="false">I227-D227</f>
        <v>1116</v>
      </c>
    </row>
    <row r="228" customFormat="false" ht="15" hidden="false" customHeight="true" outlineLevel="0" collapsed="false">
      <c r="A228" s="203" t="s">
        <v>1943</v>
      </c>
      <c r="B228" s="193" t="s">
        <v>1944</v>
      </c>
      <c r="C228" s="193" t="n">
        <v>2025</v>
      </c>
      <c r="D228" s="207" t="n">
        <v>45693</v>
      </c>
      <c r="E228" s="205" t="s">
        <v>1945</v>
      </c>
      <c r="F228" s="206" t="s">
        <v>777</v>
      </c>
      <c r="G228" s="206" t="s">
        <v>1174</v>
      </c>
      <c r="H228" s="205" t="s">
        <v>706</v>
      </c>
      <c r="I228" s="218" t="n">
        <v>46223</v>
      </c>
      <c r="J228" s="206" t="n">
        <v>7</v>
      </c>
      <c r="K228" s="205" t="s">
        <v>53</v>
      </c>
      <c r="L228" s="206" t="s">
        <v>1181</v>
      </c>
      <c r="M228" s="206" t="n">
        <f aca="false">I228-D228</f>
        <v>530</v>
      </c>
    </row>
    <row r="229" customFormat="false" ht="15" hidden="false" customHeight="true" outlineLevel="0" collapsed="false">
      <c r="A229" s="210" t="s">
        <v>1946</v>
      </c>
      <c r="B229" s="211" t="s">
        <v>1947</v>
      </c>
      <c r="C229" s="211" t="n">
        <v>2020</v>
      </c>
      <c r="D229" s="260" t="n">
        <v>44111</v>
      </c>
      <c r="E229" s="213" t="s">
        <v>1948</v>
      </c>
      <c r="F229" s="213" t="s">
        <v>1068</v>
      </c>
      <c r="G229" s="263" t="s">
        <v>1174</v>
      </c>
      <c r="H229" s="214" t="s">
        <v>544</v>
      </c>
      <c r="I229" s="221" t="n">
        <v>46227</v>
      </c>
      <c r="J229" s="213" t="n">
        <v>7</v>
      </c>
      <c r="K229" s="213" t="s">
        <v>53</v>
      </c>
      <c r="L229" s="213" t="s">
        <v>1175</v>
      </c>
      <c r="M229" s="213" t="n">
        <f aca="false">I229-D229</f>
        <v>2116</v>
      </c>
    </row>
    <row r="230" customFormat="false" ht="15" hidden="false" customHeight="true" outlineLevel="0" collapsed="false">
      <c r="A230" s="203" t="s">
        <v>1949</v>
      </c>
      <c r="B230" s="193" t="s">
        <v>1950</v>
      </c>
      <c r="C230" s="193" t="n">
        <v>2023</v>
      </c>
      <c r="D230" s="259" t="n">
        <v>45259</v>
      </c>
      <c r="E230" s="205" t="s">
        <v>1951</v>
      </c>
      <c r="F230" s="206" t="s">
        <v>1150</v>
      </c>
      <c r="G230" s="206" t="s">
        <v>1174</v>
      </c>
      <c r="H230" s="205" t="s">
        <v>1952</v>
      </c>
      <c r="I230" s="207" t="n">
        <v>46227</v>
      </c>
      <c r="J230" s="206" t="n">
        <v>7</v>
      </c>
      <c r="K230" s="205" t="s">
        <v>53</v>
      </c>
      <c r="L230" s="206" t="s">
        <v>1181</v>
      </c>
      <c r="M230" s="206" t="n">
        <f aca="false">I230-D230</f>
        <v>968</v>
      </c>
    </row>
    <row r="231" customFormat="false" ht="15" hidden="false" customHeight="true" outlineLevel="0" collapsed="false">
      <c r="A231" s="210" t="s">
        <v>1953</v>
      </c>
      <c r="B231" s="211" t="s">
        <v>1954</v>
      </c>
      <c r="C231" s="211" t="n">
        <v>2024</v>
      </c>
      <c r="D231" s="260" t="n">
        <v>45414</v>
      </c>
      <c r="E231" s="213" t="s">
        <v>1955</v>
      </c>
      <c r="F231" s="213" t="s">
        <v>668</v>
      </c>
      <c r="G231" s="263" t="s">
        <v>1174</v>
      </c>
      <c r="H231" s="214" t="s">
        <v>208</v>
      </c>
      <c r="I231" s="221" t="n">
        <v>46230</v>
      </c>
      <c r="J231" s="213" t="n">
        <v>7</v>
      </c>
      <c r="K231" s="213" t="s">
        <v>53</v>
      </c>
      <c r="L231" s="213" t="s">
        <v>1181</v>
      </c>
      <c r="M231" s="213" t="n">
        <f aca="false">I231-D231</f>
        <v>816</v>
      </c>
    </row>
    <row r="232" customFormat="false" ht="15" hidden="false" customHeight="true" outlineLevel="0" collapsed="false">
      <c r="A232" s="203" t="s">
        <v>1956</v>
      </c>
      <c r="B232" s="193" t="s">
        <v>1957</v>
      </c>
      <c r="C232" s="193" t="n">
        <v>2022</v>
      </c>
      <c r="D232" s="259" t="n">
        <v>44865</v>
      </c>
      <c r="E232" s="205" t="s">
        <v>1958</v>
      </c>
      <c r="F232" s="206" t="s">
        <v>777</v>
      </c>
      <c r="G232" s="206" t="s">
        <v>1174</v>
      </c>
      <c r="H232" s="142" t="s">
        <v>394</v>
      </c>
      <c r="I232" s="264" t="n">
        <v>46230</v>
      </c>
      <c r="J232" s="66" t="n">
        <v>7</v>
      </c>
      <c r="K232" s="205" t="s">
        <v>53</v>
      </c>
      <c r="L232" s="206" t="s">
        <v>1181</v>
      </c>
      <c r="M232" s="206" t="n">
        <f aca="false">I232-D232</f>
        <v>1365</v>
      </c>
    </row>
    <row r="233" customFormat="false" ht="15" hidden="false" customHeight="true" outlineLevel="0" collapsed="false">
      <c r="A233" s="210" t="s">
        <v>1959</v>
      </c>
      <c r="B233" s="211" t="s">
        <v>1960</v>
      </c>
      <c r="C233" s="211" t="n">
        <v>2024</v>
      </c>
      <c r="D233" s="260" t="n">
        <v>45510</v>
      </c>
      <c r="E233" s="213" t="s">
        <v>1961</v>
      </c>
      <c r="F233" s="213" t="s">
        <v>777</v>
      </c>
      <c r="G233" s="263" t="s">
        <v>1174</v>
      </c>
      <c r="H233" s="214" t="s">
        <v>208</v>
      </c>
      <c r="I233" s="221" t="n">
        <v>46233</v>
      </c>
      <c r="J233" s="213" t="n">
        <v>7</v>
      </c>
      <c r="K233" s="213" t="s">
        <v>53</v>
      </c>
      <c r="L233" s="213" t="s">
        <v>1181</v>
      </c>
      <c r="M233" s="213" t="n">
        <f aca="false">I233-D233</f>
        <v>723</v>
      </c>
    </row>
    <row r="234" customFormat="false" ht="15" hidden="false" customHeight="true" outlineLevel="0" collapsed="false">
      <c r="A234" s="203" t="s">
        <v>1962</v>
      </c>
      <c r="B234" s="193" t="s">
        <v>1963</v>
      </c>
      <c r="C234" s="193" t="n">
        <v>2019</v>
      </c>
      <c r="D234" s="259" t="n">
        <v>43642</v>
      </c>
      <c r="E234" s="205" t="s">
        <v>1964</v>
      </c>
      <c r="F234" s="206" t="s">
        <v>1531</v>
      </c>
      <c r="G234" s="206" t="s">
        <v>1174</v>
      </c>
      <c r="H234" s="205" t="s">
        <v>1231</v>
      </c>
      <c r="I234" s="207" t="n">
        <v>46233</v>
      </c>
      <c r="J234" s="66" t="n">
        <v>7</v>
      </c>
      <c r="K234" s="205" t="s">
        <v>53</v>
      </c>
      <c r="L234" s="206" t="s">
        <v>1181</v>
      </c>
      <c r="M234" s="206" t="n">
        <f aca="false">I234-D234</f>
        <v>2591</v>
      </c>
    </row>
    <row r="235" customFormat="false" ht="15" hidden="false" customHeight="true" outlineLevel="0" collapsed="false">
      <c r="A235" s="210" t="s">
        <v>1965</v>
      </c>
      <c r="B235" s="211" t="s">
        <v>1966</v>
      </c>
      <c r="C235" s="211" t="n">
        <v>2023</v>
      </c>
      <c r="D235" s="260" t="n">
        <v>45187</v>
      </c>
      <c r="E235" s="213" t="s">
        <v>1967</v>
      </c>
      <c r="F235" s="213" t="s">
        <v>467</v>
      </c>
      <c r="G235" s="263" t="s">
        <v>1174</v>
      </c>
      <c r="H235" s="214" t="s">
        <v>1258</v>
      </c>
      <c r="I235" s="221" t="n">
        <v>46233</v>
      </c>
      <c r="J235" s="213" t="n">
        <v>7</v>
      </c>
      <c r="K235" s="213" t="s">
        <v>53</v>
      </c>
      <c r="L235" s="213" t="s">
        <v>1175</v>
      </c>
      <c r="M235" s="213" t="n">
        <f aca="false">I235-D235</f>
        <v>1046</v>
      </c>
    </row>
    <row r="236" customFormat="false" ht="15" hidden="false" customHeight="true" outlineLevel="0" collapsed="false">
      <c r="A236" s="203" t="s">
        <v>1968</v>
      </c>
      <c r="B236" s="193" t="s">
        <v>1969</v>
      </c>
      <c r="C236" s="193" t="n">
        <v>2021</v>
      </c>
      <c r="D236" s="207" t="n">
        <v>44516</v>
      </c>
      <c r="E236" s="205" t="s">
        <v>1970</v>
      </c>
      <c r="F236" s="206" t="s">
        <v>1068</v>
      </c>
      <c r="G236" s="206" t="s">
        <v>1174</v>
      </c>
      <c r="H236" s="205" t="s">
        <v>1258</v>
      </c>
      <c r="I236" s="218" t="n">
        <v>46233</v>
      </c>
      <c r="J236" s="66" t="n">
        <v>7</v>
      </c>
      <c r="K236" s="205" t="s">
        <v>53</v>
      </c>
      <c r="L236" s="206" t="s">
        <v>1175</v>
      </c>
      <c r="M236" s="206" t="n">
        <f aca="false">I236-D236</f>
        <v>1717</v>
      </c>
    </row>
    <row r="237" customFormat="false" ht="15" hidden="false" customHeight="true" outlineLevel="0" collapsed="false">
      <c r="A237" s="210" t="s">
        <v>1971</v>
      </c>
      <c r="B237" s="211" t="s">
        <v>1972</v>
      </c>
      <c r="C237" s="211" t="n">
        <v>2024</v>
      </c>
      <c r="D237" s="260" t="n">
        <v>45433</v>
      </c>
      <c r="E237" s="213" t="s">
        <v>1973</v>
      </c>
      <c r="F237" s="213" t="s">
        <v>1452</v>
      </c>
      <c r="G237" s="263" t="s">
        <v>1174</v>
      </c>
      <c r="H237" s="214" t="s">
        <v>1258</v>
      </c>
      <c r="I237" s="221" t="n">
        <v>46234</v>
      </c>
      <c r="J237" s="213" t="n">
        <v>7</v>
      </c>
      <c r="K237" s="213" t="s">
        <v>53</v>
      </c>
      <c r="L237" s="213" t="s">
        <v>1181</v>
      </c>
      <c r="M237" s="213" t="n">
        <f aca="false">I237-D237</f>
        <v>801</v>
      </c>
    </row>
    <row r="238" customFormat="false" ht="15" hidden="false" customHeight="true" outlineLevel="0" collapsed="false">
      <c r="A238" s="203" t="s">
        <v>1974</v>
      </c>
      <c r="B238" s="193" t="s">
        <v>1975</v>
      </c>
      <c r="C238" s="193" t="n">
        <v>2024</v>
      </c>
      <c r="D238" s="259" t="n">
        <v>45301</v>
      </c>
      <c r="E238" s="205" t="s">
        <v>1976</v>
      </c>
      <c r="F238" s="206" t="s">
        <v>1025</v>
      </c>
      <c r="G238" s="206" t="s">
        <v>1174</v>
      </c>
      <c r="H238" s="205" t="s">
        <v>1258</v>
      </c>
      <c r="I238" s="207" t="n">
        <v>46234</v>
      </c>
      <c r="J238" s="66" t="n">
        <v>7</v>
      </c>
      <c r="K238" s="205" t="s">
        <v>53</v>
      </c>
      <c r="L238" s="206" t="s">
        <v>1181</v>
      </c>
      <c r="M238" s="206" t="n">
        <f aca="false">I238-D238</f>
        <v>933</v>
      </c>
    </row>
    <row r="239" customFormat="false" ht="15" hidden="false" customHeight="true" outlineLevel="0" collapsed="false">
      <c r="A239" s="210" t="s">
        <v>1977</v>
      </c>
      <c r="B239" s="211" t="s">
        <v>1978</v>
      </c>
      <c r="C239" s="211" t="n">
        <v>2022</v>
      </c>
      <c r="D239" s="260" t="n">
        <v>44701</v>
      </c>
      <c r="E239" s="213" t="s">
        <v>1979</v>
      </c>
      <c r="F239" s="213" t="s">
        <v>467</v>
      </c>
      <c r="G239" s="263" t="s">
        <v>1174</v>
      </c>
      <c r="H239" s="214" t="s">
        <v>1258</v>
      </c>
      <c r="I239" s="221" t="n">
        <v>46240</v>
      </c>
      <c r="J239" s="213" t="n">
        <v>8</v>
      </c>
      <c r="K239" s="213" t="s">
        <v>53</v>
      </c>
      <c r="L239" s="213" t="s">
        <v>1175</v>
      </c>
      <c r="M239" s="213" t="n">
        <f aca="false">I239-D239</f>
        <v>1539</v>
      </c>
    </row>
    <row r="240" customFormat="false" ht="15" hidden="false" customHeight="true" outlineLevel="0" collapsed="false">
      <c r="A240" s="203" t="s">
        <v>1980</v>
      </c>
      <c r="B240" s="193" t="s">
        <v>1981</v>
      </c>
      <c r="C240" s="193" t="n">
        <v>2023</v>
      </c>
      <c r="D240" s="259" t="n">
        <v>45014</v>
      </c>
      <c r="E240" s="205" t="s">
        <v>1982</v>
      </c>
      <c r="F240" s="66" t="s">
        <v>1983</v>
      </c>
      <c r="G240" s="206" t="s">
        <v>1174</v>
      </c>
      <c r="H240" s="142" t="s">
        <v>1258</v>
      </c>
      <c r="I240" s="207" t="n">
        <v>46240</v>
      </c>
      <c r="J240" s="66" t="n">
        <v>8</v>
      </c>
      <c r="K240" s="205" t="s">
        <v>53</v>
      </c>
      <c r="L240" s="206" t="s">
        <v>1175</v>
      </c>
      <c r="M240" s="206" t="n">
        <f aca="false">I240-D240</f>
        <v>1226</v>
      </c>
    </row>
    <row r="241" customFormat="false" ht="15" hidden="false" customHeight="true" outlineLevel="0" collapsed="false">
      <c r="A241" s="210" t="s">
        <v>1984</v>
      </c>
      <c r="B241" s="211" t="s">
        <v>1985</v>
      </c>
      <c r="C241" s="211" t="n">
        <v>2017</v>
      </c>
      <c r="D241" s="260" t="n">
        <v>43049</v>
      </c>
      <c r="E241" s="213" t="s">
        <v>1986</v>
      </c>
      <c r="F241" s="213" t="s">
        <v>1987</v>
      </c>
      <c r="G241" s="263" t="s">
        <v>1174</v>
      </c>
      <c r="H241" s="214" t="s">
        <v>1258</v>
      </c>
      <c r="I241" s="221" t="n">
        <v>46240</v>
      </c>
      <c r="J241" s="213" t="n">
        <v>8</v>
      </c>
      <c r="K241" s="213" t="s">
        <v>53</v>
      </c>
      <c r="L241" s="213" t="s">
        <v>1181</v>
      </c>
      <c r="M241" s="213" t="n">
        <f aca="false">I241-D241</f>
        <v>3191</v>
      </c>
    </row>
    <row r="242" customFormat="false" ht="15" hidden="false" customHeight="true" outlineLevel="0" collapsed="false">
      <c r="A242" s="203" t="s">
        <v>1988</v>
      </c>
      <c r="B242" s="193" t="s">
        <v>1989</v>
      </c>
      <c r="C242" s="193" t="n">
        <v>2022</v>
      </c>
      <c r="D242" s="259" t="n">
        <v>44797</v>
      </c>
      <c r="E242" s="205" t="s">
        <v>1990</v>
      </c>
      <c r="F242" s="206" t="s">
        <v>474</v>
      </c>
      <c r="G242" s="206" t="s">
        <v>1174</v>
      </c>
      <c r="H242" s="142" t="s">
        <v>1258</v>
      </c>
      <c r="I242" s="207" t="n">
        <v>46240</v>
      </c>
      <c r="J242" s="66" t="n">
        <v>8</v>
      </c>
      <c r="K242" s="205" t="s">
        <v>53</v>
      </c>
      <c r="L242" s="206" t="s">
        <v>1175</v>
      </c>
      <c r="M242" s="206" t="n">
        <f aca="false">I242-D242</f>
        <v>1443</v>
      </c>
    </row>
    <row r="243" customFormat="false" ht="15" hidden="false" customHeight="true" outlineLevel="0" collapsed="false">
      <c r="A243" s="210" t="s">
        <v>1991</v>
      </c>
      <c r="B243" s="211" t="s">
        <v>1992</v>
      </c>
      <c r="C243" s="211" t="n">
        <v>2023</v>
      </c>
      <c r="D243" s="260" t="n">
        <v>45225</v>
      </c>
      <c r="E243" s="213" t="s">
        <v>1993</v>
      </c>
      <c r="F243" s="213" t="s">
        <v>191</v>
      </c>
      <c r="G243" s="263" t="s">
        <v>1174</v>
      </c>
      <c r="H243" s="214" t="s">
        <v>573</v>
      </c>
      <c r="I243" s="221" t="n">
        <v>46240</v>
      </c>
      <c r="J243" s="213" t="n">
        <v>8</v>
      </c>
      <c r="K243" s="213" t="s">
        <v>53</v>
      </c>
      <c r="L243" s="213" t="s">
        <v>1181</v>
      </c>
      <c r="M243" s="213" t="n">
        <f aca="false">I243-D243</f>
        <v>1015</v>
      </c>
    </row>
    <row r="244" customFormat="false" ht="15" hidden="false" customHeight="true" outlineLevel="0" collapsed="false">
      <c r="A244" s="203" t="s">
        <v>1994</v>
      </c>
      <c r="B244" s="193" t="s">
        <v>1995</v>
      </c>
      <c r="C244" s="193" t="n">
        <v>2022</v>
      </c>
      <c r="D244" s="259" t="n">
        <v>44776</v>
      </c>
      <c r="E244" s="265" t="s">
        <v>1996</v>
      </c>
      <c r="F244" s="266" t="s">
        <v>1312</v>
      </c>
      <c r="G244" s="206" t="s">
        <v>1174</v>
      </c>
      <c r="H244" s="205" t="s">
        <v>573</v>
      </c>
      <c r="I244" s="207" t="n">
        <v>46240</v>
      </c>
      <c r="J244" s="206" t="n">
        <v>8</v>
      </c>
      <c r="K244" s="205" t="s">
        <v>53</v>
      </c>
      <c r="L244" s="206" t="s">
        <v>1175</v>
      </c>
      <c r="M244" s="206" t="n">
        <f aca="false">I244-D244</f>
        <v>1464</v>
      </c>
    </row>
    <row r="245" s="267" customFormat="true" ht="15" hidden="false" customHeight="true" outlineLevel="0" collapsed="false">
      <c r="A245" s="210" t="s">
        <v>1997</v>
      </c>
      <c r="B245" s="211" t="s">
        <v>1998</v>
      </c>
      <c r="C245" s="211" t="n">
        <v>2025</v>
      </c>
      <c r="D245" s="260" t="n">
        <v>45751</v>
      </c>
      <c r="E245" s="213" t="s">
        <v>1999</v>
      </c>
      <c r="F245" s="213" t="s">
        <v>1243</v>
      </c>
      <c r="G245" s="263" t="s">
        <v>1174</v>
      </c>
      <c r="H245" s="214" t="s">
        <v>522</v>
      </c>
      <c r="I245" s="221" t="n">
        <v>46240</v>
      </c>
      <c r="J245" s="213" t="n">
        <v>8</v>
      </c>
      <c r="K245" s="213" t="s">
        <v>53</v>
      </c>
      <c r="L245" s="213" t="s">
        <v>1175</v>
      </c>
      <c r="M245" s="213" t="n">
        <f aca="false">I245-D245</f>
        <v>489</v>
      </c>
    </row>
    <row r="246" customFormat="false" ht="15" hidden="false" customHeight="true" outlineLevel="0" collapsed="false">
      <c r="A246" s="203" t="s">
        <v>2000</v>
      </c>
      <c r="B246" s="268" t="s">
        <v>2001</v>
      </c>
      <c r="C246" s="268" t="n">
        <v>2021</v>
      </c>
      <c r="D246" s="269" t="n">
        <v>44454</v>
      </c>
      <c r="E246" s="270" t="s">
        <v>2002</v>
      </c>
      <c r="F246" s="266" t="s">
        <v>2003</v>
      </c>
      <c r="G246" s="206" t="s">
        <v>1174</v>
      </c>
      <c r="H246" s="270" t="s">
        <v>223</v>
      </c>
      <c r="I246" s="207" t="n">
        <v>46240</v>
      </c>
      <c r="J246" s="206" t="n">
        <v>8</v>
      </c>
      <c r="K246" s="205" t="s">
        <v>53</v>
      </c>
      <c r="L246" s="206" t="s">
        <v>1181</v>
      </c>
      <c r="M246" s="206" t="n">
        <f aca="false">I246-D246</f>
        <v>1786</v>
      </c>
    </row>
    <row r="247" customFormat="false" ht="15" hidden="false" customHeight="true" outlineLevel="0" collapsed="false">
      <c r="A247" s="210" t="s">
        <v>2004</v>
      </c>
      <c r="B247" s="271" t="s">
        <v>2005</v>
      </c>
      <c r="C247" s="271" t="n">
        <v>2022</v>
      </c>
      <c r="D247" s="272" t="n">
        <v>44890</v>
      </c>
      <c r="E247" s="273" t="s">
        <v>2006</v>
      </c>
      <c r="F247" s="273" t="s">
        <v>2003</v>
      </c>
      <c r="G247" s="206" t="s">
        <v>1174</v>
      </c>
      <c r="H247" s="274" t="s">
        <v>471</v>
      </c>
      <c r="I247" s="221" t="n">
        <v>46241</v>
      </c>
      <c r="J247" s="273" t="n">
        <v>8</v>
      </c>
      <c r="K247" s="273" t="s">
        <v>53</v>
      </c>
      <c r="L247" s="273" t="s">
        <v>1181</v>
      </c>
      <c r="M247" s="213" t="n">
        <f aca="false">I247-D247</f>
        <v>1351</v>
      </c>
    </row>
    <row r="248" customFormat="false" ht="15" hidden="false" customHeight="true" outlineLevel="0" collapsed="false">
      <c r="A248" s="203" t="s">
        <v>2007</v>
      </c>
      <c r="B248" s="268" t="s">
        <v>2008</v>
      </c>
      <c r="C248" s="268" t="n">
        <v>2023</v>
      </c>
      <c r="D248" s="269" t="n">
        <v>45033</v>
      </c>
      <c r="E248" s="270" t="s">
        <v>2009</v>
      </c>
      <c r="F248" s="266" t="s">
        <v>2010</v>
      </c>
      <c r="G248" s="266" t="s">
        <v>1174</v>
      </c>
      <c r="H248" s="270" t="s">
        <v>471</v>
      </c>
      <c r="I248" s="221" t="n">
        <v>46240</v>
      </c>
      <c r="J248" s="266" t="n">
        <v>8</v>
      </c>
      <c r="K248" s="266" t="s">
        <v>53</v>
      </c>
      <c r="L248" s="266" t="s">
        <v>1181</v>
      </c>
      <c r="M248" s="206" t="n">
        <f aca="false">I248-D248</f>
        <v>1207</v>
      </c>
    </row>
    <row r="249" customFormat="false" ht="15" hidden="false" customHeight="true" outlineLevel="0" collapsed="false">
      <c r="A249" s="210" t="s">
        <v>2011</v>
      </c>
      <c r="B249" s="271" t="s">
        <v>2012</v>
      </c>
      <c r="C249" s="271" t="n">
        <v>2019</v>
      </c>
      <c r="D249" s="272" t="n">
        <v>43811</v>
      </c>
      <c r="E249" s="273" t="s">
        <v>2013</v>
      </c>
      <c r="F249" s="273" t="s">
        <v>2014</v>
      </c>
      <c r="G249" s="274" t="s">
        <v>1174</v>
      </c>
      <c r="H249" s="274" t="s">
        <v>471</v>
      </c>
      <c r="I249" s="221" t="n">
        <v>46241</v>
      </c>
      <c r="J249" s="273" t="n">
        <v>8</v>
      </c>
      <c r="K249" s="273" t="s">
        <v>53</v>
      </c>
      <c r="L249" s="273" t="s">
        <v>1181</v>
      </c>
      <c r="M249" s="213" t="n">
        <f aca="false">I249-D249</f>
        <v>2430</v>
      </c>
    </row>
    <row r="250" customFormat="false" ht="15" hidden="false" customHeight="true" outlineLevel="0" collapsed="false">
      <c r="A250" s="203" t="s">
        <v>2015</v>
      </c>
      <c r="B250" s="268" t="s">
        <v>2016</v>
      </c>
      <c r="C250" s="268" t="n">
        <v>2023</v>
      </c>
      <c r="D250" s="269" t="n">
        <v>45148</v>
      </c>
      <c r="E250" s="270" t="s">
        <v>2017</v>
      </c>
      <c r="F250" s="266" t="s">
        <v>777</v>
      </c>
      <c r="G250" s="266" t="s">
        <v>1174</v>
      </c>
      <c r="H250" s="270" t="s">
        <v>184</v>
      </c>
      <c r="I250" s="221" t="n">
        <v>46242</v>
      </c>
      <c r="J250" s="266" t="n">
        <v>8</v>
      </c>
      <c r="K250" s="266" t="s">
        <v>53</v>
      </c>
      <c r="L250" s="266" t="s">
        <v>1181</v>
      </c>
      <c r="M250" s="206" t="n">
        <f aca="false">I250-D250</f>
        <v>1094</v>
      </c>
    </row>
    <row r="251" customFormat="false" ht="15" hidden="false" customHeight="true" outlineLevel="0" collapsed="false">
      <c r="A251" s="210" t="s">
        <v>2018</v>
      </c>
      <c r="B251" s="271" t="s">
        <v>2019</v>
      </c>
      <c r="C251" s="271" t="n">
        <v>2022</v>
      </c>
      <c r="D251" s="272" t="n">
        <v>44655</v>
      </c>
      <c r="E251" s="273" t="s">
        <v>2020</v>
      </c>
      <c r="F251" s="273" t="s">
        <v>777</v>
      </c>
      <c r="G251" s="274" t="s">
        <v>1174</v>
      </c>
      <c r="H251" s="274" t="s">
        <v>184</v>
      </c>
      <c r="I251" s="221" t="n">
        <v>46241</v>
      </c>
      <c r="J251" s="273" t="n">
        <v>8</v>
      </c>
      <c r="K251" s="273" t="s">
        <v>53</v>
      </c>
      <c r="L251" s="273" t="s">
        <v>1181</v>
      </c>
      <c r="M251" s="213" t="n">
        <f aca="false">I251-D251</f>
        <v>1586</v>
      </c>
    </row>
    <row r="252" customFormat="false" ht="15" hidden="false" customHeight="true" outlineLevel="0" collapsed="false">
      <c r="A252" s="203" t="s">
        <v>2021</v>
      </c>
      <c r="B252" s="268" t="s">
        <v>2022</v>
      </c>
      <c r="C252" s="268" t="n">
        <v>2022</v>
      </c>
      <c r="D252" s="269" t="n">
        <v>44869</v>
      </c>
      <c r="E252" s="270" t="s">
        <v>2023</v>
      </c>
      <c r="F252" s="266" t="s">
        <v>1235</v>
      </c>
      <c r="G252" s="266" t="s">
        <v>1174</v>
      </c>
      <c r="H252" s="270" t="s">
        <v>184</v>
      </c>
      <c r="I252" s="221" t="n">
        <v>46242</v>
      </c>
      <c r="J252" s="266" t="n">
        <v>8</v>
      </c>
      <c r="K252" s="266" t="s">
        <v>53</v>
      </c>
      <c r="L252" s="266" t="s">
        <v>1175</v>
      </c>
      <c r="M252" s="206" t="n">
        <f aca="false">I252-D252</f>
        <v>1373</v>
      </c>
    </row>
    <row r="253" customFormat="false" ht="15" hidden="false" customHeight="true" outlineLevel="0" collapsed="false">
      <c r="A253" s="210" t="s">
        <v>2024</v>
      </c>
      <c r="B253" s="271"/>
      <c r="C253" s="271"/>
      <c r="D253" s="272"/>
      <c r="E253" s="273"/>
      <c r="F253" s="273"/>
      <c r="G253" s="274"/>
      <c r="H253" s="274"/>
      <c r="I253" s="221"/>
      <c r="J253" s="273"/>
      <c r="K253" s="273"/>
      <c r="L253" s="273"/>
      <c r="M253" s="206" t="n">
        <f aca="false">I253-D253</f>
        <v>0</v>
      </c>
    </row>
    <row r="254" customFormat="false" ht="15" hidden="false" customHeight="true" outlineLevel="0" collapsed="false">
      <c r="A254" s="203" t="s">
        <v>2025</v>
      </c>
      <c r="B254" s="268"/>
      <c r="C254" s="268"/>
      <c r="D254" s="269"/>
      <c r="E254" s="270"/>
      <c r="F254" s="266"/>
      <c r="G254" s="266"/>
      <c r="H254" s="270"/>
      <c r="I254" s="207"/>
      <c r="J254" s="266"/>
      <c r="K254" s="266"/>
      <c r="L254" s="266"/>
      <c r="M254" s="206" t="n">
        <f aca="false">I254-D254</f>
        <v>0</v>
      </c>
    </row>
    <row r="255" customFormat="false" ht="15" hidden="false" customHeight="true" outlineLevel="0" collapsed="false">
      <c r="A255" s="210" t="s">
        <v>2026</v>
      </c>
      <c r="B255" s="271"/>
      <c r="C255" s="271"/>
      <c r="D255" s="272"/>
      <c r="E255" s="273"/>
      <c r="F255" s="273"/>
      <c r="G255" s="274"/>
      <c r="H255" s="274"/>
      <c r="I255" s="221"/>
      <c r="J255" s="273"/>
      <c r="K255" s="273"/>
      <c r="L255" s="273"/>
      <c r="M255" s="206" t="n">
        <f aca="false">I255-D255</f>
        <v>0</v>
      </c>
    </row>
    <row r="256" customFormat="false" ht="15" hidden="false" customHeight="true" outlineLevel="0" collapsed="false">
      <c r="A256" s="203" t="s">
        <v>2027</v>
      </c>
      <c r="B256" s="268"/>
      <c r="C256" s="268"/>
      <c r="D256" s="269"/>
      <c r="E256" s="270"/>
      <c r="F256" s="266"/>
      <c r="G256" s="266"/>
      <c r="H256" s="270"/>
      <c r="I256" s="275"/>
      <c r="J256" s="266"/>
      <c r="K256" s="266"/>
      <c r="L256" s="266"/>
      <c r="M256" s="206" t="n">
        <f aca="false">I256-D256</f>
        <v>0</v>
      </c>
    </row>
    <row r="257" customFormat="false" ht="15" hidden="false" customHeight="true" outlineLevel="0" collapsed="false">
      <c r="A257" s="210" t="s">
        <v>2028</v>
      </c>
      <c r="B257" s="271"/>
      <c r="C257" s="271"/>
      <c r="D257" s="272"/>
      <c r="E257" s="273"/>
      <c r="F257" s="273"/>
      <c r="G257" s="274"/>
      <c r="H257" s="274"/>
      <c r="I257" s="221"/>
      <c r="J257" s="273"/>
      <c r="K257" s="273"/>
      <c r="L257" s="273"/>
      <c r="M257" s="206" t="n">
        <f aca="false">I257-D257</f>
        <v>0</v>
      </c>
    </row>
    <row r="258" customFormat="false" ht="15" hidden="false" customHeight="true" outlineLevel="0" collapsed="false">
      <c r="A258" s="203" t="s">
        <v>2029</v>
      </c>
      <c r="B258" s="268"/>
      <c r="C258" s="268"/>
      <c r="D258" s="269"/>
      <c r="E258" s="270"/>
      <c r="F258" s="266"/>
      <c r="G258" s="266"/>
      <c r="H258" s="270"/>
      <c r="I258" s="275"/>
      <c r="J258" s="266"/>
      <c r="K258" s="266"/>
      <c r="L258" s="266"/>
      <c r="M258" s="206" t="n">
        <f aca="false">I258-D258</f>
        <v>0</v>
      </c>
    </row>
    <row r="259" customFormat="false" ht="15" hidden="false" customHeight="true" outlineLevel="0" collapsed="false">
      <c r="A259" s="210" t="s">
        <v>2030</v>
      </c>
      <c r="B259" s="271"/>
      <c r="C259" s="271"/>
      <c r="D259" s="272"/>
      <c r="E259" s="273"/>
      <c r="F259" s="273"/>
      <c r="G259" s="274"/>
      <c r="H259" s="274"/>
      <c r="I259" s="221"/>
      <c r="J259" s="273"/>
      <c r="K259" s="273"/>
      <c r="L259" s="273"/>
      <c r="M259" s="206" t="n">
        <f aca="false">I259-D259</f>
        <v>0</v>
      </c>
    </row>
    <row r="260" customFormat="false" ht="15" hidden="false" customHeight="true" outlineLevel="0" collapsed="false">
      <c r="A260" s="203" t="s">
        <v>2031</v>
      </c>
      <c r="B260" s="268"/>
      <c r="C260" s="268"/>
      <c r="D260" s="269"/>
      <c r="E260" s="270"/>
      <c r="F260" s="266"/>
      <c r="G260" s="266"/>
      <c r="H260" s="270"/>
      <c r="I260" s="275"/>
      <c r="J260" s="266"/>
      <c r="K260" s="266"/>
      <c r="L260" s="266"/>
      <c r="M260" s="206" t="n">
        <f aca="false">I260-D260</f>
        <v>0</v>
      </c>
    </row>
    <row r="261" customFormat="false" ht="15" hidden="false" customHeight="true" outlineLevel="0" collapsed="false">
      <c r="A261" s="210" t="s">
        <v>2032</v>
      </c>
      <c r="B261" s="271"/>
      <c r="C261" s="271"/>
      <c r="D261" s="272"/>
      <c r="E261" s="273"/>
      <c r="F261" s="273"/>
      <c r="G261" s="274"/>
      <c r="H261" s="274"/>
      <c r="I261" s="221"/>
      <c r="J261" s="273"/>
      <c r="K261" s="273"/>
      <c r="L261" s="273"/>
      <c r="M261" s="206" t="n">
        <f aca="false">I261-D261</f>
        <v>0</v>
      </c>
    </row>
    <row r="262" customFormat="false" ht="15" hidden="false" customHeight="true" outlineLevel="0" collapsed="false">
      <c r="A262" s="203" t="s">
        <v>2033</v>
      </c>
      <c r="B262" s="268"/>
      <c r="C262" s="268"/>
      <c r="D262" s="269"/>
      <c r="E262" s="270"/>
      <c r="F262" s="266"/>
      <c r="G262" s="266"/>
      <c r="H262" s="270"/>
      <c r="I262" s="221"/>
      <c r="J262" s="266"/>
      <c r="K262" s="266"/>
      <c r="L262" s="266"/>
      <c r="M262" s="206" t="n">
        <f aca="false">I262-D262</f>
        <v>0</v>
      </c>
    </row>
    <row r="263" customFormat="false" ht="15" hidden="false" customHeight="true" outlineLevel="0" collapsed="false">
      <c r="A263" s="210" t="s">
        <v>2034</v>
      </c>
      <c r="B263" s="271"/>
      <c r="C263" s="271"/>
      <c r="D263" s="272"/>
      <c r="E263" s="273"/>
      <c r="F263" s="273"/>
      <c r="G263" s="274"/>
      <c r="H263" s="274"/>
      <c r="I263" s="221"/>
      <c r="J263" s="273"/>
      <c r="K263" s="273"/>
      <c r="L263" s="273"/>
      <c r="M263" s="206" t="n">
        <f aca="false">I263-D263</f>
        <v>0</v>
      </c>
    </row>
    <row r="264" customFormat="false" ht="15" hidden="false" customHeight="true" outlineLevel="0" collapsed="false">
      <c r="A264" s="203" t="s">
        <v>2035</v>
      </c>
      <c r="B264" s="268"/>
      <c r="C264" s="268"/>
      <c r="D264" s="269"/>
      <c r="E264" s="270"/>
      <c r="F264" s="266"/>
      <c r="G264" s="266"/>
      <c r="H264" s="268"/>
      <c r="I264" s="275"/>
      <c r="J264" s="266"/>
      <c r="K264" s="266"/>
      <c r="L264" s="266"/>
      <c r="M264" s="206" t="n">
        <f aca="false">I264-D264</f>
        <v>0</v>
      </c>
    </row>
    <row r="265" customFormat="false" ht="15" hidden="false" customHeight="true" outlineLevel="0" collapsed="false">
      <c r="A265" s="210" t="s">
        <v>2036</v>
      </c>
      <c r="B265" s="271"/>
      <c r="C265" s="271"/>
      <c r="D265" s="272"/>
      <c r="E265" s="273"/>
      <c r="F265" s="273"/>
      <c r="G265" s="274"/>
      <c r="H265" s="271"/>
      <c r="I265" s="221"/>
      <c r="J265" s="273"/>
      <c r="K265" s="273"/>
      <c r="L265" s="273"/>
      <c r="M265" s="206" t="n">
        <f aca="false">I265-D265</f>
        <v>0</v>
      </c>
    </row>
    <row r="266" customFormat="false" ht="15" hidden="false" customHeight="true" outlineLevel="0" collapsed="false">
      <c r="A266" s="203" t="s">
        <v>2037</v>
      </c>
      <c r="B266" s="268"/>
      <c r="C266" s="268"/>
      <c r="D266" s="269"/>
      <c r="E266" s="270"/>
      <c r="F266" s="266"/>
      <c r="G266" s="266"/>
      <c r="H266" s="268"/>
      <c r="I266" s="275"/>
      <c r="J266" s="266"/>
      <c r="K266" s="266"/>
      <c r="L266" s="266"/>
      <c r="M266" s="206" t="n">
        <f aca="false">I266-D266</f>
        <v>0</v>
      </c>
    </row>
    <row r="267" customFormat="false" ht="15" hidden="false" customHeight="true" outlineLevel="0" collapsed="false">
      <c r="A267" s="210" t="s">
        <v>2038</v>
      </c>
      <c r="B267" s="271"/>
      <c r="C267" s="271"/>
      <c r="D267" s="272"/>
      <c r="E267" s="273"/>
      <c r="F267" s="273"/>
      <c r="G267" s="274"/>
      <c r="H267" s="271"/>
      <c r="I267" s="221"/>
      <c r="J267" s="273"/>
      <c r="K267" s="273"/>
      <c r="L267" s="273"/>
      <c r="M267" s="206" t="n">
        <f aca="false">I267-D267</f>
        <v>0</v>
      </c>
    </row>
    <row r="268" customFormat="false" ht="15" hidden="false" customHeight="true" outlineLevel="0" collapsed="false">
      <c r="A268" s="203" t="s">
        <v>2039</v>
      </c>
      <c r="B268" s="268"/>
      <c r="C268" s="268"/>
      <c r="D268" s="269"/>
      <c r="E268" s="270"/>
      <c r="F268" s="266"/>
      <c r="G268" s="266"/>
      <c r="H268" s="268"/>
      <c r="I268" s="275"/>
      <c r="J268" s="266"/>
      <c r="K268" s="266"/>
      <c r="L268" s="266"/>
      <c r="M268" s="206" t="n">
        <f aca="false">I268-D268</f>
        <v>0</v>
      </c>
    </row>
    <row r="269" customFormat="false" ht="15" hidden="false" customHeight="true" outlineLevel="0" collapsed="false">
      <c r="A269" s="210" t="s">
        <v>2040</v>
      </c>
      <c r="B269" s="271"/>
      <c r="C269" s="271"/>
      <c r="D269" s="272"/>
      <c r="E269" s="273"/>
      <c r="F269" s="273"/>
      <c r="G269" s="274"/>
      <c r="H269" s="271"/>
      <c r="I269" s="221"/>
      <c r="J269" s="273"/>
      <c r="K269" s="273"/>
      <c r="L269" s="273"/>
      <c r="M269" s="206" t="n">
        <f aca="false">I269-D269</f>
        <v>0</v>
      </c>
    </row>
    <row r="270" customFormat="false" ht="15" hidden="false" customHeight="true" outlineLevel="0" collapsed="false">
      <c r="A270" s="203" t="s">
        <v>2041</v>
      </c>
      <c r="B270" s="268"/>
      <c r="C270" s="268"/>
      <c r="D270" s="269"/>
      <c r="E270" s="270"/>
      <c r="F270" s="266"/>
      <c r="G270" s="266"/>
      <c r="H270" s="268"/>
      <c r="I270" s="275"/>
      <c r="J270" s="266"/>
      <c r="K270" s="266"/>
      <c r="L270" s="266"/>
      <c r="M270" s="206" t="n">
        <f aca="false">I270-D270</f>
        <v>0</v>
      </c>
    </row>
    <row r="271" customFormat="false" ht="15" hidden="false" customHeight="true" outlineLevel="0" collapsed="false">
      <c r="A271" s="210" t="s">
        <v>2042</v>
      </c>
      <c r="B271" s="271"/>
      <c r="C271" s="271"/>
      <c r="D271" s="272"/>
      <c r="E271" s="273"/>
      <c r="F271" s="273"/>
      <c r="G271" s="274"/>
      <c r="H271" s="271"/>
      <c r="I271" s="221"/>
      <c r="J271" s="273"/>
      <c r="K271" s="273"/>
      <c r="L271" s="273"/>
      <c r="M271" s="206" t="n">
        <f aca="false">I271-D271</f>
        <v>0</v>
      </c>
    </row>
    <row r="272" customFormat="false" ht="15" hidden="false" customHeight="true" outlineLevel="0" collapsed="false">
      <c r="A272" s="203" t="s">
        <v>2043</v>
      </c>
      <c r="B272" s="268"/>
      <c r="C272" s="268"/>
      <c r="D272" s="269"/>
      <c r="E272" s="270"/>
      <c r="F272" s="266"/>
      <c r="G272" s="266"/>
      <c r="H272" s="268"/>
      <c r="I272" s="275"/>
      <c r="J272" s="266"/>
      <c r="K272" s="266"/>
      <c r="L272" s="266"/>
      <c r="M272" s="206" t="n">
        <f aca="false">I272-D272</f>
        <v>0</v>
      </c>
    </row>
    <row r="273" customFormat="false" ht="15" hidden="false" customHeight="true" outlineLevel="0" collapsed="false">
      <c r="A273" s="210" t="s">
        <v>2044</v>
      </c>
      <c r="B273" s="271"/>
      <c r="C273" s="271"/>
      <c r="D273" s="272"/>
      <c r="E273" s="273"/>
      <c r="F273" s="273"/>
      <c r="G273" s="274"/>
      <c r="H273" s="271"/>
      <c r="I273" s="221"/>
      <c r="J273" s="273"/>
      <c r="K273" s="273"/>
      <c r="L273" s="273"/>
      <c r="M273" s="206" t="n">
        <f aca="false">I273-D273</f>
        <v>0</v>
      </c>
    </row>
    <row r="274" customFormat="false" ht="15" hidden="false" customHeight="true" outlineLevel="0" collapsed="false">
      <c r="A274" s="203" t="s">
        <v>2045</v>
      </c>
      <c r="B274" s="268"/>
      <c r="C274" s="268"/>
      <c r="D274" s="269"/>
      <c r="E274" s="270"/>
      <c r="F274" s="266"/>
      <c r="G274" s="266"/>
      <c r="H274" s="268"/>
      <c r="I274" s="275"/>
      <c r="J274" s="266"/>
      <c r="K274" s="266"/>
      <c r="L274" s="266"/>
      <c r="M274" s="206" t="n">
        <f aca="false">I274-D274</f>
        <v>0</v>
      </c>
    </row>
    <row r="275" customFormat="false" ht="15" hidden="false" customHeight="true" outlineLevel="0" collapsed="false">
      <c r="A275" s="210" t="s">
        <v>2046</v>
      </c>
      <c r="B275" s="271"/>
      <c r="C275" s="271"/>
      <c r="D275" s="272"/>
      <c r="E275" s="273"/>
      <c r="F275" s="273"/>
      <c r="G275" s="274"/>
      <c r="H275" s="271"/>
      <c r="I275" s="221"/>
      <c r="J275" s="273"/>
      <c r="K275" s="273"/>
      <c r="L275" s="273"/>
      <c r="M275" s="206" t="n">
        <f aca="false">I275-D275</f>
        <v>0</v>
      </c>
    </row>
    <row r="276" customFormat="false" ht="15" hidden="false" customHeight="true" outlineLevel="0" collapsed="false">
      <c r="A276" s="203" t="s">
        <v>2047</v>
      </c>
      <c r="B276" s="268"/>
      <c r="C276" s="268"/>
      <c r="D276" s="269"/>
      <c r="E276" s="270"/>
      <c r="F276" s="266"/>
      <c r="G276" s="266"/>
      <c r="H276" s="268"/>
      <c r="I276" s="275"/>
      <c r="J276" s="266"/>
      <c r="K276" s="266"/>
      <c r="L276" s="266"/>
      <c r="M276" s="206" t="n">
        <f aca="false">I276-D276</f>
        <v>0</v>
      </c>
    </row>
    <row r="277" customFormat="false" ht="15" hidden="false" customHeight="true" outlineLevel="0" collapsed="false">
      <c r="A277" s="210" t="s">
        <v>2048</v>
      </c>
      <c r="B277" s="271"/>
      <c r="C277" s="271"/>
      <c r="D277" s="272"/>
      <c r="E277" s="273"/>
      <c r="F277" s="273"/>
      <c r="G277" s="274"/>
      <c r="H277" s="271"/>
      <c r="I277" s="221"/>
      <c r="J277" s="273"/>
      <c r="K277" s="273"/>
      <c r="L277" s="273"/>
      <c r="M277" s="206" t="n">
        <f aca="false">I277-D277</f>
        <v>0</v>
      </c>
    </row>
    <row r="278" customFormat="false" ht="15" hidden="false" customHeight="true" outlineLevel="0" collapsed="false">
      <c r="A278" s="203" t="s">
        <v>2049</v>
      </c>
      <c r="B278" s="268"/>
      <c r="C278" s="268"/>
      <c r="D278" s="269"/>
      <c r="E278" s="270"/>
      <c r="F278" s="266"/>
      <c r="G278" s="266"/>
      <c r="H278" s="268"/>
      <c r="I278" s="275"/>
      <c r="J278" s="266"/>
      <c r="K278" s="266"/>
      <c r="L278" s="266"/>
      <c r="M278" s="206" t="n">
        <f aca="false">I278-D278</f>
        <v>0</v>
      </c>
    </row>
    <row r="279" customFormat="false" ht="15" hidden="false" customHeight="true" outlineLevel="0" collapsed="false">
      <c r="A279" s="210" t="s">
        <v>2050</v>
      </c>
      <c r="B279" s="271"/>
      <c r="C279" s="271"/>
      <c r="D279" s="272"/>
      <c r="E279" s="273"/>
      <c r="F279" s="273"/>
      <c r="G279" s="274"/>
      <c r="H279" s="271"/>
      <c r="I279" s="221"/>
      <c r="J279" s="273"/>
      <c r="K279" s="273"/>
      <c r="L279" s="273"/>
      <c r="M279" s="206" t="n">
        <f aca="false">I279-D279</f>
        <v>0</v>
      </c>
    </row>
    <row r="280" customFormat="false" ht="15" hidden="false" customHeight="true" outlineLevel="0" collapsed="false">
      <c r="A280" s="203" t="s">
        <v>2051</v>
      </c>
      <c r="B280" s="268"/>
      <c r="C280" s="268"/>
      <c r="D280" s="269"/>
      <c r="E280" s="270"/>
      <c r="F280" s="266"/>
      <c r="G280" s="266"/>
      <c r="H280" s="268"/>
      <c r="I280" s="275"/>
      <c r="J280" s="266"/>
      <c r="K280" s="266"/>
      <c r="L280" s="266"/>
      <c r="M280" s="206" t="n">
        <f aca="false">I280-D280</f>
        <v>0</v>
      </c>
    </row>
    <row r="281" customFormat="false" ht="15" hidden="false" customHeight="true" outlineLevel="0" collapsed="false">
      <c r="A281" s="210" t="s">
        <v>2052</v>
      </c>
      <c r="B281" s="271"/>
      <c r="C281" s="271"/>
      <c r="D281" s="272"/>
      <c r="E281" s="273"/>
      <c r="F281" s="273"/>
      <c r="G281" s="274"/>
      <c r="H281" s="271"/>
      <c r="I281" s="221"/>
      <c r="J281" s="273"/>
      <c r="K281" s="273"/>
      <c r="L281" s="273"/>
      <c r="M281" s="206" t="n">
        <f aca="false">I281-D281</f>
        <v>0</v>
      </c>
    </row>
    <row r="282" customFormat="false" ht="15" hidden="false" customHeight="true" outlineLevel="0" collapsed="false">
      <c r="A282" s="203" t="s">
        <v>2053</v>
      </c>
      <c r="B282" s="268"/>
      <c r="C282" s="268"/>
      <c r="D282" s="269"/>
      <c r="E282" s="270"/>
      <c r="F282" s="266"/>
      <c r="G282" s="266"/>
      <c r="H282" s="268"/>
      <c r="I282" s="275"/>
      <c r="J282" s="266"/>
      <c r="K282" s="266"/>
      <c r="L282" s="266"/>
      <c r="M282" s="206" t="n">
        <f aca="false">I282-D282</f>
        <v>0</v>
      </c>
    </row>
    <row r="283" customFormat="false" ht="15" hidden="false" customHeight="true" outlineLevel="0" collapsed="false">
      <c r="A283" s="210" t="s">
        <v>2054</v>
      </c>
      <c r="B283" s="271"/>
      <c r="C283" s="271"/>
      <c r="D283" s="272"/>
      <c r="E283" s="273"/>
      <c r="F283" s="273"/>
      <c r="G283" s="274"/>
      <c r="H283" s="271"/>
      <c r="I283" s="221"/>
      <c r="J283" s="273"/>
      <c r="K283" s="273"/>
      <c r="L283" s="273"/>
      <c r="M283" s="206" t="n">
        <f aca="false">I283-D283</f>
        <v>0</v>
      </c>
    </row>
    <row r="284" customFormat="false" ht="15" hidden="false" customHeight="true" outlineLevel="0" collapsed="false">
      <c r="A284" s="203" t="s">
        <v>2055</v>
      </c>
      <c r="B284" s="268"/>
      <c r="C284" s="268"/>
      <c r="D284" s="269"/>
      <c r="E284" s="270"/>
      <c r="F284" s="266"/>
      <c r="G284" s="266"/>
      <c r="H284" s="268"/>
      <c r="I284" s="275"/>
      <c r="J284" s="266"/>
      <c r="K284" s="266"/>
      <c r="L284" s="266"/>
      <c r="M284" s="206" t="n">
        <f aca="false">I284-D284</f>
        <v>0</v>
      </c>
    </row>
    <row r="285" customFormat="false" ht="15" hidden="false" customHeight="true" outlineLevel="0" collapsed="false">
      <c r="A285" s="210" t="s">
        <v>2056</v>
      </c>
      <c r="B285" s="271"/>
      <c r="C285" s="271"/>
      <c r="D285" s="272"/>
      <c r="E285" s="273"/>
      <c r="F285" s="273"/>
      <c r="G285" s="274"/>
      <c r="H285" s="271"/>
      <c r="I285" s="221"/>
      <c r="J285" s="273"/>
      <c r="K285" s="273"/>
      <c r="L285" s="273"/>
      <c r="M285" s="206" t="n">
        <f aca="false">I285-D285</f>
        <v>0</v>
      </c>
    </row>
    <row r="286" customFormat="false" ht="15" hidden="false" customHeight="true" outlineLevel="0" collapsed="false">
      <c r="A286" s="203" t="s">
        <v>2057</v>
      </c>
      <c r="B286" s="268"/>
      <c r="C286" s="268"/>
      <c r="D286" s="269"/>
      <c r="E286" s="270"/>
      <c r="F286" s="266"/>
      <c r="G286" s="266"/>
      <c r="H286" s="268"/>
      <c r="I286" s="275"/>
      <c r="J286" s="266"/>
      <c r="K286" s="266"/>
      <c r="L286" s="266"/>
      <c r="M286" s="206" t="n">
        <f aca="false">I286-D286</f>
        <v>0</v>
      </c>
    </row>
    <row r="287" customFormat="false" ht="15" hidden="false" customHeight="true" outlineLevel="0" collapsed="false">
      <c r="A287" s="210" t="s">
        <v>2058</v>
      </c>
      <c r="B287" s="271"/>
      <c r="C287" s="271"/>
      <c r="D287" s="272"/>
      <c r="E287" s="273"/>
      <c r="F287" s="273"/>
      <c r="G287" s="274"/>
      <c r="H287" s="271"/>
      <c r="I287" s="221"/>
      <c r="J287" s="273"/>
      <c r="K287" s="273"/>
      <c r="L287" s="273"/>
      <c r="M287" s="206" t="n">
        <f aca="false">I287-D287</f>
        <v>0</v>
      </c>
    </row>
    <row r="288" customFormat="false" ht="15" hidden="false" customHeight="true" outlineLevel="0" collapsed="false">
      <c r="A288" s="203" t="s">
        <v>2059</v>
      </c>
      <c r="B288" s="268"/>
      <c r="C288" s="268"/>
      <c r="D288" s="269"/>
      <c r="E288" s="270"/>
      <c r="F288" s="266"/>
      <c r="G288" s="266"/>
      <c r="H288" s="268"/>
      <c r="I288" s="275"/>
      <c r="J288" s="266"/>
      <c r="K288" s="266"/>
      <c r="L288" s="266"/>
      <c r="M288" s="206" t="n">
        <f aca="false">I288-D288</f>
        <v>0</v>
      </c>
    </row>
    <row r="289" customFormat="false" ht="15" hidden="false" customHeight="true" outlineLevel="0" collapsed="false">
      <c r="A289" s="210" t="s">
        <v>2060</v>
      </c>
      <c r="B289" s="271"/>
      <c r="C289" s="271"/>
      <c r="D289" s="272"/>
      <c r="E289" s="273"/>
      <c r="F289" s="273"/>
      <c r="G289" s="274"/>
      <c r="H289" s="271"/>
      <c r="I289" s="221"/>
      <c r="J289" s="273"/>
      <c r="K289" s="273"/>
      <c r="L289" s="273"/>
      <c r="M289" s="206" t="n">
        <f aca="false">I289-D289</f>
        <v>0</v>
      </c>
    </row>
    <row r="290" customFormat="false" ht="15" hidden="false" customHeight="true" outlineLevel="0" collapsed="false">
      <c r="A290" s="203" t="s">
        <v>2061</v>
      </c>
      <c r="B290" s="268"/>
      <c r="C290" s="268"/>
      <c r="D290" s="269"/>
      <c r="E290" s="270"/>
      <c r="F290" s="266"/>
      <c r="G290" s="266"/>
      <c r="H290" s="268"/>
      <c r="I290" s="275"/>
      <c r="J290" s="266"/>
      <c r="K290" s="266"/>
      <c r="L290" s="266"/>
      <c r="M290" s="206" t="n">
        <f aca="false">I290-D290</f>
        <v>0</v>
      </c>
    </row>
    <row r="291" customFormat="false" ht="15" hidden="false" customHeight="true" outlineLevel="0" collapsed="false">
      <c r="A291" s="210" t="s">
        <v>2062</v>
      </c>
      <c r="B291" s="271"/>
      <c r="C291" s="271"/>
      <c r="D291" s="272"/>
      <c r="E291" s="273"/>
      <c r="F291" s="273"/>
      <c r="G291" s="274"/>
      <c r="H291" s="271"/>
      <c r="I291" s="221"/>
      <c r="J291" s="273"/>
      <c r="K291" s="273"/>
      <c r="L291" s="273"/>
      <c r="M291" s="206" t="n">
        <f aca="false">I291-D291</f>
        <v>0</v>
      </c>
    </row>
    <row r="292" customFormat="false" ht="15" hidden="false" customHeight="true" outlineLevel="0" collapsed="false">
      <c r="A292" s="203" t="s">
        <v>2063</v>
      </c>
      <c r="B292" s="268"/>
      <c r="C292" s="268"/>
      <c r="D292" s="269"/>
      <c r="E292" s="270"/>
      <c r="F292" s="266"/>
      <c r="G292" s="266"/>
      <c r="H292" s="268"/>
      <c r="I292" s="275"/>
      <c r="J292" s="266"/>
      <c r="K292" s="266"/>
      <c r="L292" s="266"/>
      <c r="M292" s="206" t="n">
        <f aca="false">I292-D292</f>
        <v>0</v>
      </c>
    </row>
    <row r="293" customFormat="false" ht="15" hidden="false" customHeight="true" outlineLevel="0" collapsed="false">
      <c r="A293" s="210" t="s">
        <v>2064</v>
      </c>
      <c r="B293" s="271"/>
      <c r="C293" s="271"/>
      <c r="D293" s="272"/>
      <c r="E293" s="273"/>
      <c r="F293" s="273"/>
      <c r="G293" s="274"/>
      <c r="H293" s="271"/>
      <c r="I293" s="221"/>
      <c r="J293" s="273"/>
      <c r="K293" s="273"/>
      <c r="L293" s="273"/>
      <c r="M293" s="206" t="n">
        <f aca="false">I293-D293</f>
        <v>0</v>
      </c>
    </row>
    <row r="294" customFormat="false" ht="15" hidden="false" customHeight="true" outlineLevel="0" collapsed="false">
      <c r="A294" s="203" t="s">
        <v>2065</v>
      </c>
      <c r="B294" s="268"/>
      <c r="C294" s="268"/>
      <c r="D294" s="269"/>
      <c r="E294" s="270"/>
      <c r="F294" s="266"/>
      <c r="G294" s="266"/>
      <c r="H294" s="268"/>
      <c r="I294" s="275"/>
      <c r="J294" s="266"/>
      <c r="K294" s="266"/>
      <c r="L294" s="266"/>
      <c r="M294" s="206" t="n">
        <f aca="false">I294-D294</f>
        <v>0</v>
      </c>
    </row>
    <row r="295" customFormat="false" ht="15" hidden="false" customHeight="true" outlineLevel="0" collapsed="false">
      <c r="A295" s="210" t="s">
        <v>2066</v>
      </c>
      <c r="B295" s="271"/>
      <c r="C295" s="271"/>
      <c r="D295" s="272"/>
      <c r="E295" s="273"/>
      <c r="F295" s="273"/>
      <c r="G295" s="274"/>
      <c r="H295" s="271"/>
      <c r="I295" s="221"/>
      <c r="J295" s="273"/>
      <c r="K295" s="273"/>
      <c r="L295" s="273"/>
      <c r="M295" s="206" t="n">
        <f aca="false">I295-D295</f>
        <v>0</v>
      </c>
    </row>
    <row r="296" customFormat="false" ht="15" hidden="false" customHeight="true" outlineLevel="0" collapsed="false">
      <c r="A296" s="203" t="s">
        <v>2067</v>
      </c>
      <c r="B296" s="268"/>
      <c r="C296" s="268"/>
      <c r="D296" s="269"/>
      <c r="E296" s="270"/>
      <c r="F296" s="266"/>
      <c r="G296" s="266"/>
      <c r="H296" s="268"/>
      <c r="I296" s="275"/>
      <c r="J296" s="266"/>
      <c r="K296" s="266"/>
      <c r="L296" s="266"/>
      <c r="M296" s="206" t="n">
        <f aca="false">I296-D296</f>
        <v>0</v>
      </c>
    </row>
    <row r="297" customFormat="false" ht="15" hidden="false" customHeight="true" outlineLevel="0" collapsed="false">
      <c r="A297" s="210" t="s">
        <v>2068</v>
      </c>
      <c r="B297" s="271"/>
      <c r="C297" s="271"/>
      <c r="D297" s="272"/>
      <c r="E297" s="273"/>
      <c r="F297" s="273"/>
      <c r="G297" s="274"/>
      <c r="H297" s="271"/>
      <c r="I297" s="221"/>
      <c r="J297" s="273"/>
      <c r="K297" s="273"/>
      <c r="L297" s="273"/>
      <c r="M297" s="206" t="n">
        <f aca="false">I297-D297</f>
        <v>0</v>
      </c>
    </row>
    <row r="298" customFormat="false" ht="15" hidden="false" customHeight="true" outlineLevel="0" collapsed="false">
      <c r="A298" s="203" t="s">
        <v>2069</v>
      </c>
      <c r="B298" s="268"/>
      <c r="C298" s="268"/>
      <c r="D298" s="269"/>
      <c r="E298" s="270"/>
      <c r="F298" s="266"/>
      <c r="G298" s="266"/>
      <c r="H298" s="268"/>
      <c r="I298" s="275"/>
      <c r="J298" s="266"/>
      <c r="K298" s="266"/>
      <c r="L298" s="266"/>
      <c r="M298" s="206" t="n">
        <f aca="false">I298-D298</f>
        <v>0</v>
      </c>
    </row>
    <row r="299" customFormat="false" ht="15" hidden="false" customHeight="true" outlineLevel="0" collapsed="false">
      <c r="A299" s="210" t="s">
        <v>2070</v>
      </c>
      <c r="B299" s="271"/>
      <c r="C299" s="271"/>
      <c r="D299" s="272"/>
      <c r="E299" s="273"/>
      <c r="F299" s="273"/>
      <c r="G299" s="274"/>
      <c r="H299" s="271"/>
      <c r="I299" s="221"/>
      <c r="J299" s="273"/>
      <c r="K299" s="273"/>
      <c r="L299" s="273"/>
      <c r="M299" s="206" t="n">
        <f aca="false">I299-D299</f>
        <v>0</v>
      </c>
    </row>
    <row r="300" customFormat="false" ht="15" hidden="false" customHeight="true" outlineLevel="0" collapsed="false">
      <c r="A300" s="203" t="s">
        <v>2071</v>
      </c>
      <c r="B300" s="268"/>
      <c r="C300" s="268"/>
      <c r="D300" s="269"/>
      <c r="E300" s="270"/>
      <c r="F300" s="266"/>
      <c r="G300" s="266"/>
      <c r="H300" s="268"/>
      <c r="I300" s="275"/>
      <c r="J300" s="266"/>
      <c r="K300" s="266"/>
      <c r="L300" s="266"/>
      <c r="M300" s="206" t="n">
        <f aca="false">I300-D300</f>
        <v>0</v>
      </c>
    </row>
    <row r="301" customFormat="false" ht="15" hidden="false" customHeight="true" outlineLevel="0" collapsed="false">
      <c r="A301" s="210" t="s">
        <v>2072</v>
      </c>
      <c r="B301" s="271"/>
      <c r="C301" s="271"/>
      <c r="D301" s="272"/>
      <c r="E301" s="273"/>
      <c r="F301" s="273"/>
      <c r="G301" s="274"/>
      <c r="H301" s="271"/>
      <c r="I301" s="221"/>
      <c r="J301" s="273"/>
      <c r="K301" s="273"/>
      <c r="L301" s="273"/>
      <c r="M301" s="206" t="n">
        <f aca="false">I301-D301</f>
        <v>0</v>
      </c>
    </row>
    <row r="302" customFormat="false" ht="15" hidden="false" customHeight="true" outlineLevel="0" collapsed="false">
      <c r="A302" s="203" t="s">
        <v>2073</v>
      </c>
      <c r="B302" s="268"/>
      <c r="C302" s="268"/>
      <c r="D302" s="269"/>
      <c r="E302" s="270"/>
      <c r="F302" s="266"/>
      <c r="G302" s="266"/>
      <c r="H302" s="268"/>
      <c r="I302" s="275"/>
      <c r="J302" s="266"/>
      <c r="K302" s="266"/>
      <c r="L302" s="266"/>
      <c r="M302" s="206" t="n">
        <f aca="false">I302-D302</f>
        <v>0</v>
      </c>
    </row>
    <row r="303" customFormat="false" ht="15" hidden="false" customHeight="true" outlineLevel="0" collapsed="false">
      <c r="A303" s="210" t="s">
        <v>2074</v>
      </c>
      <c r="B303" s="271"/>
      <c r="C303" s="271"/>
      <c r="D303" s="272"/>
      <c r="E303" s="273"/>
      <c r="F303" s="273"/>
      <c r="G303" s="274"/>
      <c r="H303" s="271"/>
      <c r="I303" s="221"/>
      <c r="J303" s="273"/>
      <c r="K303" s="273"/>
      <c r="L303" s="273"/>
      <c r="M303" s="206" t="n">
        <f aca="false">I303-D303</f>
        <v>0</v>
      </c>
    </row>
    <row r="304" customFormat="false" ht="15" hidden="false" customHeight="true" outlineLevel="0" collapsed="false">
      <c r="A304" s="203" t="s">
        <v>2075</v>
      </c>
      <c r="B304" s="268"/>
      <c r="C304" s="268"/>
      <c r="D304" s="269"/>
      <c r="E304" s="270"/>
      <c r="F304" s="266"/>
      <c r="G304" s="266"/>
      <c r="H304" s="268"/>
      <c r="I304" s="275"/>
      <c r="J304" s="266"/>
      <c r="K304" s="266"/>
      <c r="L304" s="266"/>
      <c r="M304" s="206" t="n">
        <f aca="false">I304-D304</f>
        <v>0</v>
      </c>
    </row>
    <row r="305" customFormat="false" ht="15" hidden="false" customHeight="true" outlineLevel="0" collapsed="false">
      <c r="A305" s="210" t="s">
        <v>2076</v>
      </c>
      <c r="B305" s="271"/>
      <c r="C305" s="271"/>
      <c r="D305" s="272"/>
      <c r="E305" s="273"/>
      <c r="F305" s="273"/>
      <c r="G305" s="274"/>
      <c r="H305" s="271"/>
      <c r="I305" s="221"/>
      <c r="J305" s="273"/>
      <c r="K305" s="273"/>
      <c r="L305" s="273"/>
      <c r="M305" s="206" t="n">
        <f aca="false">I305-D305</f>
        <v>0</v>
      </c>
    </row>
    <row r="306" customFormat="false" ht="15" hidden="false" customHeight="true" outlineLevel="0" collapsed="false">
      <c r="A306" s="203" t="s">
        <v>2077</v>
      </c>
      <c r="B306" s="268"/>
      <c r="C306" s="268"/>
      <c r="D306" s="269"/>
      <c r="E306" s="270"/>
      <c r="F306" s="266"/>
      <c r="G306" s="266"/>
      <c r="H306" s="268"/>
      <c r="I306" s="275"/>
      <c r="J306" s="266"/>
      <c r="K306" s="266"/>
      <c r="L306" s="266"/>
      <c r="M306" s="206" t="n">
        <f aca="false">I306-D306</f>
        <v>0</v>
      </c>
    </row>
    <row r="307" customFormat="false" ht="15" hidden="false" customHeight="true" outlineLevel="0" collapsed="false">
      <c r="A307" s="210" t="s">
        <v>2078</v>
      </c>
      <c r="B307" s="271"/>
      <c r="C307" s="271"/>
      <c r="D307" s="272"/>
      <c r="E307" s="273"/>
      <c r="F307" s="273"/>
      <c r="G307" s="274"/>
      <c r="H307" s="271"/>
      <c r="I307" s="221"/>
      <c r="J307" s="273"/>
      <c r="K307" s="273"/>
      <c r="L307" s="273"/>
      <c r="M307" s="206" t="n">
        <f aca="false">I307-D307</f>
        <v>0</v>
      </c>
    </row>
    <row r="308" customFormat="false" ht="15" hidden="false" customHeight="true" outlineLevel="0" collapsed="false">
      <c r="A308" s="203" t="s">
        <v>2079</v>
      </c>
      <c r="B308" s="268"/>
      <c r="C308" s="268"/>
      <c r="D308" s="269"/>
      <c r="E308" s="270"/>
      <c r="F308" s="266"/>
      <c r="G308" s="266"/>
      <c r="H308" s="268"/>
      <c r="I308" s="275"/>
      <c r="J308" s="266"/>
      <c r="K308" s="266"/>
      <c r="L308" s="266"/>
      <c r="M308" s="206" t="n">
        <f aca="false">I308-D308</f>
        <v>0</v>
      </c>
    </row>
    <row r="309" customFormat="false" ht="15" hidden="false" customHeight="true" outlineLevel="0" collapsed="false">
      <c r="A309" s="210" t="s">
        <v>2080</v>
      </c>
      <c r="B309" s="271"/>
      <c r="C309" s="271"/>
      <c r="D309" s="272"/>
      <c r="E309" s="273"/>
      <c r="F309" s="273"/>
      <c r="G309" s="274"/>
      <c r="H309" s="271"/>
      <c r="I309" s="221"/>
      <c r="J309" s="273"/>
      <c r="K309" s="273"/>
      <c r="L309" s="273"/>
      <c r="M309" s="206" t="n">
        <f aca="false">I309-D309</f>
        <v>0</v>
      </c>
    </row>
    <row r="310" customFormat="false" ht="15" hidden="false" customHeight="true" outlineLevel="0" collapsed="false">
      <c r="A310" s="203" t="s">
        <v>2081</v>
      </c>
      <c r="B310" s="268"/>
      <c r="C310" s="268"/>
      <c r="D310" s="269"/>
      <c r="E310" s="270"/>
      <c r="F310" s="266"/>
      <c r="G310" s="266"/>
      <c r="H310" s="268"/>
      <c r="I310" s="275"/>
      <c r="J310" s="266"/>
      <c r="K310" s="266"/>
      <c r="L310" s="266"/>
      <c r="M310" s="206" t="n">
        <f aca="false">I310-D310</f>
        <v>0</v>
      </c>
    </row>
    <row r="311" customFormat="false" ht="15" hidden="false" customHeight="true" outlineLevel="0" collapsed="false">
      <c r="A311" s="210" t="s">
        <v>2082</v>
      </c>
      <c r="B311" s="271"/>
      <c r="C311" s="271"/>
      <c r="D311" s="272"/>
      <c r="E311" s="273"/>
      <c r="F311" s="273"/>
      <c r="G311" s="274"/>
      <c r="H311" s="271"/>
      <c r="I311" s="221"/>
      <c r="J311" s="273"/>
      <c r="K311" s="273"/>
      <c r="L311" s="273"/>
      <c r="M311" s="206" t="n">
        <f aca="false">I311-D311</f>
        <v>0</v>
      </c>
    </row>
    <row r="312" customFormat="false" ht="15" hidden="false" customHeight="true" outlineLevel="0" collapsed="false">
      <c r="A312" s="203" t="s">
        <v>2083</v>
      </c>
      <c r="B312" s="268"/>
      <c r="C312" s="268"/>
      <c r="D312" s="269"/>
      <c r="E312" s="270"/>
      <c r="F312" s="266"/>
      <c r="G312" s="266"/>
      <c r="H312" s="268"/>
      <c r="I312" s="275"/>
      <c r="J312" s="266"/>
      <c r="K312" s="266"/>
      <c r="L312" s="266"/>
      <c r="M312" s="206" t="n">
        <f aca="false">I312-D312</f>
        <v>0</v>
      </c>
    </row>
    <row r="313" customFormat="false" ht="15" hidden="false" customHeight="true" outlineLevel="0" collapsed="false">
      <c r="A313" s="210" t="s">
        <v>2084</v>
      </c>
      <c r="B313" s="271"/>
      <c r="C313" s="271"/>
      <c r="D313" s="272"/>
      <c r="E313" s="273"/>
      <c r="F313" s="273"/>
      <c r="G313" s="274"/>
      <c r="H313" s="271"/>
      <c r="I313" s="221"/>
      <c r="J313" s="273"/>
      <c r="K313" s="273"/>
      <c r="L313" s="273"/>
      <c r="M313" s="206" t="n">
        <f aca="false">I313-D313</f>
        <v>0</v>
      </c>
    </row>
    <row r="314" customFormat="false" ht="15" hidden="false" customHeight="true" outlineLevel="0" collapsed="false">
      <c r="A314" s="203" t="s">
        <v>2085</v>
      </c>
      <c r="B314" s="268"/>
      <c r="C314" s="268"/>
      <c r="D314" s="269"/>
      <c r="E314" s="270"/>
      <c r="F314" s="266"/>
      <c r="G314" s="266"/>
      <c r="H314" s="268"/>
      <c r="I314" s="275"/>
      <c r="J314" s="266"/>
      <c r="K314" s="266"/>
      <c r="L314" s="266"/>
      <c r="M314" s="206" t="n">
        <f aca="false">I314-D314</f>
        <v>0</v>
      </c>
    </row>
    <row r="315" customFormat="false" ht="15" hidden="false" customHeight="true" outlineLevel="0" collapsed="false">
      <c r="A315" s="210" t="s">
        <v>2086</v>
      </c>
      <c r="B315" s="268"/>
      <c r="C315" s="271"/>
      <c r="D315" s="272"/>
      <c r="E315" s="273"/>
      <c r="F315" s="273"/>
      <c r="G315" s="210"/>
      <c r="H315" s="271"/>
      <c r="I315" s="221"/>
      <c r="J315" s="273"/>
      <c r="K315" s="273"/>
      <c r="L315" s="273"/>
      <c r="M315" s="206" t="n">
        <f aca="false">I315-D315</f>
        <v>0</v>
      </c>
    </row>
    <row r="316" customFormat="false" ht="15" hidden="false" customHeight="true" outlineLevel="0" collapsed="false">
      <c r="A316" s="203" t="s">
        <v>2087</v>
      </c>
      <c r="B316" s="268"/>
      <c r="C316" s="268"/>
      <c r="D316" s="269"/>
      <c r="E316" s="270"/>
      <c r="F316" s="266"/>
      <c r="G316" s="266"/>
      <c r="H316" s="268"/>
      <c r="I316" s="275"/>
      <c r="J316" s="266"/>
      <c r="K316" s="266"/>
      <c r="L316" s="266"/>
      <c r="M316" s="206" t="n">
        <f aca="false">I316-D316</f>
        <v>0</v>
      </c>
    </row>
    <row r="317" customFormat="false" ht="15" hidden="false" customHeight="true" outlineLevel="0" collapsed="false">
      <c r="A317" s="210" t="s">
        <v>2088</v>
      </c>
      <c r="B317" s="271"/>
      <c r="C317" s="271"/>
      <c r="D317" s="272"/>
      <c r="E317" s="273"/>
      <c r="F317" s="273"/>
      <c r="G317" s="274"/>
      <c r="H317" s="271"/>
      <c r="I317" s="221"/>
      <c r="J317" s="273"/>
      <c r="K317" s="273"/>
      <c r="L317" s="273"/>
      <c r="M317" s="206" t="n">
        <f aca="false">I317-D317</f>
        <v>0</v>
      </c>
    </row>
    <row r="318" customFormat="false" ht="15" hidden="false" customHeight="true" outlineLevel="0" collapsed="false">
      <c r="A318" s="203" t="s">
        <v>2089</v>
      </c>
      <c r="B318" s="268"/>
      <c r="C318" s="268"/>
      <c r="D318" s="269"/>
      <c r="E318" s="270"/>
      <c r="F318" s="266"/>
      <c r="G318" s="266"/>
      <c r="H318" s="268"/>
      <c r="I318" s="275"/>
      <c r="J318" s="266"/>
      <c r="K318" s="266"/>
      <c r="L318" s="266"/>
      <c r="M318" s="206" t="n">
        <f aca="false">I318-D318</f>
        <v>0</v>
      </c>
    </row>
    <row r="319" customFormat="false" ht="15" hidden="false" customHeight="true" outlineLevel="0" collapsed="false">
      <c r="A319" s="210" t="s">
        <v>2090</v>
      </c>
      <c r="B319" s="271"/>
      <c r="C319" s="271"/>
      <c r="D319" s="272"/>
      <c r="E319" s="273"/>
      <c r="F319" s="273"/>
      <c r="G319" s="274"/>
      <c r="H319" s="271"/>
      <c r="I319" s="221"/>
      <c r="J319" s="273"/>
      <c r="K319" s="273"/>
      <c r="L319" s="273"/>
      <c r="M319" s="206" t="n">
        <f aca="false">I319-D319</f>
        <v>0</v>
      </c>
    </row>
    <row r="320" customFormat="false" ht="15" hidden="false" customHeight="true" outlineLevel="0" collapsed="false">
      <c r="A320" s="203" t="s">
        <v>2091</v>
      </c>
      <c r="B320" s="268"/>
      <c r="C320" s="268"/>
      <c r="D320" s="269"/>
      <c r="E320" s="270"/>
      <c r="F320" s="266"/>
      <c r="G320" s="203"/>
      <c r="H320" s="268"/>
      <c r="I320" s="275"/>
      <c r="J320" s="266"/>
      <c r="K320" s="266"/>
      <c r="L320" s="266"/>
      <c r="M320" s="206" t="n">
        <f aca="false">I320-D320</f>
        <v>0</v>
      </c>
    </row>
    <row r="321" customFormat="false" ht="15" hidden="false" customHeight="true" outlineLevel="0" collapsed="false">
      <c r="A321" s="210" t="s">
        <v>2092</v>
      </c>
      <c r="B321" s="271"/>
      <c r="C321" s="271"/>
      <c r="D321" s="272"/>
      <c r="E321" s="273"/>
      <c r="F321" s="273"/>
      <c r="G321" s="210"/>
      <c r="H321" s="271"/>
      <c r="I321" s="221"/>
      <c r="J321" s="273"/>
      <c r="K321" s="273"/>
      <c r="L321" s="273"/>
      <c r="M321" s="206" t="n">
        <f aca="false">I321-D321</f>
        <v>0</v>
      </c>
    </row>
    <row r="322" customFormat="false" ht="15" hidden="false" customHeight="true" outlineLevel="0" collapsed="false">
      <c r="A322" s="203" t="s">
        <v>2093</v>
      </c>
      <c r="B322" s="268"/>
      <c r="C322" s="268"/>
      <c r="D322" s="269"/>
      <c r="E322" s="270"/>
      <c r="F322" s="266"/>
      <c r="G322" s="266"/>
      <c r="H322" s="268"/>
      <c r="I322" s="221"/>
      <c r="J322" s="266"/>
      <c r="K322" s="266"/>
      <c r="L322" s="266"/>
      <c r="M322" s="206" t="n">
        <f aca="false">I322-D322</f>
        <v>0</v>
      </c>
    </row>
    <row r="323" customFormat="false" ht="15" hidden="false" customHeight="true" outlineLevel="0" collapsed="false">
      <c r="A323" s="210" t="s">
        <v>2094</v>
      </c>
      <c r="B323" s="271"/>
      <c r="C323" s="271"/>
      <c r="D323" s="269"/>
      <c r="E323" s="273"/>
      <c r="F323" s="273"/>
      <c r="G323" s="203"/>
      <c r="H323" s="271"/>
      <c r="I323" s="221"/>
      <c r="J323" s="273"/>
      <c r="K323" s="273"/>
      <c r="L323" s="266"/>
      <c r="M323" s="206" t="n">
        <f aca="false">I323-D323</f>
        <v>0</v>
      </c>
    </row>
    <row r="324" customFormat="false" ht="15" hidden="false" customHeight="true" outlineLevel="0" collapsed="false">
      <c r="A324" s="203" t="s">
        <v>2095</v>
      </c>
      <c r="B324" s="268"/>
      <c r="C324" s="268"/>
      <c r="D324" s="269"/>
      <c r="E324" s="270"/>
      <c r="F324" s="266"/>
      <c r="G324" s="203"/>
      <c r="H324" s="268"/>
      <c r="I324" s="275"/>
      <c r="J324" s="266"/>
      <c r="K324" s="270"/>
      <c r="L324" s="266"/>
      <c r="M324" s="206" t="n">
        <f aca="false">I324-D324</f>
        <v>0</v>
      </c>
    </row>
    <row r="325" customFormat="false" ht="15" hidden="false" customHeight="true" outlineLevel="0" collapsed="false">
      <c r="A325" s="210" t="s">
        <v>2096</v>
      </c>
      <c r="B325" s="271"/>
      <c r="C325" s="271"/>
      <c r="D325" s="272"/>
      <c r="E325" s="273"/>
      <c r="F325" s="273"/>
      <c r="G325" s="210"/>
      <c r="H325" s="271"/>
      <c r="I325" s="271"/>
      <c r="J325" s="273"/>
      <c r="K325" s="273"/>
      <c r="L325" s="273"/>
      <c r="M325" s="206" t="n">
        <f aca="false">I325-D325</f>
        <v>0</v>
      </c>
    </row>
    <row r="326" customFormat="false" ht="15" hidden="false" customHeight="true" outlineLevel="0" collapsed="false">
      <c r="A326" s="203" t="s">
        <v>2097</v>
      </c>
      <c r="B326" s="268"/>
      <c r="C326" s="268"/>
      <c r="D326" s="269"/>
      <c r="E326" s="270"/>
      <c r="F326" s="266"/>
      <c r="G326" s="203"/>
      <c r="H326" s="268"/>
      <c r="I326" s="268"/>
      <c r="J326" s="266"/>
      <c r="K326" s="270"/>
      <c r="L326" s="266"/>
      <c r="M326" s="206" t="n">
        <f aca="false">I326-D326</f>
        <v>0</v>
      </c>
    </row>
    <row r="327" customFormat="false" ht="15" hidden="false" customHeight="true" outlineLevel="0" collapsed="false">
      <c r="A327" s="210" t="s">
        <v>2098</v>
      </c>
      <c r="B327" s="271"/>
      <c r="C327" s="271"/>
      <c r="D327" s="272"/>
      <c r="E327" s="273"/>
      <c r="F327" s="273"/>
      <c r="G327" s="210"/>
      <c r="H327" s="271"/>
      <c r="I327" s="271"/>
      <c r="J327" s="273"/>
      <c r="K327" s="273"/>
      <c r="L327" s="273"/>
      <c r="M327" s="206" t="n">
        <f aca="false">I327-D327</f>
        <v>0</v>
      </c>
    </row>
    <row r="328" customFormat="false" ht="15" hidden="false" customHeight="true" outlineLevel="0" collapsed="false">
      <c r="A328" s="203" t="s">
        <v>2099</v>
      </c>
      <c r="B328" s="268"/>
      <c r="C328" s="268"/>
      <c r="D328" s="269"/>
      <c r="E328" s="270"/>
      <c r="F328" s="266"/>
      <c r="G328" s="203"/>
      <c r="H328" s="268"/>
      <c r="I328" s="268"/>
      <c r="J328" s="266"/>
      <c r="K328" s="270"/>
      <c r="L328" s="266"/>
      <c r="M328" s="206" t="n">
        <f aca="false">I328-D328</f>
        <v>0</v>
      </c>
    </row>
    <row r="329" customFormat="false" ht="15" hidden="false" customHeight="true" outlineLevel="0" collapsed="false">
      <c r="A329" s="210" t="s">
        <v>2100</v>
      </c>
      <c r="B329" s="271"/>
      <c r="C329" s="271"/>
      <c r="D329" s="272"/>
      <c r="E329" s="273"/>
      <c r="F329" s="273"/>
      <c r="G329" s="210"/>
      <c r="H329" s="271"/>
      <c r="I329" s="271"/>
      <c r="J329" s="273"/>
      <c r="K329" s="273"/>
      <c r="L329" s="273"/>
      <c r="M329" s="206" t="n">
        <f aca="false">I329-D329</f>
        <v>0</v>
      </c>
    </row>
    <row r="330" customFormat="false" ht="15" hidden="false" customHeight="true" outlineLevel="0" collapsed="false">
      <c r="A330" s="203" t="s">
        <v>2101</v>
      </c>
      <c r="B330" s="268"/>
      <c r="C330" s="268"/>
      <c r="D330" s="269"/>
      <c r="E330" s="270"/>
      <c r="F330" s="266"/>
      <c r="G330" s="203"/>
      <c r="H330" s="268"/>
      <c r="I330" s="268"/>
      <c r="J330" s="266"/>
      <c r="K330" s="270"/>
      <c r="L330" s="266"/>
      <c r="M330" s="206" t="n">
        <f aca="false">I330-D330</f>
        <v>0</v>
      </c>
    </row>
    <row r="331" customFormat="false" ht="15" hidden="false" customHeight="true" outlineLevel="0" collapsed="false">
      <c r="A331" s="210" t="s">
        <v>2102</v>
      </c>
      <c r="B331" s="271"/>
      <c r="C331" s="271"/>
      <c r="D331" s="272"/>
      <c r="E331" s="273"/>
      <c r="F331" s="273"/>
      <c r="G331" s="210"/>
      <c r="H331" s="271"/>
      <c r="I331" s="271"/>
      <c r="J331" s="273"/>
      <c r="K331" s="273"/>
      <c r="L331" s="273"/>
      <c r="M331" s="206" t="n">
        <f aca="false">I331-D331</f>
        <v>0</v>
      </c>
    </row>
    <row r="332" customFormat="false" ht="15" hidden="false" customHeight="true" outlineLevel="0" collapsed="false">
      <c r="A332" s="203" t="s">
        <v>2103</v>
      </c>
      <c r="B332" s="268"/>
      <c r="C332" s="268"/>
      <c r="D332" s="269"/>
      <c r="E332" s="270"/>
      <c r="F332" s="266"/>
      <c r="G332" s="203"/>
      <c r="H332" s="268"/>
      <c r="I332" s="268"/>
      <c r="J332" s="266"/>
      <c r="K332" s="270"/>
      <c r="L332" s="266"/>
      <c r="M332" s="206" t="n">
        <f aca="false">I332-D332</f>
        <v>0</v>
      </c>
    </row>
    <row r="333" customFormat="false" ht="15" hidden="false" customHeight="true" outlineLevel="0" collapsed="false">
      <c r="A333" s="210" t="s">
        <v>2104</v>
      </c>
      <c r="B333" s="271"/>
      <c r="C333" s="271"/>
      <c r="D333" s="272"/>
      <c r="E333" s="273"/>
      <c r="F333" s="273"/>
      <c r="G333" s="210"/>
      <c r="H333" s="271"/>
      <c r="I333" s="271"/>
      <c r="J333" s="273"/>
      <c r="K333" s="273"/>
      <c r="L333" s="273"/>
      <c r="M333" s="206" t="n">
        <f aca="false">I333-D333</f>
        <v>0</v>
      </c>
    </row>
    <row r="334" customFormat="false" ht="15" hidden="false" customHeight="true" outlineLevel="0" collapsed="false">
      <c r="A334" s="203" t="s">
        <v>2105</v>
      </c>
      <c r="B334" s="268"/>
      <c r="C334" s="268"/>
      <c r="D334" s="269"/>
      <c r="E334" s="270"/>
      <c r="F334" s="266"/>
      <c r="G334" s="203"/>
      <c r="H334" s="268"/>
      <c r="I334" s="268"/>
      <c r="J334" s="266"/>
      <c r="K334" s="270"/>
      <c r="L334" s="266"/>
      <c r="M334" s="206" t="n">
        <f aca="false">I334-D334</f>
        <v>0</v>
      </c>
    </row>
    <row r="335" customFormat="false" ht="15" hidden="false" customHeight="true" outlineLevel="0" collapsed="false">
      <c r="A335" s="210" t="s">
        <v>2106</v>
      </c>
      <c r="B335" s="271"/>
      <c r="C335" s="271"/>
      <c r="D335" s="272"/>
      <c r="E335" s="273"/>
      <c r="F335" s="273"/>
      <c r="G335" s="210"/>
      <c r="H335" s="271"/>
      <c r="I335" s="271"/>
      <c r="J335" s="273"/>
      <c r="K335" s="273"/>
      <c r="L335" s="273"/>
      <c r="M335" s="206" t="n">
        <f aca="false">I335-D335</f>
        <v>0</v>
      </c>
    </row>
    <row r="336" customFormat="false" ht="15" hidden="false" customHeight="true" outlineLevel="0" collapsed="false">
      <c r="A336" s="203" t="s">
        <v>2107</v>
      </c>
      <c r="B336" s="268"/>
      <c r="C336" s="268"/>
      <c r="D336" s="269"/>
      <c r="E336" s="270"/>
      <c r="F336" s="266"/>
      <c r="G336" s="203"/>
      <c r="H336" s="268"/>
      <c r="I336" s="268"/>
      <c r="J336" s="266"/>
      <c r="K336" s="270"/>
      <c r="L336" s="266"/>
      <c r="M336" s="206" t="n">
        <f aca="false">I336-D336</f>
        <v>0</v>
      </c>
    </row>
    <row r="337" customFormat="false" ht="15" hidden="false" customHeight="true" outlineLevel="0" collapsed="false">
      <c r="A337" s="210" t="s">
        <v>2108</v>
      </c>
      <c r="B337" s="271"/>
      <c r="C337" s="271"/>
      <c r="D337" s="272"/>
      <c r="E337" s="273"/>
      <c r="F337" s="273"/>
      <c r="G337" s="210"/>
      <c r="H337" s="271"/>
      <c r="I337" s="271"/>
      <c r="J337" s="273"/>
      <c r="K337" s="273"/>
      <c r="L337" s="273"/>
      <c r="M337" s="206" t="n">
        <f aca="false">I337-D337</f>
        <v>0</v>
      </c>
    </row>
    <row r="338" customFormat="false" ht="15" hidden="false" customHeight="true" outlineLevel="0" collapsed="false">
      <c r="A338" s="203" t="s">
        <v>2109</v>
      </c>
      <c r="B338" s="268"/>
      <c r="C338" s="268"/>
      <c r="D338" s="269"/>
      <c r="E338" s="270"/>
      <c r="F338" s="266"/>
      <c r="G338" s="203"/>
      <c r="H338" s="268"/>
      <c r="I338" s="268"/>
      <c r="J338" s="266"/>
      <c r="K338" s="270"/>
      <c r="L338" s="266"/>
      <c r="M338" s="206" t="n">
        <f aca="false">I338-D338</f>
        <v>0</v>
      </c>
    </row>
    <row r="339" customFormat="false" ht="15" hidden="false" customHeight="true" outlineLevel="0" collapsed="false">
      <c r="A339" s="210" t="s">
        <v>2110</v>
      </c>
      <c r="B339" s="271"/>
      <c r="C339" s="271"/>
      <c r="D339" s="272"/>
      <c r="E339" s="273"/>
      <c r="F339" s="273"/>
      <c r="G339" s="210"/>
      <c r="H339" s="271"/>
      <c r="I339" s="271"/>
      <c r="J339" s="273"/>
      <c r="K339" s="273"/>
      <c r="L339" s="273"/>
      <c r="M339" s="206" t="n">
        <f aca="false">I339-D339</f>
        <v>0</v>
      </c>
    </row>
    <row r="340" customFormat="false" ht="15" hidden="false" customHeight="true" outlineLevel="0" collapsed="false">
      <c r="A340" s="203" t="s">
        <v>2111</v>
      </c>
      <c r="B340" s="268"/>
      <c r="C340" s="268"/>
      <c r="D340" s="269"/>
      <c r="E340" s="270"/>
      <c r="F340" s="266"/>
      <c r="G340" s="203"/>
      <c r="H340" s="268"/>
      <c r="I340" s="268"/>
      <c r="J340" s="266"/>
      <c r="K340" s="270"/>
      <c r="L340" s="266"/>
      <c r="M340" s="206" t="n">
        <f aca="false">I340-D340</f>
        <v>0</v>
      </c>
    </row>
    <row r="341" customFormat="false" ht="15" hidden="false" customHeight="true" outlineLevel="0" collapsed="false">
      <c r="A341" s="210" t="s">
        <v>2112</v>
      </c>
      <c r="B341" s="271"/>
      <c r="C341" s="271"/>
      <c r="D341" s="272"/>
      <c r="E341" s="273"/>
      <c r="F341" s="273"/>
      <c r="G341" s="210"/>
      <c r="H341" s="271"/>
      <c r="I341" s="271"/>
      <c r="J341" s="273"/>
      <c r="K341" s="273"/>
      <c r="L341" s="273"/>
      <c r="M341" s="206" t="n">
        <f aca="false">I341-D341</f>
        <v>0</v>
      </c>
    </row>
    <row r="342" customFormat="false" ht="15" hidden="false" customHeight="true" outlineLevel="0" collapsed="false">
      <c r="A342" s="203" t="s">
        <v>2113</v>
      </c>
      <c r="B342" s="268"/>
      <c r="C342" s="268"/>
      <c r="D342" s="269"/>
      <c r="E342" s="270"/>
      <c r="F342" s="266"/>
      <c r="G342" s="203"/>
      <c r="H342" s="268"/>
      <c r="I342" s="268"/>
      <c r="J342" s="266"/>
      <c r="K342" s="270"/>
      <c r="L342" s="266"/>
      <c r="M342" s="206" t="n">
        <f aca="false">I342-D342</f>
        <v>0</v>
      </c>
    </row>
    <row r="343" customFormat="false" ht="15" hidden="false" customHeight="true" outlineLevel="0" collapsed="false">
      <c r="A343" s="210" t="s">
        <v>2114</v>
      </c>
      <c r="B343" s="271"/>
      <c r="C343" s="271"/>
      <c r="D343" s="272"/>
      <c r="E343" s="273"/>
      <c r="F343" s="273"/>
      <c r="G343" s="210"/>
      <c r="H343" s="271"/>
      <c r="I343" s="271"/>
      <c r="J343" s="273"/>
      <c r="K343" s="273"/>
      <c r="L343" s="273"/>
      <c r="M343" s="206" t="n">
        <f aca="false">I343-D343</f>
        <v>0</v>
      </c>
    </row>
    <row r="344" customFormat="false" ht="15" hidden="false" customHeight="true" outlineLevel="0" collapsed="false">
      <c r="A344" s="203" t="s">
        <v>2115</v>
      </c>
      <c r="B344" s="268"/>
      <c r="C344" s="268"/>
      <c r="D344" s="269"/>
      <c r="E344" s="270"/>
      <c r="F344" s="266"/>
      <c r="G344" s="203"/>
      <c r="H344" s="268"/>
      <c r="I344" s="268"/>
      <c r="J344" s="266"/>
      <c r="K344" s="270"/>
      <c r="L344" s="266"/>
      <c r="M344" s="206" t="n">
        <f aca="false">I344-D344</f>
        <v>0</v>
      </c>
    </row>
    <row r="345" customFormat="false" ht="15" hidden="false" customHeight="true" outlineLevel="0" collapsed="false">
      <c r="A345" s="210" t="s">
        <v>2116</v>
      </c>
      <c r="B345" s="271"/>
      <c r="C345" s="271"/>
      <c r="D345" s="272"/>
      <c r="E345" s="273"/>
      <c r="F345" s="273"/>
      <c r="G345" s="210"/>
      <c r="H345" s="271"/>
      <c r="I345" s="271"/>
      <c r="J345" s="273"/>
      <c r="K345" s="273"/>
      <c r="L345" s="273"/>
      <c r="M345" s="206" t="n">
        <f aca="false">I345-D345</f>
        <v>0</v>
      </c>
    </row>
    <row r="346" customFormat="false" ht="15" hidden="false" customHeight="true" outlineLevel="0" collapsed="false">
      <c r="A346" s="203" t="s">
        <v>2117</v>
      </c>
      <c r="B346" s="268"/>
      <c r="C346" s="268"/>
      <c r="D346" s="269"/>
      <c r="E346" s="270"/>
      <c r="F346" s="266"/>
      <c r="G346" s="203"/>
      <c r="H346" s="268"/>
      <c r="I346" s="268"/>
      <c r="J346" s="266"/>
      <c r="K346" s="270"/>
      <c r="L346" s="266"/>
      <c r="M346" s="206" t="n">
        <f aca="false">I346-D346</f>
        <v>0</v>
      </c>
    </row>
    <row r="347" customFormat="false" ht="15" hidden="false" customHeight="true" outlineLevel="0" collapsed="false">
      <c r="A347" s="210" t="s">
        <v>2118</v>
      </c>
      <c r="B347" s="271"/>
      <c r="C347" s="271"/>
      <c r="D347" s="272"/>
      <c r="E347" s="273"/>
      <c r="F347" s="273"/>
      <c r="G347" s="210"/>
      <c r="H347" s="271"/>
      <c r="I347" s="271"/>
      <c r="J347" s="273"/>
      <c r="K347" s="273"/>
      <c r="L347" s="273"/>
      <c r="M347" s="206" t="n">
        <f aca="false">I347-D347</f>
        <v>0</v>
      </c>
    </row>
    <row r="348" customFormat="false" ht="15" hidden="false" customHeight="true" outlineLevel="0" collapsed="false">
      <c r="A348" s="203" t="s">
        <v>2119</v>
      </c>
      <c r="B348" s="268"/>
      <c r="C348" s="268"/>
      <c r="D348" s="269"/>
      <c r="E348" s="270"/>
      <c r="F348" s="266"/>
      <c r="G348" s="203"/>
      <c r="H348" s="268"/>
      <c r="I348" s="268"/>
      <c r="J348" s="266"/>
      <c r="K348" s="270"/>
      <c r="L348" s="266"/>
      <c r="M348" s="206" t="n">
        <f aca="false">I348-D348</f>
        <v>0</v>
      </c>
    </row>
    <row r="349" customFormat="false" ht="15" hidden="false" customHeight="true" outlineLevel="0" collapsed="false">
      <c r="A349" s="210" t="s">
        <v>2120</v>
      </c>
      <c r="B349" s="271"/>
      <c r="C349" s="271"/>
      <c r="D349" s="272"/>
      <c r="E349" s="273"/>
      <c r="F349" s="273"/>
      <c r="G349" s="210"/>
      <c r="H349" s="271"/>
      <c r="I349" s="271"/>
      <c r="J349" s="273"/>
      <c r="K349" s="273"/>
      <c r="L349" s="273"/>
      <c r="M349" s="206" t="n">
        <f aca="false">I349-D349</f>
        <v>0</v>
      </c>
    </row>
    <row r="350" customFormat="false" ht="15" hidden="false" customHeight="true" outlineLevel="0" collapsed="false">
      <c r="A350" s="203" t="s">
        <v>2121</v>
      </c>
      <c r="B350" s="268"/>
      <c r="C350" s="268"/>
      <c r="D350" s="269"/>
      <c r="E350" s="270"/>
      <c r="F350" s="266"/>
      <c r="G350" s="203"/>
      <c r="H350" s="268"/>
      <c r="I350" s="268"/>
      <c r="J350" s="266"/>
      <c r="K350" s="270"/>
      <c r="L350" s="266"/>
      <c r="M350" s="206" t="n">
        <f aca="false">I350-D350</f>
        <v>0</v>
      </c>
    </row>
    <row r="351" customFormat="false" ht="15" hidden="false" customHeight="true" outlineLevel="0" collapsed="false">
      <c r="A351" s="210" t="s">
        <v>2122</v>
      </c>
      <c r="B351" s="271"/>
      <c r="C351" s="271"/>
      <c r="D351" s="272"/>
      <c r="E351" s="273"/>
      <c r="F351" s="273"/>
      <c r="G351" s="210"/>
      <c r="H351" s="271"/>
      <c r="I351" s="271"/>
      <c r="J351" s="273"/>
      <c r="K351" s="273"/>
      <c r="L351" s="273"/>
      <c r="M351" s="206" t="n">
        <f aca="false">I351-D351</f>
        <v>0</v>
      </c>
    </row>
    <row r="352" customFormat="false" ht="15" hidden="false" customHeight="true" outlineLevel="0" collapsed="false">
      <c r="A352" s="203" t="s">
        <v>2123</v>
      </c>
      <c r="B352" s="268"/>
      <c r="C352" s="268"/>
      <c r="D352" s="269"/>
      <c r="E352" s="270"/>
      <c r="F352" s="266"/>
      <c r="G352" s="203"/>
      <c r="H352" s="268"/>
      <c r="I352" s="268"/>
      <c r="J352" s="266"/>
      <c r="K352" s="270"/>
      <c r="L352" s="266"/>
      <c r="M352" s="206" t="n">
        <f aca="false">I352-D352</f>
        <v>0</v>
      </c>
    </row>
    <row r="353" customFormat="false" ht="15" hidden="false" customHeight="true" outlineLevel="0" collapsed="false">
      <c r="A353" s="210" t="s">
        <v>2124</v>
      </c>
      <c r="B353" s="271"/>
      <c r="C353" s="271"/>
      <c r="D353" s="272"/>
      <c r="E353" s="273"/>
      <c r="F353" s="273"/>
      <c r="G353" s="210"/>
      <c r="H353" s="271"/>
      <c r="I353" s="271"/>
      <c r="J353" s="273"/>
      <c r="K353" s="273"/>
      <c r="L353" s="273"/>
      <c r="M353" s="206" t="n">
        <f aca="false">I353-D353</f>
        <v>0</v>
      </c>
    </row>
    <row r="354" customFormat="false" ht="13.8" hidden="false" customHeight="false" outlineLevel="0" collapsed="false">
      <c r="A354" s="203" t="s">
        <v>2125</v>
      </c>
      <c r="B354" s="268"/>
      <c r="C354" s="268"/>
      <c r="D354" s="269"/>
      <c r="E354" s="270"/>
      <c r="F354" s="266"/>
      <c r="G354" s="203"/>
      <c r="H354" s="268"/>
      <c r="I354" s="268"/>
      <c r="J354" s="266"/>
      <c r="K354" s="270"/>
      <c r="L354" s="266"/>
      <c r="M354" s="206" t="n">
        <f aca="false">I354-D354</f>
        <v>0</v>
      </c>
    </row>
    <row r="355" customFormat="false" ht="13.8" hidden="false" customHeight="false" outlineLevel="0" collapsed="false">
      <c r="A355" s="210" t="s">
        <v>2126</v>
      </c>
      <c r="B355" s="271"/>
      <c r="C355" s="271"/>
      <c r="D355" s="272"/>
      <c r="E355" s="273"/>
      <c r="F355" s="273"/>
      <c r="G355" s="210"/>
      <c r="H355" s="271"/>
      <c r="I355" s="271"/>
      <c r="J355" s="273"/>
      <c r="K355" s="273"/>
      <c r="L355" s="273"/>
      <c r="M355" s="206" t="n">
        <f aca="false">I355-D355</f>
        <v>0</v>
      </c>
    </row>
    <row r="356" customFormat="false" ht="13.8" hidden="false" customHeight="false" outlineLevel="0" collapsed="false">
      <c r="A356" s="203" t="s">
        <v>2127</v>
      </c>
      <c r="B356" s="268"/>
      <c r="C356" s="268"/>
      <c r="D356" s="269"/>
      <c r="E356" s="270"/>
      <c r="F356" s="266"/>
      <c r="G356" s="203"/>
      <c r="H356" s="268"/>
      <c r="I356" s="268"/>
      <c r="J356" s="266"/>
      <c r="K356" s="270"/>
      <c r="L356" s="266"/>
      <c r="M356" s="206" t="n">
        <f aca="false">I356-D356</f>
        <v>0</v>
      </c>
    </row>
    <row r="357" customFormat="false" ht="13.8" hidden="false" customHeight="false" outlineLevel="0" collapsed="false">
      <c r="A357" s="210" t="s">
        <v>2128</v>
      </c>
      <c r="B357" s="271"/>
      <c r="C357" s="271"/>
      <c r="D357" s="272"/>
      <c r="E357" s="273"/>
      <c r="F357" s="273"/>
      <c r="G357" s="210"/>
      <c r="H357" s="271"/>
      <c r="I357" s="271"/>
      <c r="J357" s="273"/>
      <c r="K357" s="273"/>
      <c r="L357" s="273"/>
      <c r="M357" s="206" t="n">
        <f aca="false">I357-D357</f>
        <v>0</v>
      </c>
    </row>
    <row r="358" customFormat="false" ht="13.8" hidden="false" customHeight="false" outlineLevel="0" collapsed="false">
      <c r="A358" s="203" t="s">
        <v>2129</v>
      </c>
      <c r="B358" s="268"/>
      <c r="C358" s="268"/>
      <c r="D358" s="269"/>
      <c r="E358" s="270"/>
      <c r="F358" s="266"/>
      <c r="G358" s="203"/>
      <c r="H358" s="268"/>
      <c r="I358" s="268"/>
      <c r="J358" s="266"/>
      <c r="K358" s="270"/>
      <c r="L358" s="266"/>
      <c r="M358" s="206" t="n">
        <f aca="false">I358-D358</f>
        <v>0</v>
      </c>
    </row>
    <row r="359" customFormat="false" ht="13.8" hidden="false" customHeight="false" outlineLevel="0" collapsed="false">
      <c r="A359" s="210" t="s">
        <v>2130</v>
      </c>
      <c r="B359" s="271"/>
      <c r="C359" s="271"/>
      <c r="D359" s="272"/>
      <c r="E359" s="273"/>
      <c r="F359" s="273"/>
      <c r="G359" s="210"/>
      <c r="H359" s="271"/>
      <c r="I359" s="271"/>
      <c r="J359" s="272"/>
      <c r="K359" s="273"/>
      <c r="L359" s="273"/>
      <c r="M359" s="206" t="n">
        <f aca="false">I359-D359</f>
        <v>0</v>
      </c>
    </row>
    <row r="360" customFormat="false" ht="13.8" hidden="false" customHeight="false" outlineLevel="0" collapsed="false">
      <c r="A360" s="203" t="s">
        <v>2131</v>
      </c>
      <c r="B360" s="268"/>
      <c r="C360" s="268"/>
      <c r="D360" s="269"/>
      <c r="E360" s="270"/>
      <c r="F360" s="266"/>
      <c r="G360" s="203"/>
      <c r="H360" s="268"/>
      <c r="I360" s="268"/>
      <c r="J360" s="269"/>
      <c r="K360" s="270"/>
      <c r="L360" s="266"/>
      <c r="M360" s="206" t="n">
        <f aca="false">I360-D360</f>
        <v>0</v>
      </c>
    </row>
    <row r="361" customFormat="false" ht="13.8" hidden="false" customHeight="false" outlineLevel="0" collapsed="false">
      <c r="A361" s="210" t="s">
        <v>2132</v>
      </c>
      <c r="B361" s="271"/>
      <c r="C361" s="271"/>
      <c r="D361" s="272"/>
      <c r="E361" s="273"/>
      <c r="F361" s="273"/>
      <c r="G361" s="210"/>
      <c r="H361" s="271"/>
      <c r="I361" s="271"/>
      <c r="J361" s="272"/>
      <c r="K361" s="273"/>
      <c r="L361" s="273"/>
      <c r="M361" s="206" t="n">
        <f aca="false">I361-D361</f>
        <v>0</v>
      </c>
    </row>
    <row r="362" customFormat="false" ht="13.8" hidden="false" customHeight="false" outlineLevel="0" collapsed="false">
      <c r="A362" s="203" t="s">
        <v>2133</v>
      </c>
      <c r="B362" s="268"/>
      <c r="C362" s="268"/>
      <c r="D362" s="269"/>
      <c r="E362" s="270"/>
      <c r="F362" s="266"/>
      <c r="G362" s="203"/>
      <c r="H362" s="268"/>
      <c r="I362" s="268"/>
      <c r="J362" s="269"/>
      <c r="K362" s="270"/>
      <c r="L362" s="266"/>
      <c r="M362" s="206" t="n">
        <f aca="false">I362-D362</f>
        <v>0</v>
      </c>
    </row>
    <row r="363" customFormat="false" ht="13.8" hidden="false" customHeight="false" outlineLevel="0" collapsed="false">
      <c r="A363" s="210" t="s">
        <v>2134</v>
      </c>
      <c r="B363" s="271"/>
      <c r="C363" s="271"/>
      <c r="D363" s="272"/>
      <c r="E363" s="273"/>
      <c r="F363" s="273"/>
      <c r="G363" s="210"/>
      <c r="H363" s="271"/>
      <c r="I363" s="271"/>
      <c r="J363" s="272"/>
      <c r="K363" s="273"/>
      <c r="L363" s="273"/>
      <c r="M363" s="206" t="n">
        <f aca="false">I363-D363</f>
        <v>0</v>
      </c>
    </row>
    <row r="364" customFormat="false" ht="13.8" hidden="false" customHeight="false" outlineLevel="0" collapsed="false">
      <c r="A364" s="203" t="s">
        <v>2135</v>
      </c>
      <c r="B364" s="268"/>
      <c r="C364" s="268"/>
      <c r="D364" s="269"/>
      <c r="E364" s="270"/>
      <c r="F364" s="266"/>
      <c r="G364" s="203"/>
      <c r="H364" s="268"/>
      <c r="I364" s="268"/>
      <c r="J364" s="269"/>
      <c r="K364" s="270"/>
      <c r="L364" s="266"/>
      <c r="M364" s="206" t="n">
        <f aca="false">I364-D364</f>
        <v>0</v>
      </c>
    </row>
    <row r="365" customFormat="false" ht="13.8" hidden="false" customHeight="false" outlineLevel="0" collapsed="false">
      <c r="A365" s="210" t="s">
        <v>2136</v>
      </c>
      <c r="B365" s="271"/>
      <c r="C365" s="271"/>
      <c r="D365" s="272"/>
      <c r="E365" s="273"/>
      <c r="F365" s="273"/>
      <c r="G365" s="210"/>
      <c r="H365" s="271"/>
      <c r="I365" s="271"/>
      <c r="J365" s="272"/>
      <c r="K365" s="273"/>
      <c r="L365" s="273"/>
      <c r="M365" s="206" t="n">
        <f aca="false">I365-D365</f>
        <v>0</v>
      </c>
    </row>
  </sheetData>
  <autoFilter ref="A1:M365"/>
  <mergeCells count="69">
    <mergeCell ref="O2:P2"/>
    <mergeCell ref="O9:S10"/>
    <mergeCell ref="O11:S11"/>
    <mergeCell ref="O12:S12"/>
    <mergeCell ref="O13:S13"/>
    <mergeCell ref="O14:S14"/>
    <mergeCell ref="O16:S17"/>
    <mergeCell ref="P18:R18"/>
    <mergeCell ref="P19:R19"/>
    <mergeCell ref="P20:R20"/>
    <mergeCell ref="P21:R21"/>
    <mergeCell ref="P22:R22"/>
    <mergeCell ref="P23:R23"/>
    <mergeCell ref="P24:R24"/>
    <mergeCell ref="P25:R25"/>
    <mergeCell ref="P26:R26"/>
    <mergeCell ref="P27:R27"/>
    <mergeCell ref="P28:R28"/>
    <mergeCell ref="P29:R29"/>
    <mergeCell ref="P30:R30"/>
    <mergeCell ref="P31:R31"/>
    <mergeCell ref="P32:R32"/>
    <mergeCell ref="P33:R33"/>
    <mergeCell ref="P34:R34"/>
    <mergeCell ref="P35:R35"/>
    <mergeCell ref="P36:R36"/>
    <mergeCell ref="O38:S39"/>
    <mergeCell ref="P40:R40"/>
    <mergeCell ref="P41:R41"/>
    <mergeCell ref="P42:R42"/>
    <mergeCell ref="P43:R43"/>
    <mergeCell ref="P44:R44"/>
    <mergeCell ref="P45:R45"/>
    <mergeCell ref="P46:R46"/>
    <mergeCell ref="P47:R47"/>
    <mergeCell ref="P48:R48"/>
    <mergeCell ref="P49:R49"/>
    <mergeCell ref="P50:R50"/>
    <mergeCell ref="P51:R51"/>
    <mergeCell ref="P52:R52"/>
    <mergeCell ref="P53:R53"/>
    <mergeCell ref="O55:T56"/>
    <mergeCell ref="O57:R57"/>
    <mergeCell ref="O58:R58"/>
    <mergeCell ref="O59:R59"/>
    <mergeCell ref="O60:R60"/>
    <mergeCell ref="O61:R61"/>
    <mergeCell ref="O62:R62"/>
    <mergeCell ref="O63:R63"/>
    <mergeCell ref="O64:R64"/>
    <mergeCell ref="O65:R65"/>
    <mergeCell ref="O66:R66"/>
    <mergeCell ref="O67:R67"/>
    <mergeCell ref="O68:R68"/>
    <mergeCell ref="O69:R69"/>
    <mergeCell ref="O71:T72"/>
    <mergeCell ref="O73:R73"/>
    <mergeCell ref="O74:R74"/>
    <mergeCell ref="O75:R75"/>
    <mergeCell ref="O76:R76"/>
    <mergeCell ref="O77:R77"/>
    <mergeCell ref="O78:R78"/>
    <mergeCell ref="O80:R81"/>
    <mergeCell ref="P82:R82"/>
    <mergeCell ref="P83:R83"/>
    <mergeCell ref="P84:R84"/>
    <mergeCell ref="P85:R85"/>
    <mergeCell ref="P86:R86"/>
    <mergeCell ref="P87:R87"/>
  </mergeCells>
  <conditionalFormatting sqref="I36:I37">
    <cfRule type="timePeriod" priority="2" timePeriod="today" dxfId="15"/>
  </conditionalFormatting>
  <conditionalFormatting sqref="I246:I247">
    <cfRule type="timePeriod" priority="3" timePeriod="today" dxfId="16"/>
  </conditionalFormatting>
  <conditionalFormatting sqref="I242:I243">
    <cfRule type="timePeriod" priority="4" timePeriod="today" dxfId="17"/>
  </conditionalFormatting>
  <conditionalFormatting sqref="I224:I225">
    <cfRule type="timePeriod" priority="5" timePeriod="today" dxfId="18"/>
  </conditionalFormatting>
  <conditionalFormatting sqref="I194:I195">
    <cfRule type="timePeriod" priority="6" timePeriod="today" dxfId="19"/>
  </conditionalFormatting>
  <conditionalFormatting sqref="I172:I173">
    <cfRule type="timePeriod" priority="7" timePeriod="today" dxfId="20"/>
  </conditionalFormatting>
  <conditionalFormatting sqref="I168:I171">
    <cfRule type="timePeriod" priority="8" timePeriod="today" dxfId="21"/>
  </conditionalFormatting>
  <conditionalFormatting sqref="I166:I167">
    <cfRule type="timePeriod" priority="9" timePeriod="today" dxfId="22"/>
  </conditionalFormatting>
  <conditionalFormatting sqref="I122:I123">
    <cfRule type="timePeriod" priority="10" timePeriod="today" dxfId="23"/>
  </conditionalFormatting>
  <conditionalFormatting sqref="I120:I121">
    <cfRule type="timePeriod" priority="11" timePeriod="today" dxfId="24"/>
  </conditionalFormatting>
  <conditionalFormatting sqref="I118:I119">
    <cfRule type="timePeriod" priority="12" timePeriod="today" dxfId="25"/>
  </conditionalFormatting>
  <conditionalFormatting sqref="I116:I117">
    <cfRule type="timePeriod" priority="13" timePeriod="today" dxfId="26"/>
  </conditionalFormatting>
  <conditionalFormatting sqref="I114:I115">
    <cfRule type="timePeriod" priority="14" timePeriod="today" dxfId="27"/>
  </conditionalFormatting>
  <conditionalFormatting sqref="I112:I113">
    <cfRule type="timePeriod" priority="15" timePeriod="today" dxfId="28"/>
  </conditionalFormatting>
  <conditionalFormatting sqref="I110:I111">
    <cfRule type="timePeriod" priority="16" timePeriod="today" dxfId="29"/>
  </conditionalFormatting>
  <conditionalFormatting sqref="I324">
    <cfRule type="timePeriod" priority="17" timePeriod="today" dxfId="30"/>
  </conditionalFormatting>
  <conditionalFormatting sqref="I320">
    <cfRule type="timePeriod" priority="18" timePeriod="today" dxfId="31"/>
  </conditionalFormatting>
  <conditionalFormatting sqref="I318">
    <cfRule type="timePeriod" priority="19" timePeriod="today" dxfId="32"/>
  </conditionalFormatting>
  <conditionalFormatting sqref="I316">
    <cfRule type="timePeriod" priority="20" timePeriod="today" dxfId="33"/>
  </conditionalFormatting>
  <conditionalFormatting sqref="I314">
    <cfRule type="timePeriod" priority="21" timePeriod="today" dxfId="34"/>
  </conditionalFormatting>
  <conditionalFormatting sqref="I312">
    <cfRule type="timePeriod" priority="22" timePeriod="today" dxfId="35"/>
  </conditionalFormatting>
  <conditionalFormatting sqref="I310">
    <cfRule type="timePeriod" priority="23" timePeriod="today" dxfId="36"/>
  </conditionalFormatting>
  <conditionalFormatting sqref="I308">
    <cfRule type="timePeriod" priority="24" timePeriod="today" dxfId="37"/>
  </conditionalFormatting>
  <conditionalFormatting sqref="I306">
    <cfRule type="timePeriod" priority="25" timePeriod="today" dxfId="38"/>
  </conditionalFormatting>
  <conditionalFormatting sqref="I304">
    <cfRule type="timePeriod" priority="26" timePeriod="today" dxfId="39"/>
  </conditionalFormatting>
  <conditionalFormatting sqref="I302">
    <cfRule type="timePeriod" priority="27" timePeriod="today" dxfId="40"/>
  </conditionalFormatting>
  <conditionalFormatting sqref="I300">
    <cfRule type="timePeriod" priority="28" timePeriod="today" dxfId="41"/>
  </conditionalFormatting>
  <conditionalFormatting sqref="I298">
    <cfRule type="timePeriod" priority="29" timePeriod="today" dxfId="42"/>
  </conditionalFormatting>
  <conditionalFormatting sqref="I280">
    <cfRule type="timePeriod" priority="30" timePeriod="today" dxfId="43"/>
  </conditionalFormatting>
  <conditionalFormatting sqref="I278">
    <cfRule type="timePeriod" priority="31" timePeriod="today" dxfId="44"/>
  </conditionalFormatting>
  <conditionalFormatting sqref="I276">
    <cfRule type="timePeriod" priority="32" timePeriod="today" dxfId="45"/>
  </conditionalFormatting>
  <conditionalFormatting sqref="I274">
    <cfRule type="timePeriod" priority="33" timePeriod="today" dxfId="46"/>
  </conditionalFormatting>
  <conditionalFormatting sqref="I272">
    <cfRule type="timePeriod" priority="34" timePeriod="today" dxfId="47"/>
  </conditionalFormatting>
  <conditionalFormatting sqref="I270">
    <cfRule type="timePeriod" priority="35" timePeriod="today" dxfId="48"/>
  </conditionalFormatting>
  <conditionalFormatting sqref="I268">
    <cfRule type="timePeriod" priority="36" timePeriod="today" dxfId="49"/>
  </conditionalFormatting>
  <conditionalFormatting sqref="I266">
    <cfRule type="timePeriod" priority="37" timePeriod="today" dxfId="50"/>
  </conditionalFormatting>
  <conditionalFormatting sqref="I282 I284 I286 I288 I290 I292 I294 I296">
    <cfRule type="timePeriod" priority="38" timePeriod="today" dxfId="51"/>
  </conditionalFormatting>
  <conditionalFormatting sqref="I264">
    <cfRule type="timePeriod" priority="39" timePeriod="today" dxfId="52"/>
  </conditionalFormatting>
  <conditionalFormatting sqref="I240:I241">
    <cfRule type="timePeriod" priority="40" timePeriod="today" dxfId="53"/>
  </conditionalFormatting>
  <conditionalFormatting sqref="I254">
    <cfRule type="timePeriod" priority="41" timePeriod="today" dxfId="54"/>
  </conditionalFormatting>
  <conditionalFormatting sqref="I244:I245">
    <cfRule type="timePeriod" priority="42" timePeriod="today" dxfId="55"/>
  </conditionalFormatting>
  <conditionalFormatting sqref="I226:I227 I234:I235">
    <cfRule type="timePeriod" priority="43" timePeriod="today" dxfId="56"/>
  </conditionalFormatting>
  <conditionalFormatting sqref="I228:I229 I236:I237">
    <cfRule type="timePeriod" priority="44" timePeriod="today" dxfId="57"/>
  </conditionalFormatting>
  <conditionalFormatting sqref="I230:I231 I238:I239">
    <cfRule type="timePeriod" priority="45" timePeriod="today" dxfId="58"/>
  </conditionalFormatting>
  <conditionalFormatting sqref="I218:I219">
    <cfRule type="timePeriod" priority="46" timePeriod="today" dxfId="59"/>
  </conditionalFormatting>
  <conditionalFormatting sqref="I220:I221">
    <cfRule type="timePeriod" priority="47" timePeriod="today" dxfId="60"/>
  </conditionalFormatting>
  <conditionalFormatting sqref="I196:I217 I222:I223">
    <cfRule type="timePeriod" priority="48" timePeriod="today" dxfId="61"/>
  </conditionalFormatting>
  <conditionalFormatting sqref="I146:I153">
    <cfRule type="timePeriod" priority="49" timePeriod="today" dxfId="62"/>
  </conditionalFormatting>
  <conditionalFormatting sqref="I144:I145">
    <cfRule type="timePeriod" priority="50" timePeriod="today" dxfId="63"/>
  </conditionalFormatting>
  <conditionalFormatting sqref="I40:I41">
    <cfRule type="timePeriod" priority="51" timePeriod="today" dxfId="64"/>
  </conditionalFormatting>
  <conditionalFormatting sqref="I28">
    <cfRule type="timePeriod" priority="52" timePeriod="today" dxfId="65"/>
  </conditionalFormatting>
  <conditionalFormatting sqref="I174:I189">
    <cfRule type="timePeriod" priority="53" timePeriod="today" dxfId="66"/>
  </conditionalFormatting>
  <conditionalFormatting sqref="I42:I87">
    <cfRule type="timePeriod" priority="54" timePeriod="today" dxfId="67"/>
  </conditionalFormatting>
  <conditionalFormatting sqref="I2:I16 I18 I20 I22 I24 I26 I30 I32 I34:I35 I38:I39 I88:I109 I124:I143 I154:I165">
    <cfRule type="timePeriod" priority="55" timePeriod="today" dxfId="68"/>
  </conditionalFormatting>
  <conditionalFormatting sqref="I256 I258 I260 I190:I193 I232:I233">
    <cfRule type="timePeriod" priority="56" timePeriod="today" dxfId="69"/>
  </conditionalFormatting>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T913"/>
  <sheetViews>
    <sheetView showFormulas="false" showGridLines="true" showRowColHeaders="true" showZeros="true" rightToLeft="false" tabSelected="false" showOutlineSymbols="true" defaultGridColor="true" view="normal" topLeftCell="A1" colorId="64" zoomScale="51" zoomScaleNormal="51" zoomScalePageLayoutView="100" workbookViewId="0">
      <pane xSplit="1" ySplit="1" topLeftCell="B12" activePane="bottomRight" state="frozen"/>
      <selection pane="topLeft" activeCell="A1" activeCellId="0" sqref="A1"/>
      <selection pane="topRight" activeCell="B1" activeCellId="0" sqref="B1"/>
      <selection pane="bottomLeft" activeCell="A12" activeCellId="0" sqref="A12"/>
      <selection pane="bottomRight" activeCell="S54" activeCellId="0" sqref="S54"/>
    </sheetView>
  </sheetViews>
  <sheetFormatPr defaultColWidth="14.2890625" defaultRowHeight="12.75" customHeight="false" zeroHeight="false" outlineLevelRow="0" outlineLevelCol="0"/>
  <cols>
    <col collapsed="false" customWidth="true" hidden="false" outlineLevel="0" max="1" min="1" style="0" width="18.43"/>
    <col collapsed="false" customWidth="true" hidden="false" outlineLevel="0" max="2" min="2" style="0" width="23.29"/>
    <col collapsed="false" customWidth="true" hidden="false" outlineLevel="0" max="3" min="3" style="0" width="25.14"/>
    <col collapsed="false" customWidth="true" hidden="false" outlineLevel="0" max="4" min="4" style="0" width="25.71"/>
    <col collapsed="false" customWidth="true" hidden="false" outlineLevel="0" max="5" min="5" style="0" width="56.42"/>
    <col collapsed="false" customWidth="true" hidden="false" outlineLevel="0" max="6" min="6" style="0" width="44.29"/>
    <col collapsed="false" customWidth="true" hidden="false" outlineLevel="0" max="7" min="7" style="0" width="15.42"/>
    <col collapsed="false" customWidth="true" hidden="false" outlineLevel="0" max="8" min="8" style="0" width="22.29"/>
    <col collapsed="false" customWidth="true" hidden="false" outlineLevel="0" max="9" min="9" style="0" width="22.42"/>
    <col collapsed="false" customWidth="true" hidden="false" outlineLevel="0" max="10" min="10" style="0" width="14.71"/>
    <col collapsed="false" customWidth="true" hidden="false" outlineLevel="0" max="11" min="11" style="0" width="77.57"/>
    <col collapsed="false" customWidth="true" hidden="false" outlineLevel="0" max="12" min="12" style="0" width="76.14"/>
    <col collapsed="false" customWidth="true" hidden="false" outlineLevel="0" max="13" min="13" style="0" width="43.29"/>
    <col collapsed="false" customWidth="true" hidden="false" outlineLevel="0" max="14" min="14" style="0" width="7.71"/>
    <col collapsed="false" customWidth="true" hidden="false" outlineLevel="0" max="15" min="15" style="0" width="27.14"/>
    <col collapsed="false" customWidth="true" hidden="false" outlineLevel="0" max="16" min="16" style="0" width="9.85"/>
    <col collapsed="false" customWidth="true" hidden="false" outlineLevel="0" max="17" min="17" style="0" width="3.42"/>
    <col collapsed="false" customWidth="true" hidden="false" outlineLevel="0" max="18" min="18" style="0" width="39"/>
    <col collapsed="false" customWidth="true" hidden="false" outlineLevel="0" max="19" min="19" style="0" width="62.85"/>
    <col collapsed="false" customWidth="true" hidden="false" outlineLevel="0" max="20" min="20" style="0" width="13.71"/>
    <col collapsed="false" customWidth="true" hidden="false" outlineLevel="0" max="21" min="21" style="0" width="18.14"/>
    <col collapsed="false" customWidth="true" hidden="true" outlineLevel="0" max="26" min="22" style="0" width="8.71"/>
  </cols>
  <sheetData>
    <row r="1" customFormat="false" ht="12.75" hidden="false" customHeight="true" outlineLevel="0" collapsed="false">
      <c r="A1" s="276" t="s">
        <v>92</v>
      </c>
      <c r="B1" s="277" t="s">
        <v>93</v>
      </c>
      <c r="C1" s="277" t="s">
        <v>89</v>
      </c>
      <c r="D1" s="278" t="s">
        <v>94</v>
      </c>
      <c r="E1" s="277" t="s">
        <v>95</v>
      </c>
      <c r="F1" s="277" t="s">
        <v>96</v>
      </c>
      <c r="G1" s="277" t="s">
        <v>97</v>
      </c>
      <c r="H1" s="277" t="s">
        <v>98</v>
      </c>
      <c r="I1" s="278" t="s">
        <v>99</v>
      </c>
      <c r="J1" s="277" t="s">
        <v>100</v>
      </c>
      <c r="K1" s="277" t="s">
        <v>101</v>
      </c>
      <c r="L1" s="277" t="s">
        <v>102</v>
      </c>
      <c r="M1" s="279" t="s">
        <v>103</v>
      </c>
      <c r="N1" s="146"/>
      <c r="O1" s="146"/>
      <c r="P1" s="146"/>
      <c r="Q1" s="146"/>
      <c r="R1" s="146"/>
      <c r="S1" s="146"/>
    </row>
    <row r="2" customFormat="false" ht="15" hidden="false" customHeight="true" outlineLevel="0" collapsed="false">
      <c r="A2" s="203" t="s">
        <v>2137</v>
      </c>
      <c r="B2" s="193" t="s">
        <v>2138</v>
      </c>
      <c r="C2" s="193" t="n">
        <v>2020</v>
      </c>
      <c r="D2" s="204" t="n">
        <v>43915</v>
      </c>
      <c r="E2" s="205" t="s">
        <v>2139</v>
      </c>
      <c r="F2" s="206" t="s">
        <v>1490</v>
      </c>
      <c r="G2" s="206" t="s">
        <v>1174</v>
      </c>
      <c r="H2" s="205" t="s">
        <v>544</v>
      </c>
      <c r="I2" s="218" t="n">
        <v>45679</v>
      </c>
      <c r="J2" s="206" t="n">
        <v>1</v>
      </c>
      <c r="K2" s="206" t="s">
        <v>53</v>
      </c>
      <c r="L2" s="206" t="s">
        <v>58</v>
      </c>
      <c r="M2" s="208" t="n">
        <v>1764</v>
      </c>
      <c r="N2" s="146"/>
      <c r="O2" s="280" t="s">
        <v>2140</v>
      </c>
      <c r="P2" s="280"/>
      <c r="Q2" s="146"/>
      <c r="R2" s="146"/>
      <c r="S2" s="146"/>
    </row>
    <row r="3" customFormat="false" ht="15" hidden="false" customHeight="true" outlineLevel="0" collapsed="false">
      <c r="A3" s="210" t="s">
        <v>2141</v>
      </c>
      <c r="B3" s="211" t="s">
        <v>2142</v>
      </c>
      <c r="C3" s="211" t="n">
        <v>2008</v>
      </c>
      <c r="D3" s="212" t="n">
        <v>39623</v>
      </c>
      <c r="E3" s="213" t="s">
        <v>2143</v>
      </c>
      <c r="F3" s="213" t="s">
        <v>823</v>
      </c>
      <c r="G3" s="214" t="s">
        <v>1174</v>
      </c>
      <c r="H3" s="214" t="s">
        <v>706</v>
      </c>
      <c r="I3" s="215" t="n">
        <v>45681</v>
      </c>
      <c r="J3" s="213" t="n">
        <v>1</v>
      </c>
      <c r="K3" s="213" t="s">
        <v>53</v>
      </c>
      <c r="L3" s="206" t="s">
        <v>58</v>
      </c>
      <c r="M3" s="213" t="n">
        <v>6058</v>
      </c>
      <c r="N3" s="146"/>
      <c r="O3" s="281" t="s">
        <v>1474</v>
      </c>
      <c r="P3" s="281" t="n">
        <f aca="false">COUNTIF(G:G,O3)</f>
        <v>1</v>
      </c>
      <c r="Q3" s="146"/>
      <c r="R3" s="146"/>
      <c r="S3" s="146"/>
    </row>
    <row r="4" customFormat="false" ht="15" hidden="false" customHeight="true" outlineLevel="0" collapsed="false">
      <c r="A4" s="203" t="s">
        <v>2144</v>
      </c>
      <c r="B4" s="193" t="s">
        <v>2145</v>
      </c>
      <c r="C4" s="193" t="n">
        <v>2022</v>
      </c>
      <c r="D4" s="204" t="n">
        <v>44897</v>
      </c>
      <c r="E4" s="205" t="s">
        <v>2146</v>
      </c>
      <c r="F4" s="206" t="s">
        <v>408</v>
      </c>
      <c r="G4" s="206" t="s">
        <v>1174</v>
      </c>
      <c r="H4" s="205" t="s">
        <v>2147</v>
      </c>
      <c r="I4" s="218" t="n">
        <v>45681</v>
      </c>
      <c r="J4" s="206" t="n">
        <v>1</v>
      </c>
      <c r="K4" s="206" t="s">
        <v>53</v>
      </c>
      <c r="L4" s="151" t="s">
        <v>60</v>
      </c>
      <c r="M4" s="208" t="n">
        <v>784</v>
      </c>
      <c r="N4" s="153"/>
      <c r="O4" s="282" t="s">
        <v>1188</v>
      </c>
      <c r="P4" s="282" t="n">
        <f aca="false">COUNTIF(G:G,O4)</f>
        <v>6</v>
      </c>
      <c r="Q4" s="153"/>
      <c r="R4" s="153"/>
      <c r="S4" s="153"/>
    </row>
    <row r="5" customFormat="false" ht="15" hidden="false" customHeight="true" outlineLevel="0" collapsed="false">
      <c r="A5" s="210" t="s">
        <v>2148</v>
      </c>
      <c r="B5" s="211" t="s">
        <v>2149</v>
      </c>
      <c r="C5" s="211" t="n">
        <v>2020</v>
      </c>
      <c r="D5" s="212" t="n">
        <v>44109</v>
      </c>
      <c r="E5" s="213" t="s">
        <v>2150</v>
      </c>
      <c r="F5" s="213" t="s">
        <v>2151</v>
      </c>
      <c r="G5" s="214" t="s">
        <v>1174</v>
      </c>
      <c r="H5" s="214" t="s">
        <v>184</v>
      </c>
      <c r="I5" s="215" t="n">
        <v>45681</v>
      </c>
      <c r="J5" s="213" t="n">
        <v>1</v>
      </c>
      <c r="K5" s="213" t="s">
        <v>53</v>
      </c>
      <c r="L5" s="151" t="s">
        <v>60</v>
      </c>
      <c r="M5" s="213" t="n">
        <v>1572</v>
      </c>
      <c r="N5" s="153"/>
      <c r="O5" s="283" t="s">
        <v>1174</v>
      </c>
      <c r="P5" s="283" t="n">
        <f aca="false">COUNTIF(G:G,O5)</f>
        <v>312</v>
      </c>
      <c r="Q5" s="153"/>
      <c r="R5" s="153"/>
      <c r="S5" s="153"/>
    </row>
    <row r="6" customFormat="false" ht="15" hidden="false" customHeight="true" outlineLevel="0" collapsed="false">
      <c r="A6" s="203" t="s">
        <v>2152</v>
      </c>
      <c r="B6" s="193" t="s">
        <v>2153</v>
      </c>
      <c r="C6" s="193" t="n">
        <v>2021</v>
      </c>
      <c r="D6" s="204" t="n">
        <v>44236</v>
      </c>
      <c r="E6" s="205" t="s">
        <v>2154</v>
      </c>
      <c r="F6" s="206" t="s">
        <v>1445</v>
      </c>
      <c r="G6" s="206" t="s">
        <v>8</v>
      </c>
      <c r="H6" s="205" t="s">
        <v>119</v>
      </c>
      <c r="I6" s="218" t="n">
        <v>45681</v>
      </c>
      <c r="J6" s="206" t="n">
        <v>1</v>
      </c>
      <c r="K6" s="206" t="s">
        <v>2155</v>
      </c>
      <c r="L6" s="151" t="s">
        <v>60</v>
      </c>
      <c r="M6" s="208" t="n">
        <v>1445</v>
      </c>
      <c r="N6" s="153"/>
      <c r="O6" s="282" t="s">
        <v>8</v>
      </c>
      <c r="P6" s="282" t="n">
        <f aca="false">COUNTIF(G:G,O6)</f>
        <v>4</v>
      </c>
      <c r="Q6" s="153"/>
      <c r="R6" s="153"/>
      <c r="S6" s="153"/>
    </row>
    <row r="7" customFormat="false" ht="15" hidden="false" customHeight="true" outlineLevel="0" collapsed="false">
      <c r="A7" s="210" t="s">
        <v>2156</v>
      </c>
      <c r="B7" s="211" t="s">
        <v>2157</v>
      </c>
      <c r="C7" s="211" t="n">
        <v>2020</v>
      </c>
      <c r="D7" s="212" t="n">
        <v>44126</v>
      </c>
      <c r="E7" s="213" t="s">
        <v>2158</v>
      </c>
      <c r="F7" s="213" t="s">
        <v>2151</v>
      </c>
      <c r="G7" s="214" t="s">
        <v>1174</v>
      </c>
      <c r="H7" s="214" t="s">
        <v>706</v>
      </c>
      <c r="I7" s="215" t="n">
        <v>45685</v>
      </c>
      <c r="J7" s="213" t="n">
        <v>1</v>
      </c>
      <c r="K7" s="213" t="s">
        <v>53</v>
      </c>
      <c r="L7" s="151" t="s">
        <v>60</v>
      </c>
      <c r="M7" s="213" t="n">
        <v>1559</v>
      </c>
      <c r="N7" s="153"/>
      <c r="O7" s="283" t="s">
        <v>144</v>
      </c>
      <c r="P7" s="283" t="n">
        <f aca="false">COUNTIF(G:G,O7)</f>
        <v>37</v>
      </c>
      <c r="Q7" s="153"/>
      <c r="R7" s="153"/>
      <c r="S7" s="153"/>
    </row>
    <row r="8" customFormat="false" ht="15" hidden="false" customHeight="true" outlineLevel="0" collapsed="false">
      <c r="A8" s="203" t="s">
        <v>2159</v>
      </c>
      <c r="B8" s="193" t="s">
        <v>2160</v>
      </c>
      <c r="C8" s="193" t="n">
        <v>2022</v>
      </c>
      <c r="D8" s="204" t="n">
        <v>44914</v>
      </c>
      <c r="E8" s="205" t="s">
        <v>2161</v>
      </c>
      <c r="F8" s="206" t="s">
        <v>1196</v>
      </c>
      <c r="G8" s="206" t="s">
        <v>1174</v>
      </c>
      <c r="H8" s="205" t="s">
        <v>706</v>
      </c>
      <c r="I8" s="218" t="n">
        <v>45685</v>
      </c>
      <c r="J8" s="206" t="n">
        <v>1</v>
      </c>
      <c r="K8" s="206" t="s">
        <v>53</v>
      </c>
      <c r="L8" s="151" t="s">
        <v>60</v>
      </c>
      <c r="M8" s="208" t="n">
        <v>771</v>
      </c>
      <c r="N8" s="153"/>
      <c r="O8" s="282" t="s">
        <v>115</v>
      </c>
      <c r="P8" s="282" t="n">
        <f aca="false">COUNTIF(G:G,O8)</f>
        <v>19</v>
      </c>
      <c r="Q8" s="153"/>
      <c r="R8" s="153"/>
      <c r="S8" s="153"/>
    </row>
    <row r="9" customFormat="false" ht="15" hidden="false" customHeight="true" outlineLevel="0" collapsed="false">
      <c r="A9" s="210" t="s">
        <v>2162</v>
      </c>
      <c r="B9" s="211" t="s">
        <v>2163</v>
      </c>
      <c r="C9" s="211" t="n">
        <v>2019</v>
      </c>
      <c r="D9" s="212" t="n">
        <v>43551</v>
      </c>
      <c r="E9" s="213" t="s">
        <v>2164</v>
      </c>
      <c r="F9" s="213" t="s">
        <v>191</v>
      </c>
      <c r="G9" s="214" t="s">
        <v>1174</v>
      </c>
      <c r="H9" s="214" t="s">
        <v>192</v>
      </c>
      <c r="I9" s="215" t="n">
        <v>45685</v>
      </c>
      <c r="J9" s="213" t="n">
        <v>1</v>
      </c>
      <c r="K9" s="213" t="s">
        <v>53</v>
      </c>
      <c r="L9" s="151" t="s">
        <v>60</v>
      </c>
      <c r="M9" s="213" t="n">
        <v>2134</v>
      </c>
      <c r="N9" s="153"/>
      <c r="O9" s="283" t="s">
        <v>441</v>
      </c>
      <c r="P9" s="283" t="n">
        <f aca="false">COUNTIF(G:G,O9)</f>
        <v>371</v>
      </c>
      <c r="Q9" s="153"/>
      <c r="R9" s="153"/>
      <c r="S9" s="153"/>
    </row>
    <row r="10" customFormat="false" ht="15" hidden="false" customHeight="true" outlineLevel="0" collapsed="false">
      <c r="A10" s="203" t="s">
        <v>2165</v>
      </c>
      <c r="B10" s="193" t="s">
        <v>2166</v>
      </c>
      <c r="C10" s="193" t="n">
        <v>2020</v>
      </c>
      <c r="D10" s="204" t="n">
        <v>43878</v>
      </c>
      <c r="E10" s="205" t="s">
        <v>2167</v>
      </c>
      <c r="F10" s="206" t="s">
        <v>2168</v>
      </c>
      <c r="G10" s="206" t="s">
        <v>1174</v>
      </c>
      <c r="H10" s="205" t="s">
        <v>1231</v>
      </c>
      <c r="I10" s="218" t="n">
        <v>45687</v>
      </c>
      <c r="J10" s="206" t="n">
        <v>1</v>
      </c>
      <c r="K10" s="206" t="s">
        <v>53</v>
      </c>
      <c r="L10" s="151" t="s">
        <v>60</v>
      </c>
      <c r="M10" s="208" t="n">
        <v>1809</v>
      </c>
      <c r="N10" s="153"/>
      <c r="O10" s="282" t="s">
        <v>125</v>
      </c>
      <c r="P10" s="282" t="n">
        <f aca="false">COUNTIF(G:G,O10)</f>
        <v>87</v>
      </c>
      <c r="Q10" s="153"/>
      <c r="R10" s="153"/>
      <c r="S10" s="153"/>
    </row>
    <row r="11" customFormat="false" ht="15" hidden="false" customHeight="true" outlineLevel="0" collapsed="false">
      <c r="A11" s="210" t="s">
        <v>2169</v>
      </c>
      <c r="B11" s="211" t="s">
        <v>2170</v>
      </c>
      <c r="C11" s="211" t="n">
        <v>2017</v>
      </c>
      <c r="D11" s="212" t="n">
        <v>43090</v>
      </c>
      <c r="E11" s="213" t="s">
        <v>2171</v>
      </c>
      <c r="F11" s="213" t="s">
        <v>1490</v>
      </c>
      <c r="G11" s="214" t="s">
        <v>1174</v>
      </c>
      <c r="H11" s="214" t="s">
        <v>2172</v>
      </c>
      <c r="I11" s="215" t="n">
        <v>45687</v>
      </c>
      <c r="J11" s="213" t="n">
        <v>1</v>
      </c>
      <c r="K11" s="213" t="s">
        <v>53</v>
      </c>
      <c r="L11" s="151" t="s">
        <v>60</v>
      </c>
      <c r="M11" s="213" t="n">
        <v>2597</v>
      </c>
      <c r="N11" s="153"/>
      <c r="O11" s="284" t="s">
        <v>130</v>
      </c>
      <c r="P11" s="284" t="n">
        <f aca="false">COUNTIF(G:G,O11)</f>
        <v>75</v>
      </c>
      <c r="Q11" s="153"/>
      <c r="R11" s="153"/>
      <c r="S11" s="153"/>
    </row>
    <row r="12" customFormat="false" ht="15" hidden="false" customHeight="true" outlineLevel="0" collapsed="false">
      <c r="A12" s="203" t="s">
        <v>2173</v>
      </c>
      <c r="B12" s="193" t="s">
        <v>2174</v>
      </c>
      <c r="C12" s="193" t="n">
        <v>2017</v>
      </c>
      <c r="D12" s="204" t="n">
        <v>43005</v>
      </c>
      <c r="E12" s="205" t="s">
        <v>2175</v>
      </c>
      <c r="F12" s="206" t="s">
        <v>1490</v>
      </c>
      <c r="G12" s="206" t="s">
        <v>1174</v>
      </c>
      <c r="H12" s="205" t="s">
        <v>2176</v>
      </c>
      <c r="I12" s="218" t="n">
        <v>45687</v>
      </c>
      <c r="J12" s="206" t="n">
        <v>1</v>
      </c>
      <c r="K12" s="206" t="s">
        <v>53</v>
      </c>
      <c r="L12" s="151" t="s">
        <v>60</v>
      </c>
      <c r="M12" s="208" t="n">
        <v>2682</v>
      </c>
      <c r="N12" s="153"/>
      <c r="O12" s="285" t="s">
        <v>140</v>
      </c>
      <c r="P12" s="286" t="n">
        <f aca="false">SUM(P3:P11)</f>
        <v>912</v>
      </c>
      <c r="Q12" s="153"/>
      <c r="R12" s="153"/>
      <c r="S12" s="153"/>
    </row>
    <row r="13" customFormat="false" ht="15" hidden="false" customHeight="true" outlineLevel="0" collapsed="false">
      <c r="A13" s="210" t="s">
        <v>2177</v>
      </c>
      <c r="B13" s="211" t="s">
        <v>2178</v>
      </c>
      <c r="C13" s="211" t="n">
        <v>2020</v>
      </c>
      <c r="D13" s="212" t="n">
        <v>43986</v>
      </c>
      <c r="E13" s="213" t="s">
        <v>2179</v>
      </c>
      <c r="F13" s="213" t="s">
        <v>138</v>
      </c>
      <c r="G13" s="214" t="s">
        <v>1174</v>
      </c>
      <c r="H13" s="214" t="s">
        <v>1231</v>
      </c>
      <c r="I13" s="215" t="n">
        <v>45687</v>
      </c>
      <c r="J13" s="213" t="n">
        <v>1</v>
      </c>
      <c r="K13" s="213" t="s">
        <v>53</v>
      </c>
      <c r="L13" s="151" t="s">
        <v>60</v>
      </c>
      <c r="M13" s="213" t="n">
        <v>1701</v>
      </c>
      <c r="N13" s="160"/>
      <c r="O13" s="153"/>
      <c r="P13" s="153"/>
      <c r="Q13" s="153"/>
      <c r="R13" s="287"/>
      <c r="S13" s="287"/>
    </row>
    <row r="14" customFormat="false" ht="15" hidden="false" customHeight="true" outlineLevel="0" collapsed="false">
      <c r="A14" s="203" t="s">
        <v>2180</v>
      </c>
      <c r="B14" s="193" t="s">
        <v>2181</v>
      </c>
      <c r="C14" s="193" t="n">
        <v>2022</v>
      </c>
      <c r="D14" s="204" t="n">
        <v>44601</v>
      </c>
      <c r="E14" s="205" t="s">
        <v>2182</v>
      </c>
      <c r="F14" s="206" t="s">
        <v>2151</v>
      </c>
      <c r="G14" s="206" t="s">
        <v>1174</v>
      </c>
      <c r="H14" s="205" t="s">
        <v>350</v>
      </c>
      <c r="I14" s="218" t="n">
        <v>45687</v>
      </c>
      <c r="J14" s="206" t="n">
        <v>1</v>
      </c>
      <c r="K14" s="206" t="s">
        <v>53</v>
      </c>
      <c r="L14" s="151" t="s">
        <v>60</v>
      </c>
      <c r="M14" s="208" t="n">
        <v>1086</v>
      </c>
      <c r="N14" s="160"/>
    </row>
    <row r="15" customFormat="false" ht="15" hidden="false" customHeight="true" outlineLevel="0" collapsed="false">
      <c r="A15" s="210" t="s">
        <v>2183</v>
      </c>
      <c r="B15" s="211" t="s">
        <v>2184</v>
      </c>
      <c r="C15" s="211" t="n">
        <v>2016</v>
      </c>
      <c r="D15" s="212" t="n">
        <v>42726</v>
      </c>
      <c r="E15" s="213" t="s">
        <v>2185</v>
      </c>
      <c r="F15" s="213" t="s">
        <v>1490</v>
      </c>
      <c r="G15" s="214" t="s">
        <v>1174</v>
      </c>
      <c r="H15" s="214" t="s">
        <v>1567</v>
      </c>
      <c r="I15" s="215" t="n">
        <v>45691</v>
      </c>
      <c r="J15" s="213" t="n">
        <v>2</v>
      </c>
      <c r="K15" s="213" t="s">
        <v>53</v>
      </c>
      <c r="L15" s="151" t="s">
        <v>60</v>
      </c>
      <c r="M15" s="213" t="n">
        <v>2965</v>
      </c>
      <c r="N15" s="153"/>
      <c r="O15" s="288" t="s">
        <v>151</v>
      </c>
      <c r="P15" s="289"/>
      <c r="Q15" s="289"/>
      <c r="R15" s="289"/>
      <c r="S15" s="290"/>
    </row>
    <row r="16" customFormat="false" ht="15" hidden="false" customHeight="true" outlineLevel="0" collapsed="false">
      <c r="A16" s="203" t="s">
        <v>2186</v>
      </c>
      <c r="B16" s="193" t="s">
        <v>2187</v>
      </c>
      <c r="C16" s="193" t="n">
        <v>2016</v>
      </c>
      <c r="D16" s="204" t="n">
        <v>42621</v>
      </c>
      <c r="E16" s="205" t="s">
        <v>2188</v>
      </c>
      <c r="F16" s="206" t="s">
        <v>2189</v>
      </c>
      <c r="G16" s="206" t="s">
        <v>1174</v>
      </c>
      <c r="H16" s="205" t="s">
        <v>192</v>
      </c>
      <c r="I16" s="218" t="n">
        <v>45694</v>
      </c>
      <c r="J16" s="206" t="n">
        <v>2</v>
      </c>
      <c r="K16" s="206" t="s">
        <v>53</v>
      </c>
      <c r="L16" s="151" t="s">
        <v>60</v>
      </c>
      <c r="M16" s="208" t="n">
        <v>3073</v>
      </c>
      <c r="N16" s="153"/>
      <c r="O16" s="291"/>
      <c r="P16" s="292"/>
      <c r="Q16" s="292"/>
      <c r="R16" s="292"/>
      <c r="S16" s="293"/>
    </row>
    <row r="17" customFormat="false" ht="15" hidden="false" customHeight="true" outlineLevel="0" collapsed="false">
      <c r="A17" s="210" t="s">
        <v>2190</v>
      </c>
      <c r="B17" s="211" t="s">
        <v>2191</v>
      </c>
      <c r="C17" s="211" t="n">
        <v>2020</v>
      </c>
      <c r="D17" s="212" t="n">
        <v>44026</v>
      </c>
      <c r="E17" s="213" t="s">
        <v>2192</v>
      </c>
      <c r="F17" s="213" t="s">
        <v>2193</v>
      </c>
      <c r="G17" s="214" t="s">
        <v>1174</v>
      </c>
      <c r="H17" s="214" t="s">
        <v>544</v>
      </c>
      <c r="I17" s="221" t="n">
        <v>45698</v>
      </c>
      <c r="J17" s="213" t="n">
        <v>2</v>
      </c>
      <c r="K17" s="213" t="s">
        <v>53</v>
      </c>
      <c r="L17" s="151" t="s">
        <v>60</v>
      </c>
      <c r="M17" s="213" t="n">
        <v>1672</v>
      </c>
      <c r="N17" s="153"/>
      <c r="O17" s="294" t="s">
        <v>2194</v>
      </c>
      <c r="P17" s="295"/>
      <c r="Q17" s="295"/>
      <c r="R17" s="295"/>
      <c r="S17" s="296"/>
    </row>
    <row r="18" customFormat="false" ht="15" hidden="false" customHeight="true" outlineLevel="0" collapsed="false">
      <c r="A18" s="203" t="s">
        <v>2195</v>
      </c>
      <c r="B18" s="193" t="s">
        <v>2196</v>
      </c>
      <c r="C18" s="193" t="n">
        <v>2022</v>
      </c>
      <c r="D18" s="204" t="n">
        <v>44900</v>
      </c>
      <c r="E18" s="205" t="s">
        <v>2197</v>
      </c>
      <c r="F18" s="206" t="s">
        <v>168</v>
      </c>
      <c r="G18" s="206" t="s">
        <v>1174</v>
      </c>
      <c r="H18" s="205" t="s">
        <v>2147</v>
      </c>
      <c r="I18" s="218" t="n">
        <v>45699</v>
      </c>
      <c r="J18" s="206" t="n">
        <v>2</v>
      </c>
      <c r="K18" s="206" t="s">
        <v>53</v>
      </c>
      <c r="L18" s="151" t="s">
        <v>60</v>
      </c>
      <c r="M18" s="206" t="n">
        <v>799</v>
      </c>
      <c r="N18" s="153"/>
      <c r="O18" s="297" t="s">
        <v>2198</v>
      </c>
      <c r="P18" s="298"/>
      <c r="Q18" s="298"/>
      <c r="R18" s="298"/>
      <c r="S18" s="299"/>
    </row>
    <row r="19" customFormat="false" ht="15" hidden="false" customHeight="true" outlineLevel="0" collapsed="false">
      <c r="A19" s="210" t="s">
        <v>2199</v>
      </c>
      <c r="B19" s="211" t="s">
        <v>2200</v>
      </c>
      <c r="C19" s="211" t="n">
        <v>2021</v>
      </c>
      <c r="D19" s="212" t="n">
        <v>44349</v>
      </c>
      <c r="E19" s="213" t="s">
        <v>2201</v>
      </c>
      <c r="F19" s="213" t="s">
        <v>2202</v>
      </c>
      <c r="G19" s="214" t="s">
        <v>1174</v>
      </c>
      <c r="H19" s="214" t="s">
        <v>522</v>
      </c>
      <c r="I19" s="221" t="n">
        <v>45699</v>
      </c>
      <c r="J19" s="213" t="n">
        <v>2</v>
      </c>
      <c r="K19" s="213" t="s">
        <v>53</v>
      </c>
      <c r="L19" s="151" t="s">
        <v>60</v>
      </c>
      <c r="M19" s="213" t="n">
        <v>1350</v>
      </c>
      <c r="N19" s="153"/>
      <c r="O19" s="300" t="s">
        <v>2203</v>
      </c>
      <c r="P19" s="301"/>
      <c r="Q19" s="301"/>
      <c r="R19" s="301"/>
      <c r="S19" s="302"/>
    </row>
    <row r="20" customFormat="false" ht="15" hidden="false" customHeight="true" outlineLevel="0" collapsed="false">
      <c r="A20" s="203" t="s">
        <v>2204</v>
      </c>
      <c r="B20" s="193" t="s">
        <v>2205</v>
      </c>
      <c r="C20" s="193" t="n">
        <v>2020</v>
      </c>
      <c r="D20" s="204" t="n">
        <v>43990</v>
      </c>
      <c r="E20" s="205" t="s">
        <v>2206</v>
      </c>
      <c r="F20" s="206" t="s">
        <v>2193</v>
      </c>
      <c r="G20" s="206" t="s">
        <v>1174</v>
      </c>
      <c r="H20" s="205" t="s">
        <v>544</v>
      </c>
      <c r="I20" s="218" t="n">
        <v>45700</v>
      </c>
      <c r="J20" s="206" t="n">
        <v>2</v>
      </c>
      <c r="K20" s="206" t="s">
        <v>53</v>
      </c>
      <c r="L20" s="151" t="s">
        <v>60</v>
      </c>
      <c r="M20" s="206" t="n">
        <v>1710</v>
      </c>
      <c r="N20" s="153"/>
      <c r="O20" s="297" t="s">
        <v>2207</v>
      </c>
      <c r="P20" s="298"/>
      <c r="Q20" s="298"/>
      <c r="R20" s="298"/>
      <c r="S20" s="299"/>
    </row>
    <row r="21" customFormat="false" ht="15" hidden="false" customHeight="true" outlineLevel="0" collapsed="false">
      <c r="A21" s="210" t="s">
        <v>2208</v>
      </c>
      <c r="B21" s="211" t="s">
        <v>2209</v>
      </c>
      <c r="C21" s="211" t="n">
        <v>2022</v>
      </c>
      <c r="D21" s="212" t="n">
        <v>44789</v>
      </c>
      <c r="E21" s="213" t="s">
        <v>2210</v>
      </c>
      <c r="F21" s="213" t="s">
        <v>168</v>
      </c>
      <c r="G21" s="214" t="s">
        <v>1174</v>
      </c>
      <c r="H21" s="214" t="s">
        <v>1231</v>
      </c>
      <c r="I21" s="221" t="n">
        <v>45700</v>
      </c>
      <c r="J21" s="213" t="n">
        <v>2</v>
      </c>
      <c r="K21" s="213" t="s">
        <v>53</v>
      </c>
      <c r="L21" s="151" t="s">
        <v>60</v>
      </c>
      <c r="M21" s="213" t="n">
        <v>911</v>
      </c>
      <c r="N21" s="153"/>
      <c r="O21" s="300" t="s">
        <v>2211</v>
      </c>
      <c r="P21" s="301"/>
      <c r="Q21" s="301"/>
      <c r="R21" s="301"/>
      <c r="S21" s="302"/>
    </row>
    <row r="22" customFormat="false" ht="15" hidden="false" customHeight="true" outlineLevel="0" collapsed="false">
      <c r="A22" s="203" t="s">
        <v>2212</v>
      </c>
      <c r="B22" s="193" t="s">
        <v>2213</v>
      </c>
      <c r="C22" s="193" t="n">
        <v>2022</v>
      </c>
      <c r="D22" s="204" t="n">
        <v>44876</v>
      </c>
      <c r="E22" s="205" t="s">
        <v>2214</v>
      </c>
      <c r="F22" s="206" t="s">
        <v>168</v>
      </c>
      <c r="G22" s="206" t="s">
        <v>1174</v>
      </c>
      <c r="H22" s="205" t="s">
        <v>139</v>
      </c>
      <c r="I22" s="218" t="n">
        <v>45700</v>
      </c>
      <c r="J22" s="206" t="n">
        <v>2</v>
      </c>
      <c r="K22" s="206" t="s">
        <v>53</v>
      </c>
      <c r="L22" s="151" t="s">
        <v>60</v>
      </c>
      <c r="M22" s="206" t="n">
        <v>824</v>
      </c>
      <c r="N22" s="153"/>
      <c r="O22" s="297" t="s">
        <v>2215</v>
      </c>
      <c r="P22" s="298"/>
      <c r="Q22" s="298"/>
      <c r="R22" s="298"/>
      <c r="S22" s="299"/>
    </row>
    <row r="23" customFormat="false" ht="15" hidden="false" customHeight="true" outlineLevel="0" collapsed="false">
      <c r="A23" s="210" t="s">
        <v>2216</v>
      </c>
      <c r="B23" s="211" t="s">
        <v>2217</v>
      </c>
      <c r="C23" s="211" t="n">
        <v>2020</v>
      </c>
      <c r="D23" s="212" t="n">
        <v>44102</v>
      </c>
      <c r="E23" s="213" t="s">
        <v>2218</v>
      </c>
      <c r="F23" s="213" t="s">
        <v>2219</v>
      </c>
      <c r="G23" s="214" t="s">
        <v>1188</v>
      </c>
      <c r="H23" s="214" t="s">
        <v>1109</v>
      </c>
      <c r="I23" s="221" t="n">
        <v>45700</v>
      </c>
      <c r="J23" s="213" t="n">
        <v>2</v>
      </c>
      <c r="K23" s="213" t="s">
        <v>1187</v>
      </c>
      <c r="L23" s="151" t="s">
        <v>60</v>
      </c>
      <c r="M23" s="213" t="n">
        <v>1598</v>
      </c>
      <c r="N23" s="153"/>
      <c r="O23" s="300" t="s">
        <v>2220</v>
      </c>
      <c r="P23" s="301"/>
      <c r="Q23" s="301"/>
      <c r="R23" s="301"/>
      <c r="S23" s="302"/>
    </row>
    <row r="24" customFormat="false" ht="15" hidden="false" customHeight="true" outlineLevel="0" collapsed="false">
      <c r="A24" s="203" t="s">
        <v>2221</v>
      </c>
      <c r="B24" s="193" t="s">
        <v>2222</v>
      </c>
      <c r="C24" s="193" t="n">
        <v>2021</v>
      </c>
      <c r="D24" s="204" t="n">
        <v>44309</v>
      </c>
      <c r="E24" s="205" t="s">
        <v>2223</v>
      </c>
      <c r="F24" s="206" t="s">
        <v>2224</v>
      </c>
      <c r="G24" s="206" t="s">
        <v>1174</v>
      </c>
      <c r="H24" s="205" t="s">
        <v>267</v>
      </c>
      <c r="I24" s="218" t="n">
        <v>45700</v>
      </c>
      <c r="J24" s="206" t="n">
        <v>2</v>
      </c>
      <c r="K24" s="206" t="s">
        <v>53</v>
      </c>
      <c r="L24" s="151" t="s">
        <v>60</v>
      </c>
      <c r="M24" s="206" t="n">
        <v>1391</v>
      </c>
      <c r="N24" s="153"/>
      <c r="O24" s="297" t="s">
        <v>2225</v>
      </c>
      <c r="P24" s="298"/>
      <c r="Q24" s="298"/>
      <c r="R24" s="298"/>
      <c r="S24" s="299"/>
    </row>
    <row r="25" customFormat="false" ht="15" hidden="false" customHeight="true" outlineLevel="0" collapsed="false">
      <c r="A25" s="210" t="s">
        <v>2226</v>
      </c>
      <c r="B25" s="211" t="s">
        <v>2227</v>
      </c>
      <c r="C25" s="211" t="n">
        <v>2021</v>
      </c>
      <c r="D25" s="212" t="n">
        <v>44216</v>
      </c>
      <c r="E25" s="213" t="s">
        <v>2228</v>
      </c>
      <c r="F25" s="213" t="s">
        <v>2224</v>
      </c>
      <c r="G25" s="214" t="s">
        <v>1174</v>
      </c>
      <c r="H25" s="214" t="s">
        <v>192</v>
      </c>
      <c r="I25" s="221" t="n">
        <v>45701</v>
      </c>
      <c r="J25" s="213" t="n">
        <v>2</v>
      </c>
      <c r="K25" s="213" t="s">
        <v>53</v>
      </c>
      <c r="L25" s="151" t="s">
        <v>60</v>
      </c>
      <c r="M25" s="213" t="n">
        <v>1485</v>
      </c>
      <c r="N25" s="153"/>
      <c r="O25" s="303" t="s">
        <v>2229</v>
      </c>
      <c r="P25" s="304"/>
      <c r="Q25" s="304"/>
      <c r="R25" s="304"/>
      <c r="S25" s="305"/>
    </row>
    <row r="26" customFormat="false" ht="15" hidden="false" customHeight="true" outlineLevel="0" collapsed="false">
      <c r="A26" s="203" t="s">
        <v>2230</v>
      </c>
      <c r="B26" s="193" t="s">
        <v>2231</v>
      </c>
      <c r="C26" s="193" t="n">
        <v>2020</v>
      </c>
      <c r="D26" s="204" t="n">
        <v>43966</v>
      </c>
      <c r="E26" s="205" t="s">
        <v>2232</v>
      </c>
      <c r="F26" s="206" t="s">
        <v>168</v>
      </c>
      <c r="G26" s="206" t="s">
        <v>1174</v>
      </c>
      <c r="H26" s="205" t="s">
        <v>263</v>
      </c>
      <c r="I26" s="218" t="n">
        <v>45702</v>
      </c>
      <c r="J26" s="206" t="n">
        <v>2</v>
      </c>
      <c r="K26" s="206" t="s">
        <v>53</v>
      </c>
      <c r="L26" s="151" t="s">
        <v>60</v>
      </c>
      <c r="M26" s="206" t="n">
        <v>1736</v>
      </c>
      <c r="N26" s="153"/>
      <c r="O26" s="153"/>
      <c r="P26" s="153"/>
      <c r="Q26" s="153"/>
      <c r="R26" s="153"/>
      <c r="S26" s="153"/>
    </row>
    <row r="27" customFormat="false" ht="15" hidden="false" customHeight="true" outlineLevel="0" collapsed="false">
      <c r="A27" s="210" t="s">
        <v>2233</v>
      </c>
      <c r="B27" s="211" t="s">
        <v>2234</v>
      </c>
      <c r="C27" s="211" t="n">
        <v>2020</v>
      </c>
      <c r="D27" s="212" t="n">
        <v>44097</v>
      </c>
      <c r="E27" s="213" t="s">
        <v>2235</v>
      </c>
      <c r="F27" s="213" t="s">
        <v>1196</v>
      </c>
      <c r="G27" s="214" t="s">
        <v>1174</v>
      </c>
      <c r="H27" s="214" t="s">
        <v>706</v>
      </c>
      <c r="I27" s="221" t="n">
        <v>45702</v>
      </c>
      <c r="J27" s="213" t="n">
        <v>2</v>
      </c>
      <c r="K27" s="213" t="s">
        <v>53</v>
      </c>
      <c r="L27" s="151" t="s">
        <v>60</v>
      </c>
      <c r="M27" s="213" t="n">
        <v>1605</v>
      </c>
      <c r="N27" s="153"/>
      <c r="O27" s="288" t="s">
        <v>185</v>
      </c>
      <c r="P27" s="289"/>
      <c r="Q27" s="289"/>
      <c r="R27" s="289"/>
      <c r="S27" s="290"/>
    </row>
    <row r="28" customFormat="false" ht="15" hidden="false" customHeight="true" outlineLevel="0" collapsed="false">
      <c r="A28" s="203" t="s">
        <v>2236</v>
      </c>
      <c r="B28" s="193" t="s">
        <v>2237</v>
      </c>
      <c r="C28" s="193" t="n">
        <v>2020</v>
      </c>
      <c r="D28" s="204" t="n">
        <v>44130</v>
      </c>
      <c r="E28" s="205" t="s">
        <v>2238</v>
      </c>
      <c r="F28" s="206" t="s">
        <v>1196</v>
      </c>
      <c r="G28" s="206" t="s">
        <v>1174</v>
      </c>
      <c r="H28" s="205" t="s">
        <v>192</v>
      </c>
      <c r="I28" s="218" t="n">
        <v>45702</v>
      </c>
      <c r="J28" s="206" t="n">
        <v>2</v>
      </c>
      <c r="K28" s="206" t="s">
        <v>53</v>
      </c>
      <c r="L28" s="151" t="s">
        <v>60</v>
      </c>
      <c r="M28" s="206" t="n">
        <v>1572</v>
      </c>
      <c r="N28" s="153"/>
      <c r="O28" s="306"/>
      <c r="P28" s="307"/>
      <c r="Q28" s="307"/>
      <c r="R28" s="307"/>
      <c r="S28" s="308"/>
    </row>
    <row r="29" customFormat="false" ht="15" hidden="false" customHeight="true" outlineLevel="0" collapsed="false">
      <c r="A29" s="210" t="s">
        <v>2239</v>
      </c>
      <c r="B29" s="211" t="s">
        <v>2240</v>
      </c>
      <c r="C29" s="211" t="n">
        <v>2022</v>
      </c>
      <c r="D29" s="212" t="n">
        <v>44769</v>
      </c>
      <c r="E29" s="213" t="s">
        <v>2241</v>
      </c>
      <c r="F29" s="213" t="s">
        <v>1196</v>
      </c>
      <c r="G29" s="214" t="s">
        <v>1174</v>
      </c>
      <c r="H29" s="214" t="s">
        <v>208</v>
      </c>
      <c r="I29" s="221" t="n">
        <v>45702</v>
      </c>
      <c r="J29" s="213" t="n">
        <v>2</v>
      </c>
      <c r="K29" s="213" t="s">
        <v>53</v>
      </c>
      <c r="L29" s="151" t="s">
        <v>60</v>
      </c>
      <c r="M29" s="213" t="n">
        <v>933</v>
      </c>
      <c r="N29" s="153"/>
      <c r="O29" s="309" t="s">
        <v>39</v>
      </c>
      <c r="P29" s="310" t="s">
        <v>40</v>
      </c>
      <c r="Q29" s="311"/>
      <c r="R29" s="312"/>
      <c r="S29" s="313" t="s">
        <v>41</v>
      </c>
    </row>
    <row r="30" customFormat="false" ht="15" hidden="false" customHeight="true" outlineLevel="0" collapsed="false">
      <c r="A30" s="203" t="s">
        <v>2242</v>
      </c>
      <c r="B30" s="193" t="s">
        <v>2243</v>
      </c>
      <c r="C30" s="193" t="n">
        <v>2020</v>
      </c>
      <c r="D30" s="204" t="n">
        <v>44097</v>
      </c>
      <c r="E30" s="205" t="s">
        <v>2244</v>
      </c>
      <c r="F30" s="206" t="s">
        <v>449</v>
      </c>
      <c r="G30" s="206" t="s">
        <v>1174</v>
      </c>
      <c r="H30" s="205" t="s">
        <v>310</v>
      </c>
      <c r="I30" s="218" t="n">
        <v>45702</v>
      </c>
      <c r="J30" s="206" t="n">
        <v>2</v>
      </c>
      <c r="K30" s="206" t="s">
        <v>53</v>
      </c>
      <c r="L30" s="151" t="s">
        <v>60</v>
      </c>
      <c r="M30" s="206" t="n">
        <v>1605</v>
      </c>
      <c r="N30" s="153"/>
      <c r="O30" s="283" t="n">
        <v>2008</v>
      </c>
      <c r="P30" s="314" t="n">
        <f aca="false">COUNTIF(C:C,O30)</f>
        <v>2</v>
      </c>
      <c r="Q30" s="314"/>
      <c r="R30" s="314"/>
      <c r="S30" s="315" t="n">
        <f aca="false">(P30/P48)</f>
        <v>0.00219298245614035</v>
      </c>
    </row>
    <row r="31" customFormat="false" ht="15" hidden="false" customHeight="true" outlineLevel="0" collapsed="false">
      <c r="A31" s="210" t="s">
        <v>2245</v>
      </c>
      <c r="B31" s="211" t="s">
        <v>2246</v>
      </c>
      <c r="C31" s="211" t="n">
        <v>2023</v>
      </c>
      <c r="D31" s="212" t="n">
        <v>45282</v>
      </c>
      <c r="E31" s="213" t="s">
        <v>2247</v>
      </c>
      <c r="F31" s="213" t="s">
        <v>449</v>
      </c>
      <c r="G31" s="214" t="s">
        <v>1174</v>
      </c>
      <c r="H31" s="214" t="s">
        <v>1223</v>
      </c>
      <c r="I31" s="221" t="n">
        <v>45702</v>
      </c>
      <c r="J31" s="213" t="n">
        <v>2</v>
      </c>
      <c r="K31" s="213" t="s">
        <v>53</v>
      </c>
      <c r="L31" s="151" t="s">
        <v>60</v>
      </c>
      <c r="M31" s="213" t="n">
        <v>420</v>
      </c>
      <c r="N31" s="153"/>
      <c r="O31" s="282" t="n">
        <v>2009</v>
      </c>
      <c r="P31" s="282" t="n">
        <f aca="false">COUNTIF(C:C,O31)</f>
        <v>0</v>
      </c>
      <c r="Q31" s="282"/>
      <c r="R31" s="282"/>
      <c r="S31" s="316" t="n">
        <f aca="false">(P31/P48)</f>
        <v>0</v>
      </c>
    </row>
    <row r="32" customFormat="false" ht="15" hidden="false" customHeight="true" outlineLevel="0" collapsed="false">
      <c r="A32" s="203" t="s">
        <v>2248</v>
      </c>
      <c r="B32" s="193" t="s">
        <v>2249</v>
      </c>
      <c r="C32" s="193" t="n">
        <v>2023</v>
      </c>
      <c r="D32" s="222" t="n">
        <v>45175</v>
      </c>
      <c r="E32" s="205" t="s">
        <v>2250</v>
      </c>
      <c r="F32" s="206" t="s">
        <v>449</v>
      </c>
      <c r="G32" s="206" t="s">
        <v>1174</v>
      </c>
      <c r="H32" s="205" t="s">
        <v>573</v>
      </c>
      <c r="I32" s="218" t="n">
        <v>45702</v>
      </c>
      <c r="J32" s="206" t="n">
        <v>2</v>
      </c>
      <c r="K32" s="206" t="s">
        <v>53</v>
      </c>
      <c r="L32" s="151" t="s">
        <v>60</v>
      </c>
      <c r="M32" s="206" t="n">
        <v>527</v>
      </c>
      <c r="N32" s="153"/>
      <c r="O32" s="283" t="n">
        <v>2010</v>
      </c>
      <c r="P32" s="283" t="n">
        <f aca="false">COUNTIF(C:C,O32)</f>
        <v>0</v>
      </c>
      <c r="Q32" s="283"/>
      <c r="R32" s="283"/>
      <c r="S32" s="315" t="n">
        <f aca="false">(P32/P48)</f>
        <v>0</v>
      </c>
    </row>
    <row r="33" customFormat="false" ht="15" hidden="false" customHeight="true" outlineLevel="0" collapsed="false">
      <c r="A33" s="210" t="s">
        <v>2251</v>
      </c>
      <c r="B33" s="211" t="s">
        <v>2252</v>
      </c>
      <c r="C33" s="211" t="n">
        <v>2018</v>
      </c>
      <c r="D33" s="215" t="n">
        <v>43168</v>
      </c>
      <c r="E33" s="213" t="s">
        <v>2253</v>
      </c>
      <c r="F33" s="213" t="s">
        <v>1490</v>
      </c>
      <c r="G33" s="214" t="s">
        <v>1174</v>
      </c>
      <c r="H33" s="214" t="s">
        <v>254</v>
      </c>
      <c r="I33" s="221" t="n">
        <v>45702</v>
      </c>
      <c r="J33" s="213" t="n">
        <v>2</v>
      </c>
      <c r="K33" s="213" t="s">
        <v>53</v>
      </c>
      <c r="L33" s="151" t="s">
        <v>60</v>
      </c>
      <c r="M33" s="213" t="n">
        <v>2534</v>
      </c>
      <c r="N33" s="153"/>
      <c r="O33" s="282" t="n">
        <v>2011</v>
      </c>
      <c r="P33" s="282" t="n">
        <f aca="false">COUNTIF(C:C,O33)</f>
        <v>0</v>
      </c>
      <c r="Q33" s="282"/>
      <c r="R33" s="282"/>
      <c r="S33" s="316" t="n">
        <f aca="false">(P33/P48)</f>
        <v>0</v>
      </c>
    </row>
    <row r="34" customFormat="false" ht="15" hidden="false" customHeight="true" outlineLevel="0" collapsed="false">
      <c r="A34" s="203" t="s">
        <v>2254</v>
      </c>
      <c r="B34" s="193" t="s">
        <v>2255</v>
      </c>
      <c r="C34" s="193" t="n">
        <v>2019</v>
      </c>
      <c r="D34" s="218" t="n">
        <v>43521</v>
      </c>
      <c r="E34" s="205" t="s">
        <v>2256</v>
      </c>
      <c r="F34" s="206" t="s">
        <v>1068</v>
      </c>
      <c r="G34" s="206" t="s">
        <v>1174</v>
      </c>
      <c r="H34" s="205" t="s">
        <v>522</v>
      </c>
      <c r="I34" s="218" t="n">
        <v>45702</v>
      </c>
      <c r="J34" s="206" t="n">
        <v>2</v>
      </c>
      <c r="K34" s="206" t="s">
        <v>53</v>
      </c>
      <c r="L34" s="151" t="s">
        <v>60</v>
      </c>
      <c r="M34" s="206" t="n">
        <v>2181</v>
      </c>
      <c r="N34" s="153"/>
      <c r="O34" s="283" t="n">
        <v>2012</v>
      </c>
      <c r="P34" s="283" t="n">
        <f aca="false">COUNTIF(C:C,O34)</f>
        <v>2</v>
      </c>
      <c r="Q34" s="283"/>
      <c r="R34" s="283"/>
      <c r="S34" s="315" t="n">
        <f aca="false">(P34/P48)</f>
        <v>0.00219298245614035</v>
      </c>
    </row>
    <row r="35" customFormat="false" ht="15" hidden="false" customHeight="true" outlineLevel="0" collapsed="false">
      <c r="A35" s="210" t="s">
        <v>2257</v>
      </c>
      <c r="B35" s="211" t="s">
        <v>2258</v>
      </c>
      <c r="C35" s="211" t="n">
        <v>2020</v>
      </c>
      <c r="D35" s="215" t="n">
        <v>43889</v>
      </c>
      <c r="E35" s="213" t="s">
        <v>2259</v>
      </c>
      <c r="F35" s="213" t="s">
        <v>1068</v>
      </c>
      <c r="G35" s="214" t="s">
        <v>1174</v>
      </c>
      <c r="H35" s="214" t="s">
        <v>522</v>
      </c>
      <c r="I35" s="221" t="n">
        <v>45702</v>
      </c>
      <c r="J35" s="213" t="n">
        <v>2</v>
      </c>
      <c r="K35" s="213" t="s">
        <v>53</v>
      </c>
      <c r="L35" s="151" t="s">
        <v>60</v>
      </c>
      <c r="M35" s="213" t="n">
        <v>1813</v>
      </c>
      <c r="N35" s="153"/>
      <c r="O35" s="282" t="n">
        <v>2013</v>
      </c>
      <c r="P35" s="282" t="n">
        <f aca="false">COUNTIF(C:C,O35)</f>
        <v>3</v>
      </c>
      <c r="Q35" s="282"/>
      <c r="R35" s="282"/>
      <c r="S35" s="316" t="n">
        <f aca="false">(P35/P48)</f>
        <v>0.00328947368421053</v>
      </c>
    </row>
    <row r="36" customFormat="false" ht="15" hidden="false" customHeight="true" outlineLevel="0" collapsed="false">
      <c r="A36" s="203" t="s">
        <v>2260</v>
      </c>
      <c r="B36" s="193" t="s">
        <v>2261</v>
      </c>
      <c r="C36" s="193" t="n">
        <v>2021</v>
      </c>
      <c r="D36" s="218" t="n">
        <v>44546</v>
      </c>
      <c r="E36" s="205" t="s">
        <v>2262</v>
      </c>
      <c r="F36" s="206" t="s">
        <v>2263</v>
      </c>
      <c r="G36" s="206" t="s">
        <v>1174</v>
      </c>
      <c r="H36" s="205" t="s">
        <v>522</v>
      </c>
      <c r="I36" s="218" t="n">
        <v>45702</v>
      </c>
      <c r="J36" s="206" t="n">
        <v>2</v>
      </c>
      <c r="K36" s="206" t="s">
        <v>53</v>
      </c>
      <c r="L36" s="151" t="s">
        <v>60</v>
      </c>
      <c r="M36" s="206" t="n">
        <v>1156</v>
      </c>
      <c r="N36" s="153"/>
      <c r="O36" s="283" t="n">
        <v>2014</v>
      </c>
      <c r="P36" s="283" t="n">
        <f aca="false">COUNTIF(C:C,O36)</f>
        <v>6</v>
      </c>
      <c r="Q36" s="283"/>
      <c r="R36" s="283"/>
      <c r="S36" s="315" t="n">
        <f aca="false">(P36/P48)</f>
        <v>0.00657894736842105</v>
      </c>
    </row>
    <row r="37" customFormat="false" ht="15" hidden="false" customHeight="true" outlineLevel="0" collapsed="false">
      <c r="A37" s="210" t="s">
        <v>2264</v>
      </c>
      <c r="B37" s="211" t="s">
        <v>2265</v>
      </c>
      <c r="C37" s="211" t="n">
        <v>2022</v>
      </c>
      <c r="D37" s="212" t="n">
        <v>44855</v>
      </c>
      <c r="E37" s="213" t="s">
        <v>2266</v>
      </c>
      <c r="F37" s="213" t="s">
        <v>2151</v>
      </c>
      <c r="G37" s="214" t="s">
        <v>1174</v>
      </c>
      <c r="H37" s="214" t="s">
        <v>2267</v>
      </c>
      <c r="I37" s="221" t="n">
        <v>45702</v>
      </c>
      <c r="J37" s="213" t="n">
        <v>2</v>
      </c>
      <c r="K37" s="213" t="s">
        <v>53</v>
      </c>
      <c r="L37" s="151" t="s">
        <v>60</v>
      </c>
      <c r="M37" s="213" t="n">
        <v>847</v>
      </c>
      <c r="N37" s="153"/>
      <c r="O37" s="282" t="n">
        <v>2015</v>
      </c>
      <c r="P37" s="282" t="n">
        <f aca="false">COUNTIF(C:C,O37)</f>
        <v>9</v>
      </c>
      <c r="Q37" s="282"/>
      <c r="R37" s="282"/>
      <c r="S37" s="316" t="n">
        <f aca="false">(P37/P48)</f>
        <v>0.00986842105263158</v>
      </c>
    </row>
    <row r="38" customFormat="false" ht="15" hidden="false" customHeight="true" outlineLevel="0" collapsed="false">
      <c r="A38" s="203" t="s">
        <v>2268</v>
      </c>
      <c r="B38" s="193" t="s">
        <v>2269</v>
      </c>
      <c r="C38" s="193" t="n">
        <v>2020</v>
      </c>
      <c r="D38" s="207" t="n">
        <v>44088</v>
      </c>
      <c r="E38" s="205" t="s">
        <v>2270</v>
      </c>
      <c r="F38" s="206" t="s">
        <v>2193</v>
      </c>
      <c r="G38" s="206" t="s">
        <v>1174</v>
      </c>
      <c r="H38" s="205" t="s">
        <v>267</v>
      </c>
      <c r="I38" s="218" t="n">
        <v>45702</v>
      </c>
      <c r="J38" s="206" t="n">
        <v>2</v>
      </c>
      <c r="K38" s="206" t="s">
        <v>53</v>
      </c>
      <c r="L38" s="151" t="s">
        <v>60</v>
      </c>
      <c r="M38" s="206" t="n">
        <v>1614</v>
      </c>
      <c r="N38" s="153"/>
      <c r="O38" s="283" t="n">
        <v>2016</v>
      </c>
      <c r="P38" s="283" t="n">
        <f aca="false">COUNTIF(C:C,O38)</f>
        <v>23</v>
      </c>
      <c r="Q38" s="283"/>
      <c r="R38" s="283"/>
      <c r="S38" s="315" t="n">
        <f aca="false">(P38/P48)</f>
        <v>0.025219298245614</v>
      </c>
    </row>
    <row r="39" customFormat="false" ht="15" hidden="false" customHeight="true" outlineLevel="0" collapsed="false">
      <c r="A39" s="210" t="s">
        <v>2271</v>
      </c>
      <c r="B39" s="211" t="s">
        <v>2272</v>
      </c>
      <c r="C39" s="211" t="n">
        <v>2021</v>
      </c>
      <c r="D39" s="212" t="n">
        <v>44529</v>
      </c>
      <c r="E39" s="213" t="s">
        <v>2273</v>
      </c>
      <c r="F39" s="213" t="s">
        <v>408</v>
      </c>
      <c r="G39" s="214" t="s">
        <v>1174</v>
      </c>
      <c r="H39" s="214" t="s">
        <v>2274</v>
      </c>
      <c r="I39" s="221" t="n">
        <v>45702</v>
      </c>
      <c r="J39" s="213" t="n">
        <v>2</v>
      </c>
      <c r="K39" s="213" t="s">
        <v>53</v>
      </c>
      <c r="L39" s="151" t="s">
        <v>60</v>
      </c>
      <c r="M39" s="213" t="n">
        <v>1173</v>
      </c>
      <c r="N39" s="153"/>
      <c r="O39" s="282" t="n">
        <v>2017</v>
      </c>
      <c r="P39" s="282" t="n">
        <f aca="false">COUNTIF(C:C,O39)</f>
        <v>45</v>
      </c>
      <c r="Q39" s="282"/>
      <c r="R39" s="282"/>
      <c r="S39" s="316" t="n">
        <f aca="false">(P39/P48)</f>
        <v>0.0493421052631579</v>
      </c>
    </row>
    <row r="40" customFormat="false" ht="15" hidden="false" customHeight="true" outlineLevel="0" collapsed="false">
      <c r="A40" s="203" t="s">
        <v>2275</v>
      </c>
      <c r="B40" s="193" t="s">
        <v>2276</v>
      </c>
      <c r="C40" s="193" t="n">
        <v>2021</v>
      </c>
      <c r="D40" s="204" t="n">
        <v>44251</v>
      </c>
      <c r="E40" s="205" t="s">
        <v>2277</v>
      </c>
      <c r="F40" s="206" t="s">
        <v>1490</v>
      </c>
      <c r="G40" s="206" t="s">
        <v>1174</v>
      </c>
      <c r="H40" s="205" t="s">
        <v>2278</v>
      </c>
      <c r="I40" s="218" t="n">
        <v>45702</v>
      </c>
      <c r="J40" s="206" t="n">
        <v>2</v>
      </c>
      <c r="K40" s="206" t="s">
        <v>53</v>
      </c>
      <c r="L40" s="151" t="s">
        <v>60</v>
      </c>
      <c r="M40" s="206" t="n">
        <v>1451</v>
      </c>
      <c r="N40" s="153"/>
      <c r="O40" s="283" t="n">
        <v>2018</v>
      </c>
      <c r="P40" s="283" t="n">
        <f aca="false">COUNTIF(C:C,O40)</f>
        <v>80</v>
      </c>
      <c r="Q40" s="283"/>
      <c r="R40" s="283"/>
      <c r="S40" s="315" t="n">
        <f aca="false">(P40/P48)</f>
        <v>0.087719298245614</v>
      </c>
    </row>
    <row r="41" customFormat="false" ht="15" hidden="false" customHeight="true" outlineLevel="0" collapsed="false">
      <c r="A41" s="210" t="s">
        <v>2279</v>
      </c>
      <c r="B41" s="211" t="s">
        <v>2280</v>
      </c>
      <c r="C41" s="211" t="n">
        <v>2015</v>
      </c>
      <c r="D41" s="225" t="n">
        <v>42110</v>
      </c>
      <c r="E41" s="213" t="s">
        <v>2281</v>
      </c>
      <c r="F41" s="213" t="s">
        <v>2282</v>
      </c>
      <c r="G41" s="214" t="s">
        <v>1188</v>
      </c>
      <c r="H41" s="214" t="s">
        <v>2283</v>
      </c>
      <c r="I41" s="221" t="n">
        <v>45712</v>
      </c>
      <c r="J41" s="213" t="n">
        <v>2</v>
      </c>
      <c r="K41" s="213" t="s">
        <v>1187</v>
      </c>
      <c r="L41" s="151" t="s">
        <v>60</v>
      </c>
      <c r="M41" s="213" t="n">
        <v>3602</v>
      </c>
      <c r="N41" s="153"/>
      <c r="O41" s="282" t="n">
        <v>2019</v>
      </c>
      <c r="P41" s="282" t="n">
        <f aca="false">COUNTIF(C:C,O41)</f>
        <v>111</v>
      </c>
      <c r="Q41" s="282"/>
      <c r="R41" s="282"/>
      <c r="S41" s="316" t="n">
        <f aca="false">(P41/P48)</f>
        <v>0.121710526315789</v>
      </c>
    </row>
    <row r="42" customFormat="false" ht="15" hidden="false" customHeight="true" outlineLevel="0" collapsed="false">
      <c r="A42" s="203" t="s">
        <v>2284</v>
      </c>
      <c r="B42" s="193" t="s">
        <v>2285</v>
      </c>
      <c r="C42" s="193" t="n">
        <v>2023</v>
      </c>
      <c r="D42" s="218" t="n">
        <v>45182</v>
      </c>
      <c r="E42" s="205" t="s">
        <v>2286</v>
      </c>
      <c r="F42" s="206" t="s">
        <v>2287</v>
      </c>
      <c r="G42" s="206" t="s">
        <v>1474</v>
      </c>
      <c r="H42" s="205" t="s">
        <v>2288</v>
      </c>
      <c r="I42" s="218" t="n">
        <v>45712</v>
      </c>
      <c r="J42" s="206" t="n">
        <v>2</v>
      </c>
      <c r="K42" s="206" t="s">
        <v>1187</v>
      </c>
      <c r="L42" s="151" t="s">
        <v>60</v>
      </c>
      <c r="M42" s="206" t="n">
        <v>530</v>
      </c>
      <c r="N42" s="153"/>
      <c r="O42" s="283" t="n">
        <v>2020</v>
      </c>
      <c r="P42" s="283" t="n">
        <f aca="false">COUNTIF(C:C,O42)</f>
        <v>164</v>
      </c>
      <c r="Q42" s="283"/>
      <c r="R42" s="283"/>
      <c r="S42" s="315" t="n">
        <f aca="false">(P42/P48)</f>
        <v>0.179824561403509</v>
      </c>
    </row>
    <row r="43" customFormat="false" ht="15" hidden="false" customHeight="true" outlineLevel="0" collapsed="false">
      <c r="A43" s="210" t="s">
        <v>2289</v>
      </c>
      <c r="B43" s="211" t="s">
        <v>2290</v>
      </c>
      <c r="C43" s="211" t="n">
        <v>2014</v>
      </c>
      <c r="D43" s="212" t="n">
        <v>41726</v>
      </c>
      <c r="E43" s="213" t="s">
        <v>2291</v>
      </c>
      <c r="F43" s="213" t="s">
        <v>2292</v>
      </c>
      <c r="G43" s="214" t="s">
        <v>1174</v>
      </c>
      <c r="H43" s="214" t="s">
        <v>350</v>
      </c>
      <c r="I43" s="225" t="n">
        <v>45741</v>
      </c>
      <c r="J43" s="213" t="n">
        <v>3</v>
      </c>
      <c r="K43" s="213" t="s">
        <v>53</v>
      </c>
      <c r="L43" s="151" t="s">
        <v>60</v>
      </c>
      <c r="M43" s="213" t="n">
        <v>4015</v>
      </c>
      <c r="N43" s="153"/>
      <c r="O43" s="282" t="n">
        <v>2021</v>
      </c>
      <c r="P43" s="282" t="n">
        <f aca="false">COUNTIF(C:C,O43)</f>
        <v>180</v>
      </c>
      <c r="Q43" s="282"/>
      <c r="R43" s="282"/>
      <c r="S43" s="316" t="n">
        <f aca="false">(P43/P48)</f>
        <v>0.197368421052632</v>
      </c>
    </row>
    <row r="44" customFormat="false" ht="15" hidden="false" customHeight="true" outlineLevel="0" collapsed="false">
      <c r="A44" s="203" t="s">
        <v>2293</v>
      </c>
      <c r="B44" s="193" t="s">
        <v>2294</v>
      </c>
      <c r="C44" s="193" t="n">
        <v>2017</v>
      </c>
      <c r="D44" s="218" t="n">
        <v>42852</v>
      </c>
      <c r="E44" s="205" t="s">
        <v>2295</v>
      </c>
      <c r="F44" s="206" t="s">
        <v>123</v>
      </c>
      <c r="G44" s="206" t="s">
        <v>1174</v>
      </c>
      <c r="H44" s="205" t="s">
        <v>2296</v>
      </c>
      <c r="I44" s="207" t="n">
        <v>45742</v>
      </c>
      <c r="J44" s="206" t="n">
        <v>3</v>
      </c>
      <c r="K44" s="206" t="s">
        <v>53</v>
      </c>
      <c r="L44" s="151" t="s">
        <v>60</v>
      </c>
      <c r="M44" s="206" t="n">
        <v>2890</v>
      </c>
      <c r="N44" s="153"/>
      <c r="O44" s="283" t="n">
        <v>2022</v>
      </c>
      <c r="P44" s="283" t="n">
        <f aca="false">COUNTIF(C:C,O44)</f>
        <v>82</v>
      </c>
      <c r="Q44" s="283"/>
      <c r="R44" s="283"/>
      <c r="S44" s="315" t="n">
        <f aca="false">(P44/P48)</f>
        <v>0.0899122807017544</v>
      </c>
    </row>
    <row r="45" customFormat="false" ht="15" hidden="false" customHeight="true" outlineLevel="0" collapsed="false">
      <c r="A45" s="210" t="s">
        <v>2297</v>
      </c>
      <c r="B45" s="211" t="s">
        <v>2298</v>
      </c>
      <c r="C45" s="211" t="n">
        <v>2021</v>
      </c>
      <c r="D45" s="225" t="n">
        <v>44379</v>
      </c>
      <c r="E45" s="213" t="s">
        <v>2299</v>
      </c>
      <c r="F45" s="213" t="s">
        <v>2292</v>
      </c>
      <c r="G45" s="214" t="s">
        <v>1174</v>
      </c>
      <c r="H45" s="214" t="s">
        <v>208</v>
      </c>
      <c r="I45" s="225" t="n">
        <v>45742</v>
      </c>
      <c r="J45" s="213" t="n">
        <v>3</v>
      </c>
      <c r="K45" s="213" t="s">
        <v>53</v>
      </c>
      <c r="L45" s="151" t="s">
        <v>60</v>
      </c>
      <c r="M45" s="213" t="n">
        <v>1363</v>
      </c>
      <c r="N45" s="153"/>
      <c r="O45" s="317" t="n">
        <v>2023</v>
      </c>
      <c r="P45" s="317" t="n">
        <f aca="false">COUNTIF(C:C,O45)</f>
        <v>73</v>
      </c>
      <c r="Q45" s="317"/>
      <c r="R45" s="317"/>
      <c r="S45" s="316" t="n">
        <f aca="false">(P45/P48)</f>
        <v>0.0800438596491228</v>
      </c>
    </row>
    <row r="46" customFormat="false" ht="15" hidden="false" customHeight="true" outlineLevel="0" collapsed="false">
      <c r="A46" s="203" t="s">
        <v>2300</v>
      </c>
      <c r="B46" s="193" t="s">
        <v>2301</v>
      </c>
      <c r="C46" s="193" t="n">
        <v>2023</v>
      </c>
      <c r="D46" s="204" t="n">
        <v>45107</v>
      </c>
      <c r="E46" s="205" t="s">
        <v>2302</v>
      </c>
      <c r="F46" s="206" t="s">
        <v>1490</v>
      </c>
      <c r="G46" s="206" t="s">
        <v>1174</v>
      </c>
      <c r="H46" s="205" t="s">
        <v>208</v>
      </c>
      <c r="I46" s="207" t="n">
        <v>45742</v>
      </c>
      <c r="J46" s="206" t="n">
        <v>3</v>
      </c>
      <c r="K46" s="206" t="s">
        <v>53</v>
      </c>
      <c r="L46" s="151" t="s">
        <v>60</v>
      </c>
      <c r="M46" s="206" t="n">
        <v>635</v>
      </c>
      <c r="N46" s="153"/>
      <c r="O46" s="318" t="n">
        <v>2024</v>
      </c>
      <c r="P46" s="319" t="n">
        <f aca="false">COUNTIF(C:C,O46)</f>
        <v>124</v>
      </c>
      <c r="Q46" s="319"/>
      <c r="R46" s="319"/>
      <c r="S46" s="320" t="n">
        <f aca="false">(P46/P48)</f>
        <v>0.135964912280702</v>
      </c>
    </row>
    <row r="47" customFormat="false" ht="15" hidden="false" customHeight="true" outlineLevel="0" collapsed="false">
      <c r="A47" s="210" t="s">
        <v>2303</v>
      </c>
      <c r="B47" s="211" t="s">
        <v>2304</v>
      </c>
      <c r="C47" s="211" t="n">
        <v>2024</v>
      </c>
      <c r="D47" s="225" t="n">
        <v>45328</v>
      </c>
      <c r="E47" s="213" t="s">
        <v>2305</v>
      </c>
      <c r="F47" s="213" t="s">
        <v>2193</v>
      </c>
      <c r="G47" s="214" t="s">
        <v>1174</v>
      </c>
      <c r="H47" s="214" t="s">
        <v>208</v>
      </c>
      <c r="I47" s="225" t="n">
        <v>45743</v>
      </c>
      <c r="J47" s="213" t="n">
        <v>3</v>
      </c>
      <c r="K47" s="213" t="s">
        <v>53</v>
      </c>
      <c r="L47" s="151" t="s">
        <v>60</v>
      </c>
      <c r="M47" s="213" t="n">
        <v>415</v>
      </c>
      <c r="N47" s="153"/>
      <c r="O47" s="321" t="n">
        <v>2025</v>
      </c>
      <c r="P47" s="322" t="n">
        <f aca="false">COUNTIF(C:C,O47)</f>
        <v>8</v>
      </c>
      <c r="Q47" s="322"/>
      <c r="R47" s="322"/>
      <c r="S47" s="320" t="n">
        <f aca="false">(P47/P48)</f>
        <v>0.0087719298245614</v>
      </c>
    </row>
    <row r="48" customFormat="false" ht="15" hidden="false" customHeight="true" outlineLevel="0" collapsed="false">
      <c r="A48" s="203" t="s">
        <v>2306</v>
      </c>
      <c r="B48" s="193" t="s">
        <v>2307</v>
      </c>
      <c r="C48" s="193" t="n">
        <v>2021</v>
      </c>
      <c r="D48" s="207" t="n">
        <v>44406</v>
      </c>
      <c r="E48" s="205" t="s">
        <v>2308</v>
      </c>
      <c r="F48" s="206" t="s">
        <v>777</v>
      </c>
      <c r="G48" s="206" t="s">
        <v>1174</v>
      </c>
      <c r="H48" s="205" t="s">
        <v>208</v>
      </c>
      <c r="I48" s="207" t="n">
        <v>45743</v>
      </c>
      <c r="J48" s="206" t="n">
        <v>3</v>
      </c>
      <c r="K48" s="206" t="s">
        <v>53</v>
      </c>
      <c r="L48" s="151" t="s">
        <v>60</v>
      </c>
      <c r="M48" s="206" t="n">
        <v>1337</v>
      </c>
      <c r="N48" s="153"/>
      <c r="O48" s="323" t="s">
        <v>56</v>
      </c>
      <c r="P48" s="324" t="n">
        <f aca="false">SUM(P30:R47)</f>
        <v>912</v>
      </c>
      <c r="Q48" s="324"/>
      <c r="R48" s="324"/>
      <c r="S48" s="325" t="n">
        <f aca="false">SUM(S30:S47)</f>
        <v>1</v>
      </c>
    </row>
    <row r="49" customFormat="false" ht="15" hidden="false" customHeight="true" outlineLevel="0" collapsed="false">
      <c r="A49" s="210" t="s">
        <v>2309</v>
      </c>
      <c r="B49" s="211" t="s">
        <v>2310</v>
      </c>
      <c r="C49" s="211" t="n">
        <v>2020</v>
      </c>
      <c r="D49" s="225" t="n">
        <v>44041</v>
      </c>
      <c r="E49" s="213" t="s">
        <v>2311</v>
      </c>
      <c r="F49" s="213" t="s">
        <v>1490</v>
      </c>
      <c r="G49" s="214" t="s">
        <v>1174</v>
      </c>
      <c r="H49" s="214" t="s">
        <v>350</v>
      </c>
      <c r="I49" s="225" t="n">
        <v>45743</v>
      </c>
      <c r="J49" s="213" t="n">
        <v>3</v>
      </c>
      <c r="K49" s="213" t="s">
        <v>53</v>
      </c>
      <c r="L49" s="151" t="s">
        <v>60</v>
      </c>
      <c r="M49" s="213" t="n">
        <v>1702</v>
      </c>
      <c r="N49" s="153"/>
    </row>
    <row r="50" customFormat="false" ht="15" hidden="false" customHeight="true" outlineLevel="0" collapsed="false">
      <c r="A50" s="203" t="s">
        <v>2312</v>
      </c>
      <c r="B50" s="193" t="s">
        <v>2313</v>
      </c>
      <c r="C50" s="193" t="n">
        <v>2021</v>
      </c>
      <c r="D50" s="207" t="n">
        <v>44228</v>
      </c>
      <c r="E50" s="205" t="s">
        <v>2314</v>
      </c>
      <c r="F50" s="206" t="s">
        <v>1490</v>
      </c>
      <c r="G50" s="206" t="s">
        <v>1174</v>
      </c>
      <c r="H50" s="205" t="s">
        <v>350</v>
      </c>
      <c r="I50" s="207" t="n">
        <v>45743</v>
      </c>
      <c r="J50" s="206" t="n">
        <v>3</v>
      </c>
      <c r="K50" s="206" t="s">
        <v>53</v>
      </c>
      <c r="L50" s="151" t="s">
        <v>60</v>
      </c>
      <c r="M50" s="206" t="n">
        <v>1515</v>
      </c>
      <c r="N50" s="153"/>
      <c r="O50" s="326" t="s">
        <v>272</v>
      </c>
      <c r="P50" s="326"/>
      <c r="Q50" s="326"/>
      <c r="R50" s="326"/>
      <c r="S50" s="326"/>
    </row>
    <row r="51" customFormat="false" ht="15" hidden="false" customHeight="true" outlineLevel="0" collapsed="false">
      <c r="A51" s="210" t="s">
        <v>2315</v>
      </c>
      <c r="B51" s="211" t="s">
        <v>2316</v>
      </c>
      <c r="C51" s="211" t="n">
        <v>2023</v>
      </c>
      <c r="D51" s="212" t="n">
        <v>45218</v>
      </c>
      <c r="E51" s="213" t="s">
        <v>2317</v>
      </c>
      <c r="F51" s="213" t="s">
        <v>191</v>
      </c>
      <c r="G51" s="214" t="s">
        <v>1174</v>
      </c>
      <c r="H51" s="214" t="s">
        <v>1258</v>
      </c>
      <c r="I51" s="225" t="n">
        <v>45743</v>
      </c>
      <c r="J51" s="213" t="n">
        <v>3</v>
      </c>
      <c r="K51" s="213" t="s">
        <v>53</v>
      </c>
      <c r="L51" s="151" t="s">
        <v>60</v>
      </c>
      <c r="M51" s="213" t="n">
        <v>525</v>
      </c>
      <c r="N51" s="153"/>
      <c r="O51" s="326"/>
      <c r="P51" s="326"/>
      <c r="Q51" s="326"/>
      <c r="R51" s="326"/>
      <c r="S51" s="326"/>
    </row>
    <row r="52" customFormat="false" ht="15" hidden="false" customHeight="true" outlineLevel="0" collapsed="false">
      <c r="A52" s="203" t="s">
        <v>2318</v>
      </c>
      <c r="B52" s="193" t="s">
        <v>2319</v>
      </c>
      <c r="C52" s="193" t="n">
        <v>2021</v>
      </c>
      <c r="D52" s="207" t="n">
        <v>44256</v>
      </c>
      <c r="E52" s="205" t="s">
        <v>2320</v>
      </c>
      <c r="F52" s="206" t="s">
        <v>191</v>
      </c>
      <c r="G52" s="206" t="s">
        <v>1174</v>
      </c>
      <c r="H52" s="205" t="s">
        <v>1258</v>
      </c>
      <c r="I52" s="207" t="n">
        <v>45743</v>
      </c>
      <c r="J52" s="206" t="n">
        <v>3</v>
      </c>
      <c r="K52" s="206" t="s">
        <v>53</v>
      </c>
      <c r="L52" s="151" t="s">
        <v>60</v>
      </c>
      <c r="M52" s="206" t="n">
        <v>1487</v>
      </c>
      <c r="N52" s="153"/>
      <c r="O52" s="309" t="s">
        <v>100</v>
      </c>
      <c r="P52" s="327" t="s">
        <v>40</v>
      </c>
      <c r="Q52" s="327"/>
      <c r="R52" s="327"/>
      <c r="S52" s="313" t="s">
        <v>41</v>
      </c>
    </row>
    <row r="53" customFormat="false" ht="15" hidden="false" customHeight="true" outlineLevel="0" collapsed="false">
      <c r="A53" s="210" t="s">
        <v>2321</v>
      </c>
      <c r="B53" s="211" t="s">
        <v>2322</v>
      </c>
      <c r="C53" s="211" t="n">
        <v>2024</v>
      </c>
      <c r="D53" s="225" t="n">
        <v>45324</v>
      </c>
      <c r="E53" s="213" t="s">
        <v>2323</v>
      </c>
      <c r="F53" s="213" t="s">
        <v>2193</v>
      </c>
      <c r="G53" s="214" t="s">
        <v>1174</v>
      </c>
      <c r="H53" s="214" t="s">
        <v>544</v>
      </c>
      <c r="I53" s="225" t="n">
        <v>45743</v>
      </c>
      <c r="J53" s="213" t="n">
        <v>3</v>
      </c>
      <c r="K53" s="213" t="s">
        <v>53</v>
      </c>
      <c r="L53" s="151" t="s">
        <v>60</v>
      </c>
      <c r="M53" s="213" t="n">
        <v>419</v>
      </c>
      <c r="N53" s="153"/>
      <c r="O53" s="314" t="s">
        <v>63</v>
      </c>
      <c r="P53" s="314" t="n">
        <f aca="false">COUNTIF(J:J,"1")</f>
        <v>42</v>
      </c>
      <c r="Q53" s="314"/>
      <c r="R53" s="314"/>
      <c r="S53" s="328" t="n">
        <f aca="false">(P53/$P$65)</f>
        <v>0.0460526315789474</v>
      </c>
    </row>
    <row r="54" customFormat="false" ht="15" hidden="false" customHeight="true" outlineLevel="0" collapsed="false">
      <c r="A54" s="203" t="s">
        <v>2324</v>
      </c>
      <c r="B54" s="193" t="s">
        <v>2325</v>
      </c>
      <c r="C54" s="193" t="n">
        <v>2021</v>
      </c>
      <c r="D54" s="207" t="n">
        <v>44525</v>
      </c>
      <c r="E54" s="205" t="s">
        <v>2326</v>
      </c>
      <c r="F54" s="206" t="s">
        <v>2193</v>
      </c>
      <c r="G54" s="206" t="s">
        <v>1174</v>
      </c>
      <c r="H54" s="205" t="s">
        <v>570</v>
      </c>
      <c r="I54" s="207" t="n">
        <v>45743</v>
      </c>
      <c r="J54" s="206" t="n">
        <v>3</v>
      </c>
      <c r="K54" s="206" t="s">
        <v>53</v>
      </c>
      <c r="L54" s="151" t="s">
        <v>60</v>
      </c>
      <c r="M54" s="206" t="n">
        <v>1218</v>
      </c>
      <c r="N54" s="153"/>
      <c r="O54" s="282" t="s">
        <v>64</v>
      </c>
      <c r="P54" s="282" t="n">
        <f aca="false">COUNTIF(J:J,"2")</f>
        <v>73</v>
      </c>
      <c r="Q54" s="282"/>
      <c r="R54" s="282"/>
      <c r="S54" s="329" t="n">
        <f aca="false">(P54/$P$65)</f>
        <v>0.0800438596491228</v>
      </c>
    </row>
    <row r="55" customFormat="false" ht="15" hidden="false" customHeight="true" outlineLevel="0" collapsed="false">
      <c r="A55" s="210" t="s">
        <v>2327</v>
      </c>
      <c r="B55" s="211" t="s">
        <v>2328</v>
      </c>
      <c r="C55" s="211" t="n">
        <v>2020</v>
      </c>
      <c r="D55" s="225" t="n">
        <v>44063</v>
      </c>
      <c r="E55" s="213" t="s">
        <v>2329</v>
      </c>
      <c r="F55" s="213" t="s">
        <v>790</v>
      </c>
      <c r="G55" s="214" t="s">
        <v>1174</v>
      </c>
      <c r="H55" s="214" t="s">
        <v>570</v>
      </c>
      <c r="I55" s="225" t="n">
        <v>45743</v>
      </c>
      <c r="J55" s="213" t="n">
        <v>3</v>
      </c>
      <c r="K55" s="213" t="s">
        <v>53</v>
      </c>
      <c r="L55" s="151" t="s">
        <v>60</v>
      </c>
      <c r="M55" s="213" t="n">
        <v>1680</v>
      </c>
      <c r="N55" s="153"/>
      <c r="O55" s="283" t="s">
        <v>66</v>
      </c>
      <c r="P55" s="283" t="n">
        <f aca="false">COUNTIF(J:J,"3")</f>
        <v>43</v>
      </c>
      <c r="Q55" s="283"/>
      <c r="R55" s="283"/>
      <c r="S55" s="330" t="n">
        <f aca="false">(P55/$P$65)</f>
        <v>0.0471491228070175</v>
      </c>
    </row>
    <row r="56" customFormat="false" ht="15" hidden="false" customHeight="true" outlineLevel="0" collapsed="false">
      <c r="A56" s="331" t="s">
        <v>2330</v>
      </c>
      <c r="B56" s="226" t="s">
        <v>2331</v>
      </c>
      <c r="C56" s="226" t="n">
        <v>2022</v>
      </c>
      <c r="D56" s="204" t="n">
        <v>44743</v>
      </c>
      <c r="E56" s="205" t="s">
        <v>2332</v>
      </c>
      <c r="F56" s="206" t="s">
        <v>446</v>
      </c>
      <c r="G56" s="206" t="s">
        <v>1174</v>
      </c>
      <c r="H56" s="205" t="s">
        <v>570</v>
      </c>
      <c r="I56" s="207" t="n">
        <v>45743</v>
      </c>
      <c r="J56" s="206" t="n">
        <v>3</v>
      </c>
      <c r="K56" s="206" t="s">
        <v>53</v>
      </c>
      <c r="L56" s="151" t="s">
        <v>60</v>
      </c>
      <c r="M56" s="206" t="n">
        <v>1000</v>
      </c>
      <c r="N56" s="160"/>
      <c r="O56" s="282" t="s">
        <v>67</v>
      </c>
      <c r="P56" s="282" t="n">
        <f aca="false">COUNTIF(J:J,"4")</f>
        <v>63</v>
      </c>
      <c r="Q56" s="282"/>
      <c r="R56" s="282"/>
      <c r="S56" s="329" t="n">
        <f aca="false">(P56/$P$65)</f>
        <v>0.0690789473684211</v>
      </c>
    </row>
    <row r="57" customFormat="false" ht="15" hidden="false" customHeight="true" outlineLevel="0" collapsed="false">
      <c r="A57" s="332" t="s">
        <v>2333</v>
      </c>
      <c r="B57" s="227" t="s">
        <v>2334</v>
      </c>
      <c r="C57" s="227" t="n">
        <v>2021</v>
      </c>
      <c r="D57" s="228" t="n">
        <v>44467</v>
      </c>
      <c r="E57" s="213" t="s">
        <v>2335</v>
      </c>
      <c r="F57" s="213" t="s">
        <v>790</v>
      </c>
      <c r="G57" s="214" t="s">
        <v>1174</v>
      </c>
      <c r="H57" s="214" t="s">
        <v>310</v>
      </c>
      <c r="I57" s="225" t="n">
        <v>45744</v>
      </c>
      <c r="J57" s="213" t="n">
        <v>3</v>
      </c>
      <c r="K57" s="213" t="s">
        <v>53</v>
      </c>
      <c r="L57" s="151" t="s">
        <v>60</v>
      </c>
      <c r="M57" s="213" t="n">
        <v>1277</v>
      </c>
      <c r="N57" s="153"/>
      <c r="O57" s="283" t="s">
        <v>68</v>
      </c>
      <c r="P57" s="283" t="n">
        <f aca="false">COUNTIF(J:J,"5")</f>
        <v>114</v>
      </c>
      <c r="Q57" s="283"/>
      <c r="R57" s="283"/>
      <c r="S57" s="330" t="n">
        <f aca="false">(P57/$P$65)</f>
        <v>0.125</v>
      </c>
    </row>
    <row r="58" customFormat="false" ht="15" hidden="false" customHeight="true" outlineLevel="0" collapsed="false">
      <c r="A58" s="333" t="s">
        <v>2336</v>
      </c>
      <c r="B58" s="229" t="s">
        <v>2337</v>
      </c>
      <c r="C58" s="229" t="n">
        <v>2018</v>
      </c>
      <c r="D58" s="230" t="n">
        <v>43257</v>
      </c>
      <c r="E58" s="205" t="s">
        <v>2338</v>
      </c>
      <c r="F58" s="206" t="s">
        <v>2292</v>
      </c>
      <c r="G58" s="206" t="s">
        <v>1174</v>
      </c>
      <c r="H58" s="205" t="s">
        <v>310</v>
      </c>
      <c r="I58" s="207" t="n">
        <v>45744</v>
      </c>
      <c r="J58" s="206" t="n">
        <v>3</v>
      </c>
      <c r="K58" s="206" t="s">
        <v>53</v>
      </c>
      <c r="L58" s="151" t="s">
        <v>60</v>
      </c>
      <c r="M58" s="208" t="n">
        <v>2487</v>
      </c>
      <c r="N58" s="153"/>
      <c r="O58" s="282" t="s">
        <v>70</v>
      </c>
      <c r="P58" s="282" t="n">
        <f aca="false">COUNTIF(J:J,"6")</f>
        <v>80</v>
      </c>
      <c r="Q58" s="282"/>
      <c r="R58" s="282"/>
      <c r="S58" s="329" t="n">
        <f aca="false">(P58/$P$65)</f>
        <v>0.087719298245614</v>
      </c>
    </row>
    <row r="59" customFormat="false" ht="15" hidden="false" customHeight="true" outlineLevel="0" collapsed="false">
      <c r="A59" s="332" t="s">
        <v>2339</v>
      </c>
      <c r="B59" s="227" t="s">
        <v>2340</v>
      </c>
      <c r="C59" s="227" t="n">
        <v>2016</v>
      </c>
      <c r="D59" s="334" t="n">
        <v>42622</v>
      </c>
      <c r="E59" s="213" t="s">
        <v>2341</v>
      </c>
      <c r="F59" s="213" t="s">
        <v>2342</v>
      </c>
      <c r="G59" s="214" t="s">
        <v>1174</v>
      </c>
      <c r="H59" s="214" t="s">
        <v>1231</v>
      </c>
      <c r="I59" s="225" t="n">
        <v>45744</v>
      </c>
      <c r="J59" s="213" t="n">
        <v>3</v>
      </c>
      <c r="K59" s="213" t="s">
        <v>53</v>
      </c>
      <c r="L59" s="151" t="s">
        <v>60</v>
      </c>
      <c r="M59" s="213" t="n">
        <v>3122</v>
      </c>
      <c r="N59" s="153"/>
      <c r="O59" s="283" t="s">
        <v>72</v>
      </c>
      <c r="P59" s="283" t="n">
        <f aca="false">COUNTIF(J:J,"7")</f>
        <v>45</v>
      </c>
      <c r="Q59" s="283"/>
      <c r="R59" s="283"/>
      <c r="S59" s="330" t="n">
        <f aca="false">(P59/$P$65)</f>
        <v>0.0493421052631579</v>
      </c>
    </row>
    <row r="60" customFormat="false" ht="15" hidden="false" customHeight="true" outlineLevel="0" collapsed="false">
      <c r="A60" s="335" t="s">
        <v>2343</v>
      </c>
      <c r="B60" s="233" t="s">
        <v>2344</v>
      </c>
      <c r="C60" s="233" t="n">
        <v>2019</v>
      </c>
      <c r="D60" s="207" t="n">
        <v>43756</v>
      </c>
      <c r="E60" s="205" t="s">
        <v>2345</v>
      </c>
      <c r="F60" s="206" t="s">
        <v>790</v>
      </c>
      <c r="G60" s="206" t="s">
        <v>1174</v>
      </c>
      <c r="H60" s="205" t="s">
        <v>1231</v>
      </c>
      <c r="I60" s="207" t="n">
        <v>45744</v>
      </c>
      <c r="J60" s="206" t="n">
        <v>3</v>
      </c>
      <c r="K60" s="206" t="s">
        <v>53</v>
      </c>
      <c r="L60" s="151" t="s">
        <v>60</v>
      </c>
      <c r="M60" s="206" t="n">
        <v>1988</v>
      </c>
      <c r="N60" s="153"/>
      <c r="O60" s="282" t="s">
        <v>74</v>
      </c>
      <c r="P60" s="282" t="n">
        <f aca="false">COUNTIF(J:J,"8")</f>
        <v>62</v>
      </c>
      <c r="Q60" s="282"/>
      <c r="R60" s="282"/>
      <c r="S60" s="329" t="n">
        <f aca="false">(P60/$P$65)</f>
        <v>0.0679824561403509</v>
      </c>
    </row>
    <row r="61" customFormat="false" ht="15" hidden="false" customHeight="true" outlineLevel="0" collapsed="false">
      <c r="A61" s="210" t="s">
        <v>2346</v>
      </c>
      <c r="B61" s="211" t="s">
        <v>2347</v>
      </c>
      <c r="C61" s="211" t="n">
        <v>2020</v>
      </c>
      <c r="D61" s="225" t="n">
        <v>44068</v>
      </c>
      <c r="E61" s="213" t="s">
        <v>2348</v>
      </c>
      <c r="F61" s="213" t="s">
        <v>1298</v>
      </c>
      <c r="G61" s="214" t="s">
        <v>1174</v>
      </c>
      <c r="H61" s="214" t="s">
        <v>1231</v>
      </c>
      <c r="I61" s="225" t="n">
        <v>45744</v>
      </c>
      <c r="J61" s="213" t="n">
        <v>3</v>
      </c>
      <c r="K61" s="213" t="s">
        <v>53</v>
      </c>
      <c r="L61" s="151" t="s">
        <v>60</v>
      </c>
      <c r="M61" s="213" t="n">
        <v>1676</v>
      </c>
      <c r="N61" s="153"/>
      <c r="O61" s="283" t="s">
        <v>76</v>
      </c>
      <c r="P61" s="283" t="n">
        <f aca="false">COUNTIF(J:J,"9")</f>
        <v>92</v>
      </c>
      <c r="Q61" s="283"/>
      <c r="R61" s="283"/>
      <c r="S61" s="330" t="n">
        <f aca="false">(P61/$P$65)</f>
        <v>0.100877192982456</v>
      </c>
    </row>
    <row r="62" customFormat="false" ht="15" hidden="false" customHeight="true" outlineLevel="0" collapsed="false">
      <c r="A62" s="203" t="s">
        <v>2349</v>
      </c>
      <c r="B62" s="193" t="s">
        <v>2350</v>
      </c>
      <c r="C62" s="193" t="n">
        <v>2018</v>
      </c>
      <c r="D62" s="207" t="n">
        <v>43236</v>
      </c>
      <c r="E62" s="205" t="s">
        <v>2351</v>
      </c>
      <c r="F62" s="206" t="s">
        <v>2292</v>
      </c>
      <c r="G62" s="206" t="s">
        <v>1174</v>
      </c>
      <c r="H62" s="205" t="s">
        <v>1231</v>
      </c>
      <c r="I62" s="207" t="n">
        <v>45744</v>
      </c>
      <c r="J62" s="206" t="n">
        <v>3</v>
      </c>
      <c r="K62" s="206" t="s">
        <v>53</v>
      </c>
      <c r="L62" s="151" t="s">
        <v>60</v>
      </c>
      <c r="M62" s="208" t="n">
        <v>2508</v>
      </c>
      <c r="N62" s="153"/>
      <c r="O62" s="282" t="s">
        <v>78</v>
      </c>
      <c r="P62" s="282" t="n">
        <f aca="false">COUNTIF(J:J,"10")</f>
        <v>44</v>
      </c>
      <c r="Q62" s="282"/>
      <c r="R62" s="282"/>
      <c r="S62" s="329" t="n">
        <f aca="false">(P62/$P$65)</f>
        <v>0.0482456140350877</v>
      </c>
    </row>
    <row r="63" customFormat="false" ht="15" hidden="false" customHeight="true" outlineLevel="0" collapsed="false">
      <c r="A63" s="210" t="s">
        <v>2352</v>
      </c>
      <c r="B63" s="211" t="s">
        <v>2353</v>
      </c>
      <c r="C63" s="211" t="n">
        <v>2020</v>
      </c>
      <c r="D63" s="225" t="n">
        <v>44074</v>
      </c>
      <c r="E63" s="213" t="s">
        <v>2354</v>
      </c>
      <c r="F63" s="213" t="s">
        <v>1068</v>
      </c>
      <c r="G63" s="214" t="s">
        <v>1174</v>
      </c>
      <c r="H63" s="214" t="s">
        <v>1258</v>
      </c>
      <c r="I63" s="225" t="n">
        <v>45744</v>
      </c>
      <c r="J63" s="213" t="n">
        <v>3</v>
      </c>
      <c r="K63" s="213" t="s">
        <v>53</v>
      </c>
      <c r="L63" s="151" t="s">
        <v>60</v>
      </c>
      <c r="M63" s="213" t="n">
        <v>1670</v>
      </c>
      <c r="N63" s="153"/>
      <c r="O63" s="283" t="s">
        <v>80</v>
      </c>
      <c r="P63" s="283" t="n">
        <f aca="false">COUNTIF(J:J,"11")</f>
        <v>92</v>
      </c>
      <c r="Q63" s="283"/>
      <c r="R63" s="283"/>
      <c r="S63" s="330" t="n">
        <f aca="false">(P63/$P$65)</f>
        <v>0.100877192982456</v>
      </c>
    </row>
    <row r="64" customFormat="false" ht="15" hidden="false" customHeight="true" outlineLevel="0" collapsed="false">
      <c r="A64" s="203" t="s">
        <v>2355</v>
      </c>
      <c r="B64" s="193" t="s">
        <v>2356</v>
      </c>
      <c r="C64" s="193" t="n">
        <v>2017</v>
      </c>
      <c r="D64" s="207" t="n">
        <v>42948</v>
      </c>
      <c r="E64" s="205" t="s">
        <v>2357</v>
      </c>
      <c r="F64" s="206" t="s">
        <v>123</v>
      </c>
      <c r="G64" s="206" t="s">
        <v>1174</v>
      </c>
      <c r="H64" s="205" t="s">
        <v>1035</v>
      </c>
      <c r="I64" s="207" t="n">
        <v>45744</v>
      </c>
      <c r="J64" s="206" t="n">
        <v>3</v>
      </c>
      <c r="K64" s="206" t="s">
        <v>53</v>
      </c>
      <c r="L64" s="151" t="s">
        <v>60</v>
      </c>
      <c r="M64" s="206" t="n">
        <v>2796</v>
      </c>
      <c r="N64" s="153"/>
      <c r="O64" s="336" t="s">
        <v>82</v>
      </c>
      <c r="P64" s="336" t="n">
        <f aca="false">COUNTIF(J:J,"12")</f>
        <v>162</v>
      </c>
      <c r="Q64" s="336"/>
      <c r="R64" s="336"/>
      <c r="S64" s="337" t="n">
        <f aca="false">(P64/$P$65)</f>
        <v>0.177631578947368</v>
      </c>
    </row>
    <row r="65" customFormat="false" ht="15" hidden="false" customHeight="true" outlineLevel="0" collapsed="false">
      <c r="A65" s="210" t="s">
        <v>2358</v>
      </c>
      <c r="B65" s="211" t="s">
        <v>2359</v>
      </c>
      <c r="C65" s="211" t="n">
        <v>2021</v>
      </c>
      <c r="D65" s="212" t="n">
        <v>44286</v>
      </c>
      <c r="E65" s="213" t="s">
        <v>2360</v>
      </c>
      <c r="F65" s="213" t="s">
        <v>1254</v>
      </c>
      <c r="G65" s="214" t="s">
        <v>1174</v>
      </c>
      <c r="H65" s="214" t="s">
        <v>453</v>
      </c>
      <c r="I65" s="225" t="n">
        <v>45747</v>
      </c>
      <c r="J65" s="213" t="n">
        <v>3</v>
      </c>
      <c r="K65" s="213" t="s">
        <v>53</v>
      </c>
      <c r="L65" s="151" t="s">
        <v>60</v>
      </c>
      <c r="M65" s="241" t="n">
        <v>1461</v>
      </c>
      <c r="N65" s="160"/>
      <c r="O65" s="323" t="s">
        <v>54</v>
      </c>
      <c r="P65" s="338" t="n">
        <f aca="false">SUM(P53:R64)</f>
        <v>912</v>
      </c>
      <c r="Q65" s="338"/>
      <c r="R65" s="338"/>
      <c r="S65" s="325" t="n">
        <f aca="false">SUM(S53:S64)</f>
        <v>1</v>
      </c>
    </row>
    <row r="66" customFormat="false" ht="15" hidden="false" customHeight="true" outlineLevel="0" collapsed="false">
      <c r="A66" s="203" t="s">
        <v>2361</v>
      </c>
      <c r="B66" s="193" t="s">
        <v>2362</v>
      </c>
      <c r="C66" s="193" t="n">
        <v>2020</v>
      </c>
      <c r="D66" s="204" t="n">
        <v>43866</v>
      </c>
      <c r="E66" s="205" t="s">
        <v>2363</v>
      </c>
      <c r="F66" s="206" t="s">
        <v>790</v>
      </c>
      <c r="G66" s="206" t="s">
        <v>1174</v>
      </c>
      <c r="H66" s="205" t="s">
        <v>544</v>
      </c>
      <c r="I66" s="207" t="n">
        <v>45747</v>
      </c>
      <c r="J66" s="206" t="n">
        <v>3</v>
      </c>
      <c r="K66" s="206" t="s">
        <v>53</v>
      </c>
      <c r="L66" s="151" t="s">
        <v>60</v>
      </c>
      <c r="M66" s="206" t="n">
        <v>1881</v>
      </c>
      <c r="N66" s="153"/>
      <c r="O66" s="153"/>
      <c r="P66" s="153"/>
      <c r="Q66" s="153"/>
      <c r="R66" s="153"/>
      <c r="S66" s="153"/>
    </row>
    <row r="67" customFormat="false" ht="15" hidden="false" customHeight="true" outlineLevel="0" collapsed="false">
      <c r="A67" s="210" t="s">
        <v>2364</v>
      </c>
      <c r="B67" s="211" t="s">
        <v>2365</v>
      </c>
      <c r="C67" s="211" t="n">
        <v>2020</v>
      </c>
      <c r="D67" s="225" t="n">
        <v>43882</v>
      </c>
      <c r="E67" s="213" t="s">
        <v>2366</v>
      </c>
      <c r="F67" s="213" t="s">
        <v>1879</v>
      </c>
      <c r="G67" s="214" t="s">
        <v>1174</v>
      </c>
      <c r="H67" s="214" t="s">
        <v>892</v>
      </c>
      <c r="I67" s="225" t="n">
        <v>45747</v>
      </c>
      <c r="J67" s="213" t="n">
        <v>3</v>
      </c>
      <c r="K67" s="213" t="s">
        <v>53</v>
      </c>
      <c r="L67" s="151" t="s">
        <v>60</v>
      </c>
      <c r="M67" s="213" t="n">
        <v>1865</v>
      </c>
      <c r="N67" s="153"/>
      <c r="O67" s="339" t="s">
        <v>335</v>
      </c>
      <c r="P67" s="339"/>
      <c r="Q67" s="339"/>
      <c r="R67" s="339"/>
      <c r="S67" s="339"/>
      <c r="T67" s="339"/>
    </row>
    <row r="68" customFormat="false" ht="15" hidden="false" customHeight="true" outlineLevel="0" collapsed="false">
      <c r="A68" s="203" t="s">
        <v>2367</v>
      </c>
      <c r="B68" s="193" t="s">
        <v>2368</v>
      </c>
      <c r="C68" s="193" t="n">
        <v>2021</v>
      </c>
      <c r="D68" s="204" t="n">
        <v>44526</v>
      </c>
      <c r="E68" s="205" t="s">
        <v>2369</v>
      </c>
      <c r="F68" s="206" t="s">
        <v>798</v>
      </c>
      <c r="G68" s="206" t="s">
        <v>1174</v>
      </c>
      <c r="H68" s="205" t="s">
        <v>471</v>
      </c>
      <c r="I68" s="207" t="n">
        <v>45747</v>
      </c>
      <c r="J68" s="206" t="n">
        <v>3</v>
      </c>
      <c r="K68" s="206" t="s">
        <v>53</v>
      </c>
      <c r="L68" s="151" t="s">
        <v>60</v>
      </c>
      <c r="M68" s="206" t="n">
        <v>1221</v>
      </c>
      <c r="N68" s="153"/>
      <c r="O68" s="339"/>
      <c r="P68" s="339"/>
      <c r="Q68" s="339"/>
      <c r="R68" s="339"/>
      <c r="S68" s="339"/>
      <c r="T68" s="339"/>
    </row>
    <row r="69" customFormat="false" ht="15" hidden="false" customHeight="true" outlineLevel="0" collapsed="false">
      <c r="A69" s="210" t="s">
        <v>2370</v>
      </c>
      <c r="B69" s="211" t="s">
        <v>2371</v>
      </c>
      <c r="C69" s="211" t="n">
        <v>2018</v>
      </c>
      <c r="D69" s="225" t="n">
        <v>43154</v>
      </c>
      <c r="E69" s="213" t="s">
        <v>2372</v>
      </c>
      <c r="F69" s="213" t="s">
        <v>128</v>
      </c>
      <c r="G69" s="214" t="s">
        <v>1174</v>
      </c>
      <c r="H69" s="214" t="s">
        <v>310</v>
      </c>
      <c r="I69" s="225" t="n">
        <v>45747</v>
      </c>
      <c r="J69" s="213" t="n">
        <v>3</v>
      </c>
      <c r="K69" s="213" t="s">
        <v>53</v>
      </c>
      <c r="L69" s="151" t="s">
        <v>60</v>
      </c>
      <c r="M69" s="213" t="n">
        <v>2593</v>
      </c>
      <c r="N69" s="153"/>
      <c r="O69" s="340" t="s">
        <v>38</v>
      </c>
      <c r="P69" s="340"/>
      <c r="Q69" s="340"/>
      <c r="R69" s="340"/>
      <c r="S69" s="341" t="s">
        <v>343</v>
      </c>
      <c r="T69" s="342" t="s">
        <v>41</v>
      </c>
    </row>
    <row r="70" customFormat="false" ht="15" hidden="false" customHeight="true" outlineLevel="0" collapsed="false">
      <c r="A70" s="203" t="s">
        <v>2373</v>
      </c>
      <c r="B70" s="193" t="s">
        <v>2374</v>
      </c>
      <c r="C70" s="193" t="n">
        <v>2017</v>
      </c>
      <c r="D70" s="204" t="n">
        <v>43031</v>
      </c>
      <c r="E70" s="205" t="s">
        <v>2375</v>
      </c>
      <c r="F70" s="206" t="s">
        <v>123</v>
      </c>
      <c r="G70" s="206" t="s">
        <v>1174</v>
      </c>
      <c r="H70" s="205" t="s">
        <v>693</v>
      </c>
      <c r="I70" s="207" t="n">
        <v>45747</v>
      </c>
      <c r="J70" s="206" t="n">
        <v>3</v>
      </c>
      <c r="K70" s="206" t="s">
        <v>53</v>
      </c>
      <c r="L70" s="151" t="s">
        <v>60</v>
      </c>
      <c r="M70" s="208" t="n">
        <v>2716</v>
      </c>
      <c r="N70" s="153"/>
      <c r="O70" s="343" t="s">
        <v>42</v>
      </c>
      <c r="P70" s="343"/>
      <c r="Q70" s="343"/>
      <c r="R70" s="343"/>
      <c r="S70" s="343" t="n">
        <f aca="false">COUNTIF(K:K,O70)</f>
        <v>0</v>
      </c>
      <c r="T70" s="344" t="n">
        <f aca="false">(S70/$S$83)</f>
        <v>0</v>
      </c>
    </row>
    <row r="71" customFormat="false" ht="15" hidden="false" customHeight="true" outlineLevel="0" collapsed="false">
      <c r="A71" s="210" t="s">
        <v>2376</v>
      </c>
      <c r="B71" s="211" t="s">
        <v>2377</v>
      </c>
      <c r="C71" s="211" t="n">
        <v>2018</v>
      </c>
      <c r="D71" s="225" t="n">
        <v>43159</v>
      </c>
      <c r="E71" s="213" t="s">
        <v>2378</v>
      </c>
      <c r="F71" s="213" t="s">
        <v>123</v>
      </c>
      <c r="G71" s="214" t="s">
        <v>1174</v>
      </c>
      <c r="H71" s="214" t="s">
        <v>192</v>
      </c>
      <c r="I71" s="225" t="n">
        <v>45747</v>
      </c>
      <c r="J71" s="213" t="n">
        <v>3</v>
      </c>
      <c r="K71" s="213" t="s">
        <v>53</v>
      </c>
      <c r="L71" s="151" t="s">
        <v>60</v>
      </c>
      <c r="M71" s="213" t="n">
        <v>2588</v>
      </c>
      <c r="N71" s="153"/>
      <c r="O71" s="345" t="s">
        <v>43</v>
      </c>
      <c r="P71" s="345"/>
      <c r="Q71" s="345"/>
      <c r="R71" s="345"/>
      <c r="S71" s="346" t="n">
        <f aca="false">COUNTIF(K:K,O71)</f>
        <v>4</v>
      </c>
      <c r="T71" s="347" t="n">
        <f aca="false">(S71/$S$83)</f>
        <v>0.0043859649122807</v>
      </c>
    </row>
    <row r="72" customFormat="false" ht="15" hidden="false" customHeight="true" outlineLevel="0" collapsed="false">
      <c r="A72" s="203" t="s">
        <v>2379</v>
      </c>
      <c r="B72" s="193" t="s">
        <v>2380</v>
      </c>
      <c r="C72" s="193" t="n">
        <v>2019</v>
      </c>
      <c r="D72" s="204" t="n">
        <v>43635</v>
      </c>
      <c r="E72" s="205" t="s">
        <v>2381</v>
      </c>
      <c r="F72" s="206" t="s">
        <v>823</v>
      </c>
      <c r="G72" s="206" t="s">
        <v>1174</v>
      </c>
      <c r="H72" s="205" t="s">
        <v>310</v>
      </c>
      <c r="I72" s="207" t="n">
        <v>45747</v>
      </c>
      <c r="J72" s="206" t="n">
        <v>3</v>
      </c>
      <c r="K72" s="206" t="s">
        <v>53</v>
      </c>
      <c r="L72" s="151" t="s">
        <v>60</v>
      </c>
      <c r="M72" s="208" t="n">
        <v>2112</v>
      </c>
      <c r="N72" s="153"/>
      <c r="O72" s="345" t="s">
        <v>44</v>
      </c>
      <c r="P72" s="345"/>
      <c r="Q72" s="345"/>
      <c r="R72" s="345"/>
      <c r="S72" s="345" t="n">
        <f aca="false">COUNTIF(K:K,O72)</f>
        <v>12</v>
      </c>
      <c r="T72" s="348" t="n">
        <f aca="false">(S72/$S$83)</f>
        <v>0.0131578947368421</v>
      </c>
    </row>
    <row r="73" customFormat="false" ht="15" hidden="false" customHeight="true" outlineLevel="0" collapsed="false">
      <c r="A73" s="210" t="s">
        <v>2382</v>
      </c>
      <c r="B73" s="211" t="s">
        <v>2383</v>
      </c>
      <c r="C73" s="211" t="n">
        <v>2023</v>
      </c>
      <c r="D73" s="212" t="n">
        <v>45058</v>
      </c>
      <c r="E73" s="213" t="s">
        <v>2384</v>
      </c>
      <c r="F73" s="213" t="s">
        <v>2193</v>
      </c>
      <c r="G73" s="214" t="s">
        <v>1174</v>
      </c>
      <c r="H73" s="214" t="s">
        <v>192</v>
      </c>
      <c r="I73" s="225" t="n">
        <v>45747</v>
      </c>
      <c r="J73" s="213" t="n">
        <v>3</v>
      </c>
      <c r="K73" s="213" t="s">
        <v>53</v>
      </c>
      <c r="L73" s="151" t="s">
        <v>60</v>
      </c>
      <c r="M73" s="213" t="n">
        <v>689</v>
      </c>
      <c r="N73" s="153"/>
      <c r="O73" s="349" t="s">
        <v>45</v>
      </c>
      <c r="P73" s="349"/>
      <c r="Q73" s="349"/>
      <c r="R73" s="349"/>
      <c r="S73" s="349" t="n">
        <f aca="false">COUNTIF(K:K,O73)</f>
        <v>1</v>
      </c>
      <c r="T73" s="350" t="n">
        <f aca="false">(S73/$S$83)</f>
        <v>0.00109649122807018</v>
      </c>
    </row>
    <row r="74" customFormat="false" ht="15" hidden="false" customHeight="true" outlineLevel="0" collapsed="false">
      <c r="A74" s="203" t="s">
        <v>2385</v>
      </c>
      <c r="B74" s="193" t="s">
        <v>2386</v>
      </c>
      <c r="C74" s="193" t="n">
        <v>2018</v>
      </c>
      <c r="D74" s="204" t="n">
        <v>43311</v>
      </c>
      <c r="E74" s="205" t="s">
        <v>2387</v>
      </c>
      <c r="F74" s="206" t="s">
        <v>1490</v>
      </c>
      <c r="G74" s="206" t="s">
        <v>1174</v>
      </c>
      <c r="H74" s="205" t="s">
        <v>2388</v>
      </c>
      <c r="I74" s="207" t="n">
        <v>45757</v>
      </c>
      <c r="J74" s="206" t="n">
        <v>4</v>
      </c>
      <c r="K74" s="206" t="s">
        <v>53</v>
      </c>
      <c r="L74" s="151" t="s">
        <v>60</v>
      </c>
      <c r="M74" s="208" t="n">
        <v>2446</v>
      </c>
      <c r="N74" s="153"/>
      <c r="O74" s="349" t="s">
        <v>46</v>
      </c>
      <c r="P74" s="349"/>
      <c r="Q74" s="349"/>
      <c r="R74" s="349"/>
      <c r="S74" s="349" t="n">
        <f aca="false">COUNTIF(K:K,O74)</f>
        <v>17</v>
      </c>
      <c r="T74" s="350" t="n">
        <f aca="false">(S74/$S$83)</f>
        <v>0.018640350877193</v>
      </c>
    </row>
    <row r="75" customFormat="false" ht="15" hidden="false" customHeight="true" outlineLevel="0" collapsed="false">
      <c r="A75" s="210" t="s">
        <v>2389</v>
      </c>
      <c r="B75" s="211" t="s">
        <v>2390</v>
      </c>
      <c r="C75" s="211" t="n">
        <v>2020</v>
      </c>
      <c r="D75" s="212" t="n">
        <v>45434</v>
      </c>
      <c r="E75" s="213" t="s">
        <v>2391</v>
      </c>
      <c r="F75" s="213" t="s">
        <v>211</v>
      </c>
      <c r="G75" s="214" t="s">
        <v>1174</v>
      </c>
      <c r="H75" s="214" t="s">
        <v>2172</v>
      </c>
      <c r="I75" s="225" t="n">
        <v>45757</v>
      </c>
      <c r="J75" s="213" t="n">
        <v>4</v>
      </c>
      <c r="K75" s="213" t="s">
        <v>53</v>
      </c>
      <c r="L75" s="151" t="s">
        <v>60</v>
      </c>
      <c r="M75" s="213" t="n">
        <v>323</v>
      </c>
      <c r="N75" s="153"/>
      <c r="O75" s="351" t="s">
        <v>47</v>
      </c>
      <c r="P75" s="351"/>
      <c r="Q75" s="351"/>
      <c r="R75" s="351"/>
      <c r="S75" s="351" t="n">
        <f aca="false">COUNTIF(K:K,O75)</f>
        <v>0</v>
      </c>
      <c r="T75" s="352" t="n">
        <f aca="false">(S75/$S$83)</f>
        <v>0</v>
      </c>
    </row>
    <row r="76" customFormat="false" ht="15" hidden="false" customHeight="true" outlineLevel="0" collapsed="false">
      <c r="A76" s="203" t="s">
        <v>2392</v>
      </c>
      <c r="B76" s="193" t="s">
        <v>2393</v>
      </c>
      <c r="C76" s="193" t="n">
        <v>2020</v>
      </c>
      <c r="D76" s="204" t="n">
        <v>43853</v>
      </c>
      <c r="E76" s="205" t="s">
        <v>2394</v>
      </c>
      <c r="F76" s="206" t="s">
        <v>1235</v>
      </c>
      <c r="G76" s="206" t="s">
        <v>1174</v>
      </c>
      <c r="H76" s="205" t="s">
        <v>471</v>
      </c>
      <c r="I76" s="207" t="n">
        <v>45757</v>
      </c>
      <c r="J76" s="206" t="n">
        <v>4</v>
      </c>
      <c r="K76" s="206" t="s">
        <v>53</v>
      </c>
      <c r="L76" s="151" t="s">
        <v>60</v>
      </c>
      <c r="M76" s="208" t="n">
        <v>1904</v>
      </c>
      <c r="N76" s="153"/>
      <c r="O76" s="351" t="s">
        <v>48</v>
      </c>
      <c r="P76" s="351"/>
      <c r="Q76" s="351"/>
      <c r="R76" s="351"/>
      <c r="S76" s="351" t="n">
        <f aca="false">COUNTIF(K:K,O76)</f>
        <v>135</v>
      </c>
      <c r="T76" s="352" t="n">
        <f aca="false">(S76/$S$83)</f>
        <v>0.148026315789474</v>
      </c>
    </row>
    <row r="77" customFormat="false" ht="15" hidden="false" customHeight="true" outlineLevel="0" collapsed="false">
      <c r="A77" s="210" t="s">
        <v>2395</v>
      </c>
      <c r="B77" s="211" t="s">
        <v>2396</v>
      </c>
      <c r="C77" s="211" t="n">
        <v>2016</v>
      </c>
      <c r="D77" s="212" t="n">
        <v>42487</v>
      </c>
      <c r="E77" s="213" t="s">
        <v>2397</v>
      </c>
      <c r="F77" s="213" t="s">
        <v>2292</v>
      </c>
      <c r="G77" s="214" t="s">
        <v>1174</v>
      </c>
      <c r="H77" s="214" t="s">
        <v>192</v>
      </c>
      <c r="I77" s="225" t="n">
        <v>45757</v>
      </c>
      <c r="J77" s="213" t="n">
        <v>4</v>
      </c>
      <c r="K77" s="213" t="s">
        <v>53</v>
      </c>
      <c r="L77" s="151" t="s">
        <v>60</v>
      </c>
      <c r="M77" s="213" t="n">
        <v>3270</v>
      </c>
      <c r="N77" s="153"/>
      <c r="O77" s="351" t="s">
        <v>49</v>
      </c>
      <c r="P77" s="351"/>
      <c r="Q77" s="351"/>
      <c r="R77" s="351"/>
      <c r="S77" s="351" t="n">
        <f aca="false">COUNTIF(K:K,O77)</f>
        <v>361</v>
      </c>
      <c r="T77" s="352" t="n">
        <f aca="false">(S77/$S$83)</f>
        <v>0.395833333333333</v>
      </c>
    </row>
    <row r="78" customFormat="false" ht="15" hidden="false" customHeight="true" outlineLevel="0" collapsed="false">
      <c r="A78" s="203" t="s">
        <v>2398</v>
      </c>
      <c r="B78" s="193" t="s">
        <v>2399</v>
      </c>
      <c r="C78" s="193" t="n">
        <v>2019</v>
      </c>
      <c r="D78" s="204" t="n">
        <v>43759</v>
      </c>
      <c r="E78" s="205" t="s">
        <v>2400</v>
      </c>
      <c r="F78" s="206" t="s">
        <v>1277</v>
      </c>
      <c r="G78" s="206" t="s">
        <v>1174</v>
      </c>
      <c r="H78" s="205" t="s">
        <v>192</v>
      </c>
      <c r="I78" s="207" t="n">
        <v>45757</v>
      </c>
      <c r="J78" s="206" t="n">
        <v>4</v>
      </c>
      <c r="K78" s="206" t="s">
        <v>53</v>
      </c>
      <c r="L78" s="151" t="s">
        <v>60</v>
      </c>
      <c r="M78" s="208" t="n">
        <v>1998</v>
      </c>
      <c r="N78" s="153"/>
      <c r="O78" s="353" t="s">
        <v>50</v>
      </c>
      <c r="P78" s="353"/>
      <c r="Q78" s="353"/>
      <c r="R78" s="353"/>
      <c r="S78" s="353" t="n">
        <f aca="false">COUNTIF(K:K,O78)</f>
        <v>1</v>
      </c>
      <c r="T78" s="354" t="n">
        <f aca="false">(S78/$S$83)</f>
        <v>0.00109649122807018</v>
      </c>
    </row>
    <row r="79" customFormat="false" ht="15" hidden="false" customHeight="true" outlineLevel="0" collapsed="false">
      <c r="A79" s="210" t="s">
        <v>2401</v>
      </c>
      <c r="B79" s="211" t="s">
        <v>2402</v>
      </c>
      <c r="C79" s="211" t="n">
        <v>2019</v>
      </c>
      <c r="D79" s="212" t="n">
        <v>43794</v>
      </c>
      <c r="E79" s="213" t="s">
        <v>2403</v>
      </c>
      <c r="F79" s="213" t="s">
        <v>790</v>
      </c>
      <c r="G79" s="214" t="s">
        <v>1174</v>
      </c>
      <c r="H79" s="214" t="s">
        <v>192</v>
      </c>
      <c r="I79" s="215" t="n">
        <v>45757</v>
      </c>
      <c r="J79" s="213" t="n">
        <v>4</v>
      </c>
      <c r="K79" s="213" t="s">
        <v>53</v>
      </c>
      <c r="L79" s="151" t="s">
        <v>60</v>
      </c>
      <c r="M79" s="213" t="n">
        <v>1963</v>
      </c>
      <c r="N79" s="153"/>
      <c r="O79" s="353" t="s">
        <v>51</v>
      </c>
      <c r="P79" s="353"/>
      <c r="Q79" s="353"/>
      <c r="R79" s="353"/>
      <c r="S79" s="353" t="n">
        <f aca="false">COUNTIF(K:K,O79)</f>
        <v>61</v>
      </c>
      <c r="T79" s="354" t="n">
        <f aca="false">(S79/$S$83)</f>
        <v>0.0668859649122807</v>
      </c>
    </row>
    <row r="80" customFormat="false" ht="15" hidden="false" customHeight="true" outlineLevel="0" collapsed="false">
      <c r="A80" s="203" t="s">
        <v>2404</v>
      </c>
      <c r="B80" s="193" t="s">
        <v>2405</v>
      </c>
      <c r="C80" s="193" t="n">
        <v>2017</v>
      </c>
      <c r="D80" s="204" t="n">
        <v>42822</v>
      </c>
      <c r="E80" s="205" t="s">
        <v>2406</v>
      </c>
      <c r="F80" s="206" t="s">
        <v>128</v>
      </c>
      <c r="G80" s="206" t="s">
        <v>1174</v>
      </c>
      <c r="H80" s="205" t="s">
        <v>208</v>
      </c>
      <c r="I80" s="218" t="n">
        <v>45757</v>
      </c>
      <c r="J80" s="206" t="n">
        <v>4</v>
      </c>
      <c r="K80" s="206" t="s">
        <v>53</v>
      </c>
      <c r="L80" s="151" t="s">
        <v>60</v>
      </c>
      <c r="M80" s="208" t="n">
        <v>2935</v>
      </c>
      <c r="N80" s="153"/>
      <c r="O80" s="353" t="s">
        <v>2407</v>
      </c>
      <c r="P80" s="353"/>
      <c r="Q80" s="353"/>
      <c r="R80" s="353"/>
      <c r="S80" s="353" t="n">
        <f aca="false">COUNTIF(K:K,O80)</f>
        <v>1</v>
      </c>
      <c r="T80" s="354" t="n">
        <f aca="false">(S80/$S$83)</f>
        <v>0.00109649122807018</v>
      </c>
    </row>
    <row r="81" customFormat="false" ht="15" hidden="false" customHeight="true" outlineLevel="0" collapsed="false">
      <c r="A81" s="210" t="s">
        <v>2408</v>
      </c>
      <c r="B81" s="211" t="s">
        <v>2409</v>
      </c>
      <c r="C81" s="211" t="n">
        <v>2020</v>
      </c>
      <c r="D81" s="212" t="n">
        <v>43882</v>
      </c>
      <c r="E81" s="213" t="s">
        <v>2410</v>
      </c>
      <c r="F81" s="213" t="s">
        <v>449</v>
      </c>
      <c r="G81" s="214" t="s">
        <v>1174</v>
      </c>
      <c r="H81" s="214" t="s">
        <v>522</v>
      </c>
      <c r="I81" s="215" t="n">
        <v>45757</v>
      </c>
      <c r="J81" s="213" t="n">
        <v>4</v>
      </c>
      <c r="K81" s="213" t="s">
        <v>53</v>
      </c>
      <c r="L81" s="151" t="s">
        <v>60</v>
      </c>
      <c r="M81" s="213" t="n">
        <v>1875</v>
      </c>
      <c r="N81" s="153"/>
      <c r="O81" s="355" t="s">
        <v>53</v>
      </c>
      <c r="P81" s="355"/>
      <c r="Q81" s="355"/>
      <c r="R81" s="355"/>
      <c r="S81" s="356" t="n">
        <f aca="false">COUNTIF(K:K,O81)</f>
        <v>312</v>
      </c>
      <c r="T81" s="357" t="n">
        <f aca="false">(S81/$S$83)</f>
        <v>0.342105263157895</v>
      </c>
    </row>
    <row r="82" customFormat="false" ht="15" hidden="false" customHeight="true" outlineLevel="0" collapsed="false">
      <c r="A82" s="203" t="s">
        <v>2411</v>
      </c>
      <c r="B82" s="193" t="s">
        <v>2412</v>
      </c>
      <c r="C82" s="193" t="n">
        <v>2019</v>
      </c>
      <c r="D82" s="204" t="n">
        <v>43677</v>
      </c>
      <c r="E82" s="205" t="s">
        <v>2413</v>
      </c>
      <c r="F82" s="206" t="s">
        <v>446</v>
      </c>
      <c r="G82" s="206" t="s">
        <v>1174</v>
      </c>
      <c r="H82" s="205" t="s">
        <v>522</v>
      </c>
      <c r="I82" s="218" t="n">
        <v>45757</v>
      </c>
      <c r="J82" s="206" t="n">
        <v>4</v>
      </c>
      <c r="K82" s="206" t="s">
        <v>53</v>
      </c>
      <c r="L82" s="151" t="s">
        <v>60</v>
      </c>
      <c r="M82" s="208" t="n">
        <v>2080</v>
      </c>
      <c r="N82" s="153"/>
      <c r="O82" s="358" t="s">
        <v>1187</v>
      </c>
      <c r="P82" s="358"/>
      <c r="Q82" s="358"/>
      <c r="R82" s="358"/>
      <c r="S82" s="358" t="n">
        <f aca="false">COUNTIF(K:K,O82)</f>
        <v>7</v>
      </c>
      <c r="T82" s="359" t="n">
        <f aca="false">(S82/$S$83)</f>
        <v>0.00767543859649123</v>
      </c>
    </row>
    <row r="83" customFormat="false" ht="15" hidden="false" customHeight="true" outlineLevel="0" collapsed="false">
      <c r="A83" s="210" t="s">
        <v>2414</v>
      </c>
      <c r="B83" s="211" t="s">
        <v>2415</v>
      </c>
      <c r="C83" s="211" t="n">
        <v>2018</v>
      </c>
      <c r="D83" s="212" t="n">
        <v>43356</v>
      </c>
      <c r="E83" s="213" t="s">
        <v>2416</v>
      </c>
      <c r="F83" s="213" t="s">
        <v>790</v>
      </c>
      <c r="G83" s="214" t="s">
        <v>1174</v>
      </c>
      <c r="H83" s="214" t="s">
        <v>1059</v>
      </c>
      <c r="I83" s="215" t="n">
        <v>45757</v>
      </c>
      <c r="J83" s="213" t="n">
        <v>4</v>
      </c>
      <c r="K83" s="213" t="s">
        <v>53</v>
      </c>
      <c r="L83" s="151" t="s">
        <v>60</v>
      </c>
      <c r="M83" s="213" t="n">
        <v>2401</v>
      </c>
      <c r="N83" s="153"/>
      <c r="O83" s="360" t="s">
        <v>54</v>
      </c>
      <c r="P83" s="361"/>
      <c r="Q83" s="361"/>
      <c r="R83" s="362"/>
      <c r="S83" s="363" t="n">
        <f aca="false">SUM(S70:S82)</f>
        <v>912</v>
      </c>
      <c r="T83" s="364" t="n">
        <f aca="false">(S83/S83)</f>
        <v>1</v>
      </c>
    </row>
    <row r="84" customFormat="false" ht="15" hidden="false" customHeight="true" outlineLevel="0" collapsed="false">
      <c r="A84" s="203" t="s">
        <v>2417</v>
      </c>
      <c r="B84" s="193" t="s">
        <v>2418</v>
      </c>
      <c r="C84" s="193" t="n">
        <v>2020</v>
      </c>
      <c r="D84" s="204" t="n">
        <v>43956</v>
      </c>
      <c r="E84" s="205" t="s">
        <v>2419</v>
      </c>
      <c r="F84" s="206" t="s">
        <v>2420</v>
      </c>
      <c r="G84" s="206" t="s">
        <v>1188</v>
      </c>
      <c r="H84" s="205" t="s">
        <v>2421</v>
      </c>
      <c r="I84" s="218" t="n">
        <v>45757</v>
      </c>
      <c r="J84" s="206" t="n">
        <v>4</v>
      </c>
      <c r="K84" s="206" t="s">
        <v>1187</v>
      </c>
      <c r="L84" s="151" t="s">
        <v>60</v>
      </c>
      <c r="M84" s="208" t="n">
        <v>1801</v>
      </c>
      <c r="N84" s="153"/>
      <c r="O84" s="153"/>
      <c r="P84" s="153"/>
      <c r="Q84" s="153"/>
      <c r="R84" s="153"/>
      <c r="S84" s="153"/>
      <c r="T84" s="153"/>
    </row>
    <row r="85" customFormat="false" ht="15" hidden="false" customHeight="true" outlineLevel="0" collapsed="false">
      <c r="A85" s="210" t="s">
        <v>2422</v>
      </c>
      <c r="B85" s="211" t="s">
        <v>2423</v>
      </c>
      <c r="C85" s="211" t="n">
        <v>2020</v>
      </c>
      <c r="D85" s="212" t="n">
        <v>44181</v>
      </c>
      <c r="E85" s="213" t="s">
        <v>2424</v>
      </c>
      <c r="F85" s="213" t="s">
        <v>2425</v>
      </c>
      <c r="G85" s="214" t="s">
        <v>1188</v>
      </c>
      <c r="H85" s="214" t="s">
        <v>453</v>
      </c>
      <c r="I85" s="215" t="n">
        <v>45757</v>
      </c>
      <c r="J85" s="213" t="n">
        <v>4</v>
      </c>
      <c r="K85" s="213" t="s">
        <v>1187</v>
      </c>
      <c r="L85" s="151" t="s">
        <v>60</v>
      </c>
      <c r="M85" s="213" t="n">
        <v>1576</v>
      </c>
      <c r="N85" s="153"/>
      <c r="O85" s="365" t="s">
        <v>102</v>
      </c>
      <c r="P85" s="366"/>
      <c r="Q85" s="366"/>
      <c r="R85" s="366"/>
      <c r="S85" s="366"/>
      <c r="T85" s="367"/>
    </row>
    <row r="86" customFormat="false" ht="15" hidden="false" customHeight="true" outlineLevel="0" collapsed="false">
      <c r="A86" s="203" t="s">
        <v>2426</v>
      </c>
      <c r="B86" s="193" t="s">
        <v>2427</v>
      </c>
      <c r="C86" s="193" t="n">
        <v>2018</v>
      </c>
      <c r="D86" s="204" t="n">
        <v>43348</v>
      </c>
      <c r="E86" s="205" t="s">
        <v>2428</v>
      </c>
      <c r="F86" s="206" t="s">
        <v>699</v>
      </c>
      <c r="G86" s="206" t="s">
        <v>8</v>
      </c>
      <c r="H86" s="205" t="s">
        <v>285</v>
      </c>
      <c r="I86" s="218" t="n">
        <v>45757</v>
      </c>
      <c r="J86" s="206" t="n">
        <v>4</v>
      </c>
      <c r="K86" s="206" t="s">
        <v>2429</v>
      </c>
      <c r="L86" s="151" t="s">
        <v>60</v>
      </c>
      <c r="M86" s="208" t="n">
        <v>2409</v>
      </c>
      <c r="N86" s="153"/>
      <c r="O86" s="368"/>
      <c r="P86" s="369"/>
      <c r="Q86" s="369"/>
      <c r="R86" s="369"/>
      <c r="S86" s="369"/>
      <c r="T86" s="370"/>
    </row>
    <row r="87" customFormat="false" ht="15" hidden="false" customHeight="true" outlineLevel="0" collapsed="false">
      <c r="A87" s="210" t="s">
        <v>2430</v>
      </c>
      <c r="B87" s="211" t="s">
        <v>2431</v>
      </c>
      <c r="C87" s="211" t="n">
        <v>2022</v>
      </c>
      <c r="D87" s="212" t="n">
        <v>44803</v>
      </c>
      <c r="E87" s="213" t="s">
        <v>2432</v>
      </c>
      <c r="F87" s="213" t="s">
        <v>1025</v>
      </c>
      <c r="G87" s="214" t="s">
        <v>1174</v>
      </c>
      <c r="H87" s="214" t="s">
        <v>250</v>
      </c>
      <c r="I87" s="221" t="n">
        <v>45783</v>
      </c>
      <c r="J87" s="213" t="n">
        <v>5</v>
      </c>
      <c r="K87" s="213" t="s">
        <v>53</v>
      </c>
      <c r="L87" s="206" t="s">
        <v>58</v>
      </c>
      <c r="M87" s="213" t="n">
        <v>980</v>
      </c>
      <c r="N87" s="153"/>
      <c r="O87" s="371" t="s">
        <v>38</v>
      </c>
      <c r="P87" s="372"/>
      <c r="Q87" s="372"/>
      <c r="R87" s="373"/>
      <c r="S87" s="374" t="s">
        <v>343</v>
      </c>
      <c r="T87" s="375" t="s">
        <v>41</v>
      </c>
    </row>
    <row r="88" customFormat="false" ht="15" hidden="false" customHeight="true" outlineLevel="0" collapsed="false">
      <c r="A88" s="203" t="s">
        <v>2433</v>
      </c>
      <c r="B88" s="193" t="s">
        <v>2434</v>
      </c>
      <c r="C88" s="193" t="n">
        <v>2021</v>
      </c>
      <c r="D88" s="204" t="n">
        <v>44312</v>
      </c>
      <c r="E88" s="205" t="s">
        <v>2435</v>
      </c>
      <c r="F88" s="206" t="s">
        <v>401</v>
      </c>
      <c r="G88" s="206" t="s">
        <v>1174</v>
      </c>
      <c r="H88" s="205" t="s">
        <v>243</v>
      </c>
      <c r="I88" s="218" t="n">
        <v>45783</v>
      </c>
      <c r="J88" s="206" t="n">
        <v>5</v>
      </c>
      <c r="K88" s="206" t="s">
        <v>53</v>
      </c>
      <c r="L88" s="206" t="s">
        <v>58</v>
      </c>
      <c r="M88" s="206" t="n">
        <v>1471</v>
      </c>
      <c r="N88" s="153"/>
      <c r="O88" s="376" t="s">
        <v>57</v>
      </c>
      <c r="P88" s="376"/>
      <c r="Q88" s="376"/>
      <c r="R88" s="376"/>
      <c r="S88" s="376" t="n">
        <f aca="false">COUNTIF(L:L,"*"&amp;O88)</f>
        <v>10</v>
      </c>
      <c r="T88" s="377" t="n">
        <f aca="false">(S88/S92)</f>
        <v>0.0109649122807018</v>
      </c>
    </row>
    <row r="89" customFormat="false" ht="15" hidden="false" customHeight="true" outlineLevel="0" collapsed="false">
      <c r="A89" s="210" t="s">
        <v>2436</v>
      </c>
      <c r="B89" s="211" t="s">
        <v>2437</v>
      </c>
      <c r="C89" s="211" t="n">
        <v>2020</v>
      </c>
      <c r="D89" s="212" t="n">
        <v>43998</v>
      </c>
      <c r="E89" s="213" t="s">
        <v>2438</v>
      </c>
      <c r="F89" s="213" t="s">
        <v>2439</v>
      </c>
      <c r="G89" s="214" t="s">
        <v>1188</v>
      </c>
      <c r="H89" s="214" t="s">
        <v>119</v>
      </c>
      <c r="I89" s="221" t="n">
        <v>45783</v>
      </c>
      <c r="J89" s="213" t="n">
        <v>5</v>
      </c>
      <c r="K89" s="213" t="s">
        <v>1187</v>
      </c>
      <c r="L89" s="206" t="s">
        <v>58</v>
      </c>
      <c r="M89" s="213" t="n">
        <v>1785</v>
      </c>
      <c r="N89" s="153"/>
      <c r="O89" s="378" t="s">
        <v>58</v>
      </c>
      <c r="P89" s="378"/>
      <c r="Q89" s="378"/>
      <c r="R89" s="378"/>
      <c r="S89" s="378" t="n">
        <f aca="false">COUNTIF(L:L,"*"&amp;O89)</f>
        <v>382</v>
      </c>
      <c r="T89" s="379" t="n">
        <f aca="false">(S89/S92)</f>
        <v>0.418859649122807</v>
      </c>
    </row>
    <row r="90" customFormat="false" ht="15" hidden="false" customHeight="true" outlineLevel="0" collapsed="false">
      <c r="A90" s="203" t="s">
        <v>2440</v>
      </c>
      <c r="B90" s="193" t="s">
        <v>2441</v>
      </c>
      <c r="C90" s="193" t="n">
        <v>2022</v>
      </c>
      <c r="D90" s="204" t="n">
        <v>44648</v>
      </c>
      <c r="E90" s="205" t="s">
        <v>2442</v>
      </c>
      <c r="F90" s="206" t="s">
        <v>401</v>
      </c>
      <c r="G90" s="206" t="s">
        <v>1174</v>
      </c>
      <c r="H90" s="205" t="s">
        <v>544</v>
      </c>
      <c r="I90" s="218" t="n">
        <v>45783</v>
      </c>
      <c r="J90" s="206" t="n">
        <v>5</v>
      </c>
      <c r="K90" s="206" t="s">
        <v>53</v>
      </c>
      <c r="L90" s="206" t="s">
        <v>58</v>
      </c>
      <c r="M90" s="206" t="n">
        <v>1135</v>
      </c>
      <c r="N90" s="153"/>
      <c r="O90" s="380" t="s">
        <v>60</v>
      </c>
      <c r="P90" s="380"/>
      <c r="Q90" s="380"/>
      <c r="R90" s="380"/>
      <c r="S90" s="380" t="n">
        <f aca="false">COUNTIF(L:L,"*"&amp;O90)</f>
        <v>326</v>
      </c>
      <c r="T90" s="377" t="n">
        <f aca="false">(S90/S92)</f>
        <v>0.357456140350877</v>
      </c>
    </row>
    <row r="91" customFormat="false" ht="15" hidden="false" customHeight="true" outlineLevel="0" collapsed="false">
      <c r="A91" s="210" t="s">
        <v>2443</v>
      </c>
      <c r="B91" s="211" t="s">
        <v>2444</v>
      </c>
      <c r="C91" s="211" t="n">
        <v>2023</v>
      </c>
      <c r="D91" s="212" t="n">
        <v>45007</v>
      </c>
      <c r="E91" s="213" t="s">
        <v>2445</v>
      </c>
      <c r="F91" s="213" t="s">
        <v>446</v>
      </c>
      <c r="G91" s="214" t="s">
        <v>1174</v>
      </c>
      <c r="H91" s="214" t="s">
        <v>139</v>
      </c>
      <c r="I91" s="221" t="n">
        <v>45783</v>
      </c>
      <c r="J91" s="213" t="n">
        <v>5</v>
      </c>
      <c r="K91" s="213" t="s">
        <v>53</v>
      </c>
      <c r="L91" s="206" t="s">
        <v>58</v>
      </c>
      <c r="M91" s="213" t="n">
        <v>776</v>
      </c>
      <c r="N91" s="153"/>
      <c r="O91" s="378" t="s">
        <v>61</v>
      </c>
      <c r="P91" s="378"/>
      <c r="Q91" s="378"/>
      <c r="R91" s="378"/>
      <c r="S91" s="381" t="n">
        <f aca="false">COUNTIF(L:L,"*"&amp;O91)</f>
        <v>194</v>
      </c>
      <c r="T91" s="379" t="n">
        <f aca="false">(S91/S92)</f>
        <v>0.212719298245614</v>
      </c>
    </row>
    <row r="92" customFormat="false" ht="15" hidden="false" customHeight="true" outlineLevel="0" collapsed="false">
      <c r="A92" s="203" t="s">
        <v>2446</v>
      </c>
      <c r="B92" s="193" t="s">
        <v>2447</v>
      </c>
      <c r="C92" s="193" t="n">
        <v>2022</v>
      </c>
      <c r="D92" s="204" t="n">
        <v>44742</v>
      </c>
      <c r="E92" s="205" t="s">
        <v>2448</v>
      </c>
      <c r="F92" s="206" t="s">
        <v>1490</v>
      </c>
      <c r="G92" s="206" t="s">
        <v>1174</v>
      </c>
      <c r="H92" s="205" t="s">
        <v>263</v>
      </c>
      <c r="I92" s="218" t="n">
        <v>45783</v>
      </c>
      <c r="J92" s="206" t="n">
        <v>5</v>
      </c>
      <c r="K92" s="206" t="s">
        <v>53</v>
      </c>
      <c r="L92" s="206" t="s">
        <v>58</v>
      </c>
      <c r="M92" s="206" t="n">
        <v>1041</v>
      </c>
      <c r="N92" s="153"/>
      <c r="O92" s="382" t="s">
        <v>54</v>
      </c>
      <c r="P92" s="383"/>
      <c r="Q92" s="383"/>
      <c r="R92" s="384"/>
      <c r="S92" s="363" t="n">
        <f aca="false">SUM(S88:S91)</f>
        <v>912</v>
      </c>
      <c r="T92" s="364" t="n">
        <f aca="false">(S92/S92)</f>
        <v>1</v>
      </c>
    </row>
    <row r="93" customFormat="false" ht="15" hidden="false" customHeight="true" outlineLevel="0" collapsed="false">
      <c r="A93" s="210" t="s">
        <v>2449</v>
      </c>
      <c r="B93" s="211" t="s">
        <v>2450</v>
      </c>
      <c r="C93" s="211" t="n">
        <v>2017</v>
      </c>
      <c r="D93" s="212" t="n">
        <v>42762</v>
      </c>
      <c r="E93" s="213" t="s">
        <v>2451</v>
      </c>
      <c r="F93" s="213" t="s">
        <v>128</v>
      </c>
      <c r="G93" s="214" t="s">
        <v>1174</v>
      </c>
      <c r="H93" s="214" t="s">
        <v>2452</v>
      </c>
      <c r="I93" s="221" t="n">
        <v>45783</v>
      </c>
      <c r="J93" s="213" t="n">
        <v>5</v>
      </c>
      <c r="K93" s="213" t="s">
        <v>53</v>
      </c>
      <c r="L93" s="206" t="s">
        <v>58</v>
      </c>
      <c r="M93" s="213" t="n">
        <v>3021</v>
      </c>
      <c r="N93" s="153"/>
      <c r="O93" s="153"/>
      <c r="P93" s="153"/>
      <c r="Q93" s="153"/>
      <c r="R93" s="153"/>
      <c r="S93" s="153"/>
      <c r="T93" s="153"/>
    </row>
    <row r="94" customFormat="false" ht="15" hidden="false" customHeight="true" outlineLevel="0" collapsed="false">
      <c r="A94" s="203" t="s">
        <v>2453</v>
      </c>
      <c r="B94" s="193" t="s">
        <v>2454</v>
      </c>
      <c r="C94" s="193" t="n">
        <v>2020</v>
      </c>
      <c r="D94" s="204" t="n">
        <v>44155</v>
      </c>
      <c r="E94" s="205" t="s">
        <v>2455</v>
      </c>
      <c r="F94" s="206" t="s">
        <v>1068</v>
      </c>
      <c r="G94" s="206" t="s">
        <v>1174</v>
      </c>
      <c r="H94" s="205" t="s">
        <v>263</v>
      </c>
      <c r="I94" s="218" t="n">
        <v>45783</v>
      </c>
      <c r="J94" s="206" t="n">
        <v>5</v>
      </c>
      <c r="K94" s="206" t="s">
        <v>53</v>
      </c>
      <c r="L94" s="151" t="s">
        <v>60</v>
      </c>
      <c r="M94" s="206" t="n">
        <v>1628</v>
      </c>
      <c r="N94" s="153"/>
      <c r="O94" s="385" t="s">
        <v>425</v>
      </c>
      <c r="P94" s="386"/>
      <c r="Q94" s="386"/>
      <c r="R94" s="387"/>
      <c r="S94" s="153"/>
      <c r="T94" s="153"/>
    </row>
    <row r="95" customFormat="false" ht="15" hidden="false" customHeight="true" outlineLevel="0" collapsed="false">
      <c r="A95" s="210" t="s">
        <v>2456</v>
      </c>
      <c r="B95" s="211" t="s">
        <v>2457</v>
      </c>
      <c r="C95" s="211" t="n">
        <v>2020</v>
      </c>
      <c r="D95" s="212" t="n">
        <v>43909</v>
      </c>
      <c r="E95" s="213" t="s">
        <v>2458</v>
      </c>
      <c r="F95" s="213" t="s">
        <v>2459</v>
      </c>
      <c r="G95" s="214" t="s">
        <v>1174</v>
      </c>
      <c r="H95" s="214" t="s">
        <v>471</v>
      </c>
      <c r="I95" s="221" t="n">
        <v>45783</v>
      </c>
      <c r="J95" s="213" t="n">
        <v>5</v>
      </c>
      <c r="K95" s="213" t="s">
        <v>53</v>
      </c>
      <c r="L95" s="206" t="s">
        <v>58</v>
      </c>
      <c r="M95" s="213" t="n">
        <v>1874</v>
      </c>
      <c r="N95" s="153"/>
      <c r="O95" s="388"/>
      <c r="P95" s="307"/>
      <c r="Q95" s="307"/>
      <c r="R95" s="389"/>
      <c r="S95" s="153"/>
      <c r="T95" s="153"/>
    </row>
    <row r="96" customFormat="false" ht="15" hidden="false" customHeight="true" outlineLevel="0" collapsed="false">
      <c r="A96" s="203" t="s">
        <v>2460</v>
      </c>
      <c r="B96" s="193" t="s">
        <v>2461</v>
      </c>
      <c r="C96" s="193" t="n">
        <v>2021</v>
      </c>
      <c r="D96" s="204" t="n">
        <v>44469</v>
      </c>
      <c r="E96" s="205" t="s">
        <v>2462</v>
      </c>
      <c r="F96" s="206" t="s">
        <v>2463</v>
      </c>
      <c r="G96" s="206" t="s">
        <v>1174</v>
      </c>
      <c r="H96" s="205" t="s">
        <v>1501</v>
      </c>
      <c r="I96" s="218" t="n">
        <v>45783</v>
      </c>
      <c r="J96" s="206" t="n">
        <v>5</v>
      </c>
      <c r="K96" s="206" t="s">
        <v>53</v>
      </c>
      <c r="L96" s="151" t="s">
        <v>60</v>
      </c>
      <c r="M96" s="206" t="n">
        <v>1314</v>
      </c>
      <c r="N96" s="153"/>
      <c r="O96" s="390" t="s">
        <v>69</v>
      </c>
      <c r="P96" s="391" t="s">
        <v>433</v>
      </c>
      <c r="Q96" s="392"/>
      <c r="R96" s="393"/>
      <c r="S96" s="153"/>
      <c r="T96" s="153"/>
    </row>
    <row r="97" customFormat="false" ht="15" hidden="false" customHeight="true" outlineLevel="0" collapsed="false">
      <c r="A97" s="210" t="s">
        <v>2464</v>
      </c>
      <c r="B97" s="211" t="s">
        <v>2465</v>
      </c>
      <c r="C97" s="211" t="n">
        <v>2013</v>
      </c>
      <c r="D97" s="212" t="n">
        <v>41467</v>
      </c>
      <c r="E97" s="213" t="s">
        <v>2466</v>
      </c>
      <c r="F97" s="213" t="s">
        <v>2463</v>
      </c>
      <c r="G97" s="214" t="s">
        <v>1174</v>
      </c>
      <c r="H97" s="214" t="s">
        <v>354</v>
      </c>
      <c r="I97" s="221" t="n">
        <v>45783</v>
      </c>
      <c r="J97" s="213" t="n">
        <v>5</v>
      </c>
      <c r="K97" s="213" t="s">
        <v>53</v>
      </c>
      <c r="L97" s="151" t="s">
        <v>60</v>
      </c>
      <c r="M97" s="213" t="n">
        <v>4316</v>
      </c>
      <c r="N97" s="153"/>
      <c r="O97" s="394" t="s">
        <v>1474</v>
      </c>
      <c r="P97" s="395" t="n">
        <f aca="false">IFERROR(AVERAGEIF(G:G,O97,M:M), "Sem dados")</f>
        <v>530</v>
      </c>
      <c r="Q97" s="395"/>
      <c r="R97" s="395"/>
      <c r="S97" s="153"/>
      <c r="T97" s="153"/>
    </row>
    <row r="98" customFormat="false" ht="15" hidden="false" customHeight="true" outlineLevel="0" collapsed="false">
      <c r="A98" s="203" t="s">
        <v>2467</v>
      </c>
      <c r="B98" s="193" t="s">
        <v>2468</v>
      </c>
      <c r="C98" s="193" t="n">
        <v>2017</v>
      </c>
      <c r="D98" s="204" t="n">
        <v>42956</v>
      </c>
      <c r="E98" s="205" t="s">
        <v>2469</v>
      </c>
      <c r="F98" s="206" t="s">
        <v>1316</v>
      </c>
      <c r="G98" s="206" t="s">
        <v>1174</v>
      </c>
      <c r="H98" s="205" t="s">
        <v>310</v>
      </c>
      <c r="I98" s="218" t="n">
        <v>45783</v>
      </c>
      <c r="J98" s="206" t="n">
        <v>5</v>
      </c>
      <c r="K98" s="206" t="s">
        <v>53</v>
      </c>
      <c r="L98" s="206" t="s">
        <v>58</v>
      </c>
      <c r="M98" s="206" t="n">
        <v>2827</v>
      </c>
      <c r="N98" s="153"/>
      <c r="O98" s="396" t="s">
        <v>1188</v>
      </c>
      <c r="P98" s="397" t="n">
        <f aca="false">IFERROR(AVERAGEIF(G:G,O98,M:M), "Sem dados")</f>
        <v>2006</v>
      </c>
      <c r="Q98" s="397"/>
      <c r="R98" s="397"/>
      <c r="S98" s="153"/>
      <c r="T98" s="153"/>
    </row>
    <row r="99" customFormat="false" ht="15" hidden="false" customHeight="true" outlineLevel="0" collapsed="false">
      <c r="A99" s="210" t="s">
        <v>2470</v>
      </c>
      <c r="B99" s="211" t="s">
        <v>2471</v>
      </c>
      <c r="C99" s="211" t="n">
        <v>2022</v>
      </c>
      <c r="D99" s="212" t="n">
        <v>44907</v>
      </c>
      <c r="E99" s="213" t="s">
        <v>2472</v>
      </c>
      <c r="F99" s="213" t="s">
        <v>2193</v>
      </c>
      <c r="G99" s="214" t="s">
        <v>1174</v>
      </c>
      <c r="H99" s="214" t="s">
        <v>1557</v>
      </c>
      <c r="I99" s="221" t="n">
        <v>45783</v>
      </c>
      <c r="J99" s="213" t="n">
        <v>5</v>
      </c>
      <c r="K99" s="213" t="s">
        <v>53</v>
      </c>
      <c r="L99" s="151" t="s">
        <v>60</v>
      </c>
      <c r="M99" s="213" t="n">
        <v>876</v>
      </c>
      <c r="N99" s="153"/>
      <c r="O99" s="394" t="s">
        <v>1174</v>
      </c>
      <c r="P99" s="395" t="n">
        <f aca="false">IFERROR(AVERAGEIF(G:G,O99,M:M), "Sem dados")</f>
        <v>2021.01923076923</v>
      </c>
      <c r="Q99" s="395"/>
      <c r="R99" s="395"/>
      <c r="S99" s="153"/>
      <c r="T99" s="153"/>
    </row>
    <row r="100" customFormat="false" ht="15" hidden="false" customHeight="true" outlineLevel="0" collapsed="false">
      <c r="A100" s="203" t="s">
        <v>2473</v>
      </c>
      <c r="B100" s="193" t="s">
        <v>2474</v>
      </c>
      <c r="C100" s="193" t="n">
        <v>2023</v>
      </c>
      <c r="D100" s="204" t="n">
        <v>45069</v>
      </c>
      <c r="E100" s="205" t="s">
        <v>2475</v>
      </c>
      <c r="F100" s="206" t="s">
        <v>1490</v>
      </c>
      <c r="G100" s="206" t="s">
        <v>1174</v>
      </c>
      <c r="H100" s="205" t="s">
        <v>1557</v>
      </c>
      <c r="I100" s="218" t="n">
        <v>45784</v>
      </c>
      <c r="J100" s="206" t="n">
        <v>5</v>
      </c>
      <c r="K100" s="206" t="s">
        <v>53</v>
      </c>
      <c r="L100" s="206" t="s">
        <v>58</v>
      </c>
      <c r="M100" s="206" t="n">
        <v>715</v>
      </c>
      <c r="N100" s="153"/>
      <c r="O100" s="396" t="s">
        <v>8</v>
      </c>
      <c r="P100" s="397" t="n">
        <f aca="false">IFERROR(AVERAGEIF(G:G,O100,M:M), "Sem dados")</f>
        <v>1828.5</v>
      </c>
      <c r="Q100" s="397"/>
      <c r="R100" s="397"/>
      <c r="S100" s="153"/>
    </row>
    <row r="101" customFormat="false" ht="15" hidden="false" customHeight="true" outlineLevel="0" collapsed="false">
      <c r="A101" s="210" t="s">
        <v>2476</v>
      </c>
      <c r="B101" s="211" t="s">
        <v>2477</v>
      </c>
      <c r="C101" s="211" t="n">
        <v>2020</v>
      </c>
      <c r="D101" s="212" t="n">
        <v>44175</v>
      </c>
      <c r="E101" s="213" t="s">
        <v>2478</v>
      </c>
      <c r="F101" s="213" t="s">
        <v>1490</v>
      </c>
      <c r="G101" s="214" t="s">
        <v>1174</v>
      </c>
      <c r="H101" s="214" t="s">
        <v>310</v>
      </c>
      <c r="I101" s="221" t="n">
        <v>45784</v>
      </c>
      <c r="J101" s="213" t="n">
        <v>5</v>
      </c>
      <c r="K101" s="213" t="s">
        <v>53</v>
      </c>
      <c r="L101" s="206" t="s">
        <v>58</v>
      </c>
      <c r="M101" s="213" t="n">
        <v>1609</v>
      </c>
      <c r="N101" s="153"/>
      <c r="O101" s="394" t="s">
        <v>144</v>
      </c>
      <c r="P101" s="395" t="n">
        <f aca="false">IFERROR(AVERAGEIF(G:G,O101,M:M), "Sem dados")</f>
        <v>1654.7027027027</v>
      </c>
      <c r="Q101" s="395"/>
      <c r="R101" s="395"/>
      <c r="S101" s="153"/>
    </row>
    <row r="102" customFormat="false" ht="15" hidden="false" customHeight="true" outlineLevel="0" collapsed="false">
      <c r="A102" s="203" t="s">
        <v>2479</v>
      </c>
      <c r="B102" s="193" t="s">
        <v>2480</v>
      </c>
      <c r="C102" s="193" t="n">
        <v>2019</v>
      </c>
      <c r="D102" s="222" t="n">
        <v>43647</v>
      </c>
      <c r="E102" s="205" t="s">
        <v>2481</v>
      </c>
      <c r="F102" s="206" t="s">
        <v>1490</v>
      </c>
      <c r="G102" s="206" t="s">
        <v>1174</v>
      </c>
      <c r="H102" s="205" t="s">
        <v>267</v>
      </c>
      <c r="I102" s="218" t="n">
        <v>45784</v>
      </c>
      <c r="J102" s="206" t="n">
        <v>5</v>
      </c>
      <c r="K102" s="206" t="s">
        <v>53</v>
      </c>
      <c r="L102" s="206" t="s">
        <v>58</v>
      </c>
      <c r="M102" s="206" t="n">
        <v>2137</v>
      </c>
      <c r="N102" s="153"/>
      <c r="O102" s="396" t="s">
        <v>115</v>
      </c>
      <c r="P102" s="397" t="n">
        <f aca="false">IFERROR(AVERAGEIF(G:G,O102,M:M), "Sem dados")</f>
        <v>1648.57894736842</v>
      </c>
      <c r="Q102" s="397"/>
      <c r="R102" s="397"/>
      <c r="S102" s="153"/>
    </row>
    <row r="103" customFormat="false" ht="15" hidden="false" customHeight="true" outlineLevel="0" collapsed="false">
      <c r="A103" s="210" t="s">
        <v>2482</v>
      </c>
      <c r="B103" s="211" t="s">
        <v>2483</v>
      </c>
      <c r="C103" s="211" t="n">
        <v>2023</v>
      </c>
      <c r="D103" s="215" t="n">
        <v>44951</v>
      </c>
      <c r="E103" s="213" t="s">
        <v>2484</v>
      </c>
      <c r="F103" s="213" t="s">
        <v>1025</v>
      </c>
      <c r="G103" s="214" t="s">
        <v>1174</v>
      </c>
      <c r="H103" s="214" t="s">
        <v>267</v>
      </c>
      <c r="I103" s="221" t="n">
        <v>45784</v>
      </c>
      <c r="J103" s="213" t="n">
        <v>5</v>
      </c>
      <c r="K103" s="213" t="s">
        <v>53</v>
      </c>
      <c r="L103" s="206" t="s">
        <v>58</v>
      </c>
      <c r="M103" s="213" t="n">
        <v>833</v>
      </c>
      <c r="N103" s="153"/>
      <c r="O103" s="394" t="s">
        <v>441</v>
      </c>
      <c r="P103" s="395" t="n">
        <f aca="false">IFERROR(AVERAGEIF(G:G,O103,M:M), "Sem dados")</f>
        <v>1939.83098420186</v>
      </c>
      <c r="Q103" s="395"/>
      <c r="R103" s="395"/>
      <c r="S103" s="153"/>
    </row>
    <row r="104" customFormat="false" ht="15" hidden="false" customHeight="true" outlineLevel="0" collapsed="false">
      <c r="A104" s="203" t="s">
        <v>2485</v>
      </c>
      <c r="B104" s="193" t="s">
        <v>2486</v>
      </c>
      <c r="C104" s="193" t="n">
        <v>2021</v>
      </c>
      <c r="D104" s="218" t="n">
        <v>44476</v>
      </c>
      <c r="E104" s="205" t="s">
        <v>2487</v>
      </c>
      <c r="F104" s="206" t="s">
        <v>1298</v>
      </c>
      <c r="G104" s="206" t="s">
        <v>1174</v>
      </c>
      <c r="H104" s="205" t="s">
        <v>254</v>
      </c>
      <c r="I104" s="218" t="n">
        <v>45784</v>
      </c>
      <c r="J104" s="206" t="n">
        <v>5</v>
      </c>
      <c r="K104" s="206" t="s">
        <v>53</v>
      </c>
      <c r="L104" s="151" t="s">
        <v>60</v>
      </c>
      <c r="M104" s="206" t="n">
        <v>1308</v>
      </c>
      <c r="N104" s="153"/>
      <c r="O104" s="396" t="s">
        <v>125</v>
      </c>
      <c r="P104" s="397" t="n">
        <f aca="false">IFERROR(AVERAGEIF(G:G,O104,M:M), "Sem dados")</f>
        <v>475.494252873563</v>
      </c>
      <c r="Q104" s="397"/>
      <c r="R104" s="397"/>
      <c r="S104" s="153"/>
    </row>
    <row r="105" customFormat="false" ht="15" hidden="false" customHeight="true" outlineLevel="0" collapsed="false">
      <c r="A105" s="210" t="s">
        <v>2488</v>
      </c>
      <c r="B105" s="211" t="s">
        <v>2489</v>
      </c>
      <c r="C105" s="211" t="n">
        <v>2017</v>
      </c>
      <c r="D105" s="215" t="n">
        <v>42914</v>
      </c>
      <c r="E105" s="213" t="s">
        <v>2490</v>
      </c>
      <c r="F105" s="213" t="s">
        <v>446</v>
      </c>
      <c r="G105" s="214" t="s">
        <v>1174</v>
      </c>
      <c r="H105" s="214" t="s">
        <v>267</v>
      </c>
      <c r="I105" s="221" t="n">
        <v>45784</v>
      </c>
      <c r="J105" s="213" t="n">
        <v>5</v>
      </c>
      <c r="K105" s="213" t="s">
        <v>53</v>
      </c>
      <c r="L105" s="206" t="s">
        <v>58</v>
      </c>
      <c r="M105" s="213" t="n">
        <v>2870</v>
      </c>
      <c r="N105" s="153"/>
      <c r="O105" s="394" t="s">
        <v>130</v>
      </c>
      <c r="P105" s="395" t="n">
        <f aca="false">IFERROR(AVERAGEIF(G:G,O105,M:M), "Sem dados")</f>
        <v>387.586666666667</v>
      </c>
      <c r="Q105" s="395"/>
      <c r="R105" s="395"/>
      <c r="S105" s="153"/>
    </row>
    <row r="106" customFormat="false" ht="15" hidden="false" customHeight="true" outlineLevel="0" collapsed="false">
      <c r="A106" s="203" t="s">
        <v>2491</v>
      </c>
      <c r="B106" s="193" t="s">
        <v>2492</v>
      </c>
      <c r="C106" s="193" t="n">
        <v>2019</v>
      </c>
      <c r="D106" s="218" t="n">
        <v>43496</v>
      </c>
      <c r="E106" s="205" t="s">
        <v>2493</v>
      </c>
      <c r="F106" s="206" t="s">
        <v>1324</v>
      </c>
      <c r="G106" s="206" t="s">
        <v>1174</v>
      </c>
      <c r="H106" s="205" t="s">
        <v>522</v>
      </c>
      <c r="I106" s="218" t="n">
        <v>45784</v>
      </c>
      <c r="J106" s="206" t="n">
        <v>5</v>
      </c>
      <c r="K106" s="206" t="s">
        <v>53</v>
      </c>
      <c r="L106" s="151" t="s">
        <v>60</v>
      </c>
      <c r="M106" s="206" t="n">
        <v>2288</v>
      </c>
      <c r="N106" s="153"/>
      <c r="O106" s="398" t="s">
        <v>86</v>
      </c>
      <c r="P106" s="399" t="n">
        <f aca="false">AVERAGE(P97:R105)</f>
        <v>1387.96808717583</v>
      </c>
      <c r="Q106" s="399"/>
      <c r="R106" s="399"/>
      <c r="S106" s="153"/>
    </row>
    <row r="107" customFormat="false" ht="15" hidden="false" customHeight="true" outlineLevel="0" collapsed="false">
      <c r="A107" s="210" t="s">
        <v>2494</v>
      </c>
      <c r="B107" s="211" t="s">
        <v>2495</v>
      </c>
      <c r="C107" s="211" t="n">
        <v>2021</v>
      </c>
      <c r="D107" s="212" t="n">
        <v>44526</v>
      </c>
      <c r="E107" s="213" t="s">
        <v>2496</v>
      </c>
      <c r="F107" s="213" t="s">
        <v>1298</v>
      </c>
      <c r="G107" s="214" t="s">
        <v>1174</v>
      </c>
      <c r="H107" s="214" t="s">
        <v>1557</v>
      </c>
      <c r="I107" s="221" t="n">
        <v>45805</v>
      </c>
      <c r="J107" s="213" t="n">
        <v>5</v>
      </c>
      <c r="K107" s="213" t="s">
        <v>53</v>
      </c>
      <c r="L107" s="151" t="s">
        <v>60</v>
      </c>
      <c r="M107" s="213" t="n">
        <v>1279</v>
      </c>
      <c r="N107" s="153"/>
      <c r="O107" s="153"/>
      <c r="P107" s="153"/>
      <c r="Q107" s="153"/>
      <c r="R107" s="153"/>
    </row>
    <row r="108" customFormat="false" ht="15" hidden="false" customHeight="true" outlineLevel="0" collapsed="false">
      <c r="A108" s="203" t="s">
        <v>2497</v>
      </c>
      <c r="B108" s="193" t="s">
        <v>2498</v>
      </c>
      <c r="C108" s="193" t="n">
        <v>2021</v>
      </c>
      <c r="D108" s="207" t="n">
        <v>44526</v>
      </c>
      <c r="E108" s="205" t="s">
        <v>2499</v>
      </c>
      <c r="F108" s="206" t="s">
        <v>1298</v>
      </c>
      <c r="G108" s="206" t="s">
        <v>1174</v>
      </c>
      <c r="H108" s="205" t="s">
        <v>1557</v>
      </c>
      <c r="I108" s="218" t="n">
        <v>45805</v>
      </c>
      <c r="J108" s="206" t="n">
        <v>5</v>
      </c>
      <c r="K108" s="206" t="s">
        <v>53</v>
      </c>
      <c r="L108" s="151" t="s">
        <v>60</v>
      </c>
      <c r="M108" s="206" t="n">
        <v>1279</v>
      </c>
      <c r="N108" s="153"/>
      <c r="O108" s="153"/>
      <c r="P108" s="153"/>
      <c r="Q108" s="153"/>
      <c r="R108" s="153"/>
    </row>
    <row r="109" customFormat="false" ht="15" hidden="false" customHeight="true" outlineLevel="0" collapsed="false">
      <c r="A109" s="210" t="s">
        <v>2500</v>
      </c>
      <c r="B109" s="211" t="s">
        <v>2501</v>
      </c>
      <c r="C109" s="211" t="n">
        <v>2016</v>
      </c>
      <c r="D109" s="212" t="n">
        <v>42633</v>
      </c>
      <c r="E109" s="213" t="s">
        <v>2502</v>
      </c>
      <c r="F109" s="213" t="s">
        <v>2342</v>
      </c>
      <c r="G109" s="214" t="s">
        <v>1174</v>
      </c>
      <c r="H109" s="214" t="s">
        <v>192</v>
      </c>
      <c r="I109" s="221" t="n">
        <v>45805</v>
      </c>
      <c r="J109" s="213" t="n">
        <v>5</v>
      </c>
      <c r="K109" s="213" t="s">
        <v>53</v>
      </c>
      <c r="L109" s="206" t="s">
        <v>58</v>
      </c>
      <c r="M109" s="213" t="n">
        <v>3172</v>
      </c>
      <c r="N109" s="153"/>
      <c r="O109" s="153"/>
      <c r="P109" s="153"/>
      <c r="Q109" s="153"/>
      <c r="R109" s="153"/>
    </row>
    <row r="110" customFormat="false" ht="15" hidden="false" customHeight="true" outlineLevel="0" collapsed="false">
      <c r="A110" s="203" t="s">
        <v>2503</v>
      </c>
      <c r="B110" s="193" t="s">
        <v>2504</v>
      </c>
      <c r="C110" s="193" t="n">
        <v>2022</v>
      </c>
      <c r="D110" s="204" t="n">
        <v>44827</v>
      </c>
      <c r="E110" s="205" t="s">
        <v>2505</v>
      </c>
      <c r="F110" s="206" t="s">
        <v>689</v>
      </c>
      <c r="G110" s="206" t="s">
        <v>1174</v>
      </c>
      <c r="H110" s="205" t="s">
        <v>2506</v>
      </c>
      <c r="I110" s="218" t="n">
        <v>45806</v>
      </c>
      <c r="J110" s="206" t="n">
        <v>5</v>
      </c>
      <c r="K110" s="206" t="s">
        <v>53</v>
      </c>
      <c r="L110" s="151" t="s">
        <v>60</v>
      </c>
      <c r="M110" s="206" t="n">
        <v>979</v>
      </c>
      <c r="N110" s="153"/>
      <c r="O110" s="153"/>
      <c r="P110" s="153"/>
      <c r="Q110" s="153"/>
      <c r="R110" s="153"/>
    </row>
    <row r="111" customFormat="false" ht="15" hidden="false" customHeight="true" outlineLevel="0" collapsed="false">
      <c r="A111" s="210" t="s">
        <v>2507</v>
      </c>
      <c r="B111" s="211" t="s">
        <v>2508</v>
      </c>
      <c r="C111" s="211" t="n">
        <v>2024</v>
      </c>
      <c r="D111" s="225" t="n">
        <v>45471</v>
      </c>
      <c r="E111" s="213" t="s">
        <v>2509</v>
      </c>
      <c r="F111" s="213" t="s">
        <v>790</v>
      </c>
      <c r="G111" s="214" t="s">
        <v>1174</v>
      </c>
      <c r="H111" s="214" t="s">
        <v>354</v>
      </c>
      <c r="I111" s="221" t="n">
        <v>45806</v>
      </c>
      <c r="J111" s="213" t="n">
        <v>5</v>
      </c>
      <c r="K111" s="213" t="s">
        <v>53</v>
      </c>
      <c r="L111" s="206" t="s">
        <v>58</v>
      </c>
      <c r="M111" s="213" t="n">
        <v>335</v>
      </c>
      <c r="N111" s="153"/>
      <c r="O111" s="153"/>
      <c r="P111" s="153"/>
      <c r="Q111" s="153"/>
      <c r="R111" s="153"/>
    </row>
    <row r="112" customFormat="false" ht="15" hidden="false" customHeight="true" outlineLevel="0" collapsed="false">
      <c r="A112" s="203" t="s">
        <v>2510</v>
      </c>
      <c r="B112" s="193" t="s">
        <v>2511</v>
      </c>
      <c r="C112" s="193" t="n">
        <v>2012</v>
      </c>
      <c r="D112" s="218" t="n">
        <v>41155</v>
      </c>
      <c r="E112" s="205" t="s">
        <v>2512</v>
      </c>
      <c r="F112" s="206" t="s">
        <v>2513</v>
      </c>
      <c r="G112" s="206" t="s">
        <v>1174</v>
      </c>
      <c r="H112" s="205" t="s">
        <v>706</v>
      </c>
      <c r="I112" s="256" t="n">
        <v>45807</v>
      </c>
      <c r="J112" s="206" t="n">
        <v>5</v>
      </c>
      <c r="K112" s="206" t="s">
        <v>53</v>
      </c>
      <c r="L112" s="206" t="s">
        <v>58</v>
      </c>
      <c r="M112" s="206" t="n">
        <v>4652</v>
      </c>
      <c r="N112" s="153"/>
      <c r="O112" s="153"/>
      <c r="P112" s="153"/>
      <c r="Q112" s="153"/>
      <c r="R112" s="153"/>
    </row>
    <row r="113" customFormat="false" ht="15" hidden="false" customHeight="true" outlineLevel="0" collapsed="false">
      <c r="A113" s="210" t="s">
        <v>2514</v>
      </c>
      <c r="B113" s="211" t="s">
        <v>2515</v>
      </c>
      <c r="C113" s="211" t="n">
        <v>2022</v>
      </c>
      <c r="D113" s="212" t="n">
        <v>44739</v>
      </c>
      <c r="E113" s="213" t="s">
        <v>2516</v>
      </c>
      <c r="F113" s="213" t="s">
        <v>1316</v>
      </c>
      <c r="G113" s="214" t="s">
        <v>1174</v>
      </c>
      <c r="H113" s="254" t="s">
        <v>350</v>
      </c>
      <c r="I113" s="257" t="n">
        <v>45807</v>
      </c>
      <c r="J113" s="258" t="n">
        <v>5</v>
      </c>
      <c r="K113" s="213" t="s">
        <v>53</v>
      </c>
      <c r="L113" s="206" t="s">
        <v>58</v>
      </c>
      <c r="M113" s="213" t="n">
        <v>1068</v>
      </c>
      <c r="O113" s="153"/>
      <c r="P113" s="153"/>
      <c r="Q113" s="153"/>
      <c r="R113" s="153"/>
    </row>
    <row r="114" customFormat="false" ht="15" hidden="false" customHeight="true" outlineLevel="0" collapsed="false">
      <c r="A114" s="203" t="s">
        <v>2517</v>
      </c>
      <c r="B114" s="193" t="s">
        <v>2518</v>
      </c>
      <c r="C114" s="193" t="n">
        <v>2021</v>
      </c>
      <c r="D114" s="218" t="n">
        <v>44363</v>
      </c>
      <c r="E114" s="205" t="s">
        <v>2519</v>
      </c>
      <c r="F114" s="206" t="s">
        <v>1987</v>
      </c>
      <c r="G114" s="206" t="s">
        <v>1174</v>
      </c>
      <c r="H114" s="255" t="s">
        <v>1258</v>
      </c>
      <c r="I114" s="400" t="n">
        <v>45807</v>
      </c>
      <c r="J114" s="401" t="n">
        <v>5</v>
      </c>
      <c r="K114" s="206" t="s">
        <v>53</v>
      </c>
      <c r="L114" s="206" t="s">
        <v>58</v>
      </c>
      <c r="M114" s="206" t="n">
        <v>1444</v>
      </c>
    </row>
    <row r="115" customFormat="false" ht="15" hidden="false" customHeight="true" outlineLevel="0" collapsed="false">
      <c r="A115" s="210" t="s">
        <v>2520</v>
      </c>
      <c r="B115" s="211" t="s">
        <v>2521</v>
      </c>
      <c r="C115" s="211" t="n">
        <v>2021</v>
      </c>
      <c r="D115" s="225" t="n">
        <v>44385</v>
      </c>
      <c r="E115" s="213" t="s">
        <v>2522</v>
      </c>
      <c r="F115" s="213" t="s">
        <v>1373</v>
      </c>
      <c r="G115" s="214" t="s">
        <v>1174</v>
      </c>
      <c r="H115" s="214" t="s">
        <v>1258</v>
      </c>
      <c r="I115" s="402" t="n">
        <v>45807</v>
      </c>
      <c r="J115" s="213" t="n">
        <v>5</v>
      </c>
      <c r="K115" s="213" t="s">
        <v>53</v>
      </c>
      <c r="L115" s="151" t="s">
        <v>60</v>
      </c>
      <c r="M115" s="213" t="n">
        <v>1422</v>
      </c>
    </row>
    <row r="116" customFormat="false" ht="15" hidden="false" customHeight="true" outlineLevel="0" collapsed="false">
      <c r="A116" s="203" t="s">
        <v>2523</v>
      </c>
      <c r="B116" s="193" t="s">
        <v>2524</v>
      </c>
      <c r="C116" s="193" t="n">
        <v>2021</v>
      </c>
      <c r="D116" s="204" t="n">
        <v>44334</v>
      </c>
      <c r="E116" s="205" t="s">
        <v>2525</v>
      </c>
      <c r="F116" s="206" t="s">
        <v>1150</v>
      </c>
      <c r="G116" s="206" t="s">
        <v>1174</v>
      </c>
      <c r="H116" s="205" t="s">
        <v>522</v>
      </c>
      <c r="I116" s="207" t="n">
        <v>45832</v>
      </c>
      <c r="J116" s="206" t="n">
        <v>6</v>
      </c>
      <c r="K116" s="206" t="s">
        <v>53</v>
      </c>
      <c r="L116" s="206" t="s">
        <v>58</v>
      </c>
      <c r="M116" s="206" t="n">
        <v>1498</v>
      </c>
    </row>
    <row r="117" customFormat="false" ht="15" hidden="false" customHeight="true" outlineLevel="0" collapsed="false">
      <c r="A117" s="210" t="s">
        <v>2526</v>
      </c>
      <c r="B117" s="211" t="s">
        <v>2527</v>
      </c>
      <c r="C117" s="211" t="n">
        <v>2017</v>
      </c>
      <c r="D117" s="225" t="n">
        <v>43049</v>
      </c>
      <c r="E117" s="213" t="s">
        <v>2528</v>
      </c>
      <c r="F117" s="213" t="s">
        <v>157</v>
      </c>
      <c r="G117" s="214" t="s">
        <v>1174</v>
      </c>
      <c r="H117" s="214" t="s">
        <v>1258</v>
      </c>
      <c r="I117" s="225" t="n">
        <v>45813</v>
      </c>
      <c r="J117" s="213" t="n">
        <v>6</v>
      </c>
      <c r="K117" s="213" t="s">
        <v>53</v>
      </c>
      <c r="L117" s="206" t="s">
        <v>58</v>
      </c>
      <c r="M117" s="213" t="n">
        <v>2764</v>
      </c>
    </row>
    <row r="118" customFormat="false" ht="15" hidden="false" customHeight="true" outlineLevel="0" collapsed="false">
      <c r="A118" s="203" t="s">
        <v>2529</v>
      </c>
      <c r="B118" s="193" t="s">
        <v>2530</v>
      </c>
      <c r="C118" s="193" t="n">
        <v>2018</v>
      </c>
      <c r="D118" s="204" t="n">
        <v>43202</v>
      </c>
      <c r="E118" s="205" t="s">
        <v>2531</v>
      </c>
      <c r="F118" s="206" t="s">
        <v>157</v>
      </c>
      <c r="G118" s="206" t="s">
        <v>1174</v>
      </c>
      <c r="H118" s="205" t="s">
        <v>995</v>
      </c>
      <c r="I118" s="218" t="n">
        <v>45825</v>
      </c>
      <c r="J118" s="206" t="n">
        <v>6</v>
      </c>
      <c r="K118" s="206" t="s">
        <v>53</v>
      </c>
      <c r="L118" s="206" t="s">
        <v>58</v>
      </c>
      <c r="M118" s="208" t="n">
        <v>2623</v>
      </c>
    </row>
    <row r="119" customFormat="false" ht="15" hidden="false" customHeight="true" outlineLevel="0" collapsed="false">
      <c r="A119" s="210" t="s">
        <v>2532</v>
      </c>
      <c r="B119" s="211" t="s">
        <v>2533</v>
      </c>
      <c r="C119" s="211" t="n">
        <v>2021</v>
      </c>
      <c r="D119" s="212" t="n">
        <v>44365</v>
      </c>
      <c r="E119" s="213" t="s">
        <v>2534</v>
      </c>
      <c r="F119" s="213" t="s">
        <v>699</v>
      </c>
      <c r="G119" s="214" t="s">
        <v>1174</v>
      </c>
      <c r="H119" s="214" t="s">
        <v>1258</v>
      </c>
      <c r="I119" s="215" t="n">
        <v>45825</v>
      </c>
      <c r="J119" s="213" t="n">
        <v>6</v>
      </c>
      <c r="K119" s="213" t="s">
        <v>53</v>
      </c>
      <c r="L119" s="151" t="s">
        <v>60</v>
      </c>
      <c r="M119" s="213" t="n">
        <v>1460</v>
      </c>
    </row>
    <row r="120" customFormat="false" ht="15" hidden="false" customHeight="true" outlineLevel="0" collapsed="false">
      <c r="A120" s="203" t="s">
        <v>2535</v>
      </c>
      <c r="B120" s="193" t="s">
        <v>2536</v>
      </c>
      <c r="C120" s="193" t="n">
        <v>2021</v>
      </c>
      <c r="D120" s="204" t="n">
        <v>44476</v>
      </c>
      <c r="E120" s="205" t="s">
        <v>2537</v>
      </c>
      <c r="F120" s="206" t="s">
        <v>1400</v>
      </c>
      <c r="G120" s="206" t="s">
        <v>1174</v>
      </c>
      <c r="H120" s="205" t="s">
        <v>2278</v>
      </c>
      <c r="I120" s="218" t="n">
        <v>45825</v>
      </c>
      <c r="J120" s="206" t="n">
        <v>6</v>
      </c>
      <c r="K120" s="206" t="s">
        <v>53</v>
      </c>
      <c r="L120" s="206" t="s">
        <v>58</v>
      </c>
      <c r="M120" s="208" t="n">
        <v>1349</v>
      </c>
    </row>
    <row r="121" customFormat="false" ht="15" hidden="false" customHeight="true" outlineLevel="0" collapsed="false">
      <c r="A121" s="210" t="s">
        <v>2538</v>
      </c>
      <c r="B121" s="211" t="s">
        <v>2539</v>
      </c>
      <c r="C121" s="211" t="n">
        <v>2022</v>
      </c>
      <c r="D121" s="212" t="n">
        <v>44645</v>
      </c>
      <c r="E121" s="213" t="s">
        <v>2540</v>
      </c>
      <c r="F121" s="213" t="s">
        <v>1400</v>
      </c>
      <c r="G121" s="214" t="s">
        <v>1174</v>
      </c>
      <c r="H121" s="214" t="s">
        <v>544</v>
      </c>
      <c r="I121" s="215" t="n">
        <v>45825</v>
      </c>
      <c r="J121" s="213" t="n">
        <v>6</v>
      </c>
      <c r="K121" s="213" t="s">
        <v>53</v>
      </c>
      <c r="L121" s="206" t="s">
        <v>58</v>
      </c>
      <c r="M121" s="213" t="n">
        <v>1180</v>
      </c>
    </row>
    <row r="122" customFormat="false" ht="15" hidden="false" customHeight="true" outlineLevel="0" collapsed="false">
      <c r="A122" s="203" t="s">
        <v>2541</v>
      </c>
      <c r="B122" s="193" t="s">
        <v>2542</v>
      </c>
      <c r="C122" s="193" t="n">
        <v>2017</v>
      </c>
      <c r="D122" s="204" t="n">
        <v>42944</v>
      </c>
      <c r="E122" s="205" t="s">
        <v>2543</v>
      </c>
      <c r="F122" s="206" t="s">
        <v>123</v>
      </c>
      <c r="G122" s="206" t="s">
        <v>1174</v>
      </c>
      <c r="H122" s="205" t="s">
        <v>1258</v>
      </c>
      <c r="I122" s="218" t="n">
        <v>45825</v>
      </c>
      <c r="J122" s="206" t="n">
        <v>6</v>
      </c>
      <c r="K122" s="206" t="s">
        <v>53</v>
      </c>
      <c r="L122" s="206" t="s">
        <v>58</v>
      </c>
      <c r="M122" s="208" t="n">
        <v>2881</v>
      </c>
    </row>
    <row r="123" customFormat="false" ht="15" hidden="false" customHeight="true" outlineLevel="0" collapsed="false">
      <c r="A123" s="210" t="s">
        <v>2544</v>
      </c>
      <c r="B123" s="211" t="s">
        <v>2545</v>
      </c>
      <c r="C123" s="211" t="n">
        <v>2020</v>
      </c>
      <c r="D123" s="212" t="n">
        <v>43859</v>
      </c>
      <c r="E123" s="213" t="s">
        <v>2546</v>
      </c>
      <c r="F123" s="213" t="s">
        <v>168</v>
      </c>
      <c r="G123" s="214" t="s">
        <v>1174</v>
      </c>
      <c r="H123" s="214" t="s">
        <v>2547</v>
      </c>
      <c r="I123" s="221" t="n">
        <v>45825</v>
      </c>
      <c r="J123" s="213" t="n">
        <v>6</v>
      </c>
      <c r="K123" s="213" t="s">
        <v>53</v>
      </c>
      <c r="L123" s="206" t="s">
        <v>58</v>
      </c>
      <c r="M123" s="213" t="n">
        <v>1966</v>
      </c>
    </row>
    <row r="124" customFormat="false" ht="15" hidden="false" customHeight="true" outlineLevel="0" collapsed="false">
      <c r="A124" s="203" t="s">
        <v>2548</v>
      </c>
      <c r="B124" s="193" t="s">
        <v>2549</v>
      </c>
      <c r="C124" s="193" t="n">
        <v>2022</v>
      </c>
      <c r="D124" s="204" t="n">
        <v>44603</v>
      </c>
      <c r="E124" s="205" t="s">
        <v>2550</v>
      </c>
      <c r="F124" s="206" t="s">
        <v>477</v>
      </c>
      <c r="G124" s="206" t="s">
        <v>1174</v>
      </c>
      <c r="H124" s="205" t="s">
        <v>208</v>
      </c>
      <c r="I124" s="218" t="n">
        <v>45825</v>
      </c>
      <c r="J124" s="206" t="n">
        <v>6</v>
      </c>
      <c r="K124" s="206" t="s">
        <v>53</v>
      </c>
      <c r="L124" s="206" t="s">
        <v>58</v>
      </c>
      <c r="M124" s="206" t="n">
        <v>1222</v>
      </c>
    </row>
    <row r="125" customFormat="false" ht="15" hidden="false" customHeight="true" outlineLevel="0" collapsed="false">
      <c r="A125" s="210" t="s">
        <v>2551</v>
      </c>
      <c r="B125" s="211" t="s">
        <v>2552</v>
      </c>
      <c r="C125" s="211" t="n">
        <v>2022</v>
      </c>
      <c r="D125" s="212" t="n">
        <v>44760</v>
      </c>
      <c r="E125" s="213" t="s">
        <v>2553</v>
      </c>
      <c r="F125" s="213" t="s">
        <v>793</v>
      </c>
      <c r="G125" s="214" t="s">
        <v>1174</v>
      </c>
      <c r="H125" s="214" t="s">
        <v>208</v>
      </c>
      <c r="I125" s="221" t="n">
        <v>45825</v>
      </c>
      <c r="J125" s="213" t="n">
        <v>6</v>
      </c>
      <c r="K125" s="213" t="s">
        <v>53</v>
      </c>
      <c r="L125" s="206" t="s">
        <v>58</v>
      </c>
      <c r="M125" s="213" t="n">
        <v>1065</v>
      </c>
    </row>
    <row r="126" customFormat="false" ht="15" hidden="false" customHeight="true" outlineLevel="0" collapsed="false">
      <c r="A126" s="203" t="s">
        <v>2554</v>
      </c>
      <c r="B126" s="193" t="s">
        <v>2555</v>
      </c>
      <c r="C126" s="193" t="n">
        <v>2018</v>
      </c>
      <c r="D126" s="204" t="n">
        <v>43306</v>
      </c>
      <c r="E126" s="205" t="s">
        <v>2556</v>
      </c>
      <c r="F126" s="206" t="s">
        <v>207</v>
      </c>
      <c r="G126" s="206" t="s">
        <v>1174</v>
      </c>
      <c r="H126" s="205" t="s">
        <v>1880</v>
      </c>
      <c r="I126" s="218" t="n">
        <v>45825</v>
      </c>
      <c r="J126" s="206" t="n">
        <v>6</v>
      </c>
      <c r="K126" s="206" t="s">
        <v>53</v>
      </c>
      <c r="L126" s="206" t="s">
        <v>58</v>
      </c>
      <c r="M126" s="206" t="n">
        <v>2519</v>
      </c>
    </row>
    <row r="127" customFormat="false" ht="15" hidden="false" customHeight="true" outlineLevel="0" collapsed="false">
      <c r="A127" s="210" t="s">
        <v>2557</v>
      </c>
      <c r="B127" s="211" t="s">
        <v>2558</v>
      </c>
      <c r="C127" s="211" t="n">
        <v>2021</v>
      </c>
      <c r="D127" s="212" t="n">
        <v>44540</v>
      </c>
      <c r="E127" s="213" t="s">
        <v>2559</v>
      </c>
      <c r="F127" s="213" t="s">
        <v>2560</v>
      </c>
      <c r="G127" s="214" t="s">
        <v>1174</v>
      </c>
      <c r="H127" s="214" t="s">
        <v>471</v>
      </c>
      <c r="I127" s="221" t="n">
        <v>45825</v>
      </c>
      <c r="J127" s="213" t="n">
        <v>6</v>
      </c>
      <c r="K127" s="213" t="s">
        <v>53</v>
      </c>
      <c r="L127" s="206" t="s">
        <v>58</v>
      </c>
      <c r="M127" s="213" t="n">
        <v>1285</v>
      </c>
    </row>
    <row r="128" customFormat="false" ht="15" hidden="false" customHeight="true" outlineLevel="0" collapsed="false">
      <c r="A128" s="203" t="s">
        <v>2561</v>
      </c>
      <c r="B128" s="193" t="s">
        <v>2562</v>
      </c>
      <c r="C128" s="193" t="n">
        <v>2022</v>
      </c>
      <c r="D128" s="204" t="n">
        <v>44795</v>
      </c>
      <c r="E128" s="205" t="s">
        <v>2563</v>
      </c>
      <c r="F128" s="206" t="s">
        <v>823</v>
      </c>
      <c r="G128" s="206" t="s">
        <v>1174</v>
      </c>
      <c r="H128" s="205" t="s">
        <v>1258</v>
      </c>
      <c r="I128" s="218" t="n">
        <v>45825</v>
      </c>
      <c r="J128" s="206" t="n">
        <v>6</v>
      </c>
      <c r="K128" s="206" t="s">
        <v>53</v>
      </c>
      <c r="L128" s="206" t="s">
        <v>58</v>
      </c>
      <c r="M128" s="206" t="n">
        <v>1030</v>
      </c>
    </row>
    <row r="129" customFormat="false" ht="15" hidden="false" customHeight="true" outlineLevel="0" collapsed="false">
      <c r="A129" s="210" t="s">
        <v>2564</v>
      </c>
      <c r="B129" s="211" t="s">
        <v>2565</v>
      </c>
      <c r="C129" s="211" t="n">
        <v>2019</v>
      </c>
      <c r="D129" s="212" t="n">
        <v>43696</v>
      </c>
      <c r="E129" s="213" t="s">
        <v>2566</v>
      </c>
      <c r="F129" s="213" t="s">
        <v>509</v>
      </c>
      <c r="G129" s="214" t="s">
        <v>1174</v>
      </c>
      <c r="H129" s="214" t="s">
        <v>2567</v>
      </c>
      <c r="I129" s="221" t="n">
        <v>45825</v>
      </c>
      <c r="J129" s="213" t="n">
        <v>6</v>
      </c>
      <c r="K129" s="213" t="s">
        <v>53</v>
      </c>
      <c r="L129" s="206" t="s">
        <v>58</v>
      </c>
      <c r="M129" s="213" t="n">
        <v>2129</v>
      </c>
    </row>
    <row r="130" customFormat="false" ht="15" hidden="false" customHeight="true" outlineLevel="0" collapsed="false">
      <c r="A130" s="203" t="s">
        <v>2568</v>
      </c>
      <c r="B130" s="193" t="s">
        <v>2569</v>
      </c>
      <c r="C130" s="193" t="n">
        <v>2022</v>
      </c>
      <c r="D130" s="204" t="n">
        <v>44770</v>
      </c>
      <c r="E130" s="205" t="s">
        <v>2570</v>
      </c>
      <c r="F130" s="206" t="s">
        <v>1316</v>
      </c>
      <c r="G130" s="206" t="s">
        <v>1174</v>
      </c>
      <c r="H130" s="205" t="s">
        <v>513</v>
      </c>
      <c r="I130" s="218" t="n">
        <v>45825</v>
      </c>
      <c r="J130" s="206" t="n">
        <v>6</v>
      </c>
      <c r="K130" s="206" t="s">
        <v>53</v>
      </c>
      <c r="L130" s="206" t="s">
        <v>58</v>
      </c>
      <c r="M130" s="206" t="n">
        <v>1055</v>
      </c>
    </row>
    <row r="131" customFormat="false" ht="15" hidden="false" customHeight="true" outlineLevel="0" collapsed="false">
      <c r="A131" s="210" t="s">
        <v>2571</v>
      </c>
      <c r="B131" s="211" t="s">
        <v>2572</v>
      </c>
      <c r="C131" s="211" t="n">
        <v>2021</v>
      </c>
      <c r="D131" s="212" t="n">
        <v>44315</v>
      </c>
      <c r="E131" s="213" t="s">
        <v>2573</v>
      </c>
      <c r="F131" s="213" t="s">
        <v>168</v>
      </c>
      <c r="G131" s="214" t="s">
        <v>1174</v>
      </c>
      <c r="H131" s="214" t="s">
        <v>1258</v>
      </c>
      <c r="I131" s="221" t="n">
        <v>45826</v>
      </c>
      <c r="J131" s="213" t="n">
        <v>6</v>
      </c>
      <c r="K131" s="213" t="s">
        <v>53</v>
      </c>
      <c r="L131" s="206" t="s">
        <v>58</v>
      </c>
      <c r="M131" s="213" t="n">
        <v>1511</v>
      </c>
    </row>
    <row r="132" customFormat="false" ht="15" hidden="false" customHeight="true" outlineLevel="0" collapsed="false">
      <c r="A132" s="203" t="s">
        <v>2574</v>
      </c>
      <c r="B132" s="193" t="s">
        <v>2575</v>
      </c>
      <c r="C132" s="193" t="n">
        <v>2021</v>
      </c>
      <c r="D132" s="204" t="n">
        <v>44403</v>
      </c>
      <c r="E132" s="205" t="s">
        <v>2576</v>
      </c>
      <c r="F132" s="206" t="s">
        <v>1987</v>
      </c>
      <c r="G132" s="206" t="s">
        <v>1174</v>
      </c>
      <c r="H132" s="205" t="s">
        <v>1258</v>
      </c>
      <c r="I132" s="218" t="n">
        <v>45826</v>
      </c>
      <c r="J132" s="206" t="n">
        <v>6</v>
      </c>
      <c r="K132" s="206" t="s">
        <v>53</v>
      </c>
      <c r="L132" s="206" t="s">
        <v>58</v>
      </c>
      <c r="M132" s="206" t="n">
        <v>1423</v>
      </c>
    </row>
    <row r="133" customFormat="false" ht="15" hidden="false" customHeight="true" outlineLevel="0" collapsed="false">
      <c r="A133" s="210" t="s">
        <v>2577</v>
      </c>
      <c r="B133" s="211" t="s">
        <v>2578</v>
      </c>
      <c r="C133" s="211" t="n">
        <v>2021</v>
      </c>
      <c r="D133" s="212" t="n">
        <v>44547</v>
      </c>
      <c r="E133" s="213" t="s">
        <v>2579</v>
      </c>
      <c r="F133" s="213" t="s">
        <v>176</v>
      </c>
      <c r="G133" s="214" t="s">
        <v>1174</v>
      </c>
      <c r="H133" s="214" t="s">
        <v>471</v>
      </c>
      <c r="I133" s="221" t="n">
        <v>45826</v>
      </c>
      <c r="J133" s="213" t="n">
        <v>6</v>
      </c>
      <c r="K133" s="213" t="s">
        <v>53</v>
      </c>
      <c r="L133" s="151" t="s">
        <v>60</v>
      </c>
      <c r="M133" s="213" t="n">
        <v>1279</v>
      </c>
    </row>
    <row r="134" customFormat="false" ht="15" hidden="false" customHeight="true" outlineLevel="0" collapsed="false">
      <c r="A134" s="203" t="s">
        <v>2580</v>
      </c>
      <c r="B134" s="193" t="s">
        <v>2581</v>
      </c>
      <c r="C134" s="193" t="n">
        <v>2020</v>
      </c>
      <c r="D134" s="204" t="n">
        <v>43903</v>
      </c>
      <c r="E134" s="205" t="s">
        <v>2582</v>
      </c>
      <c r="F134" s="206" t="s">
        <v>1338</v>
      </c>
      <c r="G134" s="206" t="s">
        <v>1174</v>
      </c>
      <c r="H134" s="205" t="s">
        <v>1434</v>
      </c>
      <c r="I134" s="218" t="n">
        <v>45826</v>
      </c>
      <c r="J134" s="206" t="n">
        <v>6</v>
      </c>
      <c r="K134" s="206" t="s">
        <v>53</v>
      </c>
      <c r="L134" s="206" t="s">
        <v>61</v>
      </c>
      <c r="M134" s="206" t="n">
        <v>1923</v>
      </c>
    </row>
    <row r="135" customFormat="false" ht="15" hidden="false" customHeight="true" outlineLevel="0" collapsed="false">
      <c r="A135" s="210" t="s">
        <v>2583</v>
      </c>
      <c r="B135" s="211" t="s">
        <v>2584</v>
      </c>
      <c r="C135" s="211" t="n">
        <v>2019</v>
      </c>
      <c r="D135" s="212" t="n">
        <v>43810</v>
      </c>
      <c r="E135" s="213" t="s">
        <v>2585</v>
      </c>
      <c r="F135" s="213" t="s">
        <v>569</v>
      </c>
      <c r="G135" s="214" t="s">
        <v>1174</v>
      </c>
      <c r="H135" s="214" t="s">
        <v>471</v>
      </c>
      <c r="I135" s="221" t="n">
        <v>45826</v>
      </c>
      <c r="J135" s="213" t="n">
        <v>6</v>
      </c>
      <c r="K135" s="213" t="s">
        <v>53</v>
      </c>
      <c r="L135" s="206" t="s">
        <v>58</v>
      </c>
      <c r="M135" s="213" t="n">
        <v>2016</v>
      </c>
    </row>
    <row r="136" customFormat="false" ht="15" hidden="false" customHeight="true" outlineLevel="0" collapsed="false">
      <c r="A136" s="203" t="s">
        <v>2586</v>
      </c>
      <c r="B136" s="193" t="s">
        <v>2587</v>
      </c>
      <c r="C136" s="193" t="n">
        <v>2022</v>
      </c>
      <c r="D136" s="204" t="n">
        <v>44757</v>
      </c>
      <c r="E136" s="205" t="s">
        <v>2588</v>
      </c>
      <c r="F136" s="206" t="s">
        <v>459</v>
      </c>
      <c r="G136" s="206" t="s">
        <v>1174</v>
      </c>
      <c r="H136" s="205" t="s">
        <v>532</v>
      </c>
      <c r="I136" s="218" t="n">
        <v>45826</v>
      </c>
      <c r="J136" s="206" t="n">
        <v>6</v>
      </c>
      <c r="K136" s="206" t="s">
        <v>53</v>
      </c>
      <c r="L136" s="206" t="s">
        <v>58</v>
      </c>
      <c r="M136" s="208" t="n">
        <v>1069</v>
      </c>
    </row>
    <row r="137" customFormat="false" ht="15" hidden="false" customHeight="true" outlineLevel="0" collapsed="false">
      <c r="A137" s="210" t="s">
        <v>2589</v>
      </c>
      <c r="B137" s="211" t="s">
        <v>2590</v>
      </c>
      <c r="C137" s="211" t="n">
        <v>2021</v>
      </c>
      <c r="D137" s="212" t="n">
        <v>44252</v>
      </c>
      <c r="E137" s="213" t="s">
        <v>2591</v>
      </c>
      <c r="F137" s="213" t="s">
        <v>2592</v>
      </c>
      <c r="G137" s="214" t="s">
        <v>1174</v>
      </c>
      <c r="H137" s="214" t="s">
        <v>522</v>
      </c>
      <c r="I137" s="221" t="n">
        <v>45826</v>
      </c>
      <c r="J137" s="213" t="n">
        <v>6</v>
      </c>
      <c r="K137" s="213" t="s">
        <v>53</v>
      </c>
      <c r="L137" s="206" t="s">
        <v>58</v>
      </c>
      <c r="M137" s="213" t="n">
        <v>1574</v>
      </c>
    </row>
    <row r="138" customFormat="false" ht="15" hidden="false" customHeight="true" outlineLevel="0" collapsed="false">
      <c r="A138" s="203" t="s">
        <v>2593</v>
      </c>
      <c r="B138" s="193" t="s">
        <v>2594</v>
      </c>
      <c r="C138" s="193" t="n">
        <v>2020</v>
      </c>
      <c r="D138" s="204" t="n">
        <v>44152</v>
      </c>
      <c r="E138" s="205" t="s">
        <v>2595</v>
      </c>
      <c r="F138" s="206" t="s">
        <v>303</v>
      </c>
      <c r="G138" s="206" t="s">
        <v>1188</v>
      </c>
      <c r="H138" s="205" t="s">
        <v>119</v>
      </c>
      <c r="I138" s="218" t="n">
        <v>45826</v>
      </c>
      <c r="J138" s="206" t="n">
        <v>6</v>
      </c>
      <c r="K138" s="206" t="s">
        <v>1187</v>
      </c>
      <c r="L138" s="206" t="s">
        <v>58</v>
      </c>
      <c r="M138" s="208" t="n">
        <v>1674</v>
      </c>
    </row>
    <row r="139" customFormat="false" ht="15" hidden="false" customHeight="true" outlineLevel="0" collapsed="false">
      <c r="A139" s="210" t="s">
        <v>2596</v>
      </c>
      <c r="B139" s="211" t="s">
        <v>2597</v>
      </c>
      <c r="C139" s="211" t="n">
        <v>2020</v>
      </c>
      <c r="D139" s="212" t="n">
        <v>42342</v>
      </c>
      <c r="E139" s="213" t="s">
        <v>2598</v>
      </c>
      <c r="F139" s="213" t="s">
        <v>1097</v>
      </c>
      <c r="G139" s="214" t="s">
        <v>1174</v>
      </c>
      <c r="H139" s="214" t="s">
        <v>532</v>
      </c>
      <c r="I139" s="221" t="n">
        <v>45826</v>
      </c>
      <c r="J139" s="213" t="n">
        <v>6</v>
      </c>
      <c r="K139" s="213" t="s">
        <v>53</v>
      </c>
      <c r="L139" s="151" t="s">
        <v>60</v>
      </c>
      <c r="M139" s="213" t="n">
        <v>3484</v>
      </c>
    </row>
    <row r="140" customFormat="false" ht="15" hidden="false" customHeight="true" outlineLevel="0" collapsed="false">
      <c r="A140" s="203" t="s">
        <v>2599</v>
      </c>
      <c r="B140" s="193" t="s">
        <v>2600</v>
      </c>
      <c r="C140" s="193" t="n">
        <v>2020</v>
      </c>
      <c r="D140" s="204" t="n">
        <v>44131</v>
      </c>
      <c r="E140" s="205" t="s">
        <v>2601</v>
      </c>
      <c r="F140" s="206" t="s">
        <v>793</v>
      </c>
      <c r="G140" s="206" t="s">
        <v>1174</v>
      </c>
      <c r="H140" s="205" t="s">
        <v>2602</v>
      </c>
      <c r="I140" s="218" t="n">
        <v>45826</v>
      </c>
      <c r="J140" s="206" t="n">
        <v>6</v>
      </c>
      <c r="K140" s="206" t="s">
        <v>53</v>
      </c>
      <c r="L140" s="206" t="s">
        <v>58</v>
      </c>
      <c r="M140" s="206" t="n">
        <v>1695</v>
      </c>
    </row>
    <row r="141" customFormat="false" ht="15" hidden="false" customHeight="true" outlineLevel="0" collapsed="false">
      <c r="A141" s="210" t="s">
        <v>2603</v>
      </c>
      <c r="B141" s="211" t="s">
        <v>2604</v>
      </c>
      <c r="C141" s="211" t="n">
        <v>2023</v>
      </c>
      <c r="D141" s="212" t="n">
        <v>45077</v>
      </c>
      <c r="E141" s="213" t="s">
        <v>2605</v>
      </c>
      <c r="F141" s="213" t="s">
        <v>689</v>
      </c>
      <c r="G141" s="214" t="s">
        <v>1174</v>
      </c>
      <c r="H141" s="214" t="s">
        <v>522</v>
      </c>
      <c r="I141" s="221" t="n">
        <v>45826</v>
      </c>
      <c r="J141" s="213" t="n">
        <v>6</v>
      </c>
      <c r="K141" s="213" t="s">
        <v>53</v>
      </c>
      <c r="L141" s="151" t="s">
        <v>60</v>
      </c>
      <c r="M141" s="213" t="n">
        <v>749</v>
      </c>
    </row>
    <row r="142" customFormat="false" ht="15" hidden="false" customHeight="true" outlineLevel="0" collapsed="false">
      <c r="A142" s="203" t="s">
        <v>2606</v>
      </c>
      <c r="B142" s="193" t="s">
        <v>2607</v>
      </c>
      <c r="C142" s="193" t="n">
        <v>2021</v>
      </c>
      <c r="D142" s="204" t="n">
        <v>44503</v>
      </c>
      <c r="E142" s="205" t="s">
        <v>2608</v>
      </c>
      <c r="F142" s="206" t="s">
        <v>1527</v>
      </c>
      <c r="G142" s="206" t="s">
        <v>1174</v>
      </c>
      <c r="H142" s="205" t="s">
        <v>522</v>
      </c>
      <c r="I142" s="218" t="n">
        <v>45826</v>
      </c>
      <c r="J142" s="206" t="n">
        <v>6</v>
      </c>
      <c r="K142" s="206" t="s">
        <v>53</v>
      </c>
      <c r="L142" s="206" t="s">
        <v>58</v>
      </c>
      <c r="M142" s="206" t="n">
        <v>1323</v>
      </c>
    </row>
    <row r="143" customFormat="false" ht="15" hidden="false" customHeight="true" outlineLevel="0" collapsed="false">
      <c r="A143" s="210" t="s">
        <v>2609</v>
      </c>
      <c r="B143" s="211" t="s">
        <v>2610</v>
      </c>
      <c r="C143" s="211" t="n">
        <v>2023</v>
      </c>
      <c r="D143" s="212" t="n">
        <v>45084</v>
      </c>
      <c r="E143" s="213" t="s">
        <v>2611</v>
      </c>
      <c r="F143" s="213" t="s">
        <v>1527</v>
      </c>
      <c r="G143" s="214" t="s">
        <v>1174</v>
      </c>
      <c r="H143" s="214" t="s">
        <v>972</v>
      </c>
      <c r="I143" s="221" t="n">
        <v>45826</v>
      </c>
      <c r="J143" s="213" t="n">
        <v>6</v>
      </c>
      <c r="K143" s="213" t="s">
        <v>53</v>
      </c>
      <c r="L143" s="206" t="s">
        <v>58</v>
      </c>
      <c r="M143" s="213" t="n">
        <v>742</v>
      </c>
    </row>
    <row r="144" customFormat="false" ht="15" hidden="false" customHeight="true" outlineLevel="0" collapsed="false">
      <c r="A144" s="203" t="s">
        <v>2612</v>
      </c>
      <c r="B144" s="193" t="s">
        <v>2613</v>
      </c>
      <c r="C144" s="193" t="n">
        <v>2023</v>
      </c>
      <c r="D144" s="204" t="n">
        <v>45071</v>
      </c>
      <c r="E144" s="205" t="s">
        <v>2614</v>
      </c>
      <c r="F144" s="206" t="s">
        <v>1527</v>
      </c>
      <c r="G144" s="206" t="s">
        <v>1174</v>
      </c>
      <c r="H144" s="205" t="s">
        <v>1109</v>
      </c>
      <c r="I144" s="218" t="n">
        <v>45826</v>
      </c>
      <c r="J144" s="206" t="n">
        <v>6</v>
      </c>
      <c r="K144" s="206" t="s">
        <v>53</v>
      </c>
      <c r="L144" s="206" t="s">
        <v>58</v>
      </c>
      <c r="M144" s="206" t="n">
        <v>755</v>
      </c>
    </row>
    <row r="145" customFormat="false" ht="15" hidden="false" customHeight="true" outlineLevel="0" collapsed="false">
      <c r="A145" s="210" t="s">
        <v>2615</v>
      </c>
      <c r="B145" s="211" t="s">
        <v>2616</v>
      </c>
      <c r="C145" s="211" t="n">
        <v>2021</v>
      </c>
      <c r="D145" s="212" t="n">
        <v>44425</v>
      </c>
      <c r="E145" s="213" t="s">
        <v>2617</v>
      </c>
      <c r="F145" s="213" t="s">
        <v>793</v>
      </c>
      <c r="G145" s="214" t="s">
        <v>1174</v>
      </c>
      <c r="H145" s="214" t="s">
        <v>573</v>
      </c>
      <c r="I145" s="221" t="n">
        <v>45826</v>
      </c>
      <c r="J145" s="213" t="n">
        <v>6</v>
      </c>
      <c r="K145" s="213" t="s">
        <v>53</v>
      </c>
      <c r="L145" s="206" t="s">
        <v>58</v>
      </c>
      <c r="M145" s="213" t="n">
        <v>1401</v>
      </c>
    </row>
    <row r="146" customFormat="false" ht="15" hidden="false" customHeight="true" outlineLevel="0" collapsed="false">
      <c r="A146" s="203" t="s">
        <v>2618</v>
      </c>
      <c r="B146" s="193" t="s">
        <v>2619</v>
      </c>
      <c r="C146" s="193" t="n">
        <v>2021</v>
      </c>
      <c r="D146" s="204" t="n">
        <v>44397</v>
      </c>
      <c r="E146" s="205" t="s">
        <v>2620</v>
      </c>
      <c r="F146" s="206" t="s">
        <v>793</v>
      </c>
      <c r="G146" s="206" t="s">
        <v>1174</v>
      </c>
      <c r="H146" s="205" t="s">
        <v>1231</v>
      </c>
      <c r="I146" s="218" t="n">
        <v>45826</v>
      </c>
      <c r="J146" s="206" t="n">
        <v>6</v>
      </c>
      <c r="K146" s="206" t="s">
        <v>53</v>
      </c>
      <c r="L146" s="206" t="s">
        <v>58</v>
      </c>
      <c r="M146" s="206" t="n">
        <v>1429</v>
      </c>
    </row>
    <row r="147" customFormat="false" ht="15" hidden="false" customHeight="true" outlineLevel="0" collapsed="false">
      <c r="A147" s="210" t="s">
        <v>2621</v>
      </c>
      <c r="B147" s="211" t="s">
        <v>2622</v>
      </c>
      <c r="C147" s="211" t="n">
        <v>2018</v>
      </c>
      <c r="D147" s="212" t="n">
        <v>43416</v>
      </c>
      <c r="E147" s="213" t="s">
        <v>2623</v>
      </c>
      <c r="F147" s="213" t="s">
        <v>207</v>
      </c>
      <c r="G147" s="214" t="s">
        <v>1174</v>
      </c>
      <c r="H147" s="214" t="s">
        <v>1538</v>
      </c>
      <c r="I147" s="221" t="n">
        <v>45826</v>
      </c>
      <c r="J147" s="213" t="n">
        <v>6</v>
      </c>
      <c r="K147" s="213" t="s">
        <v>53</v>
      </c>
      <c r="L147" s="206" t="s">
        <v>58</v>
      </c>
      <c r="M147" s="213" t="n">
        <v>2410</v>
      </c>
    </row>
    <row r="148" customFormat="false" ht="15" hidden="false" customHeight="true" outlineLevel="0" collapsed="false">
      <c r="A148" s="203" t="s">
        <v>2624</v>
      </c>
      <c r="B148" s="193" t="s">
        <v>2625</v>
      </c>
      <c r="C148" s="193" t="n">
        <v>2023</v>
      </c>
      <c r="D148" s="204" t="n">
        <v>45209</v>
      </c>
      <c r="E148" s="205" t="s">
        <v>2626</v>
      </c>
      <c r="F148" s="206" t="s">
        <v>207</v>
      </c>
      <c r="G148" s="206" t="s">
        <v>1174</v>
      </c>
      <c r="H148" s="205" t="s">
        <v>1223</v>
      </c>
      <c r="I148" s="218" t="n">
        <v>45826</v>
      </c>
      <c r="J148" s="206" t="n">
        <v>6</v>
      </c>
      <c r="K148" s="206" t="s">
        <v>53</v>
      </c>
      <c r="L148" s="206" t="s">
        <v>58</v>
      </c>
      <c r="M148" s="206" t="n">
        <v>617</v>
      </c>
    </row>
    <row r="149" customFormat="false" ht="15" hidden="false" customHeight="true" outlineLevel="0" collapsed="false">
      <c r="A149" s="210" t="s">
        <v>2627</v>
      </c>
      <c r="B149" s="211" t="s">
        <v>2628</v>
      </c>
      <c r="C149" s="211" t="n">
        <v>2018</v>
      </c>
      <c r="D149" s="212" t="n">
        <v>43171</v>
      </c>
      <c r="E149" s="213" t="s">
        <v>2629</v>
      </c>
      <c r="F149" s="213" t="s">
        <v>2630</v>
      </c>
      <c r="G149" s="214" t="s">
        <v>1174</v>
      </c>
      <c r="H149" s="214" t="s">
        <v>192</v>
      </c>
      <c r="I149" s="221" t="n">
        <v>45826</v>
      </c>
      <c r="J149" s="213" t="n">
        <v>6</v>
      </c>
      <c r="K149" s="213" t="s">
        <v>53</v>
      </c>
      <c r="L149" s="206" t="s">
        <v>58</v>
      </c>
      <c r="M149" s="213" t="n">
        <v>2655</v>
      </c>
    </row>
    <row r="150" customFormat="false" ht="15" hidden="false" customHeight="true" outlineLevel="0" collapsed="false">
      <c r="A150" s="203" t="s">
        <v>2631</v>
      </c>
      <c r="B150" s="193" t="s">
        <v>2632</v>
      </c>
      <c r="C150" s="193" t="n">
        <v>2021</v>
      </c>
      <c r="D150" s="204" t="n">
        <v>44522</v>
      </c>
      <c r="E150" s="205" t="s">
        <v>2633</v>
      </c>
      <c r="F150" s="206" t="s">
        <v>569</v>
      </c>
      <c r="G150" s="206" t="s">
        <v>1174</v>
      </c>
      <c r="H150" s="205" t="s">
        <v>184</v>
      </c>
      <c r="I150" s="218" t="n">
        <v>45826</v>
      </c>
      <c r="J150" s="206" t="n">
        <v>6</v>
      </c>
      <c r="K150" s="206" t="s">
        <v>53</v>
      </c>
      <c r="L150" s="206" t="s">
        <v>58</v>
      </c>
      <c r="M150" s="206" t="n">
        <v>1304</v>
      </c>
    </row>
    <row r="151" customFormat="false" ht="15" hidden="false" customHeight="true" outlineLevel="0" collapsed="false">
      <c r="A151" s="210" t="s">
        <v>2634</v>
      </c>
      <c r="B151" s="211" t="s">
        <v>2635</v>
      </c>
      <c r="C151" s="211" t="n">
        <v>2020</v>
      </c>
      <c r="D151" s="212" t="n">
        <v>43980</v>
      </c>
      <c r="E151" s="213" t="s">
        <v>2636</v>
      </c>
      <c r="F151" s="213" t="s">
        <v>2637</v>
      </c>
      <c r="G151" s="214" t="s">
        <v>1174</v>
      </c>
      <c r="H151" s="214" t="s">
        <v>522</v>
      </c>
      <c r="I151" s="221" t="n">
        <v>45826</v>
      </c>
      <c r="J151" s="213" t="n">
        <v>6</v>
      </c>
      <c r="K151" s="213" t="s">
        <v>53</v>
      </c>
      <c r="L151" s="151" t="s">
        <v>60</v>
      </c>
      <c r="M151" s="213" t="n">
        <v>1846</v>
      </c>
    </row>
    <row r="152" customFormat="false" ht="15" hidden="false" customHeight="true" outlineLevel="0" collapsed="false">
      <c r="A152" s="203" t="s">
        <v>2638</v>
      </c>
      <c r="B152" s="193" t="s">
        <v>2639</v>
      </c>
      <c r="C152" s="193" t="n">
        <v>2020</v>
      </c>
      <c r="D152" s="204" t="n">
        <v>43887</v>
      </c>
      <c r="E152" s="205" t="s">
        <v>2640</v>
      </c>
      <c r="F152" s="206" t="s">
        <v>211</v>
      </c>
      <c r="G152" s="206" t="s">
        <v>1174</v>
      </c>
      <c r="H152" s="205" t="s">
        <v>522</v>
      </c>
      <c r="I152" s="218" t="n">
        <v>45826</v>
      </c>
      <c r="J152" s="206" t="n">
        <v>6</v>
      </c>
      <c r="K152" s="206" t="s">
        <v>53</v>
      </c>
      <c r="L152" s="206" t="s">
        <v>58</v>
      </c>
      <c r="M152" s="206" t="n">
        <v>1939</v>
      </c>
    </row>
    <row r="153" customFormat="false" ht="15" hidden="false" customHeight="true" outlineLevel="0" collapsed="false">
      <c r="A153" s="210" t="s">
        <v>2641</v>
      </c>
      <c r="B153" s="211" t="s">
        <v>2642</v>
      </c>
      <c r="C153" s="211" t="n">
        <v>2022</v>
      </c>
      <c r="D153" s="212" t="n">
        <v>44700</v>
      </c>
      <c r="E153" s="213" t="s">
        <v>2643</v>
      </c>
      <c r="F153" s="213" t="s">
        <v>157</v>
      </c>
      <c r="G153" s="214" t="s">
        <v>1174</v>
      </c>
      <c r="H153" s="214" t="s">
        <v>1231</v>
      </c>
      <c r="I153" s="221" t="n">
        <v>45826</v>
      </c>
      <c r="J153" s="213" t="n">
        <v>6</v>
      </c>
      <c r="K153" s="213" t="s">
        <v>53</v>
      </c>
      <c r="L153" s="206" t="s">
        <v>58</v>
      </c>
      <c r="M153" s="213" t="n">
        <v>1126</v>
      </c>
    </row>
    <row r="154" customFormat="false" ht="15" hidden="false" customHeight="true" outlineLevel="0" collapsed="false">
      <c r="A154" s="203" t="s">
        <v>2644</v>
      </c>
      <c r="B154" s="193" t="s">
        <v>2645</v>
      </c>
      <c r="C154" s="193" t="n">
        <v>2019</v>
      </c>
      <c r="D154" s="222" t="n">
        <v>43760</v>
      </c>
      <c r="E154" s="205" t="s">
        <v>2646</v>
      </c>
      <c r="F154" s="206" t="s">
        <v>902</v>
      </c>
      <c r="G154" s="206" t="s">
        <v>1174</v>
      </c>
      <c r="H154" s="205" t="s">
        <v>2647</v>
      </c>
      <c r="I154" s="218" t="n">
        <v>45834</v>
      </c>
      <c r="J154" s="206" t="n">
        <v>6</v>
      </c>
      <c r="K154" s="206" t="s">
        <v>53</v>
      </c>
      <c r="L154" s="206" t="s">
        <v>58</v>
      </c>
      <c r="M154" s="206" t="n">
        <v>2074</v>
      </c>
    </row>
    <row r="155" customFormat="false" ht="15" hidden="false" customHeight="true" outlineLevel="0" collapsed="false">
      <c r="A155" s="210" t="s">
        <v>2648</v>
      </c>
      <c r="B155" s="211" t="s">
        <v>2649</v>
      </c>
      <c r="C155" s="211" t="n">
        <v>2020</v>
      </c>
      <c r="D155" s="215" t="n">
        <v>45726</v>
      </c>
      <c r="E155" s="213" t="s">
        <v>2650</v>
      </c>
      <c r="F155" s="213" t="s">
        <v>1316</v>
      </c>
      <c r="G155" s="214" t="s">
        <v>1174</v>
      </c>
      <c r="H155" s="214" t="s">
        <v>1434</v>
      </c>
      <c r="I155" s="221" t="n">
        <v>45834</v>
      </c>
      <c r="J155" s="213" t="n">
        <v>6</v>
      </c>
      <c r="K155" s="213" t="s">
        <v>53</v>
      </c>
      <c r="L155" s="206" t="s">
        <v>58</v>
      </c>
      <c r="M155" s="213" t="n">
        <v>108</v>
      </c>
    </row>
    <row r="156" customFormat="false" ht="15" hidden="false" customHeight="true" outlineLevel="0" collapsed="false">
      <c r="A156" s="203" t="s">
        <v>2651</v>
      </c>
      <c r="B156" s="193" t="s">
        <v>2652</v>
      </c>
      <c r="C156" s="193" t="n">
        <v>2023</v>
      </c>
      <c r="D156" s="218" t="n">
        <v>45106</v>
      </c>
      <c r="E156" s="205" t="s">
        <v>2653</v>
      </c>
      <c r="F156" s="206" t="s">
        <v>1373</v>
      </c>
      <c r="G156" s="206" t="s">
        <v>1174</v>
      </c>
      <c r="H156" s="205" t="s">
        <v>2654</v>
      </c>
      <c r="I156" s="218" t="n">
        <v>45834</v>
      </c>
      <c r="J156" s="206" t="n">
        <v>6</v>
      </c>
      <c r="K156" s="206" t="s">
        <v>53</v>
      </c>
      <c r="L156" s="151" t="s">
        <v>60</v>
      </c>
      <c r="M156" s="206" t="n">
        <v>728</v>
      </c>
    </row>
    <row r="157" customFormat="false" ht="15" hidden="false" customHeight="true" outlineLevel="0" collapsed="false">
      <c r="A157" s="210" t="s">
        <v>2655</v>
      </c>
      <c r="B157" s="211" t="s">
        <v>2656</v>
      </c>
      <c r="C157" s="211" t="n">
        <v>2020</v>
      </c>
      <c r="D157" s="215" t="n">
        <v>44092</v>
      </c>
      <c r="E157" s="213" t="s">
        <v>2657</v>
      </c>
      <c r="F157" s="213" t="s">
        <v>477</v>
      </c>
      <c r="G157" s="214" t="s">
        <v>1174</v>
      </c>
      <c r="H157" s="214" t="s">
        <v>192</v>
      </c>
      <c r="I157" s="221" t="n">
        <v>45834</v>
      </c>
      <c r="J157" s="213" t="n">
        <v>6</v>
      </c>
      <c r="K157" s="213" t="s">
        <v>53</v>
      </c>
      <c r="L157" s="206" t="s">
        <v>58</v>
      </c>
      <c r="M157" s="213" t="n">
        <v>1742</v>
      </c>
    </row>
    <row r="158" customFormat="false" ht="15" hidden="false" customHeight="true" outlineLevel="0" collapsed="false">
      <c r="A158" s="203" t="s">
        <v>2658</v>
      </c>
      <c r="B158" s="193" t="s">
        <v>2659</v>
      </c>
      <c r="C158" s="193" t="n">
        <v>2019</v>
      </c>
      <c r="D158" s="218" t="n">
        <v>43710</v>
      </c>
      <c r="E158" s="205" t="s">
        <v>2660</v>
      </c>
      <c r="F158" s="206" t="s">
        <v>2010</v>
      </c>
      <c r="G158" s="206" t="s">
        <v>1174</v>
      </c>
      <c r="H158" s="205" t="s">
        <v>192</v>
      </c>
      <c r="I158" s="218" t="n">
        <v>45834</v>
      </c>
      <c r="J158" s="206" t="n">
        <v>6</v>
      </c>
      <c r="K158" s="206" t="s">
        <v>53</v>
      </c>
      <c r="L158" s="206" t="s">
        <v>58</v>
      </c>
      <c r="M158" s="206" t="n">
        <v>2124</v>
      </c>
    </row>
    <row r="159" customFormat="false" ht="15" hidden="false" customHeight="true" outlineLevel="0" collapsed="false">
      <c r="A159" s="210" t="s">
        <v>2661</v>
      </c>
      <c r="B159" s="211" t="s">
        <v>2662</v>
      </c>
      <c r="C159" s="211" t="n">
        <v>2023</v>
      </c>
      <c r="D159" s="212" t="n">
        <v>45237</v>
      </c>
      <c r="E159" s="213" t="s">
        <v>2663</v>
      </c>
      <c r="F159" s="213" t="s">
        <v>2010</v>
      </c>
      <c r="G159" s="214" t="s">
        <v>1174</v>
      </c>
      <c r="H159" s="214" t="s">
        <v>1231</v>
      </c>
      <c r="I159" s="221" t="n">
        <v>45834</v>
      </c>
      <c r="J159" s="213" t="n">
        <v>6</v>
      </c>
      <c r="K159" s="213" t="s">
        <v>53</v>
      </c>
      <c r="L159" s="206" t="s">
        <v>58</v>
      </c>
      <c r="M159" s="213" t="n">
        <v>597</v>
      </c>
    </row>
    <row r="160" customFormat="false" ht="15" hidden="false" customHeight="true" outlineLevel="0" collapsed="false">
      <c r="A160" s="203" t="s">
        <v>2664</v>
      </c>
      <c r="B160" s="193" t="s">
        <v>2665</v>
      </c>
      <c r="C160" s="193" t="n">
        <v>2020</v>
      </c>
      <c r="D160" s="207" t="n">
        <v>44082</v>
      </c>
      <c r="E160" s="205" t="s">
        <v>2666</v>
      </c>
      <c r="F160" s="206" t="s">
        <v>2667</v>
      </c>
      <c r="G160" s="206" t="s">
        <v>1174</v>
      </c>
      <c r="H160" s="205" t="s">
        <v>471</v>
      </c>
      <c r="I160" s="218" t="n">
        <v>45834</v>
      </c>
      <c r="J160" s="206" t="n">
        <v>6</v>
      </c>
      <c r="K160" s="206" t="s">
        <v>53</v>
      </c>
      <c r="L160" s="151" t="s">
        <v>60</v>
      </c>
      <c r="M160" s="206" t="n">
        <v>1752</v>
      </c>
    </row>
    <row r="161" customFormat="false" ht="15" hidden="false" customHeight="true" outlineLevel="0" collapsed="false">
      <c r="A161" s="210" t="s">
        <v>2668</v>
      </c>
      <c r="B161" s="211" t="s">
        <v>2669</v>
      </c>
      <c r="C161" s="211" t="n">
        <v>2021</v>
      </c>
      <c r="D161" s="212" t="n">
        <v>44536</v>
      </c>
      <c r="E161" s="213" t="s">
        <v>2670</v>
      </c>
      <c r="F161" s="213" t="s">
        <v>211</v>
      </c>
      <c r="G161" s="214" t="s">
        <v>1174</v>
      </c>
      <c r="H161" s="214" t="s">
        <v>1231</v>
      </c>
      <c r="I161" s="221" t="n">
        <v>45834</v>
      </c>
      <c r="J161" s="213" t="n">
        <v>6</v>
      </c>
      <c r="K161" s="213" t="s">
        <v>53</v>
      </c>
      <c r="L161" s="206" t="s">
        <v>58</v>
      </c>
      <c r="M161" s="213" t="n">
        <v>1298</v>
      </c>
    </row>
    <row r="162" customFormat="false" ht="15" hidden="false" customHeight="true" outlineLevel="0" collapsed="false">
      <c r="A162" s="203" t="s">
        <v>2671</v>
      </c>
      <c r="B162" s="193" t="s">
        <v>2672</v>
      </c>
      <c r="C162" s="193" t="n">
        <v>2021</v>
      </c>
      <c r="D162" s="204" t="n">
        <v>44315</v>
      </c>
      <c r="E162" s="205" t="s">
        <v>2673</v>
      </c>
      <c r="F162" s="206" t="s">
        <v>211</v>
      </c>
      <c r="G162" s="206" t="s">
        <v>1174</v>
      </c>
      <c r="H162" s="205" t="s">
        <v>522</v>
      </c>
      <c r="I162" s="218" t="n">
        <v>45834</v>
      </c>
      <c r="J162" s="206" t="n">
        <v>6</v>
      </c>
      <c r="K162" s="206" t="s">
        <v>53</v>
      </c>
      <c r="L162" s="206" t="s">
        <v>58</v>
      </c>
      <c r="M162" s="206" t="n">
        <v>1519</v>
      </c>
    </row>
    <row r="163" customFormat="false" ht="15" hidden="false" customHeight="true" outlineLevel="0" collapsed="false">
      <c r="A163" s="210" t="s">
        <v>2674</v>
      </c>
      <c r="B163" s="211" t="s">
        <v>2675</v>
      </c>
      <c r="C163" s="211" t="n">
        <v>2017</v>
      </c>
      <c r="D163" s="225" t="n">
        <v>42922</v>
      </c>
      <c r="E163" s="213" t="s">
        <v>2676</v>
      </c>
      <c r="F163" s="213" t="s">
        <v>157</v>
      </c>
      <c r="G163" s="214" t="s">
        <v>1174</v>
      </c>
      <c r="H163" s="214" t="s">
        <v>2677</v>
      </c>
      <c r="I163" s="221" t="n">
        <v>45891</v>
      </c>
      <c r="J163" s="213" t="n">
        <v>8</v>
      </c>
      <c r="K163" s="213" t="s">
        <v>53</v>
      </c>
      <c r="L163" s="206" t="s">
        <v>58</v>
      </c>
      <c r="M163" s="213" t="n">
        <v>2969</v>
      </c>
    </row>
    <row r="164" customFormat="false" ht="15" hidden="false" customHeight="true" outlineLevel="0" collapsed="false">
      <c r="A164" s="203" t="s">
        <v>2678</v>
      </c>
      <c r="B164" s="193" t="s">
        <v>2679</v>
      </c>
      <c r="C164" s="193" t="n">
        <v>2014</v>
      </c>
      <c r="D164" s="218" t="n">
        <v>41708</v>
      </c>
      <c r="E164" s="205" t="s">
        <v>2680</v>
      </c>
      <c r="F164" s="206" t="s">
        <v>446</v>
      </c>
      <c r="G164" s="206" t="s">
        <v>1174</v>
      </c>
      <c r="H164" s="205" t="s">
        <v>223</v>
      </c>
      <c r="I164" s="218" t="n">
        <v>45891</v>
      </c>
      <c r="J164" s="206" t="n">
        <v>8</v>
      </c>
      <c r="K164" s="206" t="s">
        <v>53</v>
      </c>
      <c r="L164" s="206" t="s">
        <v>58</v>
      </c>
      <c r="M164" s="206" t="n">
        <v>4183</v>
      </c>
    </row>
    <row r="165" customFormat="false" ht="15" hidden="false" customHeight="true" outlineLevel="0" collapsed="false">
      <c r="A165" s="210" t="s">
        <v>2681</v>
      </c>
      <c r="B165" s="211" t="s">
        <v>2682</v>
      </c>
      <c r="C165" s="211" t="n">
        <v>2018</v>
      </c>
      <c r="D165" s="212" t="n">
        <v>43332</v>
      </c>
      <c r="E165" s="213" t="s">
        <v>2683</v>
      </c>
      <c r="F165" s="213" t="s">
        <v>446</v>
      </c>
      <c r="G165" s="214" t="s">
        <v>1174</v>
      </c>
      <c r="H165" s="214" t="s">
        <v>192</v>
      </c>
      <c r="I165" s="221" t="n">
        <v>45891</v>
      </c>
      <c r="J165" s="213" t="n">
        <v>8</v>
      </c>
      <c r="K165" s="213" t="s">
        <v>53</v>
      </c>
      <c r="L165" s="206" t="s">
        <v>58</v>
      </c>
      <c r="M165" s="213" t="n">
        <v>2559</v>
      </c>
    </row>
    <row r="166" customFormat="false" ht="15" hidden="false" customHeight="true" outlineLevel="0" collapsed="false">
      <c r="A166" s="203" t="s">
        <v>2684</v>
      </c>
      <c r="B166" s="193" t="s">
        <v>2685</v>
      </c>
      <c r="C166" s="193" t="n">
        <v>2019</v>
      </c>
      <c r="D166" s="218" t="n">
        <v>43804</v>
      </c>
      <c r="E166" s="205" t="s">
        <v>2686</v>
      </c>
      <c r="F166" s="206" t="s">
        <v>446</v>
      </c>
      <c r="G166" s="206" t="s">
        <v>1174</v>
      </c>
      <c r="H166" s="205" t="s">
        <v>1740</v>
      </c>
      <c r="I166" s="207" t="n">
        <v>45891</v>
      </c>
      <c r="J166" s="206" t="n">
        <v>8</v>
      </c>
      <c r="K166" s="206" t="s">
        <v>53</v>
      </c>
      <c r="L166" s="206" t="s">
        <v>58</v>
      </c>
      <c r="M166" s="206" t="n">
        <v>2087</v>
      </c>
    </row>
    <row r="167" customFormat="false" ht="15" hidden="false" customHeight="true" outlineLevel="0" collapsed="false">
      <c r="A167" s="210" t="s">
        <v>2687</v>
      </c>
      <c r="B167" s="211" t="s">
        <v>2688</v>
      </c>
      <c r="C167" s="211" t="n">
        <v>2023</v>
      </c>
      <c r="D167" s="225" t="n">
        <v>45036</v>
      </c>
      <c r="E167" s="213" t="s">
        <v>2689</v>
      </c>
      <c r="F167" s="213" t="s">
        <v>1490</v>
      </c>
      <c r="G167" s="214" t="s">
        <v>1174</v>
      </c>
      <c r="H167" s="214" t="s">
        <v>1258</v>
      </c>
      <c r="I167" s="225" t="n">
        <v>45891</v>
      </c>
      <c r="J167" s="213" t="n">
        <v>8</v>
      </c>
      <c r="K167" s="213" t="s">
        <v>53</v>
      </c>
      <c r="L167" s="206" t="s">
        <v>58</v>
      </c>
      <c r="M167" s="213" t="n">
        <v>855</v>
      </c>
    </row>
    <row r="168" customFormat="false" ht="15" hidden="false" customHeight="true" outlineLevel="0" collapsed="false">
      <c r="A168" s="203" t="s">
        <v>2690</v>
      </c>
      <c r="B168" s="193" t="s">
        <v>2691</v>
      </c>
      <c r="C168" s="193" t="n">
        <v>2021</v>
      </c>
      <c r="D168" s="204" t="n">
        <v>44377</v>
      </c>
      <c r="E168" s="205" t="s">
        <v>2692</v>
      </c>
      <c r="F168" s="206" t="s">
        <v>138</v>
      </c>
      <c r="G168" s="206" t="s">
        <v>8</v>
      </c>
      <c r="H168" s="205" t="s">
        <v>968</v>
      </c>
      <c r="I168" s="207" t="n">
        <v>45891</v>
      </c>
      <c r="J168" s="206" t="n">
        <v>8</v>
      </c>
      <c r="K168" s="143" t="s">
        <v>49</v>
      </c>
      <c r="L168" s="151" t="s">
        <v>60</v>
      </c>
      <c r="M168" s="206" t="n">
        <v>1514</v>
      </c>
    </row>
    <row r="169" customFormat="false" ht="15" hidden="false" customHeight="true" outlineLevel="0" collapsed="false">
      <c r="A169" s="210" t="s">
        <v>2693</v>
      </c>
      <c r="B169" s="211" t="s">
        <v>2694</v>
      </c>
      <c r="C169" s="211" t="n">
        <v>2020</v>
      </c>
      <c r="D169" s="225" t="n">
        <v>43962</v>
      </c>
      <c r="E169" s="213" t="s">
        <v>2695</v>
      </c>
      <c r="F169" s="213" t="s">
        <v>446</v>
      </c>
      <c r="G169" s="214" t="s">
        <v>1174</v>
      </c>
      <c r="H169" s="214" t="s">
        <v>208</v>
      </c>
      <c r="I169" s="225" t="n">
        <v>45894</v>
      </c>
      <c r="J169" s="213" t="n">
        <v>8</v>
      </c>
      <c r="K169" s="213" t="s">
        <v>53</v>
      </c>
      <c r="L169" s="206" t="s">
        <v>58</v>
      </c>
      <c r="M169" s="213" t="n">
        <v>1932</v>
      </c>
    </row>
    <row r="170" customFormat="false" ht="15" hidden="false" customHeight="true" outlineLevel="0" collapsed="false">
      <c r="A170" s="203" t="s">
        <v>2696</v>
      </c>
      <c r="B170" s="193" t="s">
        <v>2697</v>
      </c>
      <c r="C170" s="193" t="n">
        <v>2022</v>
      </c>
      <c r="D170" s="207" t="n">
        <v>44826</v>
      </c>
      <c r="E170" s="205" t="s">
        <v>2698</v>
      </c>
      <c r="F170" s="206" t="s">
        <v>1316</v>
      </c>
      <c r="G170" s="206" t="s">
        <v>1174</v>
      </c>
      <c r="H170" s="205" t="s">
        <v>2506</v>
      </c>
      <c r="I170" s="207" t="n">
        <v>45894</v>
      </c>
      <c r="J170" s="206" t="n">
        <v>8</v>
      </c>
      <c r="K170" s="206" t="s">
        <v>53</v>
      </c>
      <c r="L170" s="206" t="s">
        <v>58</v>
      </c>
      <c r="M170" s="206" t="n">
        <v>1068</v>
      </c>
    </row>
    <row r="171" customFormat="false" ht="15" hidden="false" customHeight="true" outlineLevel="0" collapsed="false">
      <c r="A171" s="210" t="s">
        <v>2699</v>
      </c>
      <c r="B171" s="211" t="s">
        <v>2700</v>
      </c>
      <c r="C171" s="211" t="n">
        <v>2021</v>
      </c>
      <c r="D171" s="225" t="n">
        <v>44365</v>
      </c>
      <c r="E171" s="213" t="s">
        <v>2701</v>
      </c>
      <c r="F171" s="213" t="s">
        <v>823</v>
      </c>
      <c r="G171" s="214" t="s">
        <v>1174</v>
      </c>
      <c r="H171" s="214" t="s">
        <v>1258</v>
      </c>
      <c r="I171" s="225" t="n">
        <v>45894</v>
      </c>
      <c r="J171" s="213" t="n">
        <v>8</v>
      </c>
      <c r="K171" s="213" t="s">
        <v>53</v>
      </c>
      <c r="L171" s="206" t="s">
        <v>58</v>
      </c>
      <c r="M171" s="213" t="n">
        <v>1529</v>
      </c>
    </row>
    <row r="172" customFormat="false" ht="15" hidden="false" customHeight="true" outlineLevel="0" collapsed="false">
      <c r="A172" s="203" t="s">
        <v>2702</v>
      </c>
      <c r="B172" s="193" t="s">
        <v>2703</v>
      </c>
      <c r="C172" s="193" t="n">
        <v>2021</v>
      </c>
      <c r="D172" s="207" t="n">
        <v>44272</v>
      </c>
      <c r="E172" s="205" t="s">
        <v>2704</v>
      </c>
      <c r="F172" s="206" t="s">
        <v>401</v>
      </c>
      <c r="G172" s="206" t="s">
        <v>1174</v>
      </c>
      <c r="H172" s="205" t="s">
        <v>1258</v>
      </c>
      <c r="I172" s="207" t="n">
        <v>45894</v>
      </c>
      <c r="J172" s="206" t="n">
        <v>8</v>
      </c>
      <c r="K172" s="206" t="s">
        <v>53</v>
      </c>
      <c r="L172" s="206" t="s">
        <v>58</v>
      </c>
      <c r="M172" s="206" t="n">
        <v>1622</v>
      </c>
    </row>
    <row r="173" customFormat="false" ht="15" hidden="false" customHeight="true" outlineLevel="0" collapsed="false">
      <c r="A173" s="210" t="s">
        <v>2705</v>
      </c>
      <c r="B173" s="211" t="s">
        <v>2706</v>
      </c>
      <c r="C173" s="211" t="n">
        <v>2019</v>
      </c>
      <c r="D173" s="212" t="n">
        <v>43634</v>
      </c>
      <c r="E173" s="213" t="s">
        <v>2707</v>
      </c>
      <c r="F173" s="213" t="s">
        <v>191</v>
      </c>
      <c r="G173" s="214" t="s">
        <v>1174</v>
      </c>
      <c r="H173" s="214" t="s">
        <v>471</v>
      </c>
      <c r="I173" s="225" t="n">
        <v>45896</v>
      </c>
      <c r="J173" s="213" t="n">
        <v>8</v>
      </c>
      <c r="K173" s="213" t="s">
        <v>53</v>
      </c>
      <c r="L173" s="206" t="s">
        <v>58</v>
      </c>
      <c r="M173" s="213" t="n">
        <v>2262</v>
      </c>
    </row>
    <row r="174" customFormat="false" ht="12.75" hidden="false" customHeight="true" outlineLevel="0" collapsed="false">
      <c r="A174" s="203" t="s">
        <v>2708</v>
      </c>
      <c r="B174" s="193" t="s">
        <v>2709</v>
      </c>
      <c r="C174" s="193" t="n">
        <v>2015</v>
      </c>
      <c r="D174" s="207" t="n">
        <v>42355</v>
      </c>
      <c r="E174" s="205" t="s">
        <v>2710</v>
      </c>
      <c r="F174" s="206" t="s">
        <v>401</v>
      </c>
      <c r="G174" s="206" t="s">
        <v>1174</v>
      </c>
      <c r="H174" s="205" t="s">
        <v>223</v>
      </c>
      <c r="I174" s="207" t="n">
        <v>45903</v>
      </c>
      <c r="J174" s="206" t="n">
        <v>9</v>
      </c>
      <c r="K174" s="206" t="s">
        <v>53</v>
      </c>
      <c r="L174" s="206" t="s">
        <v>58</v>
      </c>
      <c r="M174" s="206" t="n">
        <v>3548</v>
      </c>
    </row>
    <row r="175" customFormat="false" ht="12.75" hidden="false" customHeight="true" outlineLevel="0" collapsed="false">
      <c r="A175" s="210" t="s">
        <v>2711</v>
      </c>
      <c r="B175" s="211" t="s">
        <v>2712</v>
      </c>
      <c r="C175" s="211" t="n">
        <v>2021</v>
      </c>
      <c r="D175" s="225" t="n">
        <v>44278</v>
      </c>
      <c r="E175" s="213" t="s">
        <v>2713</v>
      </c>
      <c r="F175" s="213" t="s">
        <v>780</v>
      </c>
      <c r="G175" s="214" t="s">
        <v>1174</v>
      </c>
      <c r="H175" s="214" t="s">
        <v>223</v>
      </c>
      <c r="I175" s="225" t="n">
        <v>45903</v>
      </c>
      <c r="J175" s="213" t="n">
        <v>9</v>
      </c>
      <c r="K175" s="213" t="s">
        <v>53</v>
      </c>
      <c r="L175" s="151" t="s">
        <v>60</v>
      </c>
      <c r="M175" s="213" t="n">
        <v>1625</v>
      </c>
    </row>
    <row r="176" customFormat="false" ht="12.75" hidden="false" customHeight="true" outlineLevel="0" collapsed="false">
      <c r="A176" s="203" t="s">
        <v>2714</v>
      </c>
      <c r="B176" s="193" t="s">
        <v>2715</v>
      </c>
      <c r="C176" s="193" t="n">
        <v>2018</v>
      </c>
      <c r="D176" s="207" t="n">
        <v>43262</v>
      </c>
      <c r="E176" s="205" t="s">
        <v>2716</v>
      </c>
      <c r="F176" s="206" t="s">
        <v>401</v>
      </c>
      <c r="G176" s="206" t="s">
        <v>1174</v>
      </c>
      <c r="H176" s="205" t="s">
        <v>192</v>
      </c>
      <c r="I176" s="207" t="n">
        <v>45903</v>
      </c>
      <c r="J176" s="206" t="n">
        <v>9</v>
      </c>
      <c r="K176" s="206" t="s">
        <v>53</v>
      </c>
      <c r="L176" s="206" t="s">
        <v>58</v>
      </c>
      <c r="M176" s="206" t="n">
        <v>2641</v>
      </c>
    </row>
    <row r="177" customFormat="false" ht="12.75" hidden="false" customHeight="true" outlineLevel="0" collapsed="false">
      <c r="A177" s="210" t="s">
        <v>2717</v>
      </c>
      <c r="B177" s="211" t="s">
        <v>2718</v>
      </c>
      <c r="C177" s="211" t="n">
        <v>2018</v>
      </c>
      <c r="D177" s="225" t="n">
        <v>43410</v>
      </c>
      <c r="E177" s="213" t="s">
        <v>2719</v>
      </c>
      <c r="F177" s="213" t="s">
        <v>459</v>
      </c>
      <c r="G177" s="214" t="s">
        <v>1174</v>
      </c>
      <c r="H177" s="214" t="s">
        <v>1258</v>
      </c>
      <c r="I177" s="225" t="n">
        <v>45903</v>
      </c>
      <c r="J177" s="213" t="n">
        <v>9</v>
      </c>
      <c r="K177" s="213" t="s">
        <v>53</v>
      </c>
      <c r="L177" s="206" t="s">
        <v>58</v>
      </c>
      <c r="M177" s="213" t="n">
        <v>2493</v>
      </c>
    </row>
    <row r="178" customFormat="false" ht="12.75" hidden="false" customHeight="true" outlineLevel="0" collapsed="false">
      <c r="A178" s="203" t="s">
        <v>2720</v>
      </c>
      <c r="B178" s="193" t="s">
        <v>2721</v>
      </c>
      <c r="C178" s="193" t="n">
        <v>2021</v>
      </c>
      <c r="D178" s="259" t="n">
        <v>44453</v>
      </c>
      <c r="E178" s="205" t="s">
        <v>2722</v>
      </c>
      <c r="F178" s="206" t="s">
        <v>459</v>
      </c>
      <c r="G178" s="206" t="s">
        <v>1174</v>
      </c>
      <c r="H178" s="205" t="s">
        <v>1258</v>
      </c>
      <c r="I178" s="207" t="n">
        <v>45903</v>
      </c>
      <c r="J178" s="206" t="n">
        <v>9</v>
      </c>
      <c r="K178" s="206" t="s">
        <v>53</v>
      </c>
      <c r="L178" s="206" t="s">
        <v>58</v>
      </c>
      <c r="M178" s="206" t="n">
        <v>1450</v>
      </c>
    </row>
    <row r="179" customFormat="false" ht="15" hidden="false" customHeight="true" outlineLevel="0" collapsed="false">
      <c r="A179" s="210" t="s">
        <v>2723</v>
      </c>
      <c r="B179" s="211" t="s">
        <v>2724</v>
      </c>
      <c r="C179" s="211" t="n">
        <v>2017</v>
      </c>
      <c r="D179" s="260" t="n">
        <v>43062</v>
      </c>
      <c r="E179" s="213" t="s">
        <v>2725</v>
      </c>
      <c r="F179" s="213" t="s">
        <v>401</v>
      </c>
      <c r="G179" s="214" t="s">
        <v>1174</v>
      </c>
      <c r="H179" s="214" t="s">
        <v>192</v>
      </c>
      <c r="I179" s="225" t="n">
        <v>45903</v>
      </c>
      <c r="J179" s="213" t="n">
        <v>9</v>
      </c>
      <c r="K179" s="213" t="s">
        <v>53</v>
      </c>
      <c r="L179" s="206" t="s">
        <v>58</v>
      </c>
      <c r="M179" s="213" t="n">
        <v>2841</v>
      </c>
    </row>
    <row r="180" customFormat="false" ht="15" hidden="false" customHeight="true" outlineLevel="0" collapsed="false">
      <c r="A180" s="203" t="s">
        <v>2726</v>
      </c>
      <c r="B180" s="193" t="s">
        <v>2727</v>
      </c>
      <c r="C180" s="193" t="n">
        <v>2019</v>
      </c>
      <c r="D180" s="207" t="n">
        <v>43726</v>
      </c>
      <c r="E180" s="205" t="s">
        <v>2728</v>
      </c>
      <c r="F180" s="206" t="s">
        <v>459</v>
      </c>
      <c r="G180" s="206" t="s">
        <v>1174</v>
      </c>
      <c r="H180" s="205" t="s">
        <v>1059</v>
      </c>
      <c r="I180" s="207" t="n">
        <v>45903</v>
      </c>
      <c r="J180" s="206" t="n">
        <v>9</v>
      </c>
      <c r="K180" s="206" t="s">
        <v>53</v>
      </c>
      <c r="L180" s="206" t="s">
        <v>58</v>
      </c>
      <c r="M180" s="206" t="n">
        <v>2177</v>
      </c>
    </row>
    <row r="181" customFormat="false" ht="12.75" hidden="false" customHeight="true" outlineLevel="0" collapsed="false">
      <c r="A181" s="210" t="s">
        <v>2729</v>
      </c>
      <c r="B181" s="211" t="s">
        <v>2730</v>
      </c>
      <c r="C181" s="211" t="n">
        <v>2022</v>
      </c>
      <c r="D181" s="260" t="n">
        <v>44799</v>
      </c>
      <c r="E181" s="213" t="s">
        <v>2731</v>
      </c>
      <c r="F181" s="213" t="s">
        <v>509</v>
      </c>
      <c r="G181" s="214" t="s">
        <v>1174</v>
      </c>
      <c r="H181" s="214" t="s">
        <v>1571</v>
      </c>
      <c r="I181" s="225" t="n">
        <v>45903</v>
      </c>
      <c r="J181" s="213" t="n">
        <v>9</v>
      </c>
      <c r="K181" s="213" t="s">
        <v>53</v>
      </c>
      <c r="L181" s="206" t="s">
        <v>58</v>
      </c>
      <c r="M181" s="213" t="n">
        <v>1104</v>
      </c>
    </row>
    <row r="182" customFormat="false" ht="12.75" hidden="false" customHeight="true" outlineLevel="0" collapsed="false">
      <c r="A182" s="203" t="s">
        <v>2732</v>
      </c>
      <c r="B182" s="193" t="s">
        <v>2733</v>
      </c>
      <c r="C182" s="193" t="n">
        <v>2022</v>
      </c>
      <c r="D182" s="259" t="n">
        <v>44742</v>
      </c>
      <c r="E182" s="205" t="s">
        <v>2734</v>
      </c>
      <c r="F182" s="206" t="s">
        <v>509</v>
      </c>
      <c r="G182" s="206" t="s">
        <v>1174</v>
      </c>
      <c r="H182" s="205" t="s">
        <v>1740</v>
      </c>
      <c r="I182" s="207" t="n">
        <v>45903</v>
      </c>
      <c r="J182" s="206" t="n">
        <v>9</v>
      </c>
      <c r="K182" s="206" t="s">
        <v>53</v>
      </c>
      <c r="L182" s="206" t="s">
        <v>58</v>
      </c>
      <c r="M182" s="206" t="n">
        <v>1161</v>
      </c>
    </row>
    <row r="183" customFormat="false" ht="12.75" hidden="false" customHeight="true" outlineLevel="0" collapsed="false">
      <c r="A183" s="210" t="s">
        <v>2735</v>
      </c>
      <c r="B183" s="211" t="s">
        <v>2736</v>
      </c>
      <c r="C183" s="211" t="n">
        <v>2019</v>
      </c>
      <c r="D183" s="260" t="n">
        <v>43735</v>
      </c>
      <c r="E183" s="213" t="s">
        <v>2737</v>
      </c>
      <c r="F183" s="213" t="s">
        <v>509</v>
      </c>
      <c r="G183" s="214" t="s">
        <v>1174</v>
      </c>
      <c r="H183" s="214" t="s">
        <v>192</v>
      </c>
      <c r="I183" s="225" t="n">
        <v>45903</v>
      </c>
      <c r="J183" s="213" t="n">
        <v>9</v>
      </c>
      <c r="K183" s="213" t="s">
        <v>53</v>
      </c>
      <c r="L183" s="206" t="s">
        <v>58</v>
      </c>
      <c r="M183" s="213" t="n">
        <v>2168</v>
      </c>
    </row>
    <row r="184" customFormat="false" ht="12.75" hidden="false" customHeight="true" outlineLevel="0" collapsed="false">
      <c r="A184" s="203" t="s">
        <v>2738</v>
      </c>
      <c r="B184" s="193" t="s">
        <v>2739</v>
      </c>
      <c r="C184" s="193" t="n">
        <v>2020</v>
      </c>
      <c r="D184" s="259" t="n">
        <v>43844</v>
      </c>
      <c r="E184" s="205" t="s">
        <v>2740</v>
      </c>
      <c r="F184" s="206" t="s">
        <v>509</v>
      </c>
      <c r="G184" s="206" t="s">
        <v>1174</v>
      </c>
      <c r="H184" s="205" t="s">
        <v>184</v>
      </c>
      <c r="I184" s="207" t="n">
        <v>45903</v>
      </c>
      <c r="J184" s="206" t="n">
        <v>9</v>
      </c>
      <c r="K184" s="206" t="s">
        <v>53</v>
      </c>
      <c r="L184" s="206" t="s">
        <v>58</v>
      </c>
      <c r="M184" s="206" t="n">
        <v>2059</v>
      </c>
    </row>
    <row r="185" customFormat="false" ht="12.75" hidden="false" customHeight="true" outlineLevel="0" collapsed="false">
      <c r="A185" s="210" t="s">
        <v>2741</v>
      </c>
      <c r="B185" s="211" t="s">
        <v>2742</v>
      </c>
      <c r="C185" s="211" t="n">
        <v>2021</v>
      </c>
      <c r="D185" s="260" t="n">
        <v>44252</v>
      </c>
      <c r="E185" s="213" t="s">
        <v>2743</v>
      </c>
      <c r="F185" s="213" t="s">
        <v>509</v>
      </c>
      <c r="G185" s="214" t="s">
        <v>1174</v>
      </c>
      <c r="H185" s="214" t="s">
        <v>2744</v>
      </c>
      <c r="I185" s="225" t="n">
        <v>45904</v>
      </c>
      <c r="J185" s="213" t="n">
        <v>9</v>
      </c>
      <c r="K185" s="213" t="s">
        <v>53</v>
      </c>
      <c r="L185" s="206" t="s">
        <v>58</v>
      </c>
      <c r="M185" s="213" t="n">
        <v>1652</v>
      </c>
    </row>
    <row r="186" customFormat="false" ht="12.75" hidden="false" customHeight="true" outlineLevel="0" collapsed="false">
      <c r="A186" s="203" t="s">
        <v>2745</v>
      </c>
      <c r="B186" s="193" t="s">
        <v>2746</v>
      </c>
      <c r="C186" s="193" t="n">
        <v>2017</v>
      </c>
      <c r="D186" s="259" t="n">
        <v>43076</v>
      </c>
      <c r="E186" s="205" t="s">
        <v>2747</v>
      </c>
      <c r="F186" s="206" t="s">
        <v>689</v>
      </c>
      <c r="G186" s="206" t="s">
        <v>1174</v>
      </c>
      <c r="H186" s="205" t="s">
        <v>2172</v>
      </c>
      <c r="I186" s="207" t="n">
        <v>45904</v>
      </c>
      <c r="J186" s="206" t="n">
        <v>9</v>
      </c>
      <c r="K186" s="206" t="s">
        <v>53</v>
      </c>
      <c r="L186" s="151" t="s">
        <v>60</v>
      </c>
      <c r="M186" s="206" t="n">
        <v>2828</v>
      </c>
    </row>
    <row r="187" customFormat="false" ht="15.75" hidden="false" customHeight="true" outlineLevel="0" collapsed="false">
      <c r="A187" s="210" t="s">
        <v>2748</v>
      </c>
      <c r="B187" s="211" t="s">
        <v>2749</v>
      </c>
      <c r="C187" s="211" t="n">
        <v>2022</v>
      </c>
      <c r="D187" s="260" t="n">
        <v>44649</v>
      </c>
      <c r="E187" s="213" t="s">
        <v>2750</v>
      </c>
      <c r="F187" s="213" t="s">
        <v>668</v>
      </c>
      <c r="G187" s="214" t="s">
        <v>1174</v>
      </c>
      <c r="H187" s="214" t="s">
        <v>2654</v>
      </c>
      <c r="I187" s="225" t="n">
        <v>45904</v>
      </c>
      <c r="J187" s="213" t="n">
        <v>9</v>
      </c>
      <c r="K187" s="213" t="s">
        <v>53</v>
      </c>
      <c r="L187" s="206" t="s">
        <v>58</v>
      </c>
      <c r="M187" s="213" t="n">
        <v>1255</v>
      </c>
    </row>
    <row r="188" customFormat="false" ht="12.75" hidden="false" customHeight="true" outlineLevel="0" collapsed="false">
      <c r="A188" s="203" t="s">
        <v>2751</v>
      </c>
      <c r="B188" s="193" t="s">
        <v>2752</v>
      </c>
      <c r="C188" s="193" t="n">
        <v>2023</v>
      </c>
      <c r="D188" s="259" t="n">
        <v>45279</v>
      </c>
      <c r="E188" s="205" t="s">
        <v>2753</v>
      </c>
      <c r="F188" s="206" t="s">
        <v>668</v>
      </c>
      <c r="G188" s="206" t="s">
        <v>1174</v>
      </c>
      <c r="H188" s="205" t="s">
        <v>1223</v>
      </c>
      <c r="I188" s="207" t="n">
        <v>45904</v>
      </c>
      <c r="J188" s="206" t="n">
        <v>9</v>
      </c>
      <c r="K188" s="206" t="s">
        <v>53</v>
      </c>
      <c r="L188" s="206" t="s">
        <v>58</v>
      </c>
      <c r="M188" s="206" t="n">
        <v>625</v>
      </c>
    </row>
    <row r="189" customFormat="false" ht="12.75" hidden="false" customHeight="true" outlineLevel="0" collapsed="false">
      <c r="A189" s="210" t="s">
        <v>2754</v>
      </c>
      <c r="B189" s="211" t="s">
        <v>2755</v>
      </c>
      <c r="C189" s="211" t="n">
        <v>2022</v>
      </c>
      <c r="D189" s="260" t="n">
        <v>44644</v>
      </c>
      <c r="E189" s="213" t="s">
        <v>2756</v>
      </c>
      <c r="F189" s="213" t="s">
        <v>211</v>
      </c>
      <c r="G189" s="214" t="s">
        <v>1174</v>
      </c>
      <c r="H189" s="214" t="s">
        <v>522</v>
      </c>
      <c r="I189" s="221" t="n">
        <v>45904</v>
      </c>
      <c r="J189" s="213" t="n">
        <v>9</v>
      </c>
      <c r="K189" s="213" t="s">
        <v>53</v>
      </c>
      <c r="L189" s="206" t="s">
        <v>58</v>
      </c>
      <c r="M189" s="213" t="n">
        <v>1260</v>
      </c>
    </row>
    <row r="190" customFormat="false" ht="12.75" hidden="false" customHeight="true" outlineLevel="0" collapsed="false">
      <c r="A190" s="203" t="s">
        <v>2757</v>
      </c>
      <c r="B190" s="193" t="s">
        <v>2758</v>
      </c>
      <c r="C190" s="193" t="n">
        <v>2021</v>
      </c>
      <c r="D190" s="259" t="n">
        <v>44536</v>
      </c>
      <c r="E190" s="205" t="s">
        <v>2759</v>
      </c>
      <c r="F190" s="206" t="s">
        <v>823</v>
      </c>
      <c r="G190" s="206" t="s">
        <v>1174</v>
      </c>
      <c r="H190" s="205" t="s">
        <v>1231</v>
      </c>
      <c r="I190" s="218" t="n">
        <v>45904</v>
      </c>
      <c r="J190" s="206" t="n">
        <v>9</v>
      </c>
      <c r="K190" s="206" t="s">
        <v>53</v>
      </c>
      <c r="L190" s="206" t="s">
        <v>58</v>
      </c>
      <c r="M190" s="206" t="n">
        <v>1368</v>
      </c>
    </row>
    <row r="191" customFormat="false" ht="12.75" hidden="false" customHeight="true" outlineLevel="0" collapsed="false">
      <c r="A191" s="210" t="s">
        <v>2760</v>
      </c>
      <c r="B191" s="211" t="s">
        <v>2761</v>
      </c>
      <c r="C191" s="211" t="n">
        <v>2018</v>
      </c>
      <c r="D191" s="260" t="n">
        <v>43461</v>
      </c>
      <c r="E191" s="213" t="s">
        <v>2762</v>
      </c>
      <c r="F191" s="213" t="s">
        <v>138</v>
      </c>
      <c r="G191" s="251" t="s">
        <v>1174</v>
      </c>
      <c r="H191" s="214" t="s">
        <v>109</v>
      </c>
      <c r="I191" s="221" t="n">
        <v>45904</v>
      </c>
      <c r="J191" s="213" t="n">
        <v>9</v>
      </c>
      <c r="K191" s="213" t="s">
        <v>53</v>
      </c>
      <c r="L191" s="151" t="s">
        <v>60</v>
      </c>
      <c r="M191" s="213" t="n">
        <v>2443</v>
      </c>
    </row>
    <row r="192" customFormat="false" ht="12.75" hidden="false" customHeight="true" outlineLevel="0" collapsed="false">
      <c r="A192" s="203" t="s">
        <v>2763</v>
      </c>
      <c r="B192" s="193" t="s">
        <v>2764</v>
      </c>
      <c r="C192" s="193" t="n">
        <v>2022</v>
      </c>
      <c r="D192" s="259" t="n">
        <v>44599</v>
      </c>
      <c r="E192" s="205" t="s">
        <v>2765</v>
      </c>
      <c r="F192" s="206" t="s">
        <v>459</v>
      </c>
      <c r="G192" s="206" t="s">
        <v>1174</v>
      </c>
      <c r="H192" s="205" t="s">
        <v>1571</v>
      </c>
      <c r="I192" s="218" t="n">
        <v>45904</v>
      </c>
      <c r="J192" s="206" t="n">
        <v>9</v>
      </c>
      <c r="K192" s="206" t="s">
        <v>53</v>
      </c>
      <c r="L192" s="206" t="s">
        <v>58</v>
      </c>
      <c r="M192" s="206" t="n">
        <v>1305</v>
      </c>
    </row>
    <row r="193" customFormat="false" ht="15" hidden="false" customHeight="true" outlineLevel="0" collapsed="false">
      <c r="A193" s="210" t="s">
        <v>2766</v>
      </c>
      <c r="B193" s="193" t="s">
        <v>2767</v>
      </c>
      <c r="C193" s="211" t="n">
        <v>2023</v>
      </c>
      <c r="D193" s="260" t="n">
        <v>44953</v>
      </c>
      <c r="E193" s="213" t="s">
        <v>2768</v>
      </c>
      <c r="F193" s="206" t="s">
        <v>2769</v>
      </c>
      <c r="G193" s="206" t="s">
        <v>1174</v>
      </c>
      <c r="H193" s="214" t="s">
        <v>573</v>
      </c>
      <c r="I193" s="218" t="n">
        <v>45904</v>
      </c>
      <c r="J193" s="213" t="n">
        <v>9</v>
      </c>
      <c r="K193" s="213" t="s">
        <v>53</v>
      </c>
      <c r="L193" s="206" t="s">
        <v>58</v>
      </c>
      <c r="M193" s="213" t="n">
        <v>951</v>
      </c>
    </row>
    <row r="194" customFormat="false" ht="12.75" hidden="false" customHeight="true" outlineLevel="0" collapsed="false">
      <c r="A194" s="203" t="s">
        <v>2770</v>
      </c>
      <c r="B194" s="193" t="s">
        <v>2771</v>
      </c>
      <c r="C194" s="193" t="n">
        <v>2022</v>
      </c>
      <c r="D194" s="259" t="n">
        <v>44778</v>
      </c>
      <c r="E194" s="205" t="s">
        <v>2772</v>
      </c>
      <c r="F194" s="206" t="s">
        <v>459</v>
      </c>
      <c r="G194" s="206" t="s">
        <v>1174</v>
      </c>
      <c r="H194" s="205" t="s">
        <v>573</v>
      </c>
      <c r="I194" s="218" t="n">
        <v>45904</v>
      </c>
      <c r="J194" s="206" t="n">
        <v>9</v>
      </c>
      <c r="K194" s="206" t="s">
        <v>53</v>
      </c>
      <c r="L194" s="206" t="s">
        <v>58</v>
      </c>
      <c r="M194" s="206" t="n">
        <v>1126</v>
      </c>
    </row>
    <row r="195" customFormat="false" ht="12.75" hidden="false" customHeight="true" outlineLevel="0" collapsed="false">
      <c r="A195" s="203" t="s">
        <v>2773</v>
      </c>
      <c r="B195" s="211" t="s">
        <v>2774</v>
      </c>
      <c r="C195" s="211" t="n">
        <v>2021</v>
      </c>
      <c r="D195" s="260" t="n">
        <v>44273</v>
      </c>
      <c r="E195" s="213" t="s">
        <v>2775</v>
      </c>
      <c r="F195" s="213" t="s">
        <v>790</v>
      </c>
      <c r="G195" s="214" t="s">
        <v>1174</v>
      </c>
      <c r="H195" s="214" t="s">
        <v>1740</v>
      </c>
      <c r="I195" s="221" t="n">
        <v>45904</v>
      </c>
      <c r="J195" s="213" t="n">
        <v>9</v>
      </c>
      <c r="K195" s="206" t="s">
        <v>53</v>
      </c>
      <c r="L195" s="206" t="s">
        <v>58</v>
      </c>
      <c r="M195" s="213" t="n">
        <v>1631</v>
      </c>
    </row>
    <row r="196" customFormat="false" ht="12.75" hidden="false" customHeight="true" outlineLevel="0" collapsed="false">
      <c r="A196" s="203" t="s">
        <v>2776</v>
      </c>
      <c r="B196" s="193" t="s">
        <v>2777</v>
      </c>
      <c r="C196" s="193" t="n">
        <v>2022</v>
      </c>
      <c r="D196" s="259" t="n">
        <v>44594</v>
      </c>
      <c r="E196" s="205" t="s">
        <v>2778</v>
      </c>
      <c r="F196" s="206" t="s">
        <v>1490</v>
      </c>
      <c r="G196" s="206" t="s">
        <v>1174</v>
      </c>
      <c r="H196" s="205" t="s">
        <v>1258</v>
      </c>
      <c r="I196" s="218" t="n">
        <v>45904</v>
      </c>
      <c r="J196" s="206" t="n">
        <v>9</v>
      </c>
      <c r="K196" s="206" t="s">
        <v>53</v>
      </c>
      <c r="L196" s="206" t="s">
        <v>58</v>
      </c>
      <c r="M196" s="206" t="n">
        <v>1310</v>
      </c>
    </row>
    <row r="197" customFormat="false" ht="12.75" hidden="false" customHeight="true" outlineLevel="0" collapsed="false">
      <c r="A197" s="210" t="s">
        <v>2779</v>
      </c>
      <c r="B197" s="211" t="s">
        <v>2780</v>
      </c>
      <c r="C197" s="211" t="n">
        <v>2019</v>
      </c>
      <c r="D197" s="260" t="n">
        <v>43501</v>
      </c>
      <c r="E197" s="213" t="s">
        <v>2781</v>
      </c>
      <c r="F197" s="213" t="s">
        <v>138</v>
      </c>
      <c r="G197" s="214" t="s">
        <v>1174</v>
      </c>
      <c r="H197" s="214" t="s">
        <v>267</v>
      </c>
      <c r="I197" s="221" t="n">
        <v>45904</v>
      </c>
      <c r="J197" s="213" t="n">
        <v>9</v>
      </c>
      <c r="K197" s="206" t="s">
        <v>53</v>
      </c>
      <c r="L197" s="151" t="s">
        <v>60</v>
      </c>
      <c r="M197" s="213" t="n">
        <v>2403</v>
      </c>
    </row>
    <row r="198" customFormat="false" ht="12.75" hidden="false" customHeight="true" outlineLevel="0" collapsed="false">
      <c r="A198" s="203" t="s">
        <v>2782</v>
      </c>
      <c r="B198" s="193" t="s">
        <v>2783</v>
      </c>
      <c r="C198" s="193" t="n">
        <v>2018</v>
      </c>
      <c r="D198" s="259" t="n">
        <v>43244</v>
      </c>
      <c r="E198" s="205" t="s">
        <v>2784</v>
      </c>
      <c r="F198" s="206" t="s">
        <v>606</v>
      </c>
      <c r="G198" s="206" t="s">
        <v>1174</v>
      </c>
      <c r="H198" s="205" t="s">
        <v>1231</v>
      </c>
      <c r="I198" s="218" t="n">
        <v>45904</v>
      </c>
      <c r="J198" s="206" t="n">
        <v>9</v>
      </c>
      <c r="K198" s="206" t="s">
        <v>53</v>
      </c>
      <c r="L198" s="151" t="s">
        <v>60</v>
      </c>
      <c r="M198" s="206" t="n">
        <v>2660</v>
      </c>
    </row>
    <row r="199" customFormat="false" ht="15.75" hidden="false" customHeight="true" outlineLevel="0" collapsed="false">
      <c r="A199" s="210" t="s">
        <v>2785</v>
      </c>
      <c r="B199" s="211" t="s">
        <v>2786</v>
      </c>
      <c r="C199" s="211" t="n">
        <v>2020</v>
      </c>
      <c r="D199" s="260" t="n">
        <v>44070</v>
      </c>
      <c r="E199" s="213" t="s">
        <v>2787</v>
      </c>
      <c r="F199" s="213" t="s">
        <v>2292</v>
      </c>
      <c r="G199" s="214" t="s">
        <v>1174</v>
      </c>
      <c r="H199" s="214" t="s">
        <v>544</v>
      </c>
      <c r="I199" s="221" t="n">
        <v>45904</v>
      </c>
      <c r="J199" s="213" t="n">
        <v>9</v>
      </c>
      <c r="K199" s="206" t="s">
        <v>53</v>
      </c>
      <c r="L199" s="151" t="s">
        <v>60</v>
      </c>
      <c r="M199" s="213" t="n">
        <v>1834</v>
      </c>
    </row>
    <row r="200" customFormat="false" ht="12.75" hidden="false" customHeight="true" outlineLevel="0" collapsed="false">
      <c r="A200" s="203" t="s">
        <v>2788</v>
      </c>
      <c r="B200" s="193" t="s">
        <v>2789</v>
      </c>
      <c r="C200" s="193" t="n">
        <v>2020</v>
      </c>
      <c r="D200" s="259" t="n">
        <v>44124</v>
      </c>
      <c r="E200" s="205" t="s">
        <v>2790</v>
      </c>
      <c r="F200" s="206" t="s">
        <v>128</v>
      </c>
      <c r="G200" s="206" t="s">
        <v>1174</v>
      </c>
      <c r="H200" s="205" t="s">
        <v>544</v>
      </c>
      <c r="I200" s="218" t="n">
        <v>45905</v>
      </c>
      <c r="J200" s="206" t="n">
        <v>9</v>
      </c>
      <c r="K200" s="206" t="s">
        <v>53</v>
      </c>
      <c r="L200" s="206" t="s">
        <v>58</v>
      </c>
      <c r="M200" s="206" t="n">
        <v>1781</v>
      </c>
    </row>
    <row r="201" customFormat="false" ht="15.75" hidden="false" customHeight="true" outlineLevel="0" collapsed="false">
      <c r="A201" s="139" t="s">
        <v>2791</v>
      </c>
      <c r="B201" s="140" t="s">
        <v>2792</v>
      </c>
      <c r="C201" s="115" t="n">
        <v>2023</v>
      </c>
      <c r="D201" s="403" t="n">
        <v>44995</v>
      </c>
      <c r="E201" s="66" t="s">
        <v>2793</v>
      </c>
      <c r="F201" s="142" t="s">
        <v>509</v>
      </c>
      <c r="G201" s="66" t="s">
        <v>1174</v>
      </c>
      <c r="H201" s="142" t="s">
        <v>1223</v>
      </c>
      <c r="I201" s="403" t="n">
        <v>45905</v>
      </c>
      <c r="J201" s="66" t="n">
        <v>9</v>
      </c>
      <c r="K201" s="71" t="s">
        <v>53</v>
      </c>
      <c r="L201" s="206" t="s">
        <v>58</v>
      </c>
      <c r="M201" s="145" t="n">
        <v>910</v>
      </c>
    </row>
    <row r="202" customFormat="false" ht="12.75" hidden="false" customHeight="true" outlineLevel="0" collapsed="false">
      <c r="A202" s="148" t="s">
        <v>2794</v>
      </c>
      <c r="B202" s="149" t="s">
        <v>2795</v>
      </c>
      <c r="C202" s="119" t="n">
        <v>2021</v>
      </c>
      <c r="D202" s="404" t="n">
        <v>44341</v>
      </c>
      <c r="E202" s="68" t="s">
        <v>2796</v>
      </c>
      <c r="F202" s="151" t="s">
        <v>509</v>
      </c>
      <c r="G202" s="68" t="s">
        <v>1174</v>
      </c>
      <c r="H202" s="151" t="s">
        <v>192</v>
      </c>
      <c r="I202" s="404" t="n">
        <v>45905</v>
      </c>
      <c r="J202" s="68" t="n">
        <v>9</v>
      </c>
      <c r="K202" s="71" t="s">
        <v>53</v>
      </c>
      <c r="L202" s="206" t="s">
        <v>58</v>
      </c>
      <c r="M202" s="152" t="n">
        <v>1564</v>
      </c>
    </row>
    <row r="203" customFormat="false" ht="14.25" hidden="false" customHeight="true" outlineLevel="0" collapsed="false">
      <c r="A203" s="139" t="s">
        <v>2797</v>
      </c>
      <c r="B203" s="144" t="s">
        <v>2798</v>
      </c>
      <c r="C203" s="115" t="n">
        <v>2022</v>
      </c>
      <c r="D203" s="403" t="n">
        <v>44875</v>
      </c>
      <c r="E203" s="66" t="s">
        <v>2799</v>
      </c>
      <c r="F203" s="142" t="s">
        <v>1987</v>
      </c>
      <c r="G203" s="144" t="s">
        <v>1174</v>
      </c>
      <c r="H203" s="144" t="s">
        <v>2800</v>
      </c>
      <c r="I203" s="403" t="n">
        <v>45905</v>
      </c>
      <c r="J203" s="66" t="n">
        <v>9</v>
      </c>
      <c r="K203" s="71" t="s">
        <v>53</v>
      </c>
      <c r="L203" s="206" t="s">
        <v>58</v>
      </c>
      <c r="M203" s="145" t="n">
        <v>1030</v>
      </c>
    </row>
    <row r="204" customFormat="false" ht="12.75" hidden="false" customHeight="true" outlineLevel="0" collapsed="false">
      <c r="A204" s="148" t="s">
        <v>2801</v>
      </c>
      <c r="B204" s="405" t="s">
        <v>2802</v>
      </c>
      <c r="C204" s="119" t="n">
        <v>2019</v>
      </c>
      <c r="D204" s="404" t="n">
        <v>43644</v>
      </c>
      <c r="E204" s="68" t="s">
        <v>2803</v>
      </c>
      <c r="F204" s="151" t="s">
        <v>780</v>
      </c>
      <c r="G204" s="405" t="s">
        <v>1174</v>
      </c>
      <c r="H204" s="405" t="s">
        <v>1059</v>
      </c>
      <c r="I204" s="404" t="n">
        <v>45905</v>
      </c>
      <c r="J204" s="68" t="n">
        <v>9</v>
      </c>
      <c r="K204" s="406" t="s">
        <v>53</v>
      </c>
      <c r="L204" s="151" t="s">
        <v>60</v>
      </c>
      <c r="M204" s="152" t="n">
        <v>2261</v>
      </c>
    </row>
    <row r="205" customFormat="false" ht="12.75" hidden="false" customHeight="true" outlineLevel="0" collapsed="false">
      <c r="A205" s="139" t="s">
        <v>2804</v>
      </c>
      <c r="B205" s="144" t="s">
        <v>2805</v>
      </c>
      <c r="C205" s="115" t="n">
        <v>2023</v>
      </c>
      <c r="D205" s="403" t="n">
        <v>45202</v>
      </c>
      <c r="E205" s="66" t="s">
        <v>2806</v>
      </c>
      <c r="F205" s="142" t="s">
        <v>333</v>
      </c>
      <c r="G205" s="144" t="s">
        <v>1174</v>
      </c>
      <c r="H205" s="144" t="s">
        <v>2807</v>
      </c>
      <c r="I205" s="403" t="n">
        <v>45916</v>
      </c>
      <c r="J205" s="66" t="n">
        <v>9</v>
      </c>
      <c r="K205" s="71" t="s">
        <v>53</v>
      </c>
      <c r="L205" s="151" t="s">
        <v>60</v>
      </c>
      <c r="M205" s="145" t="n">
        <v>714</v>
      </c>
    </row>
    <row r="206" customFormat="false" ht="12.75" hidden="false" customHeight="true" outlineLevel="0" collapsed="false">
      <c r="A206" s="148" t="s">
        <v>2808</v>
      </c>
      <c r="B206" s="405" t="s">
        <v>2809</v>
      </c>
      <c r="C206" s="119" t="n">
        <v>2013</v>
      </c>
      <c r="D206" s="404" t="n">
        <v>41407</v>
      </c>
      <c r="E206" s="68" t="s">
        <v>2810</v>
      </c>
      <c r="F206" s="151" t="s">
        <v>333</v>
      </c>
      <c r="G206" s="405" t="s">
        <v>1174</v>
      </c>
      <c r="H206" s="405" t="s">
        <v>2811</v>
      </c>
      <c r="I206" s="404" t="n">
        <v>45916</v>
      </c>
      <c r="J206" s="68" t="n">
        <v>9</v>
      </c>
      <c r="K206" s="71" t="s">
        <v>53</v>
      </c>
      <c r="L206" s="151" t="s">
        <v>60</v>
      </c>
      <c r="M206" s="152" t="n">
        <v>4509</v>
      </c>
    </row>
    <row r="207" customFormat="false" ht="12.75" hidden="false" customHeight="true" outlineLevel="0" collapsed="false">
      <c r="A207" s="139" t="s">
        <v>2812</v>
      </c>
      <c r="B207" s="144" t="s">
        <v>2813</v>
      </c>
      <c r="C207" s="115" t="n">
        <v>2020</v>
      </c>
      <c r="D207" s="403" t="n">
        <v>44173</v>
      </c>
      <c r="E207" s="66" t="s">
        <v>2814</v>
      </c>
      <c r="F207" s="142" t="s">
        <v>1243</v>
      </c>
      <c r="G207" s="144" t="s">
        <v>1174</v>
      </c>
      <c r="H207" s="144" t="s">
        <v>267</v>
      </c>
      <c r="I207" s="403" t="n">
        <v>45926</v>
      </c>
      <c r="J207" s="66" t="n">
        <v>9</v>
      </c>
      <c r="K207" s="71" t="s">
        <v>53</v>
      </c>
      <c r="L207" s="151" t="s">
        <v>60</v>
      </c>
      <c r="M207" s="145" t="n">
        <v>1753</v>
      </c>
    </row>
    <row r="208" customFormat="false" ht="12.75" hidden="false" customHeight="true" outlineLevel="0" collapsed="false">
      <c r="A208" s="148" t="s">
        <v>2815</v>
      </c>
      <c r="B208" s="405" t="s">
        <v>2816</v>
      </c>
      <c r="C208" s="119" t="n">
        <v>2019</v>
      </c>
      <c r="D208" s="404" t="n">
        <v>43714</v>
      </c>
      <c r="E208" s="68" t="s">
        <v>2817</v>
      </c>
      <c r="F208" s="151" t="s">
        <v>157</v>
      </c>
      <c r="G208" s="405" t="s">
        <v>1174</v>
      </c>
      <c r="H208" s="405" t="s">
        <v>1059</v>
      </c>
      <c r="I208" s="404" t="n">
        <v>45926</v>
      </c>
      <c r="J208" s="68" t="n">
        <v>9</v>
      </c>
      <c r="K208" s="71" t="s">
        <v>53</v>
      </c>
      <c r="L208" s="206" t="s">
        <v>58</v>
      </c>
      <c r="M208" s="152" t="n">
        <v>2212</v>
      </c>
    </row>
    <row r="209" customFormat="false" ht="12.75" hidden="false" customHeight="true" outlineLevel="0" collapsed="false">
      <c r="A209" s="139" t="s">
        <v>2818</v>
      </c>
      <c r="B209" s="144" t="s">
        <v>2819</v>
      </c>
      <c r="C209" s="115" t="n">
        <v>2018</v>
      </c>
      <c r="D209" s="403" t="n">
        <v>43329</v>
      </c>
      <c r="E209" s="66" t="s">
        <v>2820</v>
      </c>
      <c r="F209" s="142" t="s">
        <v>157</v>
      </c>
      <c r="G209" s="144" t="s">
        <v>1174</v>
      </c>
      <c r="H209" s="144" t="s">
        <v>1244</v>
      </c>
      <c r="I209" s="403" t="n">
        <v>45926</v>
      </c>
      <c r="J209" s="66" t="n">
        <v>9</v>
      </c>
      <c r="K209" s="71" t="s">
        <v>53</v>
      </c>
      <c r="L209" s="206" t="s">
        <v>58</v>
      </c>
      <c r="M209" s="145" t="n">
        <v>2597</v>
      </c>
    </row>
    <row r="210" customFormat="false" ht="12.75" hidden="false" customHeight="true" outlineLevel="0" collapsed="false">
      <c r="A210" s="148" t="s">
        <v>2821</v>
      </c>
      <c r="B210" s="405" t="s">
        <v>2822</v>
      </c>
      <c r="C210" s="119" t="n">
        <v>2018</v>
      </c>
      <c r="D210" s="404" t="n">
        <v>43453</v>
      </c>
      <c r="E210" s="68" t="s">
        <v>2823</v>
      </c>
      <c r="F210" s="151" t="s">
        <v>1316</v>
      </c>
      <c r="G210" s="405" t="s">
        <v>1174</v>
      </c>
      <c r="H210" s="405" t="s">
        <v>267</v>
      </c>
      <c r="I210" s="404" t="n">
        <v>45926</v>
      </c>
      <c r="J210" s="68" t="n">
        <v>9</v>
      </c>
      <c r="K210" s="71" t="s">
        <v>53</v>
      </c>
      <c r="L210" s="206" t="s">
        <v>58</v>
      </c>
      <c r="M210" s="152" t="n">
        <v>2473</v>
      </c>
    </row>
    <row r="211" customFormat="false" ht="12.75" hidden="false" customHeight="true" outlineLevel="0" collapsed="false">
      <c r="A211" s="139" t="s">
        <v>2824</v>
      </c>
      <c r="B211" s="144" t="s">
        <v>2825</v>
      </c>
      <c r="C211" s="115" t="n">
        <v>2021</v>
      </c>
      <c r="D211" s="403" t="n">
        <v>44526</v>
      </c>
      <c r="E211" s="66" t="s">
        <v>2826</v>
      </c>
      <c r="F211" s="142" t="s">
        <v>382</v>
      </c>
      <c r="G211" s="144" t="s">
        <v>1174</v>
      </c>
      <c r="H211" s="144" t="s">
        <v>2176</v>
      </c>
      <c r="I211" s="403" t="n">
        <v>45926</v>
      </c>
      <c r="J211" s="66" t="n">
        <v>9</v>
      </c>
      <c r="K211" s="71" t="s">
        <v>53</v>
      </c>
      <c r="L211" s="151" t="s">
        <v>60</v>
      </c>
      <c r="M211" s="145" t="n">
        <v>1400</v>
      </c>
    </row>
    <row r="212" customFormat="false" ht="12.75" hidden="false" customHeight="true" outlineLevel="0" collapsed="false">
      <c r="A212" s="148" t="s">
        <v>2827</v>
      </c>
      <c r="B212" s="405" t="s">
        <v>2828</v>
      </c>
      <c r="C212" s="119" t="n">
        <v>2017</v>
      </c>
      <c r="D212" s="404" t="n">
        <v>42964</v>
      </c>
      <c r="E212" s="68" t="s">
        <v>2829</v>
      </c>
      <c r="F212" s="151" t="s">
        <v>1373</v>
      </c>
      <c r="G212" s="405" t="s">
        <v>1174</v>
      </c>
      <c r="H212" s="405" t="s">
        <v>310</v>
      </c>
      <c r="I212" s="404" t="n">
        <v>45926</v>
      </c>
      <c r="J212" s="68" t="n">
        <v>9</v>
      </c>
      <c r="K212" s="71" t="s">
        <v>53</v>
      </c>
      <c r="L212" s="151" t="s">
        <v>60</v>
      </c>
      <c r="M212" s="152" t="n">
        <v>2962</v>
      </c>
    </row>
    <row r="213" customFormat="false" ht="12.75" hidden="false" customHeight="true" outlineLevel="0" collapsed="false">
      <c r="A213" s="139" t="s">
        <v>2830</v>
      </c>
      <c r="B213" s="144" t="s">
        <v>2831</v>
      </c>
      <c r="C213" s="115" t="n">
        <v>2017</v>
      </c>
      <c r="D213" s="403" t="n">
        <v>42976</v>
      </c>
      <c r="E213" s="66" t="s">
        <v>2832</v>
      </c>
      <c r="F213" s="142" t="s">
        <v>123</v>
      </c>
      <c r="G213" s="144" t="s">
        <v>1174</v>
      </c>
      <c r="H213" s="144" t="s">
        <v>310</v>
      </c>
      <c r="I213" s="403" t="n">
        <v>45926</v>
      </c>
      <c r="J213" s="66" t="n">
        <v>9</v>
      </c>
      <c r="K213" s="71" t="s">
        <v>53</v>
      </c>
      <c r="L213" s="206" t="s">
        <v>58</v>
      </c>
      <c r="M213" s="145" t="n">
        <v>2950</v>
      </c>
    </row>
    <row r="214" customFormat="false" ht="12.75" hidden="false" customHeight="true" outlineLevel="0" collapsed="false">
      <c r="A214" s="148" t="s">
        <v>2833</v>
      </c>
      <c r="B214" s="405" t="s">
        <v>2834</v>
      </c>
      <c r="C214" s="119" t="n">
        <v>2016</v>
      </c>
      <c r="D214" s="404" t="n">
        <v>42663</v>
      </c>
      <c r="E214" s="68" t="s">
        <v>2835</v>
      </c>
      <c r="F214" s="151" t="s">
        <v>128</v>
      </c>
      <c r="G214" s="405" t="s">
        <v>1174</v>
      </c>
      <c r="H214" s="405" t="s">
        <v>522</v>
      </c>
      <c r="I214" s="404" t="n">
        <v>45926</v>
      </c>
      <c r="J214" s="68" t="n">
        <v>9</v>
      </c>
      <c r="K214" s="71" t="s">
        <v>53</v>
      </c>
      <c r="L214" s="206" t="s">
        <v>58</v>
      </c>
      <c r="M214" s="152" t="n">
        <v>3263</v>
      </c>
    </row>
    <row r="215" customFormat="false" ht="12.75" hidden="false" customHeight="true" outlineLevel="0" collapsed="false">
      <c r="A215" s="139" t="s">
        <v>2836</v>
      </c>
      <c r="B215" s="144" t="s">
        <v>2837</v>
      </c>
      <c r="C215" s="115" t="n">
        <v>2020</v>
      </c>
      <c r="D215" s="403" t="n">
        <v>44043</v>
      </c>
      <c r="E215" s="66" t="s">
        <v>2838</v>
      </c>
      <c r="F215" s="142" t="s">
        <v>333</v>
      </c>
      <c r="G215" s="144" t="s">
        <v>1174</v>
      </c>
      <c r="H215" s="144" t="s">
        <v>522</v>
      </c>
      <c r="I215" s="403" t="n">
        <v>45926</v>
      </c>
      <c r="J215" s="66" t="n">
        <v>9</v>
      </c>
      <c r="K215" s="71" t="s">
        <v>53</v>
      </c>
      <c r="L215" s="151" t="s">
        <v>60</v>
      </c>
      <c r="M215" s="145" t="n">
        <v>1883</v>
      </c>
    </row>
    <row r="216" customFormat="false" ht="12.75" hidden="false" customHeight="true" outlineLevel="0" collapsed="false">
      <c r="A216" s="148" t="s">
        <v>2839</v>
      </c>
      <c r="B216" s="405" t="s">
        <v>2840</v>
      </c>
      <c r="C216" s="119" t="n">
        <v>2018</v>
      </c>
      <c r="D216" s="404" t="n">
        <v>43238</v>
      </c>
      <c r="E216" s="68" t="s">
        <v>2841</v>
      </c>
      <c r="F216" s="151" t="s">
        <v>1068</v>
      </c>
      <c r="G216" s="405" t="s">
        <v>1174</v>
      </c>
      <c r="H216" s="405" t="s">
        <v>522</v>
      </c>
      <c r="I216" s="404" t="n">
        <v>45926</v>
      </c>
      <c r="J216" s="68" t="n">
        <v>9</v>
      </c>
      <c r="K216" s="71" t="s">
        <v>53</v>
      </c>
      <c r="L216" s="151" t="s">
        <v>60</v>
      </c>
      <c r="M216" s="152" t="n">
        <v>2688</v>
      </c>
    </row>
    <row r="217" customFormat="false" ht="12.75" hidden="false" customHeight="true" outlineLevel="0" collapsed="false">
      <c r="A217" s="139" t="s">
        <v>2842</v>
      </c>
      <c r="B217" s="144" t="s">
        <v>2843</v>
      </c>
      <c r="C217" s="115" t="n">
        <v>2020</v>
      </c>
      <c r="D217" s="403" t="n">
        <v>44133</v>
      </c>
      <c r="E217" s="66" t="s">
        <v>2844</v>
      </c>
      <c r="F217" s="142" t="s">
        <v>467</v>
      </c>
      <c r="G217" s="144" t="s">
        <v>1174</v>
      </c>
      <c r="H217" s="144" t="s">
        <v>522</v>
      </c>
      <c r="I217" s="403" t="n">
        <v>45926</v>
      </c>
      <c r="J217" s="66" t="n">
        <v>9</v>
      </c>
      <c r="K217" s="71" t="s">
        <v>53</v>
      </c>
      <c r="L217" s="151" t="s">
        <v>60</v>
      </c>
      <c r="M217" s="145" t="n">
        <v>1793</v>
      </c>
    </row>
    <row r="218" customFormat="false" ht="12.75" hidden="false" customHeight="true" outlineLevel="0" collapsed="false">
      <c r="A218" s="148" t="s">
        <v>2845</v>
      </c>
      <c r="B218" s="405" t="s">
        <v>2846</v>
      </c>
      <c r="C218" s="119" t="n">
        <v>2021</v>
      </c>
      <c r="D218" s="404" t="n">
        <v>44377</v>
      </c>
      <c r="E218" s="68" t="s">
        <v>2847</v>
      </c>
      <c r="F218" s="151" t="s">
        <v>1609</v>
      </c>
      <c r="G218" s="405" t="s">
        <v>1174</v>
      </c>
      <c r="H218" s="405" t="s">
        <v>522</v>
      </c>
      <c r="I218" s="404" t="n">
        <v>45926</v>
      </c>
      <c r="J218" s="68" t="n">
        <v>9</v>
      </c>
      <c r="K218" s="406" t="s">
        <v>53</v>
      </c>
      <c r="L218" s="151" t="s">
        <v>2848</v>
      </c>
      <c r="M218" s="152" t="n">
        <v>1549</v>
      </c>
    </row>
    <row r="219" customFormat="false" ht="12.75" hidden="false" customHeight="true" outlineLevel="0" collapsed="false">
      <c r="A219" s="139" t="s">
        <v>2849</v>
      </c>
      <c r="B219" s="144" t="s">
        <v>2850</v>
      </c>
      <c r="C219" s="115" t="n">
        <v>2022</v>
      </c>
      <c r="D219" s="403" t="n">
        <v>44645</v>
      </c>
      <c r="E219" s="66" t="s">
        <v>2851</v>
      </c>
      <c r="F219" s="142" t="s">
        <v>1373</v>
      </c>
      <c r="G219" s="144" t="s">
        <v>1174</v>
      </c>
      <c r="H219" s="144" t="s">
        <v>1557</v>
      </c>
      <c r="I219" s="403" t="n">
        <v>45926</v>
      </c>
      <c r="J219" s="66" t="n">
        <v>9</v>
      </c>
      <c r="K219" s="71" t="s">
        <v>53</v>
      </c>
      <c r="L219" s="151" t="s">
        <v>60</v>
      </c>
      <c r="M219" s="145" t="n">
        <v>1281</v>
      </c>
    </row>
    <row r="220" customFormat="false" ht="12.75" hidden="false" customHeight="true" outlineLevel="0" collapsed="false">
      <c r="A220" s="148" t="s">
        <v>2852</v>
      </c>
      <c r="B220" s="405" t="s">
        <v>2853</v>
      </c>
      <c r="C220" s="119" t="n">
        <v>2021</v>
      </c>
      <c r="D220" s="404" t="n">
        <v>44376</v>
      </c>
      <c r="E220" s="68" t="s">
        <v>2854</v>
      </c>
      <c r="F220" s="151" t="s">
        <v>346</v>
      </c>
      <c r="G220" s="405" t="s">
        <v>1174</v>
      </c>
      <c r="H220" s="405" t="s">
        <v>1557</v>
      </c>
      <c r="I220" s="404" t="n">
        <v>45926</v>
      </c>
      <c r="J220" s="68" t="n">
        <v>9</v>
      </c>
      <c r="K220" s="406" t="s">
        <v>53</v>
      </c>
      <c r="L220" s="206" t="s">
        <v>58</v>
      </c>
      <c r="M220" s="152" t="n">
        <v>1550</v>
      </c>
    </row>
    <row r="221" customFormat="false" ht="12.75" hidden="false" customHeight="true" outlineLevel="0" collapsed="false">
      <c r="A221" s="139" t="s">
        <v>2855</v>
      </c>
      <c r="B221" s="144" t="s">
        <v>2856</v>
      </c>
      <c r="C221" s="115" t="n">
        <v>2018</v>
      </c>
      <c r="D221" s="403" t="n">
        <v>43279</v>
      </c>
      <c r="E221" s="66" t="s">
        <v>2857</v>
      </c>
      <c r="F221" s="142" t="s">
        <v>401</v>
      </c>
      <c r="G221" s="144" t="s">
        <v>1174</v>
      </c>
      <c r="H221" s="144" t="s">
        <v>1740</v>
      </c>
      <c r="I221" s="403" t="n">
        <v>45926</v>
      </c>
      <c r="J221" s="66" t="n">
        <v>9</v>
      </c>
      <c r="K221" s="71" t="s">
        <v>53</v>
      </c>
      <c r="L221" s="206" t="s">
        <v>58</v>
      </c>
      <c r="M221" s="145" t="n">
        <v>2647</v>
      </c>
    </row>
    <row r="222" customFormat="false" ht="12.75" hidden="false" customHeight="true" outlineLevel="0" collapsed="false">
      <c r="A222" s="148" t="s">
        <v>2858</v>
      </c>
      <c r="B222" s="405" t="s">
        <v>2859</v>
      </c>
      <c r="C222" s="119" t="n">
        <v>2018</v>
      </c>
      <c r="D222" s="404" t="n">
        <v>43159</v>
      </c>
      <c r="E222" s="68" t="s">
        <v>2860</v>
      </c>
      <c r="F222" s="151" t="s">
        <v>401</v>
      </c>
      <c r="G222" s="405" t="s">
        <v>1174</v>
      </c>
      <c r="H222" s="405" t="s">
        <v>263</v>
      </c>
      <c r="I222" s="404" t="n">
        <v>45926</v>
      </c>
      <c r="J222" s="68" t="n">
        <v>9</v>
      </c>
      <c r="K222" s="71" t="s">
        <v>53</v>
      </c>
      <c r="L222" s="206" t="s">
        <v>58</v>
      </c>
      <c r="M222" s="152" t="n">
        <v>2767</v>
      </c>
    </row>
    <row r="223" customFormat="false" ht="15" hidden="false" customHeight="true" outlineLevel="0" collapsed="false">
      <c r="A223" s="139" t="s">
        <v>2861</v>
      </c>
      <c r="B223" s="144" t="s">
        <v>2862</v>
      </c>
      <c r="C223" s="115" t="n">
        <v>2020</v>
      </c>
      <c r="D223" s="403" t="n">
        <v>43843</v>
      </c>
      <c r="E223" s="66" t="s">
        <v>2863</v>
      </c>
      <c r="F223" s="142" t="s">
        <v>401</v>
      </c>
      <c r="G223" s="144" t="s">
        <v>1174</v>
      </c>
      <c r="H223" s="144" t="s">
        <v>1231</v>
      </c>
      <c r="I223" s="403" t="n">
        <v>45926</v>
      </c>
      <c r="J223" s="66" t="n">
        <v>9</v>
      </c>
      <c r="K223" s="196" t="s">
        <v>53</v>
      </c>
      <c r="L223" s="206" t="s">
        <v>58</v>
      </c>
      <c r="M223" s="145" t="n">
        <v>2083</v>
      </c>
    </row>
    <row r="224" customFormat="false" ht="15" hidden="false" customHeight="true" outlineLevel="0" collapsed="false">
      <c r="A224" s="148" t="s">
        <v>2864</v>
      </c>
      <c r="B224" s="405" t="s">
        <v>2865</v>
      </c>
      <c r="C224" s="119" t="n">
        <v>2018</v>
      </c>
      <c r="D224" s="404" t="n">
        <v>43343</v>
      </c>
      <c r="E224" s="68" t="s">
        <v>2866</v>
      </c>
      <c r="F224" s="151" t="s">
        <v>333</v>
      </c>
      <c r="G224" s="405" t="s">
        <v>1174</v>
      </c>
      <c r="H224" s="405" t="s">
        <v>354</v>
      </c>
      <c r="I224" s="404" t="n">
        <v>45926</v>
      </c>
      <c r="J224" s="68" t="n">
        <v>9</v>
      </c>
      <c r="K224" s="71" t="s">
        <v>53</v>
      </c>
      <c r="L224" s="151" t="s">
        <v>60</v>
      </c>
      <c r="M224" s="152" t="n">
        <v>2583</v>
      </c>
    </row>
    <row r="225" customFormat="false" ht="12.75" hidden="false" customHeight="true" outlineLevel="0" collapsed="false">
      <c r="A225" s="139" t="s">
        <v>2867</v>
      </c>
      <c r="B225" s="144" t="s">
        <v>2868</v>
      </c>
      <c r="C225" s="115" t="n">
        <v>2021</v>
      </c>
      <c r="D225" s="403" t="n">
        <v>44372</v>
      </c>
      <c r="E225" s="66" t="s">
        <v>2869</v>
      </c>
      <c r="F225" s="142" t="s">
        <v>401</v>
      </c>
      <c r="G225" s="144" t="s">
        <v>1174</v>
      </c>
      <c r="H225" s="144" t="s">
        <v>1244</v>
      </c>
      <c r="I225" s="403" t="n">
        <v>45926</v>
      </c>
      <c r="J225" s="66" t="n">
        <v>9</v>
      </c>
      <c r="K225" s="71" t="s">
        <v>53</v>
      </c>
      <c r="L225" s="206" t="s">
        <v>58</v>
      </c>
      <c r="M225" s="145" t="n">
        <v>1554</v>
      </c>
    </row>
    <row r="226" customFormat="false" ht="12.75" hidden="false" customHeight="true" outlineLevel="0" collapsed="false">
      <c r="A226" s="148" t="s">
        <v>2870</v>
      </c>
      <c r="B226" s="405" t="s">
        <v>2871</v>
      </c>
      <c r="C226" s="119" t="n">
        <v>2020</v>
      </c>
      <c r="D226" s="404" t="n">
        <v>44162</v>
      </c>
      <c r="E226" s="68" t="s">
        <v>2872</v>
      </c>
      <c r="F226" s="151" t="s">
        <v>401</v>
      </c>
      <c r="G226" s="405" t="s">
        <v>1174</v>
      </c>
      <c r="H226" s="405" t="s">
        <v>2873</v>
      </c>
      <c r="I226" s="404" t="n">
        <v>45926</v>
      </c>
      <c r="J226" s="68" t="n">
        <v>9</v>
      </c>
      <c r="K226" s="71" t="s">
        <v>53</v>
      </c>
      <c r="L226" s="206" t="s">
        <v>58</v>
      </c>
      <c r="M226" s="152" t="n">
        <v>1764</v>
      </c>
    </row>
    <row r="227" customFormat="false" ht="12.75" hidden="false" customHeight="true" outlineLevel="0" collapsed="false">
      <c r="A227" s="139" t="s">
        <v>2874</v>
      </c>
      <c r="B227" s="144" t="s">
        <v>2875</v>
      </c>
      <c r="C227" s="115" t="n">
        <v>2021</v>
      </c>
      <c r="D227" s="403" t="n">
        <v>44343</v>
      </c>
      <c r="E227" s="66" t="s">
        <v>2876</v>
      </c>
      <c r="F227" s="142" t="s">
        <v>1373</v>
      </c>
      <c r="G227" s="144" t="s">
        <v>1174</v>
      </c>
      <c r="H227" s="144" t="s">
        <v>1258</v>
      </c>
      <c r="I227" s="403" t="n">
        <v>45926</v>
      </c>
      <c r="J227" s="66" t="n">
        <v>9</v>
      </c>
      <c r="K227" s="71" t="s">
        <v>53</v>
      </c>
      <c r="L227" s="151" t="s">
        <v>60</v>
      </c>
      <c r="M227" s="145" t="n">
        <v>1583</v>
      </c>
    </row>
    <row r="228" customFormat="false" ht="12.75" hidden="false" customHeight="true" outlineLevel="0" collapsed="false">
      <c r="A228" s="148" t="s">
        <v>2877</v>
      </c>
      <c r="B228" s="405" t="s">
        <v>2878</v>
      </c>
      <c r="C228" s="119" t="n">
        <v>2020</v>
      </c>
      <c r="D228" s="404" t="n">
        <v>43959</v>
      </c>
      <c r="E228" s="68" t="s">
        <v>2879</v>
      </c>
      <c r="F228" s="151" t="s">
        <v>1243</v>
      </c>
      <c r="G228" s="405" t="s">
        <v>1174</v>
      </c>
      <c r="H228" s="405" t="s">
        <v>522</v>
      </c>
      <c r="I228" s="404" t="n">
        <v>45926</v>
      </c>
      <c r="J228" s="68" t="n">
        <v>9</v>
      </c>
      <c r="K228" s="71" t="s">
        <v>53</v>
      </c>
      <c r="L228" s="151" t="s">
        <v>60</v>
      </c>
      <c r="M228" s="152" t="n">
        <v>1967</v>
      </c>
    </row>
    <row r="229" customFormat="false" ht="12.75" hidden="false" customHeight="true" outlineLevel="0" collapsed="false">
      <c r="A229" s="139" t="s">
        <v>2880</v>
      </c>
      <c r="B229" s="144" t="s">
        <v>2881</v>
      </c>
      <c r="C229" s="115" t="n">
        <v>2016</v>
      </c>
      <c r="D229" s="403" t="n">
        <v>42698</v>
      </c>
      <c r="E229" s="66" t="s">
        <v>2882</v>
      </c>
      <c r="F229" s="142" t="s">
        <v>123</v>
      </c>
      <c r="G229" s="144" t="s">
        <v>1174</v>
      </c>
      <c r="H229" s="144" t="s">
        <v>522</v>
      </c>
      <c r="I229" s="403" t="n">
        <v>45926</v>
      </c>
      <c r="J229" s="66" t="n">
        <v>9</v>
      </c>
      <c r="K229" s="196" t="s">
        <v>53</v>
      </c>
      <c r="L229" s="206" t="s">
        <v>58</v>
      </c>
      <c r="M229" s="145" t="n">
        <v>3228</v>
      </c>
    </row>
    <row r="230" customFormat="false" ht="15" hidden="false" customHeight="true" outlineLevel="0" collapsed="false">
      <c r="A230" s="148" t="s">
        <v>2883</v>
      </c>
      <c r="B230" s="405" t="s">
        <v>2884</v>
      </c>
      <c r="C230" s="119" t="n">
        <v>2017</v>
      </c>
      <c r="D230" s="404" t="n">
        <v>42951</v>
      </c>
      <c r="E230" s="68" t="s">
        <v>2885</v>
      </c>
      <c r="F230" s="151" t="s">
        <v>1373</v>
      </c>
      <c r="G230" s="405" t="s">
        <v>1174</v>
      </c>
      <c r="H230" s="405" t="s">
        <v>1538</v>
      </c>
      <c r="I230" s="404" t="n">
        <v>45926</v>
      </c>
      <c r="J230" s="68" t="n">
        <v>9</v>
      </c>
      <c r="K230" s="71" t="s">
        <v>53</v>
      </c>
      <c r="L230" s="151" t="s">
        <v>60</v>
      </c>
      <c r="M230" s="152" t="n">
        <v>2975</v>
      </c>
    </row>
    <row r="231" customFormat="false" ht="12.75" hidden="false" customHeight="true" outlineLevel="0" collapsed="false">
      <c r="A231" s="139" t="s">
        <v>2886</v>
      </c>
      <c r="B231" s="144" t="s">
        <v>2887</v>
      </c>
      <c r="C231" s="115" t="n">
        <v>2021</v>
      </c>
      <c r="D231" s="403" t="n">
        <v>43329</v>
      </c>
      <c r="E231" s="66" t="s">
        <v>2888</v>
      </c>
      <c r="F231" s="142" t="s">
        <v>1243</v>
      </c>
      <c r="G231" s="144" t="s">
        <v>1174</v>
      </c>
      <c r="H231" s="144" t="s">
        <v>350</v>
      </c>
      <c r="I231" s="403" t="n">
        <v>45929</v>
      </c>
      <c r="J231" s="66" t="n">
        <v>9</v>
      </c>
      <c r="K231" s="71" t="s">
        <v>53</v>
      </c>
      <c r="L231" s="151" t="s">
        <v>60</v>
      </c>
      <c r="M231" s="145" t="n">
        <v>2600</v>
      </c>
    </row>
    <row r="232" customFormat="false" ht="12.75" hidden="false" customHeight="true" outlineLevel="0" collapsed="false">
      <c r="A232" s="148" t="s">
        <v>2889</v>
      </c>
      <c r="B232" s="405" t="s">
        <v>2890</v>
      </c>
      <c r="C232" s="119" t="n">
        <v>2020</v>
      </c>
      <c r="D232" s="404" t="n">
        <v>43887</v>
      </c>
      <c r="E232" s="68" t="s">
        <v>2891</v>
      </c>
      <c r="F232" s="151" t="s">
        <v>823</v>
      </c>
      <c r="G232" s="405" t="s">
        <v>1174</v>
      </c>
      <c r="H232" s="405" t="s">
        <v>522</v>
      </c>
      <c r="I232" s="404" t="n">
        <v>45947</v>
      </c>
      <c r="J232" s="68" t="n">
        <v>10</v>
      </c>
      <c r="K232" s="196" t="s">
        <v>53</v>
      </c>
      <c r="L232" s="206" t="s">
        <v>58</v>
      </c>
      <c r="M232" s="152" t="n">
        <v>2060</v>
      </c>
    </row>
    <row r="233" customFormat="false" ht="12.75" hidden="false" customHeight="true" outlineLevel="0" collapsed="false">
      <c r="A233" s="139" t="s">
        <v>2892</v>
      </c>
      <c r="B233" s="144" t="s">
        <v>2893</v>
      </c>
      <c r="C233" s="115" t="n">
        <v>2019</v>
      </c>
      <c r="D233" s="403" t="n">
        <v>43580</v>
      </c>
      <c r="E233" s="66" t="s">
        <v>2894</v>
      </c>
      <c r="F233" s="142" t="s">
        <v>401</v>
      </c>
      <c r="G233" s="144" t="s">
        <v>1174</v>
      </c>
      <c r="H233" s="144" t="s">
        <v>544</v>
      </c>
      <c r="I233" s="403" t="n">
        <v>45947</v>
      </c>
      <c r="J233" s="66" t="n">
        <v>10</v>
      </c>
      <c r="K233" s="71" t="s">
        <v>53</v>
      </c>
      <c r="L233" s="206" t="s">
        <v>58</v>
      </c>
      <c r="M233" s="145" t="n">
        <v>2367</v>
      </c>
    </row>
    <row r="234" customFormat="false" ht="12.75" hidden="false" customHeight="true" outlineLevel="0" collapsed="false">
      <c r="A234" s="148" t="s">
        <v>2895</v>
      </c>
      <c r="B234" s="405" t="s">
        <v>2896</v>
      </c>
      <c r="C234" s="119" t="n">
        <v>2017</v>
      </c>
      <c r="D234" s="404" t="n">
        <v>42926</v>
      </c>
      <c r="E234" s="68" t="s">
        <v>2897</v>
      </c>
      <c r="F234" s="151" t="s">
        <v>157</v>
      </c>
      <c r="G234" s="405" t="s">
        <v>1174</v>
      </c>
      <c r="H234" s="405" t="s">
        <v>192</v>
      </c>
      <c r="I234" s="404" t="n">
        <v>45947</v>
      </c>
      <c r="J234" s="68" t="n">
        <v>10</v>
      </c>
      <c r="K234" s="71" t="s">
        <v>53</v>
      </c>
      <c r="L234" s="206" t="s">
        <v>58</v>
      </c>
      <c r="M234" s="152" t="n">
        <v>3021</v>
      </c>
    </row>
    <row r="235" customFormat="false" ht="12.75" hidden="false" customHeight="true" outlineLevel="0" collapsed="false">
      <c r="A235" s="139" t="s">
        <v>2898</v>
      </c>
      <c r="B235" s="144" t="s">
        <v>2899</v>
      </c>
      <c r="C235" s="115" t="n">
        <v>2018</v>
      </c>
      <c r="D235" s="403" t="n">
        <v>43397</v>
      </c>
      <c r="E235" s="66" t="s">
        <v>2900</v>
      </c>
      <c r="F235" s="142" t="s">
        <v>606</v>
      </c>
      <c r="G235" s="144" t="s">
        <v>1174</v>
      </c>
      <c r="H235" s="144" t="s">
        <v>1740</v>
      </c>
      <c r="I235" s="403" t="n">
        <v>45947</v>
      </c>
      <c r="J235" s="66" t="n">
        <v>10</v>
      </c>
      <c r="K235" s="71" t="s">
        <v>53</v>
      </c>
      <c r="L235" s="151" t="s">
        <v>60</v>
      </c>
      <c r="M235" s="145" t="n">
        <v>2550</v>
      </c>
    </row>
    <row r="236" customFormat="false" ht="12.75" hidden="false" customHeight="true" outlineLevel="0" collapsed="false">
      <c r="A236" s="148" t="s">
        <v>2901</v>
      </c>
      <c r="B236" s="405" t="s">
        <v>2902</v>
      </c>
      <c r="C236" s="119" t="n">
        <v>2022</v>
      </c>
      <c r="D236" s="404" t="n">
        <v>44876</v>
      </c>
      <c r="E236" s="68" t="s">
        <v>2903</v>
      </c>
      <c r="F236" s="151" t="s">
        <v>1068</v>
      </c>
      <c r="G236" s="405" t="s">
        <v>1174</v>
      </c>
      <c r="H236" s="405" t="s">
        <v>139</v>
      </c>
      <c r="I236" s="404" t="n">
        <v>45947</v>
      </c>
      <c r="J236" s="68" t="n">
        <v>10</v>
      </c>
      <c r="K236" s="163" t="s">
        <v>53</v>
      </c>
      <c r="L236" s="151" t="s">
        <v>60</v>
      </c>
      <c r="M236" s="152" t="n">
        <v>1071</v>
      </c>
    </row>
    <row r="237" customFormat="false" ht="12.75" hidden="false" customHeight="true" outlineLevel="0" collapsed="false">
      <c r="A237" s="139" t="s">
        <v>2904</v>
      </c>
      <c r="B237" s="144" t="s">
        <v>2905</v>
      </c>
      <c r="C237" s="115" t="n">
        <v>2016</v>
      </c>
      <c r="D237" s="403" t="n">
        <v>42460</v>
      </c>
      <c r="E237" s="66" t="s">
        <v>2906</v>
      </c>
      <c r="F237" s="142" t="s">
        <v>509</v>
      </c>
      <c r="G237" s="144" t="s">
        <v>1174</v>
      </c>
      <c r="H237" s="144" t="s">
        <v>2654</v>
      </c>
      <c r="I237" s="403" t="n">
        <v>45947</v>
      </c>
      <c r="J237" s="66" t="n">
        <v>10</v>
      </c>
      <c r="K237" s="71" t="s">
        <v>53</v>
      </c>
      <c r="L237" s="206" t="s">
        <v>58</v>
      </c>
      <c r="M237" s="145" t="n">
        <v>3487</v>
      </c>
    </row>
    <row r="238" customFormat="false" ht="12.75" hidden="false" customHeight="true" outlineLevel="0" collapsed="false">
      <c r="A238" s="148" t="s">
        <v>2907</v>
      </c>
      <c r="B238" s="405" t="s">
        <v>2908</v>
      </c>
      <c r="C238" s="119" t="n">
        <v>2024</v>
      </c>
      <c r="D238" s="404" t="n">
        <v>45384</v>
      </c>
      <c r="E238" s="68" t="s">
        <v>2909</v>
      </c>
      <c r="F238" s="151" t="s">
        <v>689</v>
      </c>
      <c r="G238" s="405" t="s">
        <v>1174</v>
      </c>
      <c r="H238" s="405" t="s">
        <v>888</v>
      </c>
      <c r="I238" s="404" t="n">
        <v>45947</v>
      </c>
      <c r="J238" s="68" t="n">
        <v>10</v>
      </c>
      <c r="K238" s="71" t="s">
        <v>53</v>
      </c>
      <c r="L238" s="151" t="s">
        <v>60</v>
      </c>
      <c r="M238" s="152" t="n">
        <v>563</v>
      </c>
    </row>
    <row r="239" customFormat="false" ht="12.75" hidden="false" customHeight="true" outlineLevel="0" collapsed="false">
      <c r="A239" s="139" t="s">
        <v>2910</v>
      </c>
      <c r="B239" s="144" t="s">
        <v>2911</v>
      </c>
      <c r="C239" s="115" t="n">
        <v>2019</v>
      </c>
      <c r="D239" s="403" t="n">
        <v>43829</v>
      </c>
      <c r="E239" s="66" t="s">
        <v>2912</v>
      </c>
      <c r="F239" s="142" t="s">
        <v>2913</v>
      </c>
      <c r="G239" s="144" t="s">
        <v>1174</v>
      </c>
      <c r="H239" s="144" t="s">
        <v>706</v>
      </c>
      <c r="I239" s="403" t="n">
        <v>45971</v>
      </c>
      <c r="J239" s="66" t="n">
        <v>11</v>
      </c>
      <c r="K239" s="71" t="s">
        <v>53</v>
      </c>
      <c r="L239" s="151" t="s">
        <v>60</v>
      </c>
      <c r="M239" s="145" t="n">
        <v>2142</v>
      </c>
    </row>
    <row r="240" customFormat="false" ht="12.75" hidden="false" customHeight="true" outlineLevel="0" collapsed="false">
      <c r="A240" s="148" t="s">
        <v>2914</v>
      </c>
      <c r="B240" s="405" t="s">
        <v>2915</v>
      </c>
      <c r="C240" s="119" t="n">
        <v>2024</v>
      </c>
      <c r="D240" s="404" t="n">
        <v>45441</v>
      </c>
      <c r="E240" s="68" t="s">
        <v>2916</v>
      </c>
      <c r="F240" s="151" t="s">
        <v>1357</v>
      </c>
      <c r="G240" s="405" t="s">
        <v>1174</v>
      </c>
      <c r="H240" s="405" t="s">
        <v>532</v>
      </c>
      <c r="I240" s="404" t="n">
        <v>45971</v>
      </c>
      <c r="J240" s="68" t="n">
        <v>11</v>
      </c>
      <c r="K240" s="71" t="s">
        <v>53</v>
      </c>
      <c r="L240" s="151" t="s">
        <v>60</v>
      </c>
      <c r="M240" s="152" t="n">
        <v>530</v>
      </c>
    </row>
    <row r="241" customFormat="false" ht="12.75" hidden="false" customHeight="true" outlineLevel="0" collapsed="false">
      <c r="A241" s="139" t="s">
        <v>2917</v>
      </c>
      <c r="B241" s="144" t="s">
        <v>2918</v>
      </c>
      <c r="C241" s="115" t="n">
        <v>2016</v>
      </c>
      <c r="D241" s="403"/>
      <c r="E241" s="66" t="s">
        <v>2919</v>
      </c>
      <c r="F241" s="142" t="s">
        <v>2920</v>
      </c>
      <c r="G241" s="144" t="s">
        <v>1174</v>
      </c>
      <c r="H241" s="144" t="s">
        <v>192</v>
      </c>
      <c r="I241" s="403" t="n">
        <v>45973</v>
      </c>
      <c r="J241" s="66" t="n">
        <v>11</v>
      </c>
      <c r="K241" s="71" t="s">
        <v>53</v>
      </c>
      <c r="L241" s="206" t="s">
        <v>58</v>
      </c>
      <c r="M241" s="145" t="n">
        <v>45973</v>
      </c>
    </row>
    <row r="242" customFormat="false" ht="12.75" hidden="false" customHeight="true" outlineLevel="0" collapsed="false">
      <c r="A242" s="148" t="s">
        <v>2921</v>
      </c>
      <c r="B242" s="405" t="s">
        <v>2922</v>
      </c>
      <c r="C242" s="119" t="n">
        <v>2020</v>
      </c>
      <c r="D242" s="404" t="n">
        <v>44096</v>
      </c>
      <c r="E242" s="68" t="s">
        <v>2923</v>
      </c>
      <c r="F242" s="151" t="s">
        <v>1400</v>
      </c>
      <c r="G242" s="405" t="s">
        <v>1174</v>
      </c>
      <c r="H242" s="405" t="s">
        <v>192</v>
      </c>
      <c r="I242" s="404" t="n">
        <v>45941</v>
      </c>
      <c r="J242" s="68" t="n">
        <v>11</v>
      </c>
      <c r="K242" s="71" t="s">
        <v>53</v>
      </c>
      <c r="L242" s="151" t="s">
        <v>60</v>
      </c>
      <c r="M242" s="152" t="n">
        <v>1845</v>
      </c>
    </row>
    <row r="243" customFormat="false" ht="12.75" hidden="false" customHeight="true" outlineLevel="0" collapsed="false">
      <c r="A243" s="139" t="s">
        <v>2924</v>
      </c>
      <c r="B243" s="144" t="s">
        <v>2925</v>
      </c>
      <c r="C243" s="115" t="n">
        <v>2021</v>
      </c>
      <c r="D243" s="403" t="n">
        <v>44251</v>
      </c>
      <c r="E243" s="66" t="s">
        <v>2926</v>
      </c>
      <c r="F243" s="66" t="s">
        <v>1025</v>
      </c>
      <c r="G243" s="144" t="s">
        <v>1174</v>
      </c>
      <c r="H243" s="144" t="s">
        <v>192</v>
      </c>
      <c r="I243" s="403" t="n">
        <v>45971</v>
      </c>
      <c r="J243" s="66" t="n">
        <v>11</v>
      </c>
      <c r="K243" s="71" t="s">
        <v>53</v>
      </c>
      <c r="L243" s="206" t="s">
        <v>58</v>
      </c>
      <c r="M243" s="145" t="n">
        <v>1720</v>
      </c>
    </row>
    <row r="244" customFormat="false" ht="12.75" hidden="false" customHeight="true" outlineLevel="0" collapsed="false">
      <c r="A244" s="148" t="s">
        <v>2927</v>
      </c>
      <c r="B244" s="405" t="s">
        <v>2928</v>
      </c>
      <c r="C244" s="119" t="n">
        <v>2020</v>
      </c>
      <c r="D244" s="404" t="n">
        <v>44132</v>
      </c>
      <c r="E244" s="68" t="s">
        <v>2929</v>
      </c>
      <c r="F244" s="151" t="s">
        <v>1324</v>
      </c>
      <c r="G244" s="405" t="s">
        <v>1174</v>
      </c>
      <c r="H244" s="405" t="s">
        <v>544</v>
      </c>
      <c r="I244" s="404" t="n">
        <v>45941</v>
      </c>
      <c r="J244" s="68" t="n">
        <v>11</v>
      </c>
      <c r="K244" s="71" t="s">
        <v>53</v>
      </c>
      <c r="L244" s="151" t="s">
        <v>60</v>
      </c>
      <c r="M244" s="152" t="n">
        <v>1809</v>
      </c>
    </row>
    <row r="245" customFormat="false" ht="12.75" hidden="false" customHeight="true" outlineLevel="0" collapsed="false">
      <c r="A245" s="139" t="s">
        <v>2930</v>
      </c>
      <c r="B245" s="144" t="s">
        <v>2931</v>
      </c>
      <c r="C245" s="115" t="n">
        <v>2021</v>
      </c>
      <c r="D245" s="403" t="n">
        <v>44461</v>
      </c>
      <c r="E245" s="66" t="s">
        <v>2932</v>
      </c>
      <c r="F245" s="66" t="s">
        <v>2193</v>
      </c>
      <c r="G245" s="144" t="s">
        <v>1174</v>
      </c>
      <c r="H245" s="144" t="s">
        <v>192</v>
      </c>
      <c r="I245" s="403" t="n">
        <v>45971</v>
      </c>
      <c r="J245" s="66" t="n">
        <v>11</v>
      </c>
      <c r="K245" s="71" t="s">
        <v>53</v>
      </c>
      <c r="L245" s="151" t="s">
        <v>60</v>
      </c>
      <c r="M245" s="145" t="n">
        <v>1510</v>
      </c>
    </row>
    <row r="246" customFormat="false" ht="12.75" hidden="false" customHeight="true" outlineLevel="0" collapsed="false">
      <c r="A246" s="148" t="s">
        <v>2933</v>
      </c>
      <c r="B246" s="405" t="s">
        <v>2934</v>
      </c>
      <c r="C246" s="119" t="n">
        <v>2018</v>
      </c>
      <c r="D246" s="404" t="n">
        <v>43283</v>
      </c>
      <c r="E246" s="68" t="s">
        <v>2935</v>
      </c>
      <c r="F246" s="151" t="s">
        <v>2193</v>
      </c>
      <c r="G246" s="405" t="s">
        <v>1174</v>
      </c>
      <c r="H246" s="405" t="s">
        <v>192</v>
      </c>
      <c r="I246" s="404" t="n">
        <v>45941</v>
      </c>
      <c r="J246" s="68" t="n">
        <v>11</v>
      </c>
      <c r="K246" s="71" t="s">
        <v>53</v>
      </c>
      <c r="L246" s="151" t="s">
        <v>60</v>
      </c>
      <c r="M246" s="152" t="n">
        <v>2658</v>
      </c>
    </row>
    <row r="247" customFormat="false" ht="12.75" hidden="false" customHeight="true" outlineLevel="0" collapsed="false">
      <c r="A247" s="139" t="s">
        <v>2936</v>
      </c>
      <c r="B247" s="144" t="s">
        <v>2937</v>
      </c>
      <c r="C247" s="115" t="n">
        <v>2019</v>
      </c>
      <c r="D247" s="403" t="n">
        <v>43735</v>
      </c>
      <c r="E247" s="66" t="s">
        <v>2938</v>
      </c>
      <c r="F247" s="66" t="s">
        <v>401</v>
      </c>
      <c r="G247" s="144" t="s">
        <v>1174</v>
      </c>
      <c r="H247" s="144" t="s">
        <v>192</v>
      </c>
      <c r="I247" s="403" t="n">
        <v>45971</v>
      </c>
      <c r="J247" s="66" t="n">
        <v>11</v>
      </c>
      <c r="K247" s="71" t="s">
        <v>53</v>
      </c>
      <c r="L247" s="206" t="s">
        <v>58</v>
      </c>
      <c r="M247" s="145" t="n">
        <v>2236</v>
      </c>
    </row>
    <row r="248" customFormat="false" ht="12.75" hidden="false" customHeight="true" outlineLevel="0" collapsed="false">
      <c r="A248" s="148" t="s">
        <v>2939</v>
      </c>
      <c r="B248" s="405" t="s">
        <v>2940</v>
      </c>
      <c r="C248" s="119" t="n">
        <v>2016</v>
      </c>
      <c r="D248" s="404" t="n">
        <v>42723</v>
      </c>
      <c r="E248" s="68" t="s">
        <v>2941</v>
      </c>
      <c r="F248" s="151" t="s">
        <v>1316</v>
      </c>
      <c r="G248" s="405" t="s">
        <v>1174</v>
      </c>
      <c r="H248" s="405" t="s">
        <v>192</v>
      </c>
      <c r="I248" s="404" t="n">
        <v>45941</v>
      </c>
      <c r="J248" s="68" t="n">
        <v>11</v>
      </c>
      <c r="K248" s="71" t="s">
        <v>53</v>
      </c>
      <c r="L248" s="151" t="s">
        <v>60</v>
      </c>
      <c r="M248" s="152" t="n">
        <v>3218</v>
      </c>
    </row>
    <row r="249" customFormat="false" ht="12.75" hidden="false" customHeight="true" outlineLevel="0" collapsed="false">
      <c r="A249" s="139" t="s">
        <v>2942</v>
      </c>
      <c r="B249" s="144" t="s">
        <v>2943</v>
      </c>
      <c r="C249" s="115" t="n">
        <v>2017</v>
      </c>
      <c r="D249" s="403" t="n">
        <v>42982</v>
      </c>
      <c r="E249" s="66" t="s">
        <v>2944</v>
      </c>
      <c r="F249" s="66" t="s">
        <v>1527</v>
      </c>
      <c r="G249" s="144" t="s">
        <v>1174</v>
      </c>
      <c r="H249" s="144" t="s">
        <v>192</v>
      </c>
      <c r="I249" s="403" t="n">
        <v>45971</v>
      </c>
      <c r="J249" s="66" t="n">
        <v>11</v>
      </c>
      <c r="K249" s="71" t="s">
        <v>53</v>
      </c>
      <c r="L249" s="206" t="s">
        <v>58</v>
      </c>
      <c r="M249" s="145" t="n">
        <v>2989</v>
      </c>
    </row>
    <row r="250" customFormat="false" ht="12.75" hidden="false" customHeight="true" outlineLevel="0" collapsed="false">
      <c r="A250" s="148" t="s">
        <v>2945</v>
      </c>
      <c r="B250" s="405" t="s">
        <v>2946</v>
      </c>
      <c r="C250" s="119" t="n">
        <v>2021</v>
      </c>
      <c r="D250" s="404" t="n">
        <v>44540</v>
      </c>
      <c r="E250" s="68" t="s">
        <v>2947</v>
      </c>
      <c r="F250" s="151" t="s">
        <v>2948</v>
      </c>
      <c r="G250" s="405" t="s">
        <v>1174</v>
      </c>
      <c r="H250" s="405" t="s">
        <v>471</v>
      </c>
      <c r="I250" s="404" t="n">
        <v>45960</v>
      </c>
      <c r="J250" s="68" t="n">
        <v>11</v>
      </c>
      <c r="K250" s="71" t="s">
        <v>53</v>
      </c>
      <c r="L250" s="151" t="s">
        <v>60</v>
      </c>
      <c r="M250" s="152" t="n">
        <v>1420</v>
      </c>
    </row>
    <row r="251" customFormat="false" ht="12.75" hidden="false" customHeight="true" outlineLevel="0" collapsed="false">
      <c r="A251" s="139" t="s">
        <v>2949</v>
      </c>
      <c r="B251" s="144" t="s">
        <v>2950</v>
      </c>
      <c r="C251" s="115" t="n">
        <v>2023</v>
      </c>
      <c r="D251" s="403" t="n">
        <v>44981</v>
      </c>
      <c r="E251" s="66" t="s">
        <v>2951</v>
      </c>
      <c r="F251" s="66" t="s">
        <v>1316</v>
      </c>
      <c r="G251" s="144" t="s">
        <v>1174</v>
      </c>
      <c r="H251" s="144" t="s">
        <v>1571</v>
      </c>
      <c r="I251" s="403" t="n">
        <v>45971</v>
      </c>
      <c r="J251" s="66" t="n">
        <v>11</v>
      </c>
      <c r="K251" s="71" t="s">
        <v>53</v>
      </c>
      <c r="L251" s="206" t="s">
        <v>58</v>
      </c>
      <c r="M251" s="145" t="n">
        <v>990</v>
      </c>
    </row>
    <row r="252" customFormat="false" ht="12.75" hidden="false" customHeight="true" outlineLevel="0" collapsed="false">
      <c r="A252" s="148" t="s">
        <v>2952</v>
      </c>
      <c r="B252" s="405" t="s">
        <v>2953</v>
      </c>
      <c r="C252" s="119" t="n">
        <v>2021</v>
      </c>
      <c r="D252" s="404" t="n">
        <v>44312</v>
      </c>
      <c r="E252" s="68" t="s">
        <v>2954</v>
      </c>
      <c r="F252" s="151" t="s">
        <v>2955</v>
      </c>
      <c r="G252" s="405" t="s">
        <v>1174</v>
      </c>
      <c r="H252" s="405" t="s">
        <v>471</v>
      </c>
      <c r="I252" s="404" t="n">
        <v>45941</v>
      </c>
      <c r="J252" s="68" t="n">
        <v>11</v>
      </c>
      <c r="K252" s="71" t="s">
        <v>53</v>
      </c>
      <c r="L252" s="206" t="s">
        <v>58</v>
      </c>
      <c r="M252" s="152" t="n">
        <v>1629</v>
      </c>
    </row>
    <row r="253" customFormat="false" ht="12.75" hidden="false" customHeight="true" outlineLevel="0" collapsed="false">
      <c r="A253" s="139" t="s">
        <v>2956</v>
      </c>
      <c r="B253" s="144" t="s">
        <v>2957</v>
      </c>
      <c r="C253" s="115" t="n">
        <v>2020</v>
      </c>
      <c r="D253" s="403" t="n">
        <v>44062</v>
      </c>
      <c r="E253" s="66" t="s">
        <v>2958</v>
      </c>
      <c r="F253" s="66" t="s">
        <v>2959</v>
      </c>
      <c r="G253" s="144" t="s">
        <v>1174</v>
      </c>
      <c r="H253" s="144" t="s">
        <v>633</v>
      </c>
      <c r="I253" s="403" t="n">
        <v>45971</v>
      </c>
      <c r="J253" s="66" t="n">
        <v>11</v>
      </c>
      <c r="K253" s="71" t="s">
        <v>53</v>
      </c>
      <c r="L253" s="151" t="s">
        <v>60</v>
      </c>
      <c r="M253" s="145" t="n">
        <v>1909</v>
      </c>
    </row>
    <row r="254" customFormat="false" ht="12.75" hidden="false" customHeight="true" outlineLevel="0" collapsed="false">
      <c r="A254" s="148" t="s">
        <v>2960</v>
      </c>
      <c r="B254" s="405" t="s">
        <v>2961</v>
      </c>
      <c r="C254" s="119" t="n">
        <v>2022</v>
      </c>
      <c r="D254" s="404" t="n">
        <v>44775</v>
      </c>
      <c r="E254" s="68" t="s">
        <v>2962</v>
      </c>
      <c r="F254" s="151" t="s">
        <v>2963</v>
      </c>
      <c r="G254" s="405" t="s">
        <v>1174</v>
      </c>
      <c r="H254" s="405" t="s">
        <v>471</v>
      </c>
      <c r="I254" s="404" t="n">
        <v>45941</v>
      </c>
      <c r="J254" s="68" t="n">
        <v>11</v>
      </c>
      <c r="K254" s="71" t="s">
        <v>53</v>
      </c>
      <c r="L254" s="151" t="s">
        <v>60</v>
      </c>
      <c r="M254" s="152" t="n">
        <v>1166</v>
      </c>
    </row>
    <row r="255" customFormat="false" ht="12.75" hidden="false" customHeight="true" outlineLevel="0" collapsed="false">
      <c r="A255" s="139" t="s">
        <v>2964</v>
      </c>
      <c r="B255" s="144" t="s">
        <v>2965</v>
      </c>
      <c r="C255" s="115" t="n">
        <v>2018</v>
      </c>
      <c r="D255" s="403" t="n">
        <v>43404</v>
      </c>
      <c r="E255" s="66" t="s">
        <v>2966</v>
      </c>
      <c r="F255" s="66" t="s">
        <v>699</v>
      </c>
      <c r="G255" s="144" t="s">
        <v>1174</v>
      </c>
      <c r="H255" s="144" t="s">
        <v>1109</v>
      </c>
      <c r="I255" s="403" t="n">
        <v>45971</v>
      </c>
      <c r="J255" s="66" t="n">
        <v>11</v>
      </c>
      <c r="K255" s="71" t="s">
        <v>53</v>
      </c>
      <c r="L255" s="151" t="s">
        <v>60</v>
      </c>
      <c r="M255" s="145" t="n">
        <v>2567</v>
      </c>
    </row>
    <row r="256" customFormat="false" ht="12.75" hidden="false" customHeight="true" outlineLevel="0" collapsed="false">
      <c r="A256" s="148" t="s">
        <v>2967</v>
      </c>
      <c r="B256" s="405" t="s">
        <v>2968</v>
      </c>
      <c r="C256" s="119" t="n">
        <v>2022</v>
      </c>
      <c r="D256" s="404" t="n">
        <v>44853</v>
      </c>
      <c r="E256" s="68" t="s">
        <v>2969</v>
      </c>
      <c r="F256" s="151" t="s">
        <v>211</v>
      </c>
      <c r="G256" s="405" t="s">
        <v>1174</v>
      </c>
      <c r="H256" s="405" t="s">
        <v>2970</v>
      </c>
      <c r="I256" s="404" t="n">
        <v>45941</v>
      </c>
      <c r="J256" s="68" t="n">
        <v>11</v>
      </c>
      <c r="K256" s="71" t="s">
        <v>53</v>
      </c>
      <c r="L256" s="206" t="s">
        <v>58</v>
      </c>
      <c r="M256" s="152" t="n">
        <v>1088</v>
      </c>
    </row>
    <row r="257" customFormat="false" ht="12.75" hidden="false" customHeight="true" outlineLevel="0" collapsed="false">
      <c r="A257" s="139" t="s">
        <v>2971</v>
      </c>
      <c r="B257" s="144" t="s">
        <v>2972</v>
      </c>
      <c r="C257" s="115" t="n">
        <v>2022</v>
      </c>
      <c r="D257" s="403" t="n">
        <v>44697</v>
      </c>
      <c r="E257" s="66" t="s">
        <v>2973</v>
      </c>
      <c r="F257" s="66" t="s">
        <v>1400</v>
      </c>
      <c r="G257" s="144" t="s">
        <v>1174</v>
      </c>
      <c r="H257" s="144" t="s">
        <v>2974</v>
      </c>
      <c r="I257" s="403" t="n">
        <v>45971</v>
      </c>
      <c r="J257" s="66" t="n">
        <v>11</v>
      </c>
      <c r="K257" s="71" t="s">
        <v>53</v>
      </c>
      <c r="L257" s="206" t="s">
        <v>58</v>
      </c>
      <c r="M257" s="145" t="n">
        <v>1274</v>
      </c>
    </row>
    <row r="258" customFormat="false" ht="12.75" hidden="false" customHeight="true" outlineLevel="0" collapsed="false">
      <c r="A258" s="148" t="s">
        <v>2975</v>
      </c>
      <c r="B258" s="405" t="s">
        <v>2976</v>
      </c>
      <c r="C258" s="119" t="n">
        <v>2014</v>
      </c>
      <c r="D258" s="404" t="n">
        <v>43048</v>
      </c>
      <c r="E258" s="68" t="s">
        <v>2977</v>
      </c>
      <c r="F258" s="151" t="s">
        <v>823</v>
      </c>
      <c r="G258" s="405" t="s">
        <v>1174</v>
      </c>
      <c r="H258" s="405" t="s">
        <v>1258</v>
      </c>
      <c r="I258" s="404" t="n">
        <v>45941</v>
      </c>
      <c r="J258" s="68" t="n">
        <v>11</v>
      </c>
      <c r="K258" s="71" t="s">
        <v>53</v>
      </c>
      <c r="L258" s="206" t="s">
        <v>58</v>
      </c>
      <c r="M258" s="152" t="n">
        <v>2893</v>
      </c>
    </row>
    <row r="259" customFormat="false" ht="12.75" hidden="false" customHeight="true" outlineLevel="0" collapsed="false">
      <c r="A259" s="139" t="s">
        <v>2978</v>
      </c>
      <c r="B259" s="144" t="s">
        <v>2979</v>
      </c>
      <c r="C259" s="115" t="n">
        <v>2018</v>
      </c>
      <c r="D259" s="403" t="n">
        <v>43203</v>
      </c>
      <c r="E259" s="66" t="s">
        <v>2980</v>
      </c>
      <c r="F259" s="66" t="s">
        <v>537</v>
      </c>
      <c r="G259" s="144" t="s">
        <v>1174</v>
      </c>
      <c r="H259" s="144" t="s">
        <v>532</v>
      </c>
      <c r="I259" s="403" t="n">
        <v>45972</v>
      </c>
      <c r="J259" s="66" t="n">
        <v>11</v>
      </c>
      <c r="K259" s="71" t="s">
        <v>53</v>
      </c>
      <c r="L259" s="206" t="s">
        <v>58</v>
      </c>
      <c r="M259" s="145" t="n">
        <v>2769</v>
      </c>
    </row>
    <row r="260" customFormat="false" ht="12.75" hidden="false" customHeight="true" outlineLevel="0" collapsed="false">
      <c r="A260" s="148" t="s">
        <v>2981</v>
      </c>
      <c r="B260" s="405" t="s">
        <v>2982</v>
      </c>
      <c r="C260" s="119" t="n">
        <v>2023</v>
      </c>
      <c r="D260" s="404" t="n">
        <v>45072</v>
      </c>
      <c r="E260" s="68" t="s">
        <v>2983</v>
      </c>
      <c r="F260" s="151" t="s">
        <v>401</v>
      </c>
      <c r="G260" s="405" t="s">
        <v>1174</v>
      </c>
      <c r="H260" s="405" t="s">
        <v>208</v>
      </c>
      <c r="I260" s="404" t="n">
        <v>45972</v>
      </c>
      <c r="J260" s="68" t="n">
        <v>11</v>
      </c>
      <c r="K260" s="71" t="s">
        <v>53</v>
      </c>
      <c r="L260" s="206" t="s">
        <v>58</v>
      </c>
      <c r="M260" s="152" t="n">
        <v>900</v>
      </c>
    </row>
    <row r="261" customFormat="false" ht="12.75" hidden="false" customHeight="true" outlineLevel="0" collapsed="false">
      <c r="A261" s="139" t="s">
        <v>2984</v>
      </c>
      <c r="B261" s="144" t="s">
        <v>2985</v>
      </c>
      <c r="C261" s="115" t="n">
        <v>2019</v>
      </c>
      <c r="D261" s="403" t="n">
        <v>43797</v>
      </c>
      <c r="E261" s="66" t="s">
        <v>2986</v>
      </c>
      <c r="F261" s="66" t="s">
        <v>401</v>
      </c>
      <c r="G261" s="144" t="s">
        <v>1174</v>
      </c>
      <c r="H261" s="144" t="s">
        <v>1059</v>
      </c>
      <c r="I261" s="403" t="n">
        <v>45972</v>
      </c>
      <c r="J261" s="66" t="n">
        <v>11</v>
      </c>
      <c r="K261" s="163" t="s">
        <v>53</v>
      </c>
      <c r="L261" s="206" t="s">
        <v>58</v>
      </c>
      <c r="M261" s="145" t="n">
        <v>2175</v>
      </c>
    </row>
    <row r="262" customFormat="false" ht="12.75" hidden="false" customHeight="true" outlineLevel="0" collapsed="false">
      <c r="A262" s="148" t="s">
        <v>2987</v>
      </c>
      <c r="B262" s="405" t="s">
        <v>2988</v>
      </c>
      <c r="C262" s="119" t="n">
        <v>2020</v>
      </c>
      <c r="D262" s="404" t="n">
        <v>44161</v>
      </c>
      <c r="E262" s="68" t="s">
        <v>2989</v>
      </c>
      <c r="F262" s="151" t="s">
        <v>2990</v>
      </c>
      <c r="G262" s="405" t="s">
        <v>1174</v>
      </c>
      <c r="H262" s="405" t="s">
        <v>706</v>
      </c>
      <c r="I262" s="404" t="n">
        <v>45979</v>
      </c>
      <c r="J262" s="68" t="n">
        <v>11</v>
      </c>
      <c r="K262" s="71" t="s">
        <v>53</v>
      </c>
      <c r="L262" s="151" t="s">
        <v>60</v>
      </c>
      <c r="M262" s="152" t="n">
        <v>1818</v>
      </c>
    </row>
    <row r="263" customFormat="false" ht="12.75" hidden="false" customHeight="true" outlineLevel="0" collapsed="false">
      <c r="A263" s="139" t="s">
        <v>2991</v>
      </c>
      <c r="B263" s="144" t="s">
        <v>2992</v>
      </c>
      <c r="C263" s="115" t="n">
        <v>2021</v>
      </c>
      <c r="D263" s="403" t="n">
        <v>44372</v>
      </c>
      <c r="E263" s="66" t="s">
        <v>2993</v>
      </c>
      <c r="F263" s="66" t="s">
        <v>2637</v>
      </c>
      <c r="G263" s="144" t="s">
        <v>1174</v>
      </c>
      <c r="H263" s="144" t="s">
        <v>573</v>
      </c>
      <c r="I263" s="403" t="n">
        <v>45979</v>
      </c>
      <c r="J263" s="66" t="n">
        <v>11</v>
      </c>
      <c r="K263" s="71" t="s">
        <v>53</v>
      </c>
      <c r="L263" s="151" t="s">
        <v>60</v>
      </c>
      <c r="M263" s="145" t="n">
        <v>1607</v>
      </c>
    </row>
    <row r="264" customFormat="false" ht="12.75" hidden="false" customHeight="true" outlineLevel="0" collapsed="false">
      <c r="A264" s="148" t="s">
        <v>2994</v>
      </c>
      <c r="B264" s="405" t="s">
        <v>2995</v>
      </c>
      <c r="C264" s="119" t="n">
        <v>2019</v>
      </c>
      <c r="D264" s="404" t="n">
        <v>43682</v>
      </c>
      <c r="E264" s="68" t="s">
        <v>2996</v>
      </c>
      <c r="F264" s="151" t="s">
        <v>1490</v>
      </c>
      <c r="G264" s="405" t="s">
        <v>1174</v>
      </c>
      <c r="H264" s="405" t="s">
        <v>192</v>
      </c>
      <c r="I264" s="404" t="n">
        <v>45988</v>
      </c>
      <c r="J264" s="68" t="n">
        <v>11</v>
      </c>
      <c r="K264" s="71" t="s">
        <v>53</v>
      </c>
      <c r="L264" s="206" t="s">
        <v>58</v>
      </c>
      <c r="M264" s="152" t="n">
        <v>2306</v>
      </c>
    </row>
    <row r="265" customFormat="false" ht="12.75" hidden="false" customHeight="true" outlineLevel="0" collapsed="false">
      <c r="A265" s="139" t="s">
        <v>2997</v>
      </c>
      <c r="B265" s="144" t="s">
        <v>2998</v>
      </c>
      <c r="C265" s="115" t="n">
        <v>2018</v>
      </c>
      <c r="D265" s="403" t="n">
        <v>43209</v>
      </c>
      <c r="E265" s="66" t="s">
        <v>2999</v>
      </c>
      <c r="F265" s="66" t="s">
        <v>1025</v>
      </c>
      <c r="G265" s="144" t="s">
        <v>1174</v>
      </c>
      <c r="H265" s="144" t="s">
        <v>1538</v>
      </c>
      <c r="I265" s="403" t="n">
        <v>45988</v>
      </c>
      <c r="J265" s="66" t="n">
        <v>11</v>
      </c>
      <c r="K265" s="71" t="s">
        <v>53</v>
      </c>
      <c r="L265" s="206" t="s">
        <v>58</v>
      </c>
      <c r="M265" s="145" t="n">
        <v>2779</v>
      </c>
    </row>
    <row r="266" customFormat="false" ht="12.75" hidden="false" customHeight="true" outlineLevel="0" collapsed="false">
      <c r="A266" s="148" t="s">
        <v>3000</v>
      </c>
      <c r="B266" s="405" t="s">
        <v>3001</v>
      </c>
      <c r="C266" s="119" t="n">
        <v>2019</v>
      </c>
      <c r="D266" s="404" t="n">
        <v>43607</v>
      </c>
      <c r="E266" s="68" t="s">
        <v>3002</v>
      </c>
      <c r="F266" s="151" t="s">
        <v>1025</v>
      </c>
      <c r="G266" s="405" t="s">
        <v>1174</v>
      </c>
      <c r="H266" s="405" t="s">
        <v>570</v>
      </c>
      <c r="I266" s="404" t="n">
        <v>45988</v>
      </c>
      <c r="J266" s="68" t="n">
        <v>11</v>
      </c>
      <c r="K266" s="71" t="s">
        <v>53</v>
      </c>
      <c r="L266" s="206" t="s">
        <v>58</v>
      </c>
      <c r="M266" s="152" t="n">
        <v>2381</v>
      </c>
    </row>
    <row r="267" customFormat="false" ht="12.75" hidden="false" customHeight="true" outlineLevel="0" collapsed="false">
      <c r="A267" s="139" t="s">
        <v>3003</v>
      </c>
      <c r="B267" s="144" t="s">
        <v>3004</v>
      </c>
      <c r="C267" s="115" t="n">
        <v>2019</v>
      </c>
      <c r="D267" s="403" t="n">
        <v>43798</v>
      </c>
      <c r="E267" s="66" t="s">
        <v>3005</v>
      </c>
      <c r="F267" s="66" t="s">
        <v>1025</v>
      </c>
      <c r="G267" s="144" t="s">
        <v>1174</v>
      </c>
      <c r="H267" s="144" t="s">
        <v>354</v>
      </c>
      <c r="I267" s="403" t="n">
        <v>45988</v>
      </c>
      <c r="J267" s="66" t="n">
        <v>11</v>
      </c>
      <c r="K267" s="71" t="s">
        <v>53</v>
      </c>
      <c r="L267" s="206" t="s">
        <v>58</v>
      </c>
      <c r="M267" s="145" t="n">
        <v>2190</v>
      </c>
    </row>
    <row r="268" customFormat="false" ht="12.75" hidden="false" customHeight="true" outlineLevel="0" collapsed="false">
      <c r="A268" s="148" t="s">
        <v>3006</v>
      </c>
      <c r="B268" s="405" t="s">
        <v>3007</v>
      </c>
      <c r="C268" s="119" t="n">
        <v>2017</v>
      </c>
      <c r="D268" s="404" t="n">
        <v>42982</v>
      </c>
      <c r="E268" s="68" t="s">
        <v>3008</v>
      </c>
      <c r="F268" s="151" t="s">
        <v>1025</v>
      </c>
      <c r="G268" s="405" t="s">
        <v>1174</v>
      </c>
      <c r="H268" s="405" t="s">
        <v>2278</v>
      </c>
      <c r="I268" s="404" t="n">
        <v>45988</v>
      </c>
      <c r="J268" s="68" t="n">
        <v>11</v>
      </c>
      <c r="K268" s="406" t="s">
        <v>53</v>
      </c>
      <c r="L268" s="206" t="s">
        <v>58</v>
      </c>
      <c r="M268" s="152" t="n">
        <v>3006</v>
      </c>
    </row>
    <row r="269" customFormat="false" ht="12.75" hidden="false" customHeight="true" outlineLevel="0" collapsed="false">
      <c r="A269" s="139" t="s">
        <v>3009</v>
      </c>
      <c r="B269" s="144" t="s">
        <v>3010</v>
      </c>
      <c r="C269" s="115" t="n">
        <v>2016</v>
      </c>
      <c r="D269" s="403" t="n">
        <v>42608</v>
      </c>
      <c r="E269" s="66" t="s">
        <v>3011</v>
      </c>
      <c r="F269" s="66" t="s">
        <v>2151</v>
      </c>
      <c r="G269" s="144" t="s">
        <v>1174</v>
      </c>
      <c r="H269" s="144" t="s">
        <v>1059</v>
      </c>
      <c r="I269" s="403" t="n">
        <v>45988</v>
      </c>
      <c r="J269" s="66" t="n">
        <v>11</v>
      </c>
      <c r="K269" s="71" t="s">
        <v>53</v>
      </c>
      <c r="L269" s="206" t="s">
        <v>58</v>
      </c>
      <c r="M269" s="145" t="n">
        <v>3380</v>
      </c>
    </row>
    <row r="270" customFormat="false" ht="15" hidden="false" customHeight="true" outlineLevel="0" collapsed="false">
      <c r="A270" s="148" t="s">
        <v>3012</v>
      </c>
      <c r="B270" s="405" t="s">
        <v>3013</v>
      </c>
      <c r="C270" s="119" t="n">
        <v>2019</v>
      </c>
      <c r="D270" s="404" t="n">
        <v>43651</v>
      </c>
      <c r="E270" s="68" t="s">
        <v>3014</v>
      </c>
      <c r="F270" s="151" t="s">
        <v>2151</v>
      </c>
      <c r="G270" s="405" t="s">
        <v>1174</v>
      </c>
      <c r="H270" s="405" t="s">
        <v>2283</v>
      </c>
      <c r="I270" s="404" t="n">
        <v>45988</v>
      </c>
      <c r="J270" s="68" t="n">
        <v>11</v>
      </c>
      <c r="K270" s="406" t="s">
        <v>53</v>
      </c>
      <c r="L270" s="206" t="s">
        <v>58</v>
      </c>
      <c r="M270" s="152" t="n">
        <v>2337</v>
      </c>
    </row>
    <row r="271" customFormat="false" ht="12.75" hidden="false" customHeight="true" outlineLevel="0" collapsed="false">
      <c r="A271" s="139" t="s">
        <v>3015</v>
      </c>
      <c r="B271" s="144" t="s">
        <v>3016</v>
      </c>
      <c r="C271" s="115" t="n">
        <v>2018</v>
      </c>
      <c r="D271" s="403" t="n">
        <v>43210</v>
      </c>
      <c r="E271" s="66" t="s">
        <v>3017</v>
      </c>
      <c r="F271" s="66" t="s">
        <v>1025</v>
      </c>
      <c r="G271" s="144" t="s">
        <v>1174</v>
      </c>
      <c r="H271" s="144" t="s">
        <v>1059</v>
      </c>
      <c r="I271" s="403" t="n">
        <v>45988</v>
      </c>
      <c r="J271" s="66" t="n">
        <v>11</v>
      </c>
      <c r="K271" s="71" t="s">
        <v>53</v>
      </c>
      <c r="L271" s="206" t="s">
        <v>58</v>
      </c>
      <c r="M271" s="145" t="n">
        <v>2778</v>
      </c>
    </row>
    <row r="272" customFormat="false" ht="12.75" hidden="false" customHeight="true" outlineLevel="0" collapsed="false">
      <c r="A272" s="148" t="s">
        <v>3018</v>
      </c>
      <c r="B272" s="405" t="s">
        <v>3019</v>
      </c>
      <c r="C272" s="119" t="n">
        <v>2021</v>
      </c>
      <c r="D272" s="404" t="n">
        <v>44368</v>
      </c>
      <c r="E272" s="68" t="s">
        <v>3020</v>
      </c>
      <c r="F272" s="151" t="s">
        <v>2151</v>
      </c>
      <c r="G272" s="405" t="s">
        <v>1174</v>
      </c>
      <c r="H272" s="405" t="s">
        <v>3021</v>
      </c>
      <c r="I272" s="404" t="n">
        <v>45988</v>
      </c>
      <c r="J272" s="68" t="n">
        <v>11</v>
      </c>
      <c r="K272" s="71" t="s">
        <v>53</v>
      </c>
      <c r="L272" s="206" t="s">
        <v>58</v>
      </c>
      <c r="M272" s="152" t="n">
        <v>1620</v>
      </c>
    </row>
    <row r="273" customFormat="false" ht="12.75" hidden="false" customHeight="true" outlineLevel="0" collapsed="false">
      <c r="A273" s="139" t="s">
        <v>3022</v>
      </c>
      <c r="B273" s="144" t="s">
        <v>3023</v>
      </c>
      <c r="C273" s="115" t="n">
        <v>2019</v>
      </c>
      <c r="D273" s="403" t="n">
        <v>43763</v>
      </c>
      <c r="E273" s="66" t="s">
        <v>3024</v>
      </c>
      <c r="F273" s="66" t="s">
        <v>1025</v>
      </c>
      <c r="G273" s="144" t="s">
        <v>1174</v>
      </c>
      <c r="H273" s="144" t="s">
        <v>267</v>
      </c>
      <c r="I273" s="403" t="n">
        <v>45988</v>
      </c>
      <c r="J273" s="66" t="n">
        <v>11</v>
      </c>
      <c r="K273" s="71" t="s">
        <v>53</v>
      </c>
      <c r="L273" s="206" t="s">
        <v>58</v>
      </c>
      <c r="M273" s="145" t="n">
        <v>2225</v>
      </c>
    </row>
    <row r="274" customFormat="false" ht="12.75" hidden="false" customHeight="true" outlineLevel="0" collapsed="false">
      <c r="A274" s="148" t="s">
        <v>3025</v>
      </c>
      <c r="B274" s="405" t="s">
        <v>3026</v>
      </c>
      <c r="C274" s="119" t="n">
        <v>2017</v>
      </c>
      <c r="D274" s="404" t="n">
        <v>43000</v>
      </c>
      <c r="E274" s="68" t="s">
        <v>3027</v>
      </c>
      <c r="F274" s="151" t="s">
        <v>1025</v>
      </c>
      <c r="G274" s="405" t="s">
        <v>1174</v>
      </c>
      <c r="H274" s="405" t="s">
        <v>263</v>
      </c>
      <c r="I274" s="404" t="n">
        <v>45988</v>
      </c>
      <c r="J274" s="68" t="n">
        <v>11</v>
      </c>
      <c r="K274" s="71" t="s">
        <v>53</v>
      </c>
      <c r="L274" s="206" t="s">
        <v>58</v>
      </c>
      <c r="M274" s="152" t="n">
        <v>2988</v>
      </c>
    </row>
    <row r="275" customFormat="false" ht="12.75" hidden="false" customHeight="true" outlineLevel="0" collapsed="false">
      <c r="A275" s="139" t="s">
        <v>3028</v>
      </c>
      <c r="B275" s="144" t="s">
        <v>3029</v>
      </c>
      <c r="C275" s="115" t="n">
        <v>2019</v>
      </c>
      <c r="D275" s="403" t="n">
        <v>43663</v>
      </c>
      <c r="E275" s="66" t="s">
        <v>3030</v>
      </c>
      <c r="F275" s="66" t="s">
        <v>1025</v>
      </c>
      <c r="G275" s="144" t="s">
        <v>1174</v>
      </c>
      <c r="H275" s="144" t="s">
        <v>1231</v>
      </c>
      <c r="I275" s="403" t="n">
        <v>45988</v>
      </c>
      <c r="J275" s="66" t="n">
        <v>11</v>
      </c>
      <c r="K275" s="406" t="s">
        <v>53</v>
      </c>
      <c r="L275" s="206" t="s">
        <v>58</v>
      </c>
      <c r="M275" s="145" t="n">
        <v>2325</v>
      </c>
    </row>
    <row r="276" customFormat="false" ht="15" hidden="false" customHeight="true" outlineLevel="0" collapsed="false">
      <c r="A276" s="148" t="s">
        <v>3031</v>
      </c>
      <c r="B276" s="405" t="s">
        <v>3032</v>
      </c>
      <c r="C276" s="119" t="n">
        <v>2021</v>
      </c>
      <c r="D276" s="404" t="n">
        <v>44371</v>
      </c>
      <c r="E276" s="68" t="s">
        <v>3033</v>
      </c>
      <c r="F276" s="151" t="s">
        <v>689</v>
      </c>
      <c r="G276" s="405" t="s">
        <v>1174</v>
      </c>
      <c r="H276" s="405" t="s">
        <v>1258</v>
      </c>
      <c r="I276" s="404" t="n">
        <v>45988</v>
      </c>
      <c r="J276" s="68" t="n">
        <v>11</v>
      </c>
      <c r="K276" s="71" t="s">
        <v>53</v>
      </c>
      <c r="L276" s="151" t="s">
        <v>60</v>
      </c>
      <c r="M276" s="152" t="n">
        <v>1617</v>
      </c>
    </row>
    <row r="277" customFormat="false" ht="12.75" hidden="false" customHeight="true" outlineLevel="0" collapsed="false">
      <c r="A277" s="139" t="s">
        <v>3034</v>
      </c>
      <c r="B277" s="144" t="s">
        <v>3035</v>
      </c>
      <c r="C277" s="115" t="n">
        <v>2021</v>
      </c>
      <c r="D277" s="403" t="n">
        <v>44417</v>
      </c>
      <c r="E277" s="66" t="s">
        <v>3036</v>
      </c>
      <c r="F277" s="66" t="s">
        <v>780</v>
      </c>
      <c r="G277" s="144" t="s">
        <v>1174</v>
      </c>
      <c r="H277" s="144" t="s">
        <v>968</v>
      </c>
      <c r="I277" s="403" t="n">
        <v>45988</v>
      </c>
      <c r="J277" s="66" t="n">
        <v>11</v>
      </c>
      <c r="K277" s="71" t="s">
        <v>53</v>
      </c>
      <c r="L277" s="151" t="s">
        <v>60</v>
      </c>
      <c r="M277" s="145" t="n">
        <v>1571</v>
      </c>
    </row>
    <row r="278" customFormat="false" ht="12.75" hidden="false" customHeight="true" outlineLevel="0" collapsed="false">
      <c r="A278" s="148" t="s">
        <v>3037</v>
      </c>
      <c r="B278" s="405" t="s">
        <v>3038</v>
      </c>
      <c r="C278" s="119" t="n">
        <v>2018</v>
      </c>
      <c r="D278" s="404" t="n">
        <v>43227</v>
      </c>
      <c r="E278" s="68" t="s">
        <v>3039</v>
      </c>
      <c r="F278" s="151" t="s">
        <v>1316</v>
      </c>
      <c r="G278" s="405" t="s">
        <v>1174</v>
      </c>
      <c r="H278" s="405" t="s">
        <v>263</v>
      </c>
      <c r="I278" s="404" t="n">
        <v>45988</v>
      </c>
      <c r="J278" s="68" t="n">
        <v>11</v>
      </c>
      <c r="K278" s="406" t="s">
        <v>53</v>
      </c>
      <c r="L278" s="206" t="s">
        <v>58</v>
      </c>
      <c r="M278" s="152" t="n">
        <v>2761</v>
      </c>
    </row>
    <row r="279" customFormat="false" ht="12.75" hidden="false" customHeight="true" outlineLevel="0" collapsed="false">
      <c r="A279" s="139" t="s">
        <v>3040</v>
      </c>
      <c r="B279" s="144" t="s">
        <v>3041</v>
      </c>
      <c r="C279" s="115" t="n">
        <v>2020</v>
      </c>
      <c r="D279" s="403" t="n">
        <v>43966</v>
      </c>
      <c r="E279" s="66" t="s">
        <v>3042</v>
      </c>
      <c r="F279" s="66" t="s">
        <v>238</v>
      </c>
      <c r="G279" s="144" t="s">
        <v>1174</v>
      </c>
      <c r="H279" s="144" t="s">
        <v>781</v>
      </c>
      <c r="I279" s="403" t="n">
        <v>45989</v>
      </c>
      <c r="J279" s="66" t="n">
        <v>11</v>
      </c>
      <c r="K279" s="71" t="s">
        <v>53</v>
      </c>
      <c r="L279" s="206" t="s">
        <v>58</v>
      </c>
      <c r="M279" s="145" t="n">
        <v>2023</v>
      </c>
    </row>
    <row r="280" customFormat="false" ht="12.75" hidden="false" customHeight="true" outlineLevel="0" collapsed="false">
      <c r="A280" s="148" t="s">
        <v>3043</v>
      </c>
      <c r="B280" s="405" t="s">
        <v>3044</v>
      </c>
      <c r="C280" s="119" t="n">
        <v>2020</v>
      </c>
      <c r="D280" s="404" t="n">
        <v>44043</v>
      </c>
      <c r="E280" s="68" t="s">
        <v>3045</v>
      </c>
      <c r="F280" s="151" t="s">
        <v>138</v>
      </c>
      <c r="G280" s="405" t="s">
        <v>8</v>
      </c>
      <c r="H280" s="405" t="s">
        <v>3046</v>
      </c>
      <c r="I280" s="404" t="n">
        <v>45989</v>
      </c>
      <c r="J280" s="68" t="n">
        <v>11</v>
      </c>
      <c r="K280" s="143" t="s">
        <v>49</v>
      </c>
      <c r="L280" s="206" t="s">
        <v>61</v>
      </c>
      <c r="M280" s="152" t="n">
        <v>1946</v>
      </c>
    </row>
    <row r="281" customFormat="false" ht="12.75" hidden="false" customHeight="true" outlineLevel="0" collapsed="false">
      <c r="A281" s="139" t="s">
        <v>3047</v>
      </c>
      <c r="B281" s="144" t="s">
        <v>3048</v>
      </c>
      <c r="C281" s="115" t="n">
        <v>2018</v>
      </c>
      <c r="D281" s="403" t="n">
        <v>43381</v>
      </c>
      <c r="E281" s="66" t="s">
        <v>3049</v>
      </c>
      <c r="F281" s="66" t="s">
        <v>128</v>
      </c>
      <c r="G281" s="144" t="s">
        <v>1174</v>
      </c>
      <c r="H281" s="144" t="s">
        <v>1266</v>
      </c>
      <c r="I281" s="403" t="n">
        <v>45989</v>
      </c>
      <c r="J281" s="66" t="n">
        <v>11</v>
      </c>
      <c r="K281" s="406" t="s">
        <v>53</v>
      </c>
      <c r="L281" s="206" t="s">
        <v>58</v>
      </c>
      <c r="M281" s="145" t="n">
        <v>2608</v>
      </c>
    </row>
    <row r="282" customFormat="false" ht="12.75" hidden="false" customHeight="true" outlineLevel="0" collapsed="false">
      <c r="A282" s="148" t="s">
        <v>3050</v>
      </c>
      <c r="B282" s="405" t="s">
        <v>3051</v>
      </c>
      <c r="C282" s="119" t="n">
        <v>2022</v>
      </c>
      <c r="D282" s="404" t="n">
        <v>44645</v>
      </c>
      <c r="E282" s="68" t="s">
        <v>3052</v>
      </c>
      <c r="F282" s="151" t="s">
        <v>128</v>
      </c>
      <c r="G282" s="405" t="s">
        <v>1174</v>
      </c>
      <c r="H282" s="405" t="s">
        <v>2677</v>
      </c>
      <c r="I282" s="404" t="n">
        <v>45989</v>
      </c>
      <c r="J282" s="68" t="n">
        <v>11</v>
      </c>
      <c r="K282" s="71" t="s">
        <v>53</v>
      </c>
      <c r="L282" s="206" t="s">
        <v>58</v>
      </c>
      <c r="M282" s="152" t="n">
        <v>1344</v>
      </c>
    </row>
    <row r="283" customFormat="false" ht="12.75" hidden="false" customHeight="true" outlineLevel="0" collapsed="false">
      <c r="A283" s="139" t="s">
        <v>3053</v>
      </c>
      <c r="B283" s="144" t="s">
        <v>3054</v>
      </c>
      <c r="C283" s="115" t="n">
        <v>2017</v>
      </c>
      <c r="D283" s="403" t="n">
        <v>43049</v>
      </c>
      <c r="E283" s="66" t="s">
        <v>3055</v>
      </c>
      <c r="F283" s="66" t="s">
        <v>1025</v>
      </c>
      <c r="G283" s="144" t="s">
        <v>1174</v>
      </c>
      <c r="H283" s="144" t="s">
        <v>3056</v>
      </c>
      <c r="I283" s="403" t="n">
        <v>45989</v>
      </c>
      <c r="J283" s="66" t="n">
        <v>11</v>
      </c>
      <c r="K283" s="71" t="s">
        <v>53</v>
      </c>
      <c r="L283" s="206" t="s">
        <v>58</v>
      </c>
      <c r="M283" s="145" t="n">
        <v>2940</v>
      </c>
    </row>
    <row r="284" customFormat="false" ht="12.75" hidden="false" customHeight="true" outlineLevel="0" collapsed="false">
      <c r="A284" s="148" t="s">
        <v>3057</v>
      </c>
      <c r="B284" s="405" t="s">
        <v>3058</v>
      </c>
      <c r="C284" s="119" t="n">
        <v>2021</v>
      </c>
      <c r="D284" s="404" t="n">
        <v>44488</v>
      </c>
      <c r="E284" s="68" t="s">
        <v>3059</v>
      </c>
      <c r="F284" s="151" t="s">
        <v>128</v>
      </c>
      <c r="G284" s="405" t="s">
        <v>1174</v>
      </c>
      <c r="H284" s="405" t="s">
        <v>1305</v>
      </c>
      <c r="I284" s="404" t="n">
        <v>45989</v>
      </c>
      <c r="J284" s="68" t="n">
        <v>11</v>
      </c>
      <c r="K284" s="71" t="s">
        <v>53</v>
      </c>
      <c r="L284" s="206" t="s">
        <v>58</v>
      </c>
      <c r="M284" s="152" t="n">
        <v>1501</v>
      </c>
    </row>
    <row r="285" customFormat="false" ht="12.75" hidden="false" customHeight="true" outlineLevel="0" collapsed="false">
      <c r="A285" s="139" t="s">
        <v>3060</v>
      </c>
      <c r="B285" s="144" t="s">
        <v>3061</v>
      </c>
      <c r="C285" s="115" t="n">
        <v>2020</v>
      </c>
      <c r="D285" s="403" t="n">
        <v>44133</v>
      </c>
      <c r="E285" s="66" t="s">
        <v>3062</v>
      </c>
      <c r="F285" s="66" t="s">
        <v>1211</v>
      </c>
      <c r="G285" s="144" t="s">
        <v>1174</v>
      </c>
      <c r="H285" s="144" t="s">
        <v>250</v>
      </c>
      <c r="I285" s="403" t="n">
        <v>46006</v>
      </c>
      <c r="J285" s="66" t="n">
        <v>12</v>
      </c>
      <c r="K285" s="71" t="s">
        <v>53</v>
      </c>
      <c r="L285" s="151" t="s">
        <v>60</v>
      </c>
      <c r="M285" s="145" t="n">
        <v>1873</v>
      </c>
    </row>
    <row r="286" customFormat="false" ht="12.75" hidden="false" customHeight="true" outlineLevel="0" collapsed="false">
      <c r="A286" s="148" t="s">
        <v>3063</v>
      </c>
      <c r="B286" s="405" t="s">
        <v>3064</v>
      </c>
      <c r="C286" s="119" t="n">
        <v>2022</v>
      </c>
      <c r="D286" s="404" t="n">
        <v>44901</v>
      </c>
      <c r="E286" s="68" t="s">
        <v>3065</v>
      </c>
      <c r="F286" s="151" t="s">
        <v>1025</v>
      </c>
      <c r="G286" s="405" t="s">
        <v>1174</v>
      </c>
      <c r="H286" s="405" t="s">
        <v>208</v>
      </c>
      <c r="I286" s="404" t="n">
        <v>46007</v>
      </c>
      <c r="J286" s="68" t="n">
        <v>12</v>
      </c>
      <c r="K286" s="71" t="s">
        <v>53</v>
      </c>
      <c r="L286" s="206" t="s">
        <v>58</v>
      </c>
      <c r="M286" s="152" t="n">
        <v>1106</v>
      </c>
    </row>
    <row r="287" customFormat="false" ht="12.75" hidden="false" customHeight="true" outlineLevel="0" collapsed="false">
      <c r="A287" s="139" t="s">
        <v>3066</v>
      </c>
      <c r="B287" s="144" t="s">
        <v>3067</v>
      </c>
      <c r="C287" s="115" t="n">
        <v>2021</v>
      </c>
      <c r="D287" s="403" t="n">
        <v>44211</v>
      </c>
      <c r="E287" s="66" t="s">
        <v>3068</v>
      </c>
      <c r="F287" s="66" t="s">
        <v>1511</v>
      </c>
      <c r="G287" s="144" t="s">
        <v>1174</v>
      </c>
      <c r="H287" s="144" t="s">
        <v>968</v>
      </c>
      <c r="I287" s="403" t="n">
        <v>46007</v>
      </c>
      <c r="J287" s="66" t="n">
        <v>12</v>
      </c>
      <c r="K287" s="71" t="s">
        <v>53</v>
      </c>
      <c r="L287" s="206" t="s">
        <v>58</v>
      </c>
      <c r="M287" s="145" t="n">
        <v>1796</v>
      </c>
    </row>
    <row r="288" customFormat="false" ht="12.75" hidden="false" customHeight="true" outlineLevel="0" collapsed="false">
      <c r="A288" s="148" t="s">
        <v>3069</v>
      </c>
      <c r="B288" s="405" t="s">
        <v>3070</v>
      </c>
      <c r="C288" s="119" t="n">
        <v>2022</v>
      </c>
      <c r="D288" s="404" t="n">
        <v>44676</v>
      </c>
      <c r="E288" s="68" t="s">
        <v>3071</v>
      </c>
      <c r="F288" s="151" t="s">
        <v>3072</v>
      </c>
      <c r="G288" s="405" t="s">
        <v>1174</v>
      </c>
      <c r="H288" s="405" t="s">
        <v>208</v>
      </c>
      <c r="I288" s="404" t="n">
        <v>46007</v>
      </c>
      <c r="J288" s="68" t="n">
        <v>12</v>
      </c>
      <c r="K288" s="71" t="s">
        <v>53</v>
      </c>
      <c r="L288" s="151" t="s">
        <v>60</v>
      </c>
      <c r="M288" s="152" t="n">
        <v>1331</v>
      </c>
    </row>
    <row r="289" customFormat="false" ht="12.75" hidden="false" customHeight="true" outlineLevel="0" collapsed="false">
      <c r="A289" s="139" t="s">
        <v>3073</v>
      </c>
      <c r="B289" s="144" t="s">
        <v>3074</v>
      </c>
      <c r="C289" s="115" t="n">
        <v>2019</v>
      </c>
      <c r="D289" s="403" t="n">
        <v>43769</v>
      </c>
      <c r="E289" s="66" t="s">
        <v>3075</v>
      </c>
      <c r="F289" s="66" t="s">
        <v>793</v>
      </c>
      <c r="G289" s="144" t="s">
        <v>1174</v>
      </c>
      <c r="H289" s="144" t="s">
        <v>208</v>
      </c>
      <c r="I289" s="403" t="n">
        <v>46007</v>
      </c>
      <c r="J289" s="66" t="n">
        <v>12</v>
      </c>
      <c r="K289" s="71" t="s">
        <v>53</v>
      </c>
      <c r="L289" s="206" t="s">
        <v>58</v>
      </c>
      <c r="M289" s="145" t="n">
        <v>2238</v>
      </c>
    </row>
    <row r="290" customFormat="false" ht="12.75" hidden="false" customHeight="true" outlineLevel="0" collapsed="false">
      <c r="A290" s="148" t="s">
        <v>3076</v>
      </c>
      <c r="B290" s="405" t="s">
        <v>3077</v>
      </c>
      <c r="C290" s="119" t="n">
        <v>2020</v>
      </c>
      <c r="D290" s="404" t="n">
        <v>43979</v>
      </c>
      <c r="E290" s="68" t="s">
        <v>3078</v>
      </c>
      <c r="F290" s="151" t="s">
        <v>1025</v>
      </c>
      <c r="G290" s="405" t="s">
        <v>1174</v>
      </c>
      <c r="H290" s="405" t="s">
        <v>350</v>
      </c>
      <c r="I290" s="404" t="n">
        <v>46007</v>
      </c>
      <c r="J290" s="68" t="n">
        <v>12</v>
      </c>
      <c r="K290" s="71" t="s">
        <v>53</v>
      </c>
      <c r="L290" s="206" t="s">
        <v>58</v>
      </c>
      <c r="M290" s="152" t="n">
        <v>2028</v>
      </c>
    </row>
    <row r="291" customFormat="false" ht="12.75" hidden="false" customHeight="true" outlineLevel="0" collapsed="false">
      <c r="A291" s="139" t="s">
        <v>3079</v>
      </c>
      <c r="B291" s="144" t="s">
        <v>3080</v>
      </c>
      <c r="C291" s="115" t="n">
        <v>2018</v>
      </c>
      <c r="D291" s="403" t="n">
        <v>43185</v>
      </c>
      <c r="E291" s="66" t="s">
        <v>3081</v>
      </c>
      <c r="F291" s="66" t="s">
        <v>1025</v>
      </c>
      <c r="G291" s="144" t="s">
        <v>1174</v>
      </c>
      <c r="H291" s="144" t="s">
        <v>1231</v>
      </c>
      <c r="I291" s="403" t="n">
        <v>46007</v>
      </c>
      <c r="J291" s="66" t="n">
        <v>12</v>
      </c>
      <c r="K291" s="71" t="s">
        <v>53</v>
      </c>
      <c r="L291" s="206" t="s">
        <v>58</v>
      </c>
      <c r="M291" s="145" t="n">
        <v>2822</v>
      </c>
    </row>
    <row r="292" customFormat="false" ht="12.75" hidden="false" customHeight="true" outlineLevel="0" collapsed="false">
      <c r="A292" s="148" t="s">
        <v>3082</v>
      </c>
      <c r="B292" s="405" t="s">
        <v>3083</v>
      </c>
      <c r="C292" s="119" t="n">
        <v>2021</v>
      </c>
      <c r="D292" s="404" t="n">
        <v>44498</v>
      </c>
      <c r="E292" s="68" t="s">
        <v>3084</v>
      </c>
      <c r="F292" s="151" t="s">
        <v>382</v>
      </c>
      <c r="G292" s="405" t="s">
        <v>1174</v>
      </c>
      <c r="H292" s="405" t="s">
        <v>522</v>
      </c>
      <c r="I292" s="404" t="n">
        <v>46007</v>
      </c>
      <c r="J292" s="68" t="n">
        <v>12</v>
      </c>
      <c r="K292" s="71" t="s">
        <v>53</v>
      </c>
      <c r="L292" s="151" t="s">
        <v>60</v>
      </c>
      <c r="M292" s="152" t="n">
        <v>1509</v>
      </c>
    </row>
    <row r="293" customFormat="false" ht="12.75" hidden="false" customHeight="true" outlineLevel="0" collapsed="false">
      <c r="A293" s="139" t="s">
        <v>3085</v>
      </c>
      <c r="B293" s="144" t="s">
        <v>3086</v>
      </c>
      <c r="C293" s="115" t="n">
        <v>2021</v>
      </c>
      <c r="D293" s="403" t="n">
        <v>44312</v>
      </c>
      <c r="E293" s="66" t="s">
        <v>3087</v>
      </c>
      <c r="F293" s="66" t="s">
        <v>1025</v>
      </c>
      <c r="G293" s="144" t="s">
        <v>1174</v>
      </c>
      <c r="H293" s="144" t="s">
        <v>522</v>
      </c>
      <c r="I293" s="403" t="n">
        <v>46007</v>
      </c>
      <c r="J293" s="66" t="n">
        <v>12</v>
      </c>
      <c r="K293" s="71" t="s">
        <v>53</v>
      </c>
      <c r="L293" s="206" t="s">
        <v>58</v>
      </c>
      <c r="M293" s="145" t="n">
        <v>1695</v>
      </c>
    </row>
    <row r="294" customFormat="false" ht="12.75" hidden="false" customHeight="true" outlineLevel="0" collapsed="false">
      <c r="A294" s="148" t="s">
        <v>3088</v>
      </c>
      <c r="B294" s="405" t="s">
        <v>3089</v>
      </c>
      <c r="C294" s="119" t="n">
        <v>2019</v>
      </c>
      <c r="D294" s="404" t="n">
        <v>43769</v>
      </c>
      <c r="E294" s="68" t="s">
        <v>3090</v>
      </c>
      <c r="F294" s="151" t="s">
        <v>3091</v>
      </c>
      <c r="G294" s="405" t="s">
        <v>1174</v>
      </c>
      <c r="H294" s="405" t="s">
        <v>522</v>
      </c>
      <c r="I294" s="404" t="n">
        <v>46007</v>
      </c>
      <c r="J294" s="68" t="n">
        <v>12</v>
      </c>
      <c r="K294" s="71" t="s">
        <v>53</v>
      </c>
      <c r="L294" s="206" t="s">
        <v>58</v>
      </c>
      <c r="M294" s="152" t="n">
        <v>2238</v>
      </c>
    </row>
    <row r="295" customFormat="false" ht="12.75" hidden="false" customHeight="true" outlineLevel="0" collapsed="false">
      <c r="A295" s="139" t="s">
        <v>3092</v>
      </c>
      <c r="B295" s="144" t="s">
        <v>3093</v>
      </c>
      <c r="C295" s="115" t="n">
        <v>2020</v>
      </c>
      <c r="D295" s="403" t="n">
        <v>44061</v>
      </c>
      <c r="E295" s="66" t="s">
        <v>3094</v>
      </c>
      <c r="F295" s="66" t="s">
        <v>1511</v>
      </c>
      <c r="G295" s="144" t="s">
        <v>1174</v>
      </c>
      <c r="H295" s="144" t="s">
        <v>706</v>
      </c>
      <c r="I295" s="403" t="n">
        <v>46007</v>
      </c>
      <c r="J295" s="66" t="n">
        <v>12</v>
      </c>
      <c r="K295" s="71" t="s">
        <v>53</v>
      </c>
      <c r="L295" s="206" t="s">
        <v>58</v>
      </c>
      <c r="M295" s="145" t="n">
        <v>1946</v>
      </c>
    </row>
    <row r="296" customFormat="false" ht="12.75" hidden="false" customHeight="true" outlineLevel="0" collapsed="false">
      <c r="A296" s="148" t="s">
        <v>3095</v>
      </c>
      <c r="B296" s="405" t="s">
        <v>3096</v>
      </c>
      <c r="C296" s="119" t="n">
        <v>2018</v>
      </c>
      <c r="D296" s="404" t="n">
        <v>43378</v>
      </c>
      <c r="E296" s="68" t="s">
        <v>3097</v>
      </c>
      <c r="F296" s="151" t="s">
        <v>1243</v>
      </c>
      <c r="G296" s="405" t="s">
        <v>1174</v>
      </c>
      <c r="H296" s="405" t="s">
        <v>350</v>
      </c>
      <c r="I296" s="404" t="n">
        <v>46007</v>
      </c>
      <c r="J296" s="68" t="n">
        <v>12</v>
      </c>
      <c r="K296" s="71" t="s">
        <v>53</v>
      </c>
      <c r="L296" s="151" t="s">
        <v>60</v>
      </c>
      <c r="M296" s="152" t="n">
        <v>2629</v>
      </c>
    </row>
    <row r="297" customFormat="false" ht="12.75" hidden="false" customHeight="true" outlineLevel="0" collapsed="false">
      <c r="A297" s="139" t="s">
        <v>3098</v>
      </c>
      <c r="B297" s="144" t="s">
        <v>3099</v>
      </c>
      <c r="C297" s="115" t="n">
        <v>2022</v>
      </c>
      <c r="D297" s="403" t="n">
        <v>44739</v>
      </c>
      <c r="E297" s="66" t="s">
        <v>3100</v>
      </c>
      <c r="F297" s="66" t="s">
        <v>3101</v>
      </c>
      <c r="G297" s="144" t="s">
        <v>1174</v>
      </c>
      <c r="H297" s="144" t="s">
        <v>471</v>
      </c>
      <c r="I297" s="403" t="n">
        <v>46007</v>
      </c>
      <c r="J297" s="66" t="n">
        <v>12</v>
      </c>
      <c r="K297" s="71" t="s">
        <v>53</v>
      </c>
      <c r="L297" s="206" t="s">
        <v>61</v>
      </c>
      <c r="M297" s="145" t="n">
        <v>1268</v>
      </c>
    </row>
    <row r="298" customFormat="false" ht="12.75" hidden="false" customHeight="true" outlineLevel="0" collapsed="false">
      <c r="A298" s="148" t="s">
        <v>3102</v>
      </c>
      <c r="B298" s="405" t="s">
        <v>3103</v>
      </c>
      <c r="C298" s="119" t="n">
        <v>2022</v>
      </c>
      <c r="D298" s="404" t="n">
        <v>44824</v>
      </c>
      <c r="E298" s="68" t="s">
        <v>3104</v>
      </c>
      <c r="F298" s="151" t="s">
        <v>1424</v>
      </c>
      <c r="G298" s="405" t="s">
        <v>1174</v>
      </c>
      <c r="H298" s="405" t="s">
        <v>2274</v>
      </c>
      <c r="I298" s="404" t="n">
        <v>46008</v>
      </c>
      <c r="J298" s="68" t="n">
        <v>12</v>
      </c>
      <c r="K298" s="71" t="s">
        <v>53</v>
      </c>
      <c r="L298" s="206" t="s">
        <v>61</v>
      </c>
      <c r="M298" s="152" t="n">
        <v>1184</v>
      </c>
    </row>
    <row r="299" customFormat="false" ht="12.75" hidden="false" customHeight="true" outlineLevel="0" collapsed="false">
      <c r="A299" s="139" t="s">
        <v>3105</v>
      </c>
      <c r="B299" s="144" t="s">
        <v>3106</v>
      </c>
      <c r="C299" s="115" t="n">
        <v>2017</v>
      </c>
      <c r="D299" s="403" t="n">
        <v>43074</v>
      </c>
      <c r="E299" s="66" t="s">
        <v>3107</v>
      </c>
      <c r="F299" s="66" t="s">
        <v>1511</v>
      </c>
      <c r="G299" s="144" t="s">
        <v>1174</v>
      </c>
      <c r="H299" s="144" t="s">
        <v>310</v>
      </c>
      <c r="I299" s="403" t="n">
        <v>46010</v>
      </c>
      <c r="J299" s="66" t="n">
        <v>12</v>
      </c>
      <c r="K299" s="71" t="s">
        <v>53</v>
      </c>
      <c r="L299" s="206" t="s">
        <v>58</v>
      </c>
      <c r="M299" s="145" t="n">
        <v>2936</v>
      </c>
    </row>
    <row r="300" customFormat="false" ht="12.75" hidden="false" customHeight="true" outlineLevel="0" collapsed="false">
      <c r="A300" s="148" t="s">
        <v>3108</v>
      </c>
      <c r="B300" s="405" t="s">
        <v>3109</v>
      </c>
      <c r="C300" s="119" t="n">
        <v>2017</v>
      </c>
      <c r="D300" s="404" t="n">
        <v>42873</v>
      </c>
      <c r="E300" s="68" t="s">
        <v>3110</v>
      </c>
      <c r="F300" s="151" t="s">
        <v>238</v>
      </c>
      <c r="G300" s="405" t="s">
        <v>1174</v>
      </c>
      <c r="H300" s="405" t="s">
        <v>1038</v>
      </c>
      <c r="I300" s="404" t="n">
        <v>46010</v>
      </c>
      <c r="J300" s="68" t="n">
        <v>12</v>
      </c>
      <c r="K300" s="71" t="s">
        <v>53</v>
      </c>
      <c r="L300" s="206" t="s">
        <v>58</v>
      </c>
      <c r="M300" s="152" t="n">
        <v>3137</v>
      </c>
    </row>
    <row r="301" customFormat="false" ht="15" hidden="false" customHeight="true" outlineLevel="0" collapsed="false">
      <c r="A301" s="139" t="s">
        <v>3111</v>
      </c>
      <c r="B301" s="144" t="s">
        <v>3112</v>
      </c>
      <c r="C301" s="115" t="n">
        <v>2021</v>
      </c>
      <c r="D301" s="403" t="n">
        <v>44217</v>
      </c>
      <c r="E301" s="66" t="s">
        <v>3113</v>
      </c>
      <c r="F301" s="66" t="s">
        <v>1511</v>
      </c>
      <c r="G301" s="144" t="s">
        <v>1174</v>
      </c>
      <c r="H301" s="144" t="s">
        <v>243</v>
      </c>
      <c r="I301" s="403" t="n">
        <v>46010</v>
      </c>
      <c r="J301" s="66" t="n">
        <v>12</v>
      </c>
      <c r="K301" s="406" t="s">
        <v>53</v>
      </c>
      <c r="L301" s="206" t="s">
        <v>58</v>
      </c>
      <c r="M301" s="145" t="n">
        <v>1793</v>
      </c>
    </row>
    <row r="302" customFormat="false" ht="12.75" hidden="false" customHeight="true" outlineLevel="0" collapsed="false">
      <c r="A302" s="148" t="s">
        <v>3114</v>
      </c>
      <c r="B302" s="405" t="s">
        <v>3115</v>
      </c>
      <c r="C302" s="119" t="n">
        <v>2017</v>
      </c>
      <c r="D302" s="404" t="n">
        <v>42759</v>
      </c>
      <c r="E302" s="68" t="s">
        <v>3116</v>
      </c>
      <c r="F302" s="151" t="s">
        <v>123</v>
      </c>
      <c r="G302" s="405" t="s">
        <v>1174</v>
      </c>
      <c r="H302" s="405" t="s">
        <v>263</v>
      </c>
      <c r="I302" s="404" t="n">
        <v>46010</v>
      </c>
      <c r="J302" s="68" t="n">
        <v>12</v>
      </c>
      <c r="K302" s="71" t="s">
        <v>53</v>
      </c>
      <c r="L302" s="206" t="s">
        <v>58</v>
      </c>
      <c r="M302" s="152" t="n">
        <v>3251</v>
      </c>
    </row>
    <row r="303" customFormat="false" ht="12.75" hidden="false" customHeight="true" outlineLevel="0" collapsed="false">
      <c r="A303" s="139" t="s">
        <v>3117</v>
      </c>
      <c r="B303" s="144" t="s">
        <v>3118</v>
      </c>
      <c r="C303" s="115" t="n">
        <v>2021</v>
      </c>
      <c r="D303" s="403" t="n">
        <v>44267</v>
      </c>
      <c r="E303" s="66" t="s">
        <v>3119</v>
      </c>
      <c r="F303" s="66" t="s">
        <v>1511</v>
      </c>
      <c r="G303" s="144" t="s">
        <v>1174</v>
      </c>
      <c r="H303" s="144" t="s">
        <v>968</v>
      </c>
      <c r="I303" s="403" t="n">
        <v>46010</v>
      </c>
      <c r="J303" s="66" t="n">
        <v>12</v>
      </c>
      <c r="K303" s="71" t="s">
        <v>53</v>
      </c>
      <c r="L303" s="206" t="s">
        <v>58</v>
      </c>
      <c r="M303" s="145" t="n">
        <v>1743</v>
      </c>
    </row>
    <row r="304" customFormat="false" ht="12.75" hidden="false" customHeight="true" outlineLevel="0" collapsed="false">
      <c r="A304" s="148" t="s">
        <v>3120</v>
      </c>
      <c r="B304" s="405" t="s">
        <v>3121</v>
      </c>
      <c r="C304" s="119" t="n">
        <v>2018</v>
      </c>
      <c r="D304" s="404" t="n">
        <v>43130</v>
      </c>
      <c r="E304" s="68" t="s">
        <v>3122</v>
      </c>
      <c r="F304" s="151" t="s">
        <v>823</v>
      </c>
      <c r="G304" s="405" t="s">
        <v>1174</v>
      </c>
      <c r="H304" s="405" t="s">
        <v>1740</v>
      </c>
      <c r="I304" s="404" t="n">
        <v>46010</v>
      </c>
      <c r="J304" s="68" t="n">
        <v>12</v>
      </c>
      <c r="K304" s="71" t="s">
        <v>53</v>
      </c>
      <c r="L304" s="206" t="s">
        <v>58</v>
      </c>
      <c r="M304" s="152" t="n">
        <v>2880</v>
      </c>
    </row>
    <row r="305" customFormat="false" ht="12.75" hidden="false" customHeight="true" outlineLevel="0" collapsed="false">
      <c r="A305" s="139" t="s">
        <v>3123</v>
      </c>
      <c r="B305" s="144" t="s">
        <v>3124</v>
      </c>
      <c r="C305" s="115" t="n">
        <v>2016</v>
      </c>
      <c r="D305" s="403" t="n">
        <v>42698</v>
      </c>
      <c r="E305" s="66" t="s">
        <v>3125</v>
      </c>
      <c r="F305" s="66" t="s">
        <v>1324</v>
      </c>
      <c r="G305" s="144" t="s">
        <v>1174</v>
      </c>
      <c r="H305" s="144" t="s">
        <v>522</v>
      </c>
      <c r="I305" s="403" t="n">
        <v>46010</v>
      </c>
      <c r="J305" s="66" t="n">
        <v>12</v>
      </c>
      <c r="K305" s="71" t="s">
        <v>53</v>
      </c>
      <c r="L305" s="151" t="s">
        <v>60</v>
      </c>
      <c r="M305" s="145" t="n">
        <v>3312</v>
      </c>
    </row>
    <row r="306" customFormat="false" ht="12.75" hidden="false" customHeight="true" outlineLevel="0" collapsed="false">
      <c r="A306" s="148" t="s">
        <v>3126</v>
      </c>
      <c r="B306" s="405" t="s">
        <v>3127</v>
      </c>
      <c r="C306" s="119" t="n">
        <v>2022</v>
      </c>
      <c r="D306" s="404" t="n">
        <v>44663</v>
      </c>
      <c r="E306" s="68" t="s">
        <v>3128</v>
      </c>
      <c r="F306" s="151" t="s">
        <v>1609</v>
      </c>
      <c r="G306" s="405" t="s">
        <v>1174</v>
      </c>
      <c r="H306" s="405" t="s">
        <v>192</v>
      </c>
      <c r="I306" s="404" t="n">
        <v>46010</v>
      </c>
      <c r="J306" s="68" t="n">
        <v>12</v>
      </c>
      <c r="K306" s="71" t="s">
        <v>53</v>
      </c>
      <c r="L306" s="151" t="s">
        <v>2848</v>
      </c>
      <c r="M306" s="152" t="n">
        <v>1347</v>
      </c>
    </row>
    <row r="307" customFormat="false" ht="12.75" hidden="false" customHeight="true" outlineLevel="0" collapsed="false">
      <c r="A307" s="139" t="s">
        <v>3129</v>
      </c>
      <c r="B307" s="144" t="s">
        <v>3130</v>
      </c>
      <c r="C307" s="115" t="n">
        <v>2023</v>
      </c>
      <c r="D307" s="403" t="n">
        <v>44967</v>
      </c>
      <c r="E307" s="66" t="s">
        <v>3131</v>
      </c>
      <c r="F307" s="66" t="s">
        <v>777</v>
      </c>
      <c r="G307" s="144" t="s">
        <v>1174</v>
      </c>
      <c r="H307" s="144" t="s">
        <v>208</v>
      </c>
      <c r="I307" s="403" t="n">
        <v>46010</v>
      </c>
      <c r="J307" s="66" t="n">
        <v>12</v>
      </c>
      <c r="K307" s="71" t="s">
        <v>53</v>
      </c>
      <c r="L307" s="151" t="s">
        <v>60</v>
      </c>
      <c r="M307" s="145" t="n">
        <v>1043</v>
      </c>
    </row>
    <row r="308" customFormat="false" ht="12.75" hidden="false" customHeight="true" outlineLevel="0" collapsed="false">
      <c r="A308" s="148" t="s">
        <v>3132</v>
      </c>
      <c r="B308" s="405" t="s">
        <v>3133</v>
      </c>
      <c r="C308" s="119" t="n">
        <v>2022</v>
      </c>
      <c r="D308" s="404" t="n">
        <v>44747</v>
      </c>
      <c r="E308" s="68" t="s">
        <v>3134</v>
      </c>
      <c r="F308" s="405" t="s">
        <v>211</v>
      </c>
      <c r="G308" s="405" t="s">
        <v>1174</v>
      </c>
      <c r="H308" s="405" t="s">
        <v>1231</v>
      </c>
      <c r="I308" s="404" t="n">
        <v>46010</v>
      </c>
      <c r="J308" s="68" t="n">
        <v>12</v>
      </c>
      <c r="K308" s="71" t="s">
        <v>53</v>
      </c>
      <c r="L308" s="206" t="s">
        <v>58</v>
      </c>
      <c r="M308" s="152" t="n">
        <v>1263</v>
      </c>
    </row>
    <row r="309" customFormat="false" ht="12.75" hidden="false" customHeight="true" outlineLevel="0" collapsed="false">
      <c r="A309" s="139" t="s">
        <v>3135</v>
      </c>
      <c r="B309" s="144" t="s">
        <v>3136</v>
      </c>
      <c r="C309" s="115" t="n">
        <v>2022</v>
      </c>
      <c r="D309" s="403" t="n">
        <v>44778</v>
      </c>
      <c r="E309" s="66" t="s">
        <v>3137</v>
      </c>
      <c r="F309" s="66" t="s">
        <v>3138</v>
      </c>
      <c r="G309" s="144" t="s">
        <v>1174</v>
      </c>
      <c r="H309" s="144" t="s">
        <v>471</v>
      </c>
      <c r="I309" s="403" t="n">
        <v>46010</v>
      </c>
      <c r="J309" s="66" t="n">
        <v>12</v>
      </c>
      <c r="K309" s="163" t="s">
        <v>53</v>
      </c>
      <c r="L309" s="206" t="s">
        <v>61</v>
      </c>
      <c r="M309" s="145" t="n">
        <v>1232</v>
      </c>
    </row>
    <row r="310" customFormat="false" ht="12.75" hidden="false" customHeight="true" outlineLevel="0" collapsed="false">
      <c r="A310" s="148" t="s">
        <v>3139</v>
      </c>
      <c r="B310" s="405" t="s">
        <v>3140</v>
      </c>
      <c r="C310" s="119" t="n">
        <v>2017</v>
      </c>
      <c r="D310" s="404" t="n">
        <v>43040</v>
      </c>
      <c r="E310" s="68" t="s">
        <v>3141</v>
      </c>
      <c r="F310" s="405" t="s">
        <v>1511</v>
      </c>
      <c r="G310" s="405" t="s">
        <v>1174</v>
      </c>
      <c r="H310" s="405" t="s">
        <v>267</v>
      </c>
      <c r="I310" s="404" t="n">
        <v>46010</v>
      </c>
      <c r="J310" s="68" t="n">
        <v>12</v>
      </c>
      <c r="K310" s="71" t="s">
        <v>53</v>
      </c>
      <c r="L310" s="206" t="s">
        <v>58</v>
      </c>
      <c r="M310" s="152" t="n">
        <v>2970</v>
      </c>
    </row>
    <row r="311" customFormat="false" ht="12.75" hidden="false" customHeight="true" outlineLevel="0" collapsed="false">
      <c r="A311" s="139" t="s">
        <v>3142</v>
      </c>
      <c r="B311" s="144" t="s">
        <v>3143</v>
      </c>
      <c r="C311" s="115" t="n">
        <v>2024</v>
      </c>
      <c r="D311" s="403" t="n">
        <v>45483</v>
      </c>
      <c r="E311" s="66" t="s">
        <v>3144</v>
      </c>
      <c r="F311" s="66" t="s">
        <v>2193</v>
      </c>
      <c r="G311" s="144" t="s">
        <v>1174</v>
      </c>
      <c r="H311" s="144" t="s">
        <v>1231</v>
      </c>
      <c r="I311" s="403" t="n">
        <v>46010</v>
      </c>
      <c r="J311" s="66" t="n">
        <v>12</v>
      </c>
      <c r="K311" s="71" t="s">
        <v>53</v>
      </c>
      <c r="L311" s="151" t="s">
        <v>60</v>
      </c>
      <c r="M311" s="145" t="n">
        <v>527</v>
      </c>
    </row>
    <row r="312" customFormat="false" ht="12.75" hidden="false" customHeight="true" outlineLevel="0" collapsed="false">
      <c r="A312" s="148" t="s">
        <v>3145</v>
      </c>
      <c r="B312" s="405" t="s">
        <v>3146</v>
      </c>
      <c r="C312" s="119" t="n">
        <v>2019</v>
      </c>
      <c r="D312" s="404" t="n">
        <v>43675</v>
      </c>
      <c r="E312" s="68" t="s">
        <v>3147</v>
      </c>
      <c r="F312" s="405" t="s">
        <v>569</v>
      </c>
      <c r="G312" s="405" t="s">
        <v>1174</v>
      </c>
      <c r="H312" s="405" t="s">
        <v>1231</v>
      </c>
      <c r="I312" s="404" t="n">
        <v>46010</v>
      </c>
      <c r="J312" s="68" t="n">
        <v>12</v>
      </c>
      <c r="K312" s="163" t="s">
        <v>53</v>
      </c>
      <c r="L312" s="206" t="s">
        <v>58</v>
      </c>
      <c r="M312" s="152" t="n">
        <v>2335</v>
      </c>
    </row>
    <row r="313" customFormat="false" ht="12.75" hidden="false" customHeight="true" outlineLevel="0" collapsed="false">
      <c r="A313" s="139" t="s">
        <v>3148</v>
      </c>
      <c r="B313" s="144" t="s">
        <v>3149</v>
      </c>
      <c r="C313" s="115" t="n">
        <v>2019</v>
      </c>
      <c r="D313" s="403" t="n">
        <v>43738</v>
      </c>
      <c r="E313" s="66" t="s">
        <v>3150</v>
      </c>
      <c r="F313" s="66" t="s">
        <v>2014</v>
      </c>
      <c r="G313" s="144" t="s">
        <v>1174</v>
      </c>
      <c r="H313" s="144" t="s">
        <v>1231</v>
      </c>
      <c r="I313" s="403" t="n">
        <v>46010</v>
      </c>
      <c r="J313" s="66" t="n">
        <v>12</v>
      </c>
      <c r="K313" s="71" t="s">
        <v>53</v>
      </c>
      <c r="L313" s="206" t="s">
        <v>58</v>
      </c>
      <c r="M313" s="145" t="n">
        <v>2272</v>
      </c>
    </row>
    <row r="314" customFormat="false" ht="12.75" hidden="false" customHeight="true" outlineLevel="0" collapsed="false">
      <c r="A314" s="148" t="s">
        <v>3151</v>
      </c>
      <c r="B314" s="405" t="s">
        <v>3152</v>
      </c>
      <c r="C314" s="119" t="n">
        <v>2015</v>
      </c>
      <c r="D314" s="404" t="n">
        <v>42026</v>
      </c>
      <c r="E314" s="68" t="s">
        <v>3153</v>
      </c>
      <c r="F314" s="405" t="s">
        <v>2292</v>
      </c>
      <c r="G314" s="405" t="s">
        <v>1174</v>
      </c>
      <c r="H314" s="405" t="s">
        <v>1231</v>
      </c>
      <c r="I314" s="404" t="n">
        <v>46010</v>
      </c>
      <c r="J314" s="68" t="n">
        <v>12</v>
      </c>
      <c r="K314" s="71" t="s">
        <v>53</v>
      </c>
      <c r="L314" s="151" t="s">
        <v>60</v>
      </c>
      <c r="M314" s="152" t="n">
        <v>3984</v>
      </c>
    </row>
    <row r="315" customFormat="false" ht="12.75" hidden="false" customHeight="true" outlineLevel="0" collapsed="false">
      <c r="A315" s="139" t="s">
        <v>3154</v>
      </c>
      <c r="B315" s="144" t="s">
        <v>3155</v>
      </c>
      <c r="C315" s="115" t="n">
        <v>2023</v>
      </c>
      <c r="D315" s="403" t="n">
        <v>44999</v>
      </c>
      <c r="E315" s="66" t="s">
        <v>3156</v>
      </c>
      <c r="F315" s="66" t="s">
        <v>1689</v>
      </c>
      <c r="G315" s="144" t="s">
        <v>1174</v>
      </c>
      <c r="H315" s="144" t="s">
        <v>532</v>
      </c>
      <c r="I315" s="403" t="n">
        <v>46014</v>
      </c>
      <c r="J315" s="66" t="n">
        <v>12</v>
      </c>
      <c r="K315" s="196" t="s">
        <v>53</v>
      </c>
      <c r="L315" s="151" t="s">
        <v>60</v>
      </c>
      <c r="M315" s="145" t="n">
        <v>1015</v>
      </c>
    </row>
    <row r="316" customFormat="false" ht="12.75" hidden="false" customHeight="true" outlineLevel="0" collapsed="false">
      <c r="A316" s="148" t="s">
        <v>3157</v>
      </c>
      <c r="B316" s="405" t="s">
        <v>3158</v>
      </c>
      <c r="C316" s="119" t="n">
        <v>2017</v>
      </c>
      <c r="D316" s="404" t="n">
        <v>43059</v>
      </c>
      <c r="E316" s="68" t="s">
        <v>3159</v>
      </c>
      <c r="F316" s="405" t="s">
        <v>1316</v>
      </c>
      <c r="G316" s="405" t="s">
        <v>1174</v>
      </c>
      <c r="H316" s="405" t="s">
        <v>1231</v>
      </c>
      <c r="I316" s="404" t="n">
        <v>46014</v>
      </c>
      <c r="J316" s="68" t="n">
        <v>12</v>
      </c>
      <c r="K316" s="71" t="s">
        <v>53</v>
      </c>
      <c r="L316" s="206" t="s">
        <v>58</v>
      </c>
      <c r="M316" s="152" t="n">
        <v>2955</v>
      </c>
    </row>
    <row r="317" customFormat="false" ht="15" hidden="false" customHeight="true" outlineLevel="0" collapsed="false">
      <c r="A317" s="139" t="s">
        <v>3160</v>
      </c>
      <c r="B317" s="144" t="s">
        <v>3161</v>
      </c>
      <c r="C317" s="115" t="n">
        <v>2018</v>
      </c>
      <c r="D317" s="403" t="n">
        <v>43222</v>
      </c>
      <c r="E317" s="66" t="s">
        <v>3162</v>
      </c>
      <c r="F317" s="66" t="s">
        <v>1511</v>
      </c>
      <c r="G317" s="144" t="s">
        <v>1174</v>
      </c>
      <c r="H317" s="144" t="s">
        <v>192</v>
      </c>
      <c r="I317" s="403" t="n">
        <v>46014</v>
      </c>
      <c r="J317" s="66" t="n">
        <v>12</v>
      </c>
      <c r="K317" s="71" t="s">
        <v>53</v>
      </c>
      <c r="L317" s="206" t="s">
        <v>58</v>
      </c>
      <c r="M317" s="145" t="n">
        <v>2792</v>
      </c>
    </row>
    <row r="318" customFormat="false" ht="12.75" hidden="false" customHeight="true" outlineLevel="0" collapsed="false">
      <c r="A318" s="148" t="s">
        <v>3163</v>
      </c>
      <c r="B318" s="405" t="s">
        <v>3164</v>
      </c>
      <c r="C318" s="119" t="n">
        <v>2022</v>
      </c>
      <c r="D318" s="404" t="n">
        <v>44859</v>
      </c>
      <c r="E318" s="68" t="s">
        <v>3165</v>
      </c>
      <c r="F318" s="405" t="s">
        <v>1511</v>
      </c>
      <c r="G318" s="405" t="s">
        <v>1174</v>
      </c>
      <c r="H318" s="405" t="s">
        <v>693</v>
      </c>
      <c r="I318" s="404" t="n">
        <v>46014</v>
      </c>
      <c r="J318" s="68" t="n">
        <v>12</v>
      </c>
      <c r="K318" s="71" t="s">
        <v>53</v>
      </c>
      <c r="L318" s="206" t="s">
        <v>58</v>
      </c>
      <c r="M318" s="152" t="n">
        <v>1155</v>
      </c>
    </row>
    <row r="319" customFormat="false" ht="12.75" hidden="false" customHeight="true" outlineLevel="0" collapsed="false">
      <c r="A319" s="139" t="s">
        <v>3166</v>
      </c>
      <c r="B319" s="144" t="s">
        <v>3167</v>
      </c>
      <c r="C319" s="115" t="n">
        <v>2018</v>
      </c>
      <c r="D319" s="403" t="n">
        <v>43193</v>
      </c>
      <c r="E319" s="66" t="s">
        <v>3168</v>
      </c>
      <c r="F319" s="66" t="s">
        <v>1511</v>
      </c>
      <c r="G319" s="144" t="s">
        <v>1174</v>
      </c>
      <c r="H319" s="144" t="s">
        <v>1072</v>
      </c>
      <c r="I319" s="403" t="n">
        <v>46014</v>
      </c>
      <c r="J319" s="66" t="n">
        <v>12</v>
      </c>
      <c r="K319" s="71" t="s">
        <v>53</v>
      </c>
      <c r="L319" s="206" t="s">
        <v>58</v>
      </c>
      <c r="M319" s="145" t="n">
        <v>2821</v>
      </c>
    </row>
    <row r="320" customFormat="false" ht="12.75" hidden="false" customHeight="true" outlineLevel="0" collapsed="false">
      <c r="A320" s="148" t="s">
        <v>3169</v>
      </c>
      <c r="B320" s="405" t="s">
        <v>3170</v>
      </c>
      <c r="C320" s="119" t="n">
        <v>2021</v>
      </c>
      <c r="D320" s="404" t="n">
        <v>44265</v>
      </c>
      <c r="E320" s="68" t="s">
        <v>3171</v>
      </c>
      <c r="F320" s="405" t="s">
        <v>2592</v>
      </c>
      <c r="G320" s="405" t="s">
        <v>1174</v>
      </c>
      <c r="H320" s="405" t="s">
        <v>1258</v>
      </c>
      <c r="I320" s="404" t="n">
        <v>46014</v>
      </c>
      <c r="J320" s="68" t="n">
        <v>12</v>
      </c>
      <c r="K320" s="71" t="s">
        <v>53</v>
      </c>
      <c r="L320" s="206" t="s">
        <v>58</v>
      </c>
      <c r="M320" s="152" t="n">
        <v>1749</v>
      </c>
    </row>
    <row r="321" customFormat="false" ht="12.75" hidden="false" customHeight="true" outlineLevel="0" collapsed="false">
      <c r="A321" s="139" t="s">
        <v>3172</v>
      </c>
      <c r="B321" s="144" t="s">
        <v>3173</v>
      </c>
      <c r="C321" s="115" t="n">
        <v>2019</v>
      </c>
      <c r="D321" s="403" t="n">
        <v>43677</v>
      </c>
      <c r="E321" s="66" t="s">
        <v>3174</v>
      </c>
      <c r="F321" s="66" t="s">
        <v>3175</v>
      </c>
      <c r="G321" s="144" t="s">
        <v>1174</v>
      </c>
      <c r="H321" s="144" t="s">
        <v>532</v>
      </c>
      <c r="I321" s="403" t="n">
        <v>46014</v>
      </c>
      <c r="J321" s="66" t="n">
        <v>12</v>
      </c>
      <c r="K321" s="71" t="s">
        <v>53</v>
      </c>
      <c r="L321" s="151" t="s">
        <v>60</v>
      </c>
      <c r="M321" s="145" t="n">
        <v>2337</v>
      </c>
    </row>
    <row r="322" customFormat="false" ht="15" hidden="false" customHeight="true" outlineLevel="0" collapsed="false">
      <c r="A322" s="148" t="s">
        <v>3176</v>
      </c>
      <c r="B322" s="405" t="s">
        <v>3177</v>
      </c>
      <c r="C322" s="119" t="n">
        <v>2021</v>
      </c>
      <c r="D322" s="404" t="n">
        <v>44528</v>
      </c>
      <c r="E322" s="68" t="s">
        <v>3178</v>
      </c>
      <c r="F322" s="405" t="s">
        <v>798</v>
      </c>
      <c r="G322" s="405" t="s">
        <v>1174</v>
      </c>
      <c r="H322" s="405" t="s">
        <v>1109</v>
      </c>
      <c r="I322" s="404" t="n">
        <v>46014</v>
      </c>
      <c r="J322" s="68" t="n">
        <v>12</v>
      </c>
      <c r="K322" s="71" t="s">
        <v>53</v>
      </c>
      <c r="L322" s="151" t="s">
        <v>60</v>
      </c>
      <c r="M322" s="152" t="n">
        <v>1486</v>
      </c>
    </row>
    <row r="323" customFormat="false" ht="12.75" hidden="false" customHeight="true" outlineLevel="0" collapsed="false">
      <c r="A323" s="139" t="s">
        <v>3179</v>
      </c>
      <c r="B323" s="144" t="s">
        <v>3180</v>
      </c>
      <c r="C323" s="115" t="n">
        <v>2020</v>
      </c>
      <c r="D323" s="403" t="n">
        <v>43963</v>
      </c>
      <c r="E323" s="66" t="s">
        <v>3181</v>
      </c>
      <c r="F323" s="66" t="s">
        <v>1316</v>
      </c>
      <c r="G323" s="144" t="s">
        <v>1174</v>
      </c>
      <c r="H323" s="144" t="s">
        <v>532</v>
      </c>
      <c r="I323" s="403" t="n">
        <v>46014</v>
      </c>
      <c r="J323" s="66" t="n">
        <v>12</v>
      </c>
      <c r="K323" s="71" t="s">
        <v>53</v>
      </c>
      <c r="L323" s="206" t="s">
        <v>58</v>
      </c>
      <c r="M323" s="145" t="n">
        <v>2051</v>
      </c>
    </row>
    <row r="324" customFormat="false" ht="12.75" hidden="false" customHeight="true" outlineLevel="0" collapsed="false">
      <c r="A324" s="148" t="s">
        <v>3182</v>
      </c>
      <c r="B324" s="405" t="s">
        <v>3183</v>
      </c>
      <c r="C324" s="119" t="n">
        <v>2022</v>
      </c>
      <c r="D324" s="404" t="n">
        <v>44797</v>
      </c>
      <c r="E324" s="68" t="s">
        <v>3184</v>
      </c>
      <c r="F324" s="405" t="s">
        <v>537</v>
      </c>
      <c r="G324" s="405" t="s">
        <v>1174</v>
      </c>
      <c r="H324" s="405" t="s">
        <v>192</v>
      </c>
      <c r="I324" s="404" t="n">
        <v>46017</v>
      </c>
      <c r="J324" s="68" t="n">
        <v>12</v>
      </c>
      <c r="K324" s="71" t="s">
        <v>53</v>
      </c>
      <c r="L324" s="206" t="s">
        <v>58</v>
      </c>
      <c r="M324" s="152" t="n">
        <v>1220</v>
      </c>
    </row>
    <row r="325" customFormat="false" ht="12.75" hidden="false" customHeight="true" outlineLevel="0" collapsed="false">
      <c r="A325" s="139" t="n">
        <v>125</v>
      </c>
      <c r="B325" s="140" t="s">
        <v>3185</v>
      </c>
      <c r="C325" s="140" t="n">
        <v>2016</v>
      </c>
      <c r="D325" s="141" t="n">
        <v>42571</v>
      </c>
      <c r="E325" s="66" t="s">
        <v>3186</v>
      </c>
      <c r="F325" s="142" t="s">
        <v>3187</v>
      </c>
      <c r="G325" s="66" t="s">
        <v>441</v>
      </c>
      <c r="H325" s="142" t="s">
        <v>3056</v>
      </c>
      <c r="I325" s="141" t="n">
        <v>45666</v>
      </c>
      <c r="J325" s="66" t="n">
        <v>1</v>
      </c>
      <c r="K325" s="143" t="s">
        <v>49</v>
      </c>
      <c r="L325" s="144" t="s">
        <v>58</v>
      </c>
      <c r="M325" s="145" t="n">
        <v>3095</v>
      </c>
    </row>
    <row r="326" customFormat="false" ht="12.75" hidden="false" customHeight="true" outlineLevel="0" collapsed="false">
      <c r="A326" s="148" t="n">
        <v>225</v>
      </c>
      <c r="B326" s="149" t="s">
        <v>3188</v>
      </c>
      <c r="C326" s="149" t="n">
        <v>2021</v>
      </c>
      <c r="D326" s="150" t="n">
        <v>44238</v>
      </c>
      <c r="E326" s="68" t="s">
        <v>3189</v>
      </c>
      <c r="F326" s="151" t="s">
        <v>3190</v>
      </c>
      <c r="G326" s="68" t="s">
        <v>441</v>
      </c>
      <c r="H326" s="151" t="s">
        <v>513</v>
      </c>
      <c r="I326" s="150" t="n">
        <v>45666</v>
      </c>
      <c r="J326" s="68" t="n">
        <v>1</v>
      </c>
      <c r="K326" s="143" t="s">
        <v>48</v>
      </c>
      <c r="L326" s="151" t="s">
        <v>60</v>
      </c>
      <c r="M326" s="152" t="n">
        <v>1428</v>
      </c>
    </row>
    <row r="327" customFormat="false" ht="12.75" hidden="false" customHeight="true" outlineLevel="0" collapsed="false">
      <c r="A327" s="139" t="n">
        <v>325</v>
      </c>
      <c r="B327" s="140" t="s">
        <v>3191</v>
      </c>
      <c r="C327" s="140" t="n">
        <v>2021</v>
      </c>
      <c r="D327" s="141" t="n">
        <v>44238</v>
      </c>
      <c r="E327" s="66" t="s">
        <v>3192</v>
      </c>
      <c r="F327" s="142" t="s">
        <v>3193</v>
      </c>
      <c r="G327" s="66" t="s">
        <v>441</v>
      </c>
      <c r="H327" s="142" t="s">
        <v>513</v>
      </c>
      <c r="I327" s="141" t="n">
        <v>45666</v>
      </c>
      <c r="J327" s="66" t="n">
        <v>1</v>
      </c>
      <c r="K327" s="143" t="s">
        <v>48</v>
      </c>
      <c r="L327" s="144" t="s">
        <v>60</v>
      </c>
      <c r="M327" s="145" t="n">
        <v>1428</v>
      </c>
    </row>
    <row r="328" customFormat="false" ht="12.75" hidden="false" customHeight="true" outlineLevel="0" collapsed="false">
      <c r="A328" s="148" t="n">
        <v>425</v>
      </c>
      <c r="B328" s="149" t="s">
        <v>3194</v>
      </c>
      <c r="C328" s="149" t="n">
        <v>2021</v>
      </c>
      <c r="D328" s="150" t="n">
        <v>44238</v>
      </c>
      <c r="E328" s="68" t="s">
        <v>3195</v>
      </c>
      <c r="F328" s="151" t="s">
        <v>3190</v>
      </c>
      <c r="G328" s="68" t="s">
        <v>441</v>
      </c>
      <c r="H328" s="151" t="s">
        <v>513</v>
      </c>
      <c r="I328" s="150" t="n">
        <v>45666</v>
      </c>
      <c r="J328" s="68" t="n">
        <v>1</v>
      </c>
      <c r="K328" s="143" t="s">
        <v>48</v>
      </c>
      <c r="L328" s="151" t="s">
        <v>60</v>
      </c>
      <c r="M328" s="152" t="n">
        <v>1428</v>
      </c>
    </row>
    <row r="329" customFormat="false" ht="12.75" hidden="false" customHeight="true" outlineLevel="0" collapsed="false">
      <c r="A329" s="139" t="n">
        <v>525</v>
      </c>
      <c r="B329" s="140" t="s">
        <v>3196</v>
      </c>
      <c r="C329" s="140" t="n">
        <v>2021</v>
      </c>
      <c r="D329" s="141" t="n">
        <v>44244</v>
      </c>
      <c r="E329" s="66" t="s">
        <v>3197</v>
      </c>
      <c r="F329" s="142" t="s">
        <v>537</v>
      </c>
      <c r="G329" s="66" t="s">
        <v>441</v>
      </c>
      <c r="H329" s="142" t="s">
        <v>139</v>
      </c>
      <c r="I329" s="141" t="n">
        <v>45666</v>
      </c>
      <c r="J329" s="66" t="n">
        <v>1</v>
      </c>
      <c r="K329" s="188" t="s">
        <v>49</v>
      </c>
      <c r="L329" s="144" t="s">
        <v>60</v>
      </c>
      <c r="M329" s="145" t="n">
        <v>1422</v>
      </c>
    </row>
    <row r="330" customFormat="false" ht="12.75" hidden="false" customHeight="true" outlineLevel="0" collapsed="false">
      <c r="A330" s="148" t="n">
        <v>625</v>
      </c>
      <c r="B330" s="149" t="s">
        <v>3198</v>
      </c>
      <c r="C330" s="149" t="n">
        <v>2023</v>
      </c>
      <c r="D330" s="157" t="n">
        <v>44935</v>
      </c>
      <c r="E330" s="68" t="s">
        <v>3199</v>
      </c>
      <c r="F330" s="151" t="s">
        <v>3200</v>
      </c>
      <c r="G330" s="68" t="s">
        <v>130</v>
      </c>
      <c r="H330" s="151" t="s">
        <v>3201</v>
      </c>
      <c r="I330" s="150" t="n">
        <v>45666</v>
      </c>
      <c r="J330" s="158" t="n">
        <v>1</v>
      </c>
      <c r="K330" s="169" t="s">
        <v>290</v>
      </c>
      <c r="L330" s="189" t="s">
        <v>61</v>
      </c>
      <c r="M330" s="152" t="n">
        <v>731</v>
      </c>
    </row>
    <row r="331" customFormat="false" ht="12.75" hidden="false" customHeight="true" outlineLevel="0" collapsed="false">
      <c r="A331" s="139" t="n">
        <v>725</v>
      </c>
      <c r="B331" s="140" t="s">
        <v>3202</v>
      </c>
      <c r="C331" s="140" t="n">
        <v>2022</v>
      </c>
      <c r="D331" s="141" t="n">
        <v>44567</v>
      </c>
      <c r="E331" s="66" t="s">
        <v>3203</v>
      </c>
      <c r="F331" s="142" t="s">
        <v>3204</v>
      </c>
      <c r="G331" s="66" t="s">
        <v>441</v>
      </c>
      <c r="H331" s="142" t="s">
        <v>409</v>
      </c>
      <c r="I331" s="141" t="n">
        <v>45681</v>
      </c>
      <c r="J331" s="66" t="n">
        <v>1</v>
      </c>
      <c r="K331" s="407" t="s">
        <v>49</v>
      </c>
      <c r="L331" s="144" t="s">
        <v>58</v>
      </c>
      <c r="M331" s="145" t="n">
        <v>1114</v>
      </c>
    </row>
    <row r="332" customFormat="false" ht="12.75" hidden="false" customHeight="true" outlineLevel="0" collapsed="false">
      <c r="A332" s="148" t="n">
        <v>825</v>
      </c>
      <c r="B332" s="149" t="s">
        <v>3205</v>
      </c>
      <c r="C332" s="149" t="n">
        <v>2023</v>
      </c>
      <c r="D332" s="150" t="n">
        <v>45266</v>
      </c>
      <c r="E332" s="68" t="s">
        <v>3206</v>
      </c>
      <c r="F332" s="151" t="s">
        <v>3207</v>
      </c>
      <c r="G332" s="68" t="s">
        <v>130</v>
      </c>
      <c r="H332" s="151" t="s">
        <v>622</v>
      </c>
      <c r="I332" s="150" t="n">
        <v>45681</v>
      </c>
      <c r="J332" s="158" t="n">
        <v>1</v>
      </c>
      <c r="K332" s="169" t="s">
        <v>290</v>
      </c>
      <c r="L332" s="189" t="s">
        <v>61</v>
      </c>
      <c r="M332" s="152" t="n">
        <v>415</v>
      </c>
    </row>
    <row r="333" customFormat="false" ht="12.75" hidden="false" customHeight="true" outlineLevel="0" collapsed="false">
      <c r="A333" s="139" t="n">
        <v>925</v>
      </c>
      <c r="B333" s="140" t="s">
        <v>3208</v>
      </c>
      <c r="C333" s="140" t="n">
        <v>2024</v>
      </c>
      <c r="D333" s="141" t="n">
        <v>45348</v>
      </c>
      <c r="E333" s="142" t="s">
        <v>3209</v>
      </c>
      <c r="F333" s="142" t="s">
        <v>3210</v>
      </c>
      <c r="G333" s="66" t="s">
        <v>130</v>
      </c>
      <c r="H333" s="142" t="s">
        <v>3211</v>
      </c>
      <c r="I333" s="141" t="n">
        <v>45681</v>
      </c>
      <c r="J333" s="66" t="n">
        <v>1</v>
      </c>
      <c r="K333" s="408" t="s">
        <v>49</v>
      </c>
      <c r="L333" s="144" t="s">
        <v>61</v>
      </c>
      <c r="M333" s="145" t="n">
        <v>333</v>
      </c>
    </row>
    <row r="334" customFormat="false" ht="12.75" hidden="false" customHeight="true" outlineLevel="0" collapsed="false">
      <c r="A334" s="148" t="n">
        <v>1025</v>
      </c>
      <c r="B334" s="149" t="s">
        <v>3212</v>
      </c>
      <c r="C334" s="149" t="n">
        <v>2024</v>
      </c>
      <c r="D334" s="150" t="n">
        <v>45309</v>
      </c>
      <c r="E334" s="68" t="s">
        <v>3213</v>
      </c>
      <c r="F334" s="151" t="s">
        <v>3214</v>
      </c>
      <c r="G334" s="68" t="s">
        <v>130</v>
      </c>
      <c r="H334" s="151" t="s">
        <v>3211</v>
      </c>
      <c r="I334" s="150" t="n">
        <v>45684</v>
      </c>
      <c r="J334" s="68" t="n">
        <v>1</v>
      </c>
      <c r="K334" s="143" t="s">
        <v>49</v>
      </c>
      <c r="L334" s="151" t="s">
        <v>61</v>
      </c>
      <c r="M334" s="152" t="n">
        <v>375</v>
      </c>
    </row>
    <row r="335" customFormat="false" ht="12.75" hidden="false" customHeight="true" outlineLevel="0" collapsed="false">
      <c r="A335" s="139" t="n">
        <v>1125</v>
      </c>
      <c r="B335" s="140" t="s">
        <v>3215</v>
      </c>
      <c r="C335" s="140" t="n">
        <v>2024</v>
      </c>
      <c r="D335" s="141" t="n">
        <v>45365</v>
      </c>
      <c r="E335" s="66" t="s">
        <v>3216</v>
      </c>
      <c r="F335" s="142" t="s">
        <v>636</v>
      </c>
      <c r="G335" s="66" t="s">
        <v>130</v>
      </c>
      <c r="H335" s="142" t="s">
        <v>322</v>
      </c>
      <c r="I335" s="141" t="n">
        <v>45684</v>
      </c>
      <c r="J335" s="66" t="n">
        <v>1</v>
      </c>
      <c r="K335" s="143" t="s">
        <v>49</v>
      </c>
      <c r="L335" s="144" t="s">
        <v>61</v>
      </c>
      <c r="M335" s="145" t="n">
        <v>319</v>
      </c>
    </row>
    <row r="336" customFormat="false" ht="12.75" hidden="false" customHeight="true" outlineLevel="0" collapsed="false">
      <c r="A336" s="148" t="n">
        <v>1225</v>
      </c>
      <c r="B336" s="149" t="s">
        <v>3217</v>
      </c>
      <c r="C336" s="149" t="n">
        <v>2018</v>
      </c>
      <c r="D336" s="150" t="n">
        <v>43425</v>
      </c>
      <c r="E336" s="68" t="s">
        <v>3218</v>
      </c>
      <c r="F336" s="151" t="s">
        <v>723</v>
      </c>
      <c r="G336" s="68" t="s">
        <v>441</v>
      </c>
      <c r="H336" s="151" t="s">
        <v>1231</v>
      </c>
      <c r="I336" s="150" t="n">
        <v>45684</v>
      </c>
      <c r="J336" s="68" t="n">
        <v>1</v>
      </c>
      <c r="K336" s="163" t="s">
        <v>46</v>
      </c>
      <c r="L336" s="151" t="s">
        <v>58</v>
      </c>
      <c r="M336" s="152" t="n">
        <v>2259</v>
      </c>
    </row>
    <row r="337" customFormat="false" ht="12.75" hidden="false" customHeight="true" outlineLevel="0" collapsed="false">
      <c r="A337" s="139" t="n">
        <v>1325</v>
      </c>
      <c r="B337" s="140" t="s">
        <v>3219</v>
      </c>
      <c r="C337" s="140" t="n">
        <v>2021</v>
      </c>
      <c r="D337" s="141" t="n">
        <v>44435</v>
      </c>
      <c r="E337" s="66" t="s">
        <v>3220</v>
      </c>
      <c r="F337" s="142" t="s">
        <v>138</v>
      </c>
      <c r="G337" s="66" t="s">
        <v>441</v>
      </c>
      <c r="H337" s="142" t="s">
        <v>3221</v>
      </c>
      <c r="I337" s="141" t="n">
        <v>45684</v>
      </c>
      <c r="J337" s="66" t="n">
        <v>1</v>
      </c>
      <c r="K337" s="143" t="s">
        <v>49</v>
      </c>
      <c r="L337" s="144" t="s">
        <v>60</v>
      </c>
      <c r="M337" s="145" t="n">
        <v>1249</v>
      </c>
    </row>
    <row r="338" customFormat="false" ht="12.75" hidden="false" customHeight="true" outlineLevel="0" collapsed="false">
      <c r="A338" s="148" t="n">
        <v>1425</v>
      </c>
      <c r="B338" s="149" t="s">
        <v>3222</v>
      </c>
      <c r="C338" s="149" t="n">
        <v>2024</v>
      </c>
      <c r="D338" s="150" t="n">
        <v>45344</v>
      </c>
      <c r="E338" s="68" t="s">
        <v>3223</v>
      </c>
      <c r="F338" s="151" t="s">
        <v>3224</v>
      </c>
      <c r="G338" s="68" t="s">
        <v>130</v>
      </c>
      <c r="H338" s="151" t="s">
        <v>3225</v>
      </c>
      <c r="I338" s="150" t="n">
        <v>45684</v>
      </c>
      <c r="J338" s="68" t="n">
        <v>1</v>
      </c>
      <c r="K338" s="143" t="s">
        <v>49</v>
      </c>
      <c r="L338" s="151" t="s">
        <v>61</v>
      </c>
      <c r="M338" s="152" t="n">
        <v>340</v>
      </c>
    </row>
    <row r="339" customFormat="false" ht="12.75" hidden="false" customHeight="true" outlineLevel="0" collapsed="false">
      <c r="A339" s="139" t="n">
        <v>1525</v>
      </c>
      <c r="B339" s="140" t="s">
        <v>3226</v>
      </c>
      <c r="C339" s="140" t="n">
        <v>2021</v>
      </c>
      <c r="D339" s="141" t="n">
        <v>44309</v>
      </c>
      <c r="E339" s="66" t="s">
        <v>3227</v>
      </c>
      <c r="F339" s="142" t="s">
        <v>1196</v>
      </c>
      <c r="G339" s="66" t="s">
        <v>441</v>
      </c>
      <c r="H339" s="142" t="s">
        <v>139</v>
      </c>
      <c r="I339" s="141" t="n">
        <v>45684</v>
      </c>
      <c r="J339" s="66" t="n">
        <v>1</v>
      </c>
      <c r="K339" s="143" t="s">
        <v>49</v>
      </c>
      <c r="L339" s="144" t="s">
        <v>60</v>
      </c>
      <c r="M339" s="145" t="n">
        <v>1375</v>
      </c>
    </row>
    <row r="340" customFormat="false" ht="15" hidden="false" customHeight="true" outlineLevel="0" collapsed="false">
      <c r="A340" s="148" t="n">
        <v>1625</v>
      </c>
      <c r="B340" s="149" t="s">
        <v>3228</v>
      </c>
      <c r="C340" s="149" t="n">
        <v>2021</v>
      </c>
      <c r="D340" s="150" t="n">
        <v>44337</v>
      </c>
      <c r="E340" s="68" t="s">
        <v>3229</v>
      </c>
      <c r="F340" s="151" t="s">
        <v>3230</v>
      </c>
      <c r="G340" s="68" t="s">
        <v>441</v>
      </c>
      <c r="H340" s="151" t="s">
        <v>3231</v>
      </c>
      <c r="I340" s="150" t="n">
        <v>45684</v>
      </c>
      <c r="J340" s="68" t="n">
        <v>1</v>
      </c>
      <c r="K340" s="143" t="s">
        <v>49</v>
      </c>
      <c r="L340" s="151" t="s">
        <v>60</v>
      </c>
      <c r="M340" s="152" t="n">
        <v>1347</v>
      </c>
    </row>
    <row r="341" customFormat="false" ht="12.75" hidden="false" customHeight="true" outlineLevel="0" collapsed="false">
      <c r="A341" s="139" t="n">
        <v>1725</v>
      </c>
      <c r="B341" s="140" t="s">
        <v>3232</v>
      </c>
      <c r="C341" s="140" t="n">
        <v>2024</v>
      </c>
      <c r="D341" s="141" t="n">
        <v>45343</v>
      </c>
      <c r="E341" s="66" t="s">
        <v>3233</v>
      </c>
      <c r="F341" s="142" t="s">
        <v>876</v>
      </c>
      <c r="G341" s="66" t="s">
        <v>130</v>
      </c>
      <c r="H341" s="142" t="s">
        <v>3234</v>
      </c>
      <c r="I341" s="141" t="n">
        <v>45684</v>
      </c>
      <c r="J341" s="66" t="n">
        <v>1</v>
      </c>
      <c r="K341" s="143" t="s">
        <v>49</v>
      </c>
      <c r="L341" s="144" t="s">
        <v>61</v>
      </c>
      <c r="M341" s="145" t="n">
        <v>341</v>
      </c>
    </row>
    <row r="342" customFormat="false" ht="12.75" hidden="false" customHeight="true" outlineLevel="0" collapsed="false">
      <c r="A342" s="148" t="n">
        <v>1825</v>
      </c>
      <c r="B342" s="149" t="s">
        <v>3235</v>
      </c>
      <c r="C342" s="149" t="n">
        <v>2024</v>
      </c>
      <c r="D342" s="150" t="n">
        <v>45320</v>
      </c>
      <c r="E342" s="68" t="s">
        <v>3236</v>
      </c>
      <c r="F342" s="151" t="s">
        <v>636</v>
      </c>
      <c r="G342" s="68" t="s">
        <v>130</v>
      </c>
      <c r="H342" s="151" t="s">
        <v>3237</v>
      </c>
      <c r="I342" s="150" t="n">
        <v>45684</v>
      </c>
      <c r="J342" s="68" t="n">
        <v>1</v>
      </c>
      <c r="K342" s="143" t="s">
        <v>49</v>
      </c>
      <c r="L342" s="151" t="s">
        <v>61</v>
      </c>
      <c r="M342" s="152" t="n">
        <v>364</v>
      </c>
    </row>
    <row r="343" customFormat="false" ht="12.75" hidden="false" customHeight="true" outlineLevel="0" collapsed="false">
      <c r="A343" s="139" t="n">
        <v>1925</v>
      </c>
      <c r="B343" s="140" t="s">
        <v>3238</v>
      </c>
      <c r="C343" s="140" t="n">
        <v>2021</v>
      </c>
      <c r="D343" s="141" t="n">
        <v>44392</v>
      </c>
      <c r="E343" s="66" t="s">
        <v>3239</v>
      </c>
      <c r="F343" s="142" t="s">
        <v>723</v>
      </c>
      <c r="G343" s="66" t="s">
        <v>441</v>
      </c>
      <c r="H343" s="142" t="s">
        <v>3240</v>
      </c>
      <c r="I343" s="141" t="n">
        <v>45684</v>
      </c>
      <c r="J343" s="66" t="n">
        <v>1</v>
      </c>
      <c r="K343" s="163" t="s">
        <v>46</v>
      </c>
      <c r="L343" s="144" t="s">
        <v>60</v>
      </c>
      <c r="M343" s="145" t="n">
        <v>1292</v>
      </c>
    </row>
    <row r="344" customFormat="false" ht="12.75" hidden="false" customHeight="true" outlineLevel="0" collapsed="false">
      <c r="A344" s="148" t="n">
        <v>2025</v>
      </c>
      <c r="B344" s="149" t="s">
        <v>3241</v>
      </c>
      <c r="C344" s="149" t="n">
        <v>2021</v>
      </c>
      <c r="D344" s="150" t="n">
        <v>44321</v>
      </c>
      <c r="E344" s="68" t="s">
        <v>3242</v>
      </c>
      <c r="F344" s="151" t="s">
        <v>3243</v>
      </c>
      <c r="G344" s="68" t="s">
        <v>441</v>
      </c>
      <c r="H344" s="151" t="s">
        <v>139</v>
      </c>
      <c r="I344" s="150" t="n">
        <v>45684</v>
      </c>
      <c r="J344" s="68" t="n">
        <v>1</v>
      </c>
      <c r="K344" s="143" t="s">
        <v>48</v>
      </c>
      <c r="L344" s="151" t="s">
        <v>60</v>
      </c>
      <c r="M344" s="152" t="n">
        <v>1363</v>
      </c>
    </row>
    <row r="345" customFormat="false" ht="12.75" hidden="false" customHeight="true" outlineLevel="0" collapsed="false">
      <c r="A345" s="139" t="n">
        <v>2125</v>
      </c>
      <c r="B345" s="140" t="s">
        <v>3244</v>
      </c>
      <c r="C345" s="140" t="n">
        <v>2021</v>
      </c>
      <c r="D345" s="141" t="n">
        <v>44463</v>
      </c>
      <c r="E345" s="66" t="s">
        <v>3245</v>
      </c>
      <c r="F345" s="142" t="s">
        <v>191</v>
      </c>
      <c r="G345" s="66" t="s">
        <v>144</v>
      </c>
      <c r="H345" s="142" t="s">
        <v>899</v>
      </c>
      <c r="I345" s="141" t="n">
        <v>45684</v>
      </c>
      <c r="J345" s="66" t="n">
        <v>1</v>
      </c>
      <c r="K345" s="409" t="s">
        <v>290</v>
      </c>
      <c r="L345" s="144" t="s">
        <v>58</v>
      </c>
      <c r="M345" s="145" t="n">
        <v>1221</v>
      </c>
    </row>
    <row r="346" customFormat="false" ht="15" hidden="false" customHeight="true" outlineLevel="0" collapsed="false">
      <c r="A346" s="148" t="n">
        <v>2225</v>
      </c>
      <c r="B346" s="149" t="s">
        <v>3246</v>
      </c>
      <c r="C346" s="149" t="n">
        <v>2021</v>
      </c>
      <c r="D346" s="150" t="n">
        <v>44245</v>
      </c>
      <c r="E346" s="68" t="s">
        <v>3247</v>
      </c>
      <c r="F346" s="151" t="s">
        <v>3248</v>
      </c>
      <c r="G346" s="68" t="s">
        <v>441</v>
      </c>
      <c r="H346" s="151" t="s">
        <v>513</v>
      </c>
      <c r="I346" s="150" t="n">
        <v>45684</v>
      </c>
      <c r="J346" s="68" t="n">
        <v>1</v>
      </c>
      <c r="K346" s="143" t="s">
        <v>49</v>
      </c>
      <c r="L346" s="151" t="s">
        <v>61</v>
      </c>
      <c r="M346" s="152" t="n">
        <v>1439</v>
      </c>
    </row>
    <row r="347" customFormat="false" ht="15" hidden="false" customHeight="true" outlineLevel="0" collapsed="false">
      <c r="A347" s="139" t="n">
        <v>2325</v>
      </c>
      <c r="B347" s="140" t="s">
        <v>3249</v>
      </c>
      <c r="C347" s="140" t="n">
        <v>2018</v>
      </c>
      <c r="D347" s="141" t="n">
        <v>43299</v>
      </c>
      <c r="E347" s="66" t="s">
        <v>3250</v>
      </c>
      <c r="F347" s="142" t="s">
        <v>346</v>
      </c>
      <c r="G347" s="66" t="s">
        <v>441</v>
      </c>
      <c r="H347" s="142" t="s">
        <v>706</v>
      </c>
      <c r="I347" s="141" t="n">
        <v>45684</v>
      </c>
      <c r="J347" s="66" t="n">
        <v>1</v>
      </c>
      <c r="K347" s="143" t="s">
        <v>49</v>
      </c>
      <c r="L347" s="144" t="s">
        <v>58</v>
      </c>
      <c r="M347" s="145" t="n">
        <v>2385</v>
      </c>
    </row>
    <row r="348" customFormat="false" ht="15" hidden="false" customHeight="true" outlineLevel="0" collapsed="false">
      <c r="A348" s="148" t="n">
        <v>2425</v>
      </c>
      <c r="B348" s="149" t="s">
        <v>3251</v>
      </c>
      <c r="C348" s="149" t="n">
        <v>2021</v>
      </c>
      <c r="D348" s="150" t="n">
        <v>44469</v>
      </c>
      <c r="E348" s="68" t="s">
        <v>3252</v>
      </c>
      <c r="F348" s="151" t="s">
        <v>405</v>
      </c>
      <c r="G348" s="68" t="s">
        <v>144</v>
      </c>
      <c r="H348" s="151" t="s">
        <v>373</v>
      </c>
      <c r="I348" s="150" t="n">
        <v>45684</v>
      </c>
      <c r="J348" s="68" t="n">
        <v>1</v>
      </c>
      <c r="K348" s="143" t="s">
        <v>48</v>
      </c>
      <c r="L348" s="151" t="s">
        <v>58</v>
      </c>
      <c r="M348" s="152" t="n">
        <v>1215</v>
      </c>
    </row>
    <row r="349" customFormat="false" ht="15" hidden="false" customHeight="true" outlineLevel="0" collapsed="false">
      <c r="A349" s="139" t="n">
        <v>2525</v>
      </c>
      <c r="B349" s="140" t="s">
        <v>3253</v>
      </c>
      <c r="C349" s="140" t="n">
        <v>2018</v>
      </c>
      <c r="D349" s="141" t="n">
        <v>43348</v>
      </c>
      <c r="E349" s="66" t="s">
        <v>3254</v>
      </c>
      <c r="F349" s="142" t="s">
        <v>346</v>
      </c>
      <c r="G349" s="66" t="s">
        <v>441</v>
      </c>
      <c r="H349" s="142" t="s">
        <v>109</v>
      </c>
      <c r="I349" s="141" t="n">
        <v>45684</v>
      </c>
      <c r="J349" s="66" t="n">
        <v>1</v>
      </c>
      <c r="K349" s="143" t="s">
        <v>49</v>
      </c>
      <c r="L349" s="144" t="s">
        <v>58</v>
      </c>
      <c r="M349" s="145" t="n">
        <v>2336</v>
      </c>
    </row>
    <row r="350" customFormat="false" ht="12.75" hidden="false" customHeight="true" outlineLevel="0" collapsed="false">
      <c r="A350" s="148" t="n">
        <v>2625</v>
      </c>
      <c r="B350" s="149" t="s">
        <v>3255</v>
      </c>
      <c r="C350" s="149" t="n">
        <v>2020</v>
      </c>
      <c r="D350" s="150" t="n">
        <v>44053</v>
      </c>
      <c r="E350" s="68" t="s">
        <v>3256</v>
      </c>
      <c r="F350" s="151" t="s">
        <v>3257</v>
      </c>
      <c r="G350" s="68" t="s">
        <v>441</v>
      </c>
      <c r="H350" s="151" t="s">
        <v>1072</v>
      </c>
      <c r="I350" s="150" t="n">
        <v>45684</v>
      </c>
      <c r="J350" s="68" t="n">
        <v>1</v>
      </c>
      <c r="K350" s="143" t="s">
        <v>48</v>
      </c>
      <c r="L350" s="151" t="s">
        <v>58</v>
      </c>
      <c r="M350" s="152" t="n">
        <v>1631</v>
      </c>
    </row>
    <row r="351" customFormat="false" ht="12.75" hidden="false" customHeight="true" outlineLevel="0" collapsed="false">
      <c r="A351" s="139" t="n">
        <v>2725</v>
      </c>
      <c r="B351" s="140" t="s">
        <v>3258</v>
      </c>
      <c r="C351" s="140" t="n">
        <v>2021</v>
      </c>
      <c r="D351" s="141" t="n">
        <v>44421</v>
      </c>
      <c r="E351" s="66" t="s">
        <v>3259</v>
      </c>
      <c r="F351" s="142" t="s">
        <v>3260</v>
      </c>
      <c r="G351" s="66" t="s">
        <v>441</v>
      </c>
      <c r="H351" s="142" t="s">
        <v>544</v>
      </c>
      <c r="I351" s="141" t="n">
        <v>45684</v>
      </c>
      <c r="J351" s="66" t="n">
        <v>1</v>
      </c>
      <c r="K351" s="143" t="s">
        <v>49</v>
      </c>
      <c r="L351" s="144" t="s">
        <v>60</v>
      </c>
      <c r="M351" s="145" t="n">
        <v>1263</v>
      </c>
    </row>
    <row r="352" customFormat="false" ht="12.75" hidden="false" customHeight="true" outlineLevel="0" collapsed="false">
      <c r="A352" s="148" t="n">
        <v>2825</v>
      </c>
      <c r="B352" s="149" t="s">
        <v>3261</v>
      </c>
      <c r="C352" s="149" t="n">
        <v>2021</v>
      </c>
      <c r="D352" s="150" t="n">
        <v>44299</v>
      </c>
      <c r="E352" s="68" t="s">
        <v>3262</v>
      </c>
      <c r="F352" s="151" t="s">
        <v>138</v>
      </c>
      <c r="G352" s="68" t="s">
        <v>441</v>
      </c>
      <c r="H352" s="151" t="s">
        <v>471</v>
      </c>
      <c r="I352" s="150" t="n">
        <v>45684</v>
      </c>
      <c r="J352" s="68" t="n">
        <v>1</v>
      </c>
      <c r="K352" s="143" t="s">
        <v>49</v>
      </c>
      <c r="L352" s="151" t="s">
        <v>60</v>
      </c>
      <c r="M352" s="152" t="n">
        <v>1385</v>
      </c>
    </row>
    <row r="353" customFormat="false" ht="12.75" hidden="false" customHeight="true" outlineLevel="0" collapsed="false">
      <c r="A353" s="139" t="n">
        <v>2925</v>
      </c>
      <c r="B353" s="140" t="s">
        <v>3263</v>
      </c>
      <c r="C353" s="140" t="n">
        <v>2021</v>
      </c>
      <c r="D353" s="141" t="n">
        <v>44245</v>
      </c>
      <c r="E353" s="66" t="s">
        <v>3264</v>
      </c>
      <c r="F353" s="142" t="s">
        <v>138</v>
      </c>
      <c r="G353" s="66" t="s">
        <v>441</v>
      </c>
      <c r="H353" s="142" t="s">
        <v>513</v>
      </c>
      <c r="I353" s="141" t="n">
        <v>45684</v>
      </c>
      <c r="J353" s="66" t="n">
        <v>1</v>
      </c>
      <c r="K353" s="143" t="s">
        <v>49</v>
      </c>
      <c r="L353" s="144" t="s">
        <v>61</v>
      </c>
      <c r="M353" s="145" t="n">
        <v>1439</v>
      </c>
    </row>
    <row r="354" customFormat="false" ht="12.75" hidden="false" customHeight="true" outlineLevel="0" collapsed="false">
      <c r="A354" s="148" t="n">
        <v>3025</v>
      </c>
      <c r="B354" s="149" t="s">
        <v>3265</v>
      </c>
      <c r="C354" s="149" t="n">
        <v>2020</v>
      </c>
      <c r="D354" s="150" t="n">
        <v>43922</v>
      </c>
      <c r="E354" s="68" t="s">
        <v>3266</v>
      </c>
      <c r="F354" s="151" t="s">
        <v>3267</v>
      </c>
      <c r="G354" s="68" t="s">
        <v>441</v>
      </c>
      <c r="H354" s="151" t="s">
        <v>3268</v>
      </c>
      <c r="I354" s="150" t="n">
        <v>45695</v>
      </c>
      <c r="J354" s="68" t="n">
        <v>2</v>
      </c>
      <c r="K354" s="143" t="s">
        <v>48</v>
      </c>
      <c r="L354" s="151" t="s">
        <v>58</v>
      </c>
      <c r="M354" s="152" t="n">
        <v>1773</v>
      </c>
    </row>
    <row r="355" customFormat="false" ht="12.75" hidden="false" customHeight="true" outlineLevel="0" collapsed="false">
      <c r="A355" s="139" t="n">
        <v>3125</v>
      </c>
      <c r="B355" s="140" t="s">
        <v>3269</v>
      </c>
      <c r="C355" s="140" t="n">
        <v>2021</v>
      </c>
      <c r="D355" s="141" t="n">
        <v>44257</v>
      </c>
      <c r="E355" s="66" t="s">
        <v>3270</v>
      </c>
      <c r="F355" s="142" t="s">
        <v>752</v>
      </c>
      <c r="G355" s="66" t="s">
        <v>441</v>
      </c>
      <c r="H355" s="142" t="s">
        <v>3268</v>
      </c>
      <c r="I355" s="141" t="n">
        <v>45695</v>
      </c>
      <c r="J355" s="66" t="n">
        <v>2</v>
      </c>
      <c r="K355" s="143" t="s">
        <v>48</v>
      </c>
      <c r="L355" s="144" t="s">
        <v>58</v>
      </c>
      <c r="M355" s="145" t="n">
        <v>1438</v>
      </c>
    </row>
    <row r="356" customFormat="false" ht="12.75" hidden="false" customHeight="true" outlineLevel="0" collapsed="false">
      <c r="A356" s="148" t="n">
        <v>3225</v>
      </c>
      <c r="B356" s="149" t="s">
        <v>3271</v>
      </c>
      <c r="C356" s="149" t="n">
        <v>2019</v>
      </c>
      <c r="D356" s="150" t="n">
        <v>43616</v>
      </c>
      <c r="E356" s="68" t="s">
        <v>3272</v>
      </c>
      <c r="F356" s="151" t="s">
        <v>793</v>
      </c>
      <c r="G356" s="68" t="s">
        <v>441</v>
      </c>
      <c r="H356" s="151" t="s">
        <v>522</v>
      </c>
      <c r="I356" s="150" t="n">
        <v>45695</v>
      </c>
      <c r="J356" s="68" t="n">
        <v>2</v>
      </c>
      <c r="K356" s="143" t="s">
        <v>49</v>
      </c>
      <c r="L356" s="151" t="s">
        <v>58</v>
      </c>
      <c r="M356" s="152" t="n">
        <v>2079</v>
      </c>
    </row>
    <row r="357" customFormat="false" ht="12.75" hidden="false" customHeight="true" outlineLevel="0" collapsed="false">
      <c r="A357" s="139" t="n">
        <v>3325</v>
      </c>
      <c r="B357" s="140" t="s">
        <v>3273</v>
      </c>
      <c r="C357" s="140" t="n">
        <v>2020</v>
      </c>
      <c r="D357" s="141" t="n">
        <v>44125</v>
      </c>
      <c r="E357" s="66" t="s">
        <v>3274</v>
      </c>
      <c r="F357" s="142" t="s">
        <v>3275</v>
      </c>
      <c r="G357" s="66" t="s">
        <v>441</v>
      </c>
      <c r="H357" s="142" t="s">
        <v>522</v>
      </c>
      <c r="I357" s="141" t="n">
        <v>45695</v>
      </c>
      <c r="J357" s="66" t="n">
        <v>2</v>
      </c>
      <c r="K357" s="143" t="s">
        <v>49</v>
      </c>
      <c r="L357" s="144" t="s">
        <v>58</v>
      </c>
      <c r="M357" s="145" t="n">
        <v>1570</v>
      </c>
    </row>
    <row r="358" customFormat="false" ht="15" hidden="false" customHeight="true" outlineLevel="0" collapsed="false">
      <c r="A358" s="148" t="n">
        <v>3425</v>
      </c>
      <c r="B358" s="149" t="s">
        <v>3276</v>
      </c>
      <c r="C358" s="149" t="n">
        <v>2024</v>
      </c>
      <c r="D358" s="150" t="n">
        <v>45439</v>
      </c>
      <c r="E358" s="68" t="s">
        <v>3277</v>
      </c>
      <c r="F358" s="151" t="s">
        <v>376</v>
      </c>
      <c r="G358" s="68" t="s">
        <v>130</v>
      </c>
      <c r="H358" s="151" t="s">
        <v>3278</v>
      </c>
      <c r="I358" s="150" t="n">
        <v>45698</v>
      </c>
      <c r="J358" s="68" t="n">
        <v>2</v>
      </c>
      <c r="K358" s="143" t="s">
        <v>49</v>
      </c>
      <c r="L358" s="151" t="s">
        <v>61</v>
      </c>
      <c r="M358" s="152" t="n">
        <v>259</v>
      </c>
    </row>
    <row r="359" customFormat="false" ht="12.75" hidden="false" customHeight="true" outlineLevel="0" collapsed="false">
      <c r="A359" s="139" t="n">
        <v>3525</v>
      </c>
      <c r="B359" s="140" t="s">
        <v>3279</v>
      </c>
      <c r="C359" s="140" t="n">
        <v>2024</v>
      </c>
      <c r="D359" s="141" t="n">
        <v>45440</v>
      </c>
      <c r="E359" s="66" t="s">
        <v>3280</v>
      </c>
      <c r="F359" s="142" t="s">
        <v>856</v>
      </c>
      <c r="G359" s="66" t="s">
        <v>130</v>
      </c>
      <c r="H359" s="142" t="s">
        <v>3281</v>
      </c>
      <c r="I359" s="141" t="n">
        <v>45698</v>
      </c>
      <c r="J359" s="66" t="n">
        <v>2</v>
      </c>
      <c r="K359" s="143" t="s">
        <v>49</v>
      </c>
      <c r="L359" s="144" t="s">
        <v>61</v>
      </c>
      <c r="M359" s="145" t="n">
        <v>258</v>
      </c>
    </row>
    <row r="360" customFormat="false" ht="12.75" hidden="false" customHeight="true" outlineLevel="0" collapsed="false">
      <c r="A360" s="148" t="n">
        <v>3625</v>
      </c>
      <c r="B360" s="149" t="s">
        <v>3282</v>
      </c>
      <c r="C360" s="149" t="n">
        <v>2024</v>
      </c>
      <c r="D360" s="150" t="n">
        <v>45440</v>
      </c>
      <c r="E360" s="68" t="s">
        <v>3283</v>
      </c>
      <c r="F360" s="151" t="s">
        <v>3284</v>
      </c>
      <c r="G360" s="68" t="s">
        <v>130</v>
      </c>
      <c r="H360" s="151" t="s">
        <v>3278</v>
      </c>
      <c r="I360" s="150" t="n">
        <v>45698</v>
      </c>
      <c r="J360" s="68" t="n">
        <v>2</v>
      </c>
      <c r="K360" s="143" t="s">
        <v>49</v>
      </c>
      <c r="L360" s="151" t="s">
        <v>61</v>
      </c>
      <c r="M360" s="152" t="n">
        <v>258</v>
      </c>
    </row>
    <row r="361" customFormat="false" ht="12.75" hidden="false" customHeight="true" outlineLevel="0" collapsed="false">
      <c r="A361" s="139" t="n">
        <v>3725</v>
      </c>
      <c r="B361" s="140" t="s">
        <v>3285</v>
      </c>
      <c r="C361" s="140" t="n">
        <v>2024</v>
      </c>
      <c r="D361" s="141" t="n">
        <v>45439</v>
      </c>
      <c r="E361" s="66" t="s">
        <v>3286</v>
      </c>
      <c r="F361" s="142" t="s">
        <v>856</v>
      </c>
      <c r="G361" s="66" t="s">
        <v>130</v>
      </c>
      <c r="H361" s="142" t="s">
        <v>3281</v>
      </c>
      <c r="I361" s="141" t="n">
        <v>45698</v>
      </c>
      <c r="J361" s="66" t="n">
        <v>2</v>
      </c>
      <c r="K361" s="143" t="s">
        <v>49</v>
      </c>
      <c r="L361" s="144" t="s">
        <v>61</v>
      </c>
      <c r="M361" s="145" t="n">
        <v>259</v>
      </c>
    </row>
    <row r="362" customFormat="false" ht="15" hidden="false" customHeight="true" outlineLevel="0" collapsed="false">
      <c r="A362" s="148" t="n">
        <v>3825</v>
      </c>
      <c r="B362" s="149" t="s">
        <v>3287</v>
      </c>
      <c r="C362" s="149" t="n">
        <v>2024</v>
      </c>
      <c r="D362" s="150" t="n">
        <v>45440</v>
      </c>
      <c r="E362" s="68" t="s">
        <v>3288</v>
      </c>
      <c r="F362" s="151" t="s">
        <v>876</v>
      </c>
      <c r="G362" s="68" t="s">
        <v>130</v>
      </c>
      <c r="H362" s="151" t="s">
        <v>3278</v>
      </c>
      <c r="I362" s="150" t="n">
        <v>45698</v>
      </c>
      <c r="J362" s="68" t="n">
        <v>2</v>
      </c>
      <c r="K362" s="143" t="s">
        <v>49</v>
      </c>
      <c r="L362" s="151" t="s">
        <v>61</v>
      </c>
      <c r="M362" s="152" t="n">
        <v>258</v>
      </c>
    </row>
    <row r="363" customFormat="false" ht="12.75" hidden="false" customHeight="true" outlineLevel="0" collapsed="false">
      <c r="A363" s="139" t="n">
        <v>3925</v>
      </c>
      <c r="B363" s="140" t="s">
        <v>3289</v>
      </c>
      <c r="C363" s="140" t="n">
        <v>2021</v>
      </c>
      <c r="D363" s="141" t="n">
        <v>44287</v>
      </c>
      <c r="E363" s="66" t="s">
        <v>3290</v>
      </c>
      <c r="F363" s="142" t="s">
        <v>401</v>
      </c>
      <c r="G363" s="66" t="s">
        <v>441</v>
      </c>
      <c r="H363" s="142" t="s">
        <v>760</v>
      </c>
      <c r="I363" s="141" t="n">
        <v>45699</v>
      </c>
      <c r="J363" s="66" t="n">
        <v>2</v>
      </c>
      <c r="K363" s="143" t="s">
        <v>49</v>
      </c>
      <c r="L363" s="142" t="s">
        <v>58</v>
      </c>
      <c r="M363" s="145" t="n">
        <v>1412</v>
      </c>
    </row>
    <row r="364" customFormat="false" ht="12.75" hidden="false" customHeight="true" outlineLevel="0" collapsed="false">
      <c r="A364" s="148" t="n">
        <v>4025</v>
      </c>
      <c r="B364" s="149" t="s">
        <v>3291</v>
      </c>
      <c r="C364" s="149" t="n">
        <v>2020</v>
      </c>
      <c r="D364" s="150" t="n">
        <v>44196</v>
      </c>
      <c r="E364" s="68" t="s">
        <v>3292</v>
      </c>
      <c r="F364" s="151" t="s">
        <v>467</v>
      </c>
      <c r="G364" s="68" t="s">
        <v>441</v>
      </c>
      <c r="H364" s="151" t="s">
        <v>813</v>
      </c>
      <c r="I364" s="150" t="n">
        <v>45699</v>
      </c>
      <c r="J364" s="68" t="n">
        <v>2</v>
      </c>
      <c r="K364" s="143" t="s">
        <v>49</v>
      </c>
      <c r="L364" s="151" t="s">
        <v>61</v>
      </c>
      <c r="M364" s="152" t="n">
        <v>1503</v>
      </c>
    </row>
    <row r="365" customFormat="false" ht="12.75" hidden="false" customHeight="true" outlineLevel="0" collapsed="false">
      <c r="A365" s="139" t="n">
        <v>4125</v>
      </c>
      <c r="B365" s="140" t="s">
        <v>3293</v>
      </c>
      <c r="C365" s="140" t="n">
        <v>2024</v>
      </c>
      <c r="D365" s="141" t="n">
        <v>45385</v>
      </c>
      <c r="E365" s="66" t="s">
        <v>3294</v>
      </c>
      <c r="F365" s="142" t="s">
        <v>3295</v>
      </c>
      <c r="G365" s="66" t="s">
        <v>130</v>
      </c>
      <c r="H365" s="142" t="s">
        <v>3296</v>
      </c>
      <c r="I365" s="141" t="n">
        <v>45699</v>
      </c>
      <c r="J365" s="66" t="n">
        <v>2</v>
      </c>
      <c r="K365" s="143" t="s">
        <v>49</v>
      </c>
      <c r="L365" s="144" t="s">
        <v>61</v>
      </c>
      <c r="M365" s="145" t="n">
        <v>314</v>
      </c>
    </row>
    <row r="366" customFormat="false" ht="12.75" hidden="false" customHeight="true" outlineLevel="0" collapsed="false">
      <c r="A366" s="148" t="n">
        <v>4225</v>
      </c>
      <c r="B366" s="149" t="s">
        <v>3297</v>
      </c>
      <c r="C366" s="149" t="n">
        <v>2024</v>
      </c>
      <c r="D366" s="150" t="n">
        <v>45385</v>
      </c>
      <c r="E366" s="68" t="s">
        <v>3298</v>
      </c>
      <c r="F366" s="151" t="s">
        <v>661</v>
      </c>
      <c r="G366" s="68" t="s">
        <v>130</v>
      </c>
      <c r="H366" s="151" t="s">
        <v>3296</v>
      </c>
      <c r="I366" s="150" t="n">
        <v>45699</v>
      </c>
      <c r="J366" s="68" t="n">
        <v>2</v>
      </c>
      <c r="K366" s="143" t="s">
        <v>49</v>
      </c>
      <c r="L366" s="151" t="s">
        <v>61</v>
      </c>
      <c r="M366" s="152" t="n">
        <v>314</v>
      </c>
    </row>
    <row r="367" customFormat="false" ht="12.75" hidden="false" customHeight="true" outlineLevel="0" collapsed="false">
      <c r="A367" s="139" t="n">
        <v>4325</v>
      </c>
      <c r="B367" s="140" t="s">
        <v>3299</v>
      </c>
      <c r="C367" s="140" t="n">
        <v>2024</v>
      </c>
      <c r="D367" s="141" t="n">
        <v>45428</v>
      </c>
      <c r="E367" s="66" t="s">
        <v>3300</v>
      </c>
      <c r="F367" s="142" t="s">
        <v>3301</v>
      </c>
      <c r="G367" s="66" t="s">
        <v>125</v>
      </c>
      <c r="H367" s="142" t="s">
        <v>3302</v>
      </c>
      <c r="I367" s="141" t="n">
        <v>45699</v>
      </c>
      <c r="J367" s="66" t="n">
        <v>2</v>
      </c>
      <c r="K367" s="143" t="s">
        <v>49</v>
      </c>
      <c r="L367" s="144" t="s">
        <v>61</v>
      </c>
      <c r="M367" s="145" t="n">
        <v>271</v>
      </c>
    </row>
    <row r="368" customFormat="false" ht="12.75" hidden="false" customHeight="true" outlineLevel="0" collapsed="false">
      <c r="A368" s="148" t="n">
        <v>4425</v>
      </c>
      <c r="B368" s="149" t="s">
        <v>3303</v>
      </c>
      <c r="C368" s="149" t="n">
        <v>2019</v>
      </c>
      <c r="D368" s="150" t="n">
        <v>43514</v>
      </c>
      <c r="E368" s="68" t="s">
        <v>3304</v>
      </c>
      <c r="F368" s="151" t="s">
        <v>3305</v>
      </c>
      <c r="G368" s="68" t="s">
        <v>144</v>
      </c>
      <c r="H368" s="151" t="s">
        <v>3306</v>
      </c>
      <c r="I368" s="150" t="n">
        <v>45699</v>
      </c>
      <c r="J368" s="68" t="n">
        <v>2</v>
      </c>
      <c r="K368" s="197" t="s">
        <v>43</v>
      </c>
      <c r="L368" s="151" t="s">
        <v>60</v>
      </c>
      <c r="M368" s="152" t="n">
        <v>2185</v>
      </c>
    </row>
    <row r="369" customFormat="false" ht="12.75" hidden="false" customHeight="true" outlineLevel="0" collapsed="false">
      <c r="A369" s="139" t="n">
        <v>4525</v>
      </c>
      <c r="B369" s="140" t="s">
        <v>3307</v>
      </c>
      <c r="C369" s="140" t="n">
        <v>2021</v>
      </c>
      <c r="D369" s="141" t="n">
        <v>44403</v>
      </c>
      <c r="E369" s="66" t="s">
        <v>3308</v>
      </c>
      <c r="F369" s="142" t="s">
        <v>3309</v>
      </c>
      <c r="G369" s="66" t="s">
        <v>441</v>
      </c>
      <c r="H369" s="142" t="s">
        <v>3240</v>
      </c>
      <c r="I369" s="141" t="n">
        <v>45699</v>
      </c>
      <c r="J369" s="66" t="n">
        <v>2</v>
      </c>
      <c r="K369" s="143" t="s">
        <v>49</v>
      </c>
      <c r="L369" s="144" t="s">
        <v>60</v>
      </c>
      <c r="M369" s="145" t="n">
        <v>1296</v>
      </c>
    </row>
    <row r="370" customFormat="false" ht="12.75" hidden="false" customHeight="true" outlineLevel="0" collapsed="false">
      <c r="A370" s="148" t="n">
        <v>4625</v>
      </c>
      <c r="B370" s="149" t="s">
        <v>3310</v>
      </c>
      <c r="C370" s="149" t="n">
        <v>2021</v>
      </c>
      <c r="D370" s="150" t="n">
        <v>44280</v>
      </c>
      <c r="E370" s="68" t="s">
        <v>3311</v>
      </c>
      <c r="F370" s="151" t="s">
        <v>3312</v>
      </c>
      <c r="G370" s="68" t="s">
        <v>115</v>
      </c>
      <c r="H370" s="151" t="s">
        <v>3313</v>
      </c>
      <c r="I370" s="150" t="n">
        <v>45699</v>
      </c>
      <c r="J370" s="68" t="n">
        <v>2</v>
      </c>
      <c r="K370" s="143" t="s">
        <v>48</v>
      </c>
      <c r="L370" s="151" t="s">
        <v>58</v>
      </c>
      <c r="M370" s="152" t="n">
        <v>1419</v>
      </c>
    </row>
    <row r="371" customFormat="false" ht="12.75" hidden="false" customHeight="true" outlineLevel="0" collapsed="false">
      <c r="A371" s="139" t="n">
        <v>4725</v>
      </c>
      <c r="B371" s="140" t="s">
        <v>3314</v>
      </c>
      <c r="C371" s="140" t="n">
        <v>2024</v>
      </c>
      <c r="D371" s="141" t="n">
        <v>45365</v>
      </c>
      <c r="E371" s="66" t="s">
        <v>3315</v>
      </c>
      <c r="F371" s="142" t="s">
        <v>376</v>
      </c>
      <c r="G371" s="66" t="s">
        <v>130</v>
      </c>
      <c r="H371" s="142" t="s">
        <v>3234</v>
      </c>
      <c r="I371" s="141" t="n">
        <v>45699</v>
      </c>
      <c r="J371" s="66" t="n">
        <v>2</v>
      </c>
      <c r="K371" s="143" t="s">
        <v>49</v>
      </c>
      <c r="L371" s="144" t="s">
        <v>61</v>
      </c>
      <c r="M371" s="145" t="n">
        <v>334</v>
      </c>
    </row>
    <row r="372" customFormat="false" ht="12.75" hidden="false" customHeight="true" outlineLevel="0" collapsed="false">
      <c r="A372" s="148" t="n">
        <v>4825</v>
      </c>
      <c r="B372" s="149" t="s">
        <v>3316</v>
      </c>
      <c r="C372" s="149" t="n">
        <v>2024</v>
      </c>
      <c r="D372" s="150" t="n">
        <v>45394</v>
      </c>
      <c r="E372" s="68" t="s">
        <v>3317</v>
      </c>
      <c r="F372" s="151" t="s">
        <v>3318</v>
      </c>
      <c r="G372" s="68" t="s">
        <v>125</v>
      </c>
      <c r="H372" s="151" t="s">
        <v>3225</v>
      </c>
      <c r="I372" s="150" t="n">
        <v>45709</v>
      </c>
      <c r="J372" s="68" t="n">
        <v>2</v>
      </c>
      <c r="K372" s="143" t="s">
        <v>49</v>
      </c>
      <c r="L372" s="151" t="s">
        <v>61</v>
      </c>
      <c r="M372" s="152" t="n">
        <v>315</v>
      </c>
    </row>
    <row r="373" customFormat="false" ht="12.75" hidden="false" customHeight="true" outlineLevel="0" collapsed="false">
      <c r="A373" s="139" t="n">
        <v>4925</v>
      </c>
      <c r="B373" s="140" t="s">
        <v>3319</v>
      </c>
      <c r="C373" s="140" t="n">
        <v>2024</v>
      </c>
      <c r="D373" s="141" t="n">
        <v>45512</v>
      </c>
      <c r="E373" s="66" t="s">
        <v>3320</v>
      </c>
      <c r="F373" s="168" t="s">
        <v>288</v>
      </c>
      <c r="G373" s="66" t="s">
        <v>130</v>
      </c>
      <c r="H373" s="142" t="s">
        <v>3321</v>
      </c>
      <c r="I373" s="141" t="n">
        <v>45709</v>
      </c>
      <c r="J373" s="66" t="n">
        <v>2</v>
      </c>
      <c r="K373" s="409" t="s">
        <v>290</v>
      </c>
      <c r="L373" s="144" t="s">
        <v>61</v>
      </c>
      <c r="M373" s="145" t="n">
        <v>197</v>
      </c>
    </row>
    <row r="374" customFormat="false" ht="15" hidden="false" customHeight="true" outlineLevel="0" collapsed="false">
      <c r="A374" s="148" t="n">
        <v>5025</v>
      </c>
      <c r="B374" s="149" t="s">
        <v>3322</v>
      </c>
      <c r="C374" s="149" t="n">
        <v>2021</v>
      </c>
      <c r="D374" s="150" t="n">
        <v>44349</v>
      </c>
      <c r="E374" s="68" t="s">
        <v>3323</v>
      </c>
      <c r="F374" s="151" t="s">
        <v>3324</v>
      </c>
      <c r="G374" s="68" t="s">
        <v>144</v>
      </c>
      <c r="H374" s="151" t="s">
        <v>119</v>
      </c>
      <c r="I374" s="150" t="n">
        <v>45709</v>
      </c>
      <c r="J374" s="68" t="n">
        <v>2</v>
      </c>
      <c r="K374" s="196" t="s">
        <v>44</v>
      </c>
      <c r="L374" s="151" t="s">
        <v>58</v>
      </c>
      <c r="M374" s="152" t="n">
        <v>1360</v>
      </c>
    </row>
    <row r="375" customFormat="false" ht="12.75" hidden="false" customHeight="true" outlineLevel="0" collapsed="false">
      <c r="A375" s="139" t="n">
        <v>5125</v>
      </c>
      <c r="B375" s="140" t="s">
        <v>3325</v>
      </c>
      <c r="C375" s="140" t="n">
        <v>2024</v>
      </c>
      <c r="D375" s="141" t="n">
        <v>45448</v>
      </c>
      <c r="E375" s="66" t="s">
        <v>3326</v>
      </c>
      <c r="F375" s="142" t="s">
        <v>876</v>
      </c>
      <c r="G375" s="66" t="s">
        <v>130</v>
      </c>
      <c r="H375" s="142" t="s">
        <v>3327</v>
      </c>
      <c r="I375" s="141" t="n">
        <v>45709</v>
      </c>
      <c r="J375" s="66" t="n">
        <v>2</v>
      </c>
      <c r="K375" s="143" t="s">
        <v>49</v>
      </c>
      <c r="L375" s="144" t="s">
        <v>61</v>
      </c>
      <c r="M375" s="145" t="n">
        <v>261</v>
      </c>
    </row>
    <row r="376" customFormat="false" ht="12.75" hidden="false" customHeight="true" outlineLevel="0" collapsed="false">
      <c r="A376" s="148" t="n">
        <v>5225</v>
      </c>
      <c r="B376" s="149" t="s">
        <v>3328</v>
      </c>
      <c r="C376" s="149" t="n">
        <v>2023</v>
      </c>
      <c r="D376" s="150" t="n">
        <v>44943</v>
      </c>
      <c r="E376" s="68" t="s">
        <v>3329</v>
      </c>
      <c r="F376" s="151" t="s">
        <v>3330</v>
      </c>
      <c r="G376" s="68" t="s">
        <v>125</v>
      </c>
      <c r="H376" s="151" t="s">
        <v>980</v>
      </c>
      <c r="I376" s="150" t="n">
        <v>45709</v>
      </c>
      <c r="J376" s="68" t="n">
        <v>2</v>
      </c>
      <c r="K376" s="143" t="s">
        <v>49</v>
      </c>
      <c r="L376" s="151" t="s">
        <v>61</v>
      </c>
      <c r="M376" s="152" t="n">
        <v>766</v>
      </c>
    </row>
    <row r="377" customFormat="false" ht="12.75" hidden="false" customHeight="true" outlineLevel="0" collapsed="false">
      <c r="A377" s="139" t="n">
        <v>5325</v>
      </c>
      <c r="B377" s="140" t="s">
        <v>3331</v>
      </c>
      <c r="C377" s="140" t="n">
        <v>2022</v>
      </c>
      <c r="D377" s="141" t="n">
        <v>44740</v>
      </c>
      <c r="E377" s="66" t="s">
        <v>3332</v>
      </c>
      <c r="F377" s="142" t="s">
        <v>552</v>
      </c>
      <c r="G377" s="66" t="s">
        <v>144</v>
      </c>
      <c r="H377" s="142" t="s">
        <v>119</v>
      </c>
      <c r="I377" s="141" t="n">
        <v>45713</v>
      </c>
      <c r="J377" s="66" t="n">
        <v>2</v>
      </c>
      <c r="K377" s="143" t="s">
        <v>48</v>
      </c>
      <c r="L377" s="142" t="s">
        <v>2848</v>
      </c>
      <c r="M377" s="145" t="n">
        <v>973</v>
      </c>
    </row>
    <row r="378" customFormat="false" ht="12.75" hidden="false" customHeight="true" outlineLevel="0" collapsed="false">
      <c r="A378" s="148" t="n">
        <v>5425</v>
      </c>
      <c r="B378" s="149" t="s">
        <v>3333</v>
      </c>
      <c r="C378" s="149" t="n">
        <v>2021</v>
      </c>
      <c r="D378" s="150" t="n">
        <v>44469</v>
      </c>
      <c r="E378" s="68" t="s">
        <v>3334</v>
      </c>
      <c r="F378" s="151" t="s">
        <v>3335</v>
      </c>
      <c r="G378" s="68" t="s">
        <v>144</v>
      </c>
      <c r="H378" s="151" t="s">
        <v>119</v>
      </c>
      <c r="I378" s="150" t="n">
        <v>45712</v>
      </c>
      <c r="J378" s="68" t="n">
        <v>2</v>
      </c>
      <c r="K378" s="143" t="s">
        <v>48</v>
      </c>
      <c r="L378" s="151" t="s">
        <v>58</v>
      </c>
      <c r="M378" s="152" t="n">
        <v>1243</v>
      </c>
    </row>
    <row r="379" customFormat="false" ht="12.75" hidden="false" customHeight="true" outlineLevel="0" collapsed="false">
      <c r="A379" s="139" t="n">
        <v>5525</v>
      </c>
      <c r="B379" s="140" t="s">
        <v>3336</v>
      </c>
      <c r="C379" s="140" t="n">
        <v>2018</v>
      </c>
      <c r="D379" s="141" t="n">
        <v>43343</v>
      </c>
      <c r="E379" s="66" t="s">
        <v>3337</v>
      </c>
      <c r="F379" s="142" t="s">
        <v>3338</v>
      </c>
      <c r="G379" s="66" t="s">
        <v>441</v>
      </c>
      <c r="H379" s="142" t="s">
        <v>3339</v>
      </c>
      <c r="I379" s="141" t="n">
        <v>45712</v>
      </c>
      <c r="J379" s="66" t="n">
        <v>2</v>
      </c>
      <c r="K379" s="143" t="s">
        <v>49</v>
      </c>
      <c r="L379" s="142" t="s">
        <v>58</v>
      </c>
      <c r="M379" s="145" t="n">
        <v>2369</v>
      </c>
    </row>
    <row r="380" customFormat="false" ht="12.75" hidden="false" customHeight="true" outlineLevel="0" collapsed="false">
      <c r="A380" s="148" t="n">
        <v>5625</v>
      </c>
      <c r="B380" s="149" t="s">
        <v>3340</v>
      </c>
      <c r="C380" s="149" t="n">
        <v>2022</v>
      </c>
      <c r="D380" s="150" t="n">
        <v>44580</v>
      </c>
      <c r="E380" s="68" t="s">
        <v>3341</v>
      </c>
      <c r="F380" s="151" t="s">
        <v>3342</v>
      </c>
      <c r="G380" s="68" t="s">
        <v>441</v>
      </c>
      <c r="H380" s="151" t="s">
        <v>409</v>
      </c>
      <c r="I380" s="150" t="n">
        <v>45712</v>
      </c>
      <c r="J380" s="68" t="n">
        <v>2</v>
      </c>
      <c r="K380" s="143" t="s">
        <v>49</v>
      </c>
      <c r="L380" s="151" t="s">
        <v>58</v>
      </c>
      <c r="M380" s="152" t="n">
        <v>1132</v>
      </c>
    </row>
    <row r="381" customFormat="false" ht="12.75" hidden="false" customHeight="true" outlineLevel="0" collapsed="false">
      <c r="A381" s="139" t="n">
        <v>5725</v>
      </c>
      <c r="B381" s="140" t="s">
        <v>3343</v>
      </c>
      <c r="C381" s="140" t="n">
        <v>2020</v>
      </c>
      <c r="D381" s="141" t="n">
        <v>44193</v>
      </c>
      <c r="E381" s="66" t="s">
        <v>3344</v>
      </c>
      <c r="F381" s="142" t="s">
        <v>488</v>
      </c>
      <c r="G381" s="66" t="s">
        <v>441</v>
      </c>
      <c r="H381" s="142" t="s">
        <v>471</v>
      </c>
      <c r="I381" s="141" t="n">
        <v>45712</v>
      </c>
      <c r="J381" s="66" t="n">
        <v>2</v>
      </c>
      <c r="K381" s="143" t="s">
        <v>48</v>
      </c>
      <c r="L381" s="142" t="s">
        <v>60</v>
      </c>
      <c r="M381" s="145" t="n">
        <v>1519</v>
      </c>
    </row>
    <row r="382" customFormat="false" ht="12.75" hidden="false" customHeight="true" outlineLevel="0" collapsed="false">
      <c r="A382" s="148" t="n">
        <v>5825</v>
      </c>
      <c r="B382" s="149" t="s">
        <v>3345</v>
      </c>
      <c r="C382" s="149" t="n">
        <v>2023</v>
      </c>
      <c r="D382" s="150" t="n">
        <v>45254</v>
      </c>
      <c r="E382" s="68" t="s">
        <v>3346</v>
      </c>
      <c r="F382" s="151" t="s">
        <v>3347</v>
      </c>
      <c r="G382" s="68" t="s">
        <v>125</v>
      </c>
      <c r="H382" s="151" t="s">
        <v>3348</v>
      </c>
      <c r="I382" s="150" t="n">
        <v>45712</v>
      </c>
      <c r="J382" s="68" t="n">
        <v>2</v>
      </c>
      <c r="K382" s="409" t="s">
        <v>290</v>
      </c>
      <c r="L382" s="151" t="s">
        <v>61</v>
      </c>
      <c r="M382" s="152" t="n">
        <v>458</v>
      </c>
    </row>
    <row r="383" customFormat="false" ht="12.75" hidden="false" customHeight="true" outlineLevel="0" collapsed="false">
      <c r="A383" s="139" t="n">
        <v>5925</v>
      </c>
      <c r="B383" s="140" t="s">
        <v>3349</v>
      </c>
      <c r="C383" s="140" t="n">
        <v>2024</v>
      </c>
      <c r="D383" s="141" t="n">
        <v>45385</v>
      </c>
      <c r="E383" s="66" t="s">
        <v>3350</v>
      </c>
      <c r="F383" s="142" t="s">
        <v>3351</v>
      </c>
      <c r="G383" s="66" t="s">
        <v>130</v>
      </c>
      <c r="H383" s="142" t="s">
        <v>3352</v>
      </c>
      <c r="I383" s="141" t="n">
        <v>45712</v>
      </c>
      <c r="J383" s="66" t="n">
        <v>2</v>
      </c>
      <c r="K383" s="143" t="s">
        <v>49</v>
      </c>
      <c r="L383" s="144" t="s">
        <v>61</v>
      </c>
      <c r="M383" s="145" t="n">
        <v>327</v>
      </c>
    </row>
    <row r="384" customFormat="false" ht="12.75" hidden="false" customHeight="true" outlineLevel="0" collapsed="false">
      <c r="A384" s="148" t="n">
        <v>6025</v>
      </c>
      <c r="B384" s="149" t="s">
        <v>3353</v>
      </c>
      <c r="C384" s="149" t="n">
        <v>2021</v>
      </c>
      <c r="D384" s="150" t="n">
        <v>44225</v>
      </c>
      <c r="E384" s="68" t="s">
        <v>3354</v>
      </c>
      <c r="F384" s="151" t="s">
        <v>3355</v>
      </c>
      <c r="G384" s="68" t="s">
        <v>144</v>
      </c>
      <c r="H384" s="151" t="s">
        <v>254</v>
      </c>
      <c r="I384" s="150" t="n">
        <v>45712</v>
      </c>
      <c r="J384" s="68" t="n">
        <v>2</v>
      </c>
      <c r="K384" s="163" t="s">
        <v>46</v>
      </c>
      <c r="L384" s="151" t="s">
        <v>2848</v>
      </c>
      <c r="M384" s="152" t="n">
        <v>1487</v>
      </c>
    </row>
    <row r="385" customFormat="false" ht="12.75" hidden="false" customHeight="true" outlineLevel="0" collapsed="false">
      <c r="A385" s="139" t="n">
        <v>6125</v>
      </c>
      <c r="B385" s="140" t="s">
        <v>3356</v>
      </c>
      <c r="C385" s="140" t="n">
        <v>2017</v>
      </c>
      <c r="D385" s="141" t="n">
        <v>42786</v>
      </c>
      <c r="E385" s="66" t="s">
        <v>3357</v>
      </c>
      <c r="F385" s="142" t="s">
        <v>3243</v>
      </c>
      <c r="G385" s="66" t="s">
        <v>441</v>
      </c>
      <c r="H385" s="142" t="s">
        <v>109</v>
      </c>
      <c r="I385" s="141" t="n">
        <v>45713</v>
      </c>
      <c r="J385" s="66" t="n">
        <v>2</v>
      </c>
      <c r="K385" s="143" t="s">
        <v>48</v>
      </c>
      <c r="L385" s="142" t="s">
        <v>60</v>
      </c>
      <c r="M385" s="145" t="n">
        <v>2927</v>
      </c>
    </row>
    <row r="386" customFormat="false" ht="15" hidden="false" customHeight="true" outlineLevel="0" collapsed="false">
      <c r="A386" s="148" t="n">
        <v>6225</v>
      </c>
      <c r="B386" s="149" t="s">
        <v>3358</v>
      </c>
      <c r="C386" s="149" t="n">
        <v>2022</v>
      </c>
      <c r="D386" s="150" t="n">
        <v>44803</v>
      </c>
      <c r="E386" s="68" t="s">
        <v>3359</v>
      </c>
      <c r="F386" s="151" t="s">
        <v>1609</v>
      </c>
      <c r="G386" s="68" t="s">
        <v>441</v>
      </c>
      <c r="H386" s="151" t="s">
        <v>580</v>
      </c>
      <c r="I386" s="150" t="n">
        <v>45713</v>
      </c>
      <c r="J386" s="68" t="n">
        <v>2</v>
      </c>
      <c r="K386" s="143" t="s">
        <v>48</v>
      </c>
      <c r="L386" s="151" t="s">
        <v>58</v>
      </c>
      <c r="M386" s="152" t="n">
        <v>910</v>
      </c>
    </row>
    <row r="387" customFormat="false" ht="15" hidden="false" customHeight="true" outlineLevel="0" collapsed="false">
      <c r="A387" s="139" t="n">
        <v>6325</v>
      </c>
      <c r="B387" s="140" t="s">
        <v>3360</v>
      </c>
      <c r="C387" s="140" t="n">
        <v>2019</v>
      </c>
      <c r="D387" s="141" t="n">
        <v>43741</v>
      </c>
      <c r="E387" s="66" t="s">
        <v>3361</v>
      </c>
      <c r="F387" s="142" t="s">
        <v>3362</v>
      </c>
      <c r="G387" s="66" t="s">
        <v>441</v>
      </c>
      <c r="H387" s="142" t="s">
        <v>109</v>
      </c>
      <c r="I387" s="141" t="n">
        <v>45713</v>
      </c>
      <c r="J387" s="66" t="n">
        <v>2</v>
      </c>
      <c r="K387" s="143" t="s">
        <v>49</v>
      </c>
      <c r="L387" s="142" t="s">
        <v>60</v>
      </c>
      <c r="M387" s="145" t="n">
        <v>1972</v>
      </c>
    </row>
    <row r="388" customFormat="false" ht="12.75" hidden="false" customHeight="true" outlineLevel="0" collapsed="false">
      <c r="A388" s="148" t="n">
        <v>6425</v>
      </c>
      <c r="B388" s="149" t="s">
        <v>3363</v>
      </c>
      <c r="C388" s="149" t="n">
        <v>2021</v>
      </c>
      <c r="D388" s="150" t="n">
        <v>44244</v>
      </c>
      <c r="E388" s="68" t="s">
        <v>3364</v>
      </c>
      <c r="F388" s="151" t="s">
        <v>3362</v>
      </c>
      <c r="G388" s="68" t="s">
        <v>441</v>
      </c>
      <c r="H388" s="151" t="s">
        <v>706</v>
      </c>
      <c r="I388" s="150" t="n">
        <v>45713</v>
      </c>
      <c r="J388" s="68" t="n">
        <v>2</v>
      </c>
      <c r="K388" s="143" t="s">
        <v>49</v>
      </c>
      <c r="L388" s="151" t="s">
        <v>60</v>
      </c>
      <c r="M388" s="152" t="n">
        <v>1469</v>
      </c>
    </row>
    <row r="389" customFormat="false" ht="12.75" hidden="false" customHeight="true" outlineLevel="0" collapsed="false">
      <c r="A389" s="139" t="n">
        <v>6525</v>
      </c>
      <c r="B389" s="140" t="s">
        <v>3365</v>
      </c>
      <c r="C389" s="140" t="n">
        <v>2021</v>
      </c>
      <c r="D389" s="141" t="n">
        <v>44244</v>
      </c>
      <c r="E389" s="66" t="s">
        <v>3366</v>
      </c>
      <c r="F389" s="142" t="s">
        <v>3362</v>
      </c>
      <c r="G389" s="66" t="s">
        <v>441</v>
      </c>
      <c r="H389" s="142" t="s">
        <v>109</v>
      </c>
      <c r="I389" s="141" t="n">
        <v>45713</v>
      </c>
      <c r="J389" s="66" t="n">
        <v>2</v>
      </c>
      <c r="K389" s="143" t="s">
        <v>49</v>
      </c>
      <c r="L389" s="142" t="s">
        <v>60</v>
      </c>
      <c r="M389" s="145" t="n">
        <v>1469</v>
      </c>
    </row>
    <row r="390" customFormat="false" ht="12.75" hidden="false" customHeight="true" outlineLevel="0" collapsed="false">
      <c r="A390" s="148" t="n">
        <v>6625</v>
      </c>
      <c r="B390" s="149" t="s">
        <v>3367</v>
      </c>
      <c r="C390" s="149" t="n">
        <v>2017</v>
      </c>
      <c r="D390" s="150" t="n">
        <v>42786</v>
      </c>
      <c r="E390" s="68" t="s">
        <v>3368</v>
      </c>
      <c r="F390" s="151" t="s">
        <v>1097</v>
      </c>
      <c r="G390" s="68" t="s">
        <v>441</v>
      </c>
      <c r="H390" s="151" t="s">
        <v>706</v>
      </c>
      <c r="I390" s="150" t="n">
        <v>45713</v>
      </c>
      <c r="J390" s="68" t="n">
        <v>2</v>
      </c>
      <c r="K390" s="143" t="s">
        <v>48</v>
      </c>
      <c r="L390" s="151" t="s">
        <v>60</v>
      </c>
      <c r="M390" s="152" t="n">
        <v>2927</v>
      </c>
    </row>
    <row r="391" customFormat="false" ht="12.75" hidden="false" customHeight="true" outlineLevel="0" collapsed="false">
      <c r="A391" s="139" t="n">
        <v>6725</v>
      </c>
      <c r="B391" s="140" t="s">
        <v>3369</v>
      </c>
      <c r="C391" s="140" t="n">
        <v>2024</v>
      </c>
      <c r="D391" s="141" t="n">
        <v>45448</v>
      </c>
      <c r="E391" s="66" t="s">
        <v>3370</v>
      </c>
      <c r="F391" s="142" t="s">
        <v>636</v>
      </c>
      <c r="G391" s="66" t="s">
        <v>130</v>
      </c>
      <c r="H391" s="142" t="s">
        <v>3327</v>
      </c>
      <c r="I391" s="141" t="n">
        <v>45713</v>
      </c>
      <c r="J391" s="66" t="n">
        <v>2</v>
      </c>
      <c r="K391" s="143" t="s">
        <v>49</v>
      </c>
      <c r="L391" s="144" t="s">
        <v>61</v>
      </c>
      <c r="M391" s="145" t="n">
        <v>265</v>
      </c>
    </row>
    <row r="392" customFormat="false" ht="12.75" hidden="false" customHeight="true" outlineLevel="0" collapsed="false">
      <c r="A392" s="148" t="n">
        <v>6825</v>
      </c>
      <c r="B392" s="149" t="s">
        <v>3371</v>
      </c>
      <c r="C392" s="149" t="n">
        <v>2023</v>
      </c>
      <c r="D392" s="150" t="n">
        <v>45105</v>
      </c>
      <c r="E392" s="68" t="s">
        <v>3372</v>
      </c>
      <c r="F392" s="151" t="s">
        <v>1373</v>
      </c>
      <c r="G392" s="68" t="s">
        <v>441</v>
      </c>
      <c r="H392" s="151" t="s">
        <v>781</v>
      </c>
      <c r="I392" s="150" t="n">
        <v>45713</v>
      </c>
      <c r="J392" s="68" t="n">
        <v>2</v>
      </c>
      <c r="K392" s="143" t="s">
        <v>49</v>
      </c>
      <c r="L392" s="151" t="s">
        <v>60</v>
      </c>
      <c r="M392" s="152" t="n">
        <v>608</v>
      </c>
    </row>
    <row r="393" customFormat="false" ht="12.75" hidden="false" customHeight="true" outlineLevel="0" collapsed="false">
      <c r="A393" s="139" t="n">
        <v>6925</v>
      </c>
      <c r="B393" s="140" t="s">
        <v>3373</v>
      </c>
      <c r="C393" s="140" t="n">
        <v>2021</v>
      </c>
      <c r="D393" s="141" t="n">
        <v>44518</v>
      </c>
      <c r="E393" s="66" t="s">
        <v>3374</v>
      </c>
      <c r="F393" s="142" t="s">
        <v>3375</v>
      </c>
      <c r="G393" s="66" t="s">
        <v>441</v>
      </c>
      <c r="H393" s="142" t="s">
        <v>267</v>
      </c>
      <c r="I393" s="141" t="n">
        <v>45714</v>
      </c>
      <c r="J393" s="66" t="n">
        <v>2</v>
      </c>
      <c r="K393" s="143" t="s">
        <v>49</v>
      </c>
      <c r="L393" s="142" t="s">
        <v>58</v>
      </c>
      <c r="M393" s="145" t="n">
        <v>1196</v>
      </c>
    </row>
    <row r="394" customFormat="false" ht="12.75" hidden="false" customHeight="true" outlineLevel="0" collapsed="false">
      <c r="A394" s="148" t="n">
        <v>7025</v>
      </c>
      <c r="B394" s="149" t="s">
        <v>3376</v>
      </c>
      <c r="C394" s="149" t="n">
        <v>2022</v>
      </c>
      <c r="D394" s="150" t="n">
        <v>44725</v>
      </c>
      <c r="E394" s="151" t="s">
        <v>3377</v>
      </c>
      <c r="F394" s="151" t="s">
        <v>525</v>
      </c>
      <c r="G394" s="68" t="s">
        <v>441</v>
      </c>
      <c r="H394" s="151" t="s">
        <v>208</v>
      </c>
      <c r="I394" s="150" t="n">
        <v>45714</v>
      </c>
      <c r="J394" s="68" t="n">
        <v>2</v>
      </c>
      <c r="K394" s="143" t="s">
        <v>48</v>
      </c>
      <c r="L394" s="151" t="s">
        <v>2848</v>
      </c>
      <c r="M394" s="152" t="n">
        <v>989</v>
      </c>
    </row>
    <row r="395" customFormat="false" ht="12.75" hidden="false" customHeight="true" outlineLevel="0" collapsed="false">
      <c r="A395" s="139" t="n">
        <v>7125</v>
      </c>
      <c r="B395" s="140" t="s">
        <v>3378</v>
      </c>
      <c r="C395" s="140" t="n">
        <v>2021</v>
      </c>
      <c r="D395" s="141" t="n">
        <v>44424</v>
      </c>
      <c r="E395" s="66" t="s">
        <v>3379</v>
      </c>
      <c r="F395" s="142" t="s">
        <v>365</v>
      </c>
      <c r="G395" s="66" t="s">
        <v>441</v>
      </c>
      <c r="H395" s="142" t="s">
        <v>208</v>
      </c>
      <c r="I395" s="141" t="n">
        <v>45714</v>
      </c>
      <c r="J395" s="66" t="n">
        <v>2</v>
      </c>
      <c r="K395" s="143" t="s">
        <v>48</v>
      </c>
      <c r="L395" s="142" t="s">
        <v>60</v>
      </c>
      <c r="M395" s="145" t="n">
        <v>1290</v>
      </c>
    </row>
    <row r="396" customFormat="false" ht="12.75" hidden="false" customHeight="true" outlineLevel="0" collapsed="false">
      <c r="A396" s="148" t="n">
        <v>7225</v>
      </c>
      <c r="B396" s="149" t="s">
        <v>3380</v>
      </c>
      <c r="C396" s="149" t="n">
        <v>2017</v>
      </c>
      <c r="D396" s="150" t="n">
        <v>42898</v>
      </c>
      <c r="E396" s="68" t="s">
        <v>3381</v>
      </c>
      <c r="F396" s="151" t="s">
        <v>3382</v>
      </c>
      <c r="G396" s="68" t="s">
        <v>441</v>
      </c>
      <c r="H396" s="151" t="s">
        <v>267</v>
      </c>
      <c r="I396" s="150" t="n">
        <v>45714</v>
      </c>
      <c r="J396" s="68" t="n">
        <v>2</v>
      </c>
      <c r="K396" s="143" t="s">
        <v>49</v>
      </c>
      <c r="L396" s="151" t="s">
        <v>58</v>
      </c>
      <c r="M396" s="152" t="n">
        <v>2816</v>
      </c>
    </row>
    <row r="397" customFormat="false" ht="12.75" hidden="false" customHeight="true" outlineLevel="0" collapsed="false">
      <c r="A397" s="139" t="n">
        <v>7325</v>
      </c>
      <c r="B397" s="140" t="s">
        <v>3383</v>
      </c>
      <c r="C397" s="140" t="n">
        <v>2018</v>
      </c>
      <c r="D397" s="141" t="n">
        <v>43403</v>
      </c>
      <c r="E397" s="66" t="s">
        <v>3384</v>
      </c>
      <c r="F397" s="142" t="s">
        <v>1200</v>
      </c>
      <c r="G397" s="66" t="s">
        <v>441</v>
      </c>
      <c r="H397" s="142" t="s">
        <v>522</v>
      </c>
      <c r="I397" s="141" t="n">
        <v>45714</v>
      </c>
      <c r="J397" s="66" t="n">
        <v>2</v>
      </c>
      <c r="K397" s="143" t="s">
        <v>48</v>
      </c>
      <c r="L397" s="142" t="s">
        <v>58</v>
      </c>
      <c r="M397" s="145" t="n">
        <v>2311</v>
      </c>
    </row>
    <row r="398" customFormat="false" ht="12.75" hidden="false" customHeight="true" outlineLevel="0" collapsed="false">
      <c r="A398" s="148" t="n">
        <v>7425</v>
      </c>
      <c r="B398" s="149" t="s">
        <v>3385</v>
      </c>
      <c r="C398" s="149" t="n">
        <v>2022</v>
      </c>
      <c r="D398" s="150" t="n">
        <v>44616</v>
      </c>
      <c r="E398" s="68" t="s">
        <v>3386</v>
      </c>
      <c r="F398" s="151" t="s">
        <v>1635</v>
      </c>
      <c r="G398" s="68" t="s">
        <v>441</v>
      </c>
      <c r="H398" s="151" t="s">
        <v>2388</v>
      </c>
      <c r="I398" s="150" t="n">
        <v>45715</v>
      </c>
      <c r="J398" s="68" t="n">
        <v>2</v>
      </c>
      <c r="K398" s="143" t="s">
        <v>49</v>
      </c>
      <c r="L398" s="151" t="s">
        <v>60</v>
      </c>
      <c r="M398" s="152" t="n">
        <v>1099</v>
      </c>
    </row>
    <row r="399" customFormat="false" ht="12.75" hidden="false" customHeight="true" outlineLevel="0" collapsed="false">
      <c r="A399" s="139" t="n">
        <v>7525</v>
      </c>
      <c r="B399" s="140" t="s">
        <v>3387</v>
      </c>
      <c r="C399" s="140" t="n">
        <v>2019</v>
      </c>
      <c r="D399" s="141" t="n">
        <v>43614</v>
      </c>
      <c r="E399" s="66" t="s">
        <v>3388</v>
      </c>
      <c r="F399" s="142" t="s">
        <v>902</v>
      </c>
      <c r="G399" s="66" t="s">
        <v>441</v>
      </c>
      <c r="H399" s="142" t="s">
        <v>409</v>
      </c>
      <c r="I399" s="141" t="n">
        <v>45723</v>
      </c>
      <c r="J399" s="66" t="n">
        <v>3</v>
      </c>
      <c r="K399" s="143" t="s">
        <v>49</v>
      </c>
      <c r="L399" s="142" t="s">
        <v>58</v>
      </c>
      <c r="M399" s="145" t="n">
        <v>2109</v>
      </c>
    </row>
    <row r="400" customFormat="false" ht="12.75" hidden="false" customHeight="true" outlineLevel="0" collapsed="false">
      <c r="A400" s="148" t="n">
        <v>7625</v>
      </c>
      <c r="B400" s="149" t="s">
        <v>3389</v>
      </c>
      <c r="C400" s="149" t="n">
        <v>2021</v>
      </c>
      <c r="D400" s="150" t="n">
        <v>44235</v>
      </c>
      <c r="E400" s="68" t="s">
        <v>3390</v>
      </c>
      <c r="F400" s="151" t="s">
        <v>401</v>
      </c>
      <c r="G400" s="68" t="s">
        <v>441</v>
      </c>
      <c r="H400" s="151" t="s">
        <v>243</v>
      </c>
      <c r="I400" s="150" t="n">
        <v>45730</v>
      </c>
      <c r="J400" s="68" t="n">
        <v>3</v>
      </c>
      <c r="K400" s="143" t="s">
        <v>49</v>
      </c>
      <c r="L400" s="151" t="s">
        <v>58</v>
      </c>
      <c r="M400" s="152" t="n">
        <v>1495</v>
      </c>
    </row>
    <row r="401" customFormat="false" ht="12.75" hidden="false" customHeight="true" outlineLevel="0" collapsed="false">
      <c r="A401" s="139" t="n">
        <v>7725</v>
      </c>
      <c r="B401" s="140" t="s">
        <v>3391</v>
      </c>
      <c r="C401" s="140" t="n">
        <v>2017</v>
      </c>
      <c r="D401" s="141" t="n">
        <v>43056</v>
      </c>
      <c r="E401" s="66" t="s">
        <v>3392</v>
      </c>
      <c r="F401" s="142" t="s">
        <v>509</v>
      </c>
      <c r="G401" s="66" t="s">
        <v>441</v>
      </c>
      <c r="H401" s="142" t="s">
        <v>3393</v>
      </c>
      <c r="I401" s="141" t="n">
        <v>45730</v>
      </c>
      <c r="J401" s="66" t="n">
        <v>3</v>
      </c>
      <c r="K401" s="143" t="s">
        <v>48</v>
      </c>
      <c r="L401" s="142" t="s">
        <v>58</v>
      </c>
      <c r="M401" s="145" t="n">
        <v>2674</v>
      </c>
    </row>
    <row r="402" customFormat="false" ht="12.75" hidden="false" customHeight="true" outlineLevel="0" collapsed="false">
      <c r="A402" s="148" t="n">
        <v>7825</v>
      </c>
      <c r="B402" s="149" t="s">
        <v>3394</v>
      </c>
      <c r="C402" s="149" t="n">
        <v>2020</v>
      </c>
      <c r="D402" s="150" t="n">
        <v>44071</v>
      </c>
      <c r="E402" s="68" t="s">
        <v>3395</v>
      </c>
      <c r="F402" s="151" t="s">
        <v>3396</v>
      </c>
      <c r="G402" s="68" t="s">
        <v>441</v>
      </c>
      <c r="H402" s="151" t="s">
        <v>250</v>
      </c>
      <c r="I402" s="150" t="n">
        <v>45730</v>
      </c>
      <c r="J402" s="68" t="n">
        <v>3</v>
      </c>
      <c r="K402" s="143" t="s">
        <v>48</v>
      </c>
      <c r="L402" s="151" t="s">
        <v>58</v>
      </c>
      <c r="M402" s="152" t="n">
        <v>1659</v>
      </c>
    </row>
    <row r="403" customFormat="false" ht="12.75" hidden="false" customHeight="true" outlineLevel="0" collapsed="false">
      <c r="A403" s="139" t="n">
        <v>7925</v>
      </c>
      <c r="B403" s="140" t="s">
        <v>3397</v>
      </c>
      <c r="C403" s="140" t="n">
        <v>2019</v>
      </c>
      <c r="D403" s="141" t="n">
        <v>43560</v>
      </c>
      <c r="E403" s="66" t="s">
        <v>3398</v>
      </c>
      <c r="F403" s="142" t="s">
        <v>1324</v>
      </c>
      <c r="G403" s="66" t="s">
        <v>441</v>
      </c>
      <c r="H403" s="142" t="s">
        <v>706</v>
      </c>
      <c r="I403" s="141" t="n">
        <v>45730</v>
      </c>
      <c r="J403" s="66" t="n">
        <v>3</v>
      </c>
      <c r="K403" s="409" t="s">
        <v>290</v>
      </c>
      <c r="L403" s="142" t="s">
        <v>60</v>
      </c>
      <c r="M403" s="145" t="n">
        <v>2170</v>
      </c>
    </row>
    <row r="404" customFormat="false" ht="12.75" hidden="false" customHeight="true" outlineLevel="0" collapsed="false">
      <c r="A404" s="148" t="n">
        <v>8025</v>
      </c>
      <c r="B404" s="149" t="s">
        <v>3399</v>
      </c>
      <c r="C404" s="149" t="n">
        <v>2017</v>
      </c>
      <c r="D404" s="150" t="n">
        <v>42786</v>
      </c>
      <c r="E404" s="68" t="s">
        <v>3400</v>
      </c>
      <c r="F404" s="151" t="s">
        <v>1097</v>
      </c>
      <c r="G404" s="68" t="s">
        <v>441</v>
      </c>
      <c r="H404" s="151" t="s">
        <v>706</v>
      </c>
      <c r="I404" s="150" t="n">
        <v>45730</v>
      </c>
      <c r="J404" s="158" t="n">
        <v>3</v>
      </c>
      <c r="K404" s="143" t="s">
        <v>48</v>
      </c>
      <c r="L404" s="151" t="s">
        <v>60</v>
      </c>
      <c r="M404" s="152" t="n">
        <v>2944</v>
      </c>
    </row>
    <row r="405" customFormat="false" ht="12.75" hidden="false" customHeight="true" outlineLevel="0" collapsed="false">
      <c r="A405" s="139" t="n">
        <v>8125</v>
      </c>
      <c r="B405" s="140" t="s">
        <v>3401</v>
      </c>
      <c r="C405" s="140" t="n">
        <v>2021</v>
      </c>
      <c r="D405" s="141" t="n">
        <v>44329</v>
      </c>
      <c r="E405" s="66" t="s">
        <v>3402</v>
      </c>
      <c r="F405" s="142" t="s">
        <v>3403</v>
      </c>
      <c r="G405" s="66" t="s">
        <v>144</v>
      </c>
      <c r="H405" s="142" t="s">
        <v>453</v>
      </c>
      <c r="I405" s="141" t="n">
        <v>45730</v>
      </c>
      <c r="J405" s="66" t="n">
        <v>3</v>
      </c>
      <c r="K405" s="143" t="s">
        <v>48</v>
      </c>
      <c r="L405" s="142" t="s">
        <v>60</v>
      </c>
      <c r="M405" s="145" t="n">
        <v>1401</v>
      </c>
    </row>
    <row r="406" customFormat="false" ht="12.75" hidden="false" customHeight="true" outlineLevel="0" collapsed="false">
      <c r="A406" s="148" t="n">
        <v>8225</v>
      </c>
      <c r="B406" s="149" t="s">
        <v>3404</v>
      </c>
      <c r="C406" s="149" t="n">
        <v>2021</v>
      </c>
      <c r="D406" s="150" t="n">
        <v>44473</v>
      </c>
      <c r="E406" s="68" t="s">
        <v>3405</v>
      </c>
      <c r="F406" s="151" t="s">
        <v>3406</v>
      </c>
      <c r="G406" s="68" t="s">
        <v>115</v>
      </c>
      <c r="H406" s="151" t="s">
        <v>3407</v>
      </c>
      <c r="I406" s="150" t="n">
        <v>45730</v>
      </c>
      <c r="J406" s="68" t="n">
        <v>3</v>
      </c>
      <c r="K406" s="143" t="s">
        <v>49</v>
      </c>
      <c r="L406" s="151" t="s">
        <v>60</v>
      </c>
      <c r="M406" s="152" t="n">
        <v>1257</v>
      </c>
    </row>
    <row r="407" customFormat="false" ht="15" hidden="false" customHeight="true" outlineLevel="0" collapsed="false">
      <c r="A407" s="139" t="n">
        <v>8325</v>
      </c>
      <c r="B407" s="140" t="s">
        <v>3408</v>
      </c>
      <c r="C407" s="140" t="n">
        <v>2023</v>
      </c>
      <c r="D407" s="141" t="n">
        <v>45217</v>
      </c>
      <c r="E407" s="66" t="s">
        <v>3409</v>
      </c>
      <c r="F407" s="142" t="s">
        <v>3410</v>
      </c>
      <c r="G407" s="66" t="s">
        <v>125</v>
      </c>
      <c r="H407" s="142" t="s">
        <v>662</v>
      </c>
      <c r="I407" s="141" t="n">
        <v>45730</v>
      </c>
      <c r="J407" s="66" t="n">
        <v>3</v>
      </c>
      <c r="K407" s="143" t="s">
        <v>49</v>
      </c>
      <c r="L407" s="144" t="s">
        <v>61</v>
      </c>
      <c r="M407" s="145" t="n">
        <v>513</v>
      </c>
    </row>
    <row r="408" customFormat="false" ht="15" hidden="false" customHeight="true" outlineLevel="0" collapsed="false">
      <c r="A408" s="148" t="n">
        <v>8425</v>
      </c>
      <c r="B408" s="149" t="s">
        <v>3411</v>
      </c>
      <c r="C408" s="149" t="n">
        <v>2023</v>
      </c>
      <c r="D408" s="150" t="n">
        <v>45199</v>
      </c>
      <c r="E408" s="68" t="s">
        <v>3412</v>
      </c>
      <c r="F408" s="151" t="s">
        <v>3413</v>
      </c>
      <c r="G408" s="68" t="s">
        <v>125</v>
      </c>
      <c r="H408" s="151" t="s">
        <v>254</v>
      </c>
      <c r="I408" s="150" t="n">
        <v>45730</v>
      </c>
      <c r="J408" s="68" t="n">
        <v>3</v>
      </c>
      <c r="K408" s="409" t="s">
        <v>290</v>
      </c>
      <c r="L408" s="151" t="s">
        <v>61</v>
      </c>
      <c r="M408" s="152" t="n">
        <v>531</v>
      </c>
    </row>
    <row r="409" customFormat="false" ht="15" hidden="false" customHeight="true" outlineLevel="0" collapsed="false">
      <c r="A409" s="139" t="n">
        <v>8525</v>
      </c>
      <c r="B409" s="140" t="s">
        <v>3414</v>
      </c>
      <c r="C409" s="140" t="n">
        <v>2021</v>
      </c>
      <c r="D409" s="141" t="n">
        <v>44357</v>
      </c>
      <c r="E409" s="66" t="s">
        <v>3415</v>
      </c>
      <c r="F409" s="142" t="s">
        <v>459</v>
      </c>
      <c r="G409" s="66" t="s">
        <v>441</v>
      </c>
      <c r="H409" s="142" t="s">
        <v>139</v>
      </c>
      <c r="I409" s="141" t="n">
        <v>45730</v>
      </c>
      <c r="J409" s="66" t="n">
        <v>3</v>
      </c>
      <c r="K409" s="196" t="s">
        <v>44</v>
      </c>
      <c r="L409" s="142" t="s">
        <v>58</v>
      </c>
      <c r="M409" s="145" t="n">
        <v>1373</v>
      </c>
    </row>
    <row r="410" customFormat="false" ht="15" hidden="false" customHeight="true" outlineLevel="0" collapsed="false">
      <c r="A410" s="148" t="n">
        <v>8625</v>
      </c>
      <c r="B410" s="149" t="s">
        <v>3416</v>
      </c>
      <c r="C410" s="149" t="n">
        <v>2020</v>
      </c>
      <c r="D410" s="150" t="n">
        <v>44104</v>
      </c>
      <c r="E410" s="68" t="s">
        <v>3417</v>
      </c>
      <c r="F410" s="151" t="s">
        <v>3418</v>
      </c>
      <c r="G410" s="68" t="s">
        <v>441</v>
      </c>
      <c r="H410" s="151" t="s">
        <v>516</v>
      </c>
      <c r="I410" s="150" t="n">
        <v>45730</v>
      </c>
      <c r="J410" s="68" t="n">
        <v>3</v>
      </c>
      <c r="K410" s="143" t="s">
        <v>49</v>
      </c>
      <c r="L410" s="151" t="s">
        <v>58</v>
      </c>
      <c r="M410" s="152" t="n">
        <v>1626</v>
      </c>
    </row>
    <row r="411" customFormat="false" ht="12.75" hidden="false" customHeight="true" outlineLevel="0" collapsed="false">
      <c r="A411" s="139" t="n">
        <v>8725</v>
      </c>
      <c r="B411" s="140" t="s">
        <v>3419</v>
      </c>
      <c r="C411" s="140" t="n">
        <v>2024</v>
      </c>
      <c r="D411" s="141" t="n">
        <v>45453</v>
      </c>
      <c r="E411" s="66" t="s">
        <v>3420</v>
      </c>
      <c r="F411" s="142" t="s">
        <v>3421</v>
      </c>
      <c r="G411" s="66" t="s">
        <v>125</v>
      </c>
      <c r="H411" s="142" t="s">
        <v>3422</v>
      </c>
      <c r="I411" s="141" t="n">
        <v>45748</v>
      </c>
      <c r="J411" s="66" t="n">
        <v>4</v>
      </c>
      <c r="K411" s="143" t="s">
        <v>49</v>
      </c>
      <c r="L411" s="144" t="s">
        <v>61</v>
      </c>
      <c r="M411" s="145" t="n">
        <v>295</v>
      </c>
    </row>
    <row r="412" customFormat="false" ht="12.75" hidden="false" customHeight="true" outlineLevel="0" collapsed="false">
      <c r="A412" s="148" t="n">
        <v>8825</v>
      </c>
      <c r="B412" s="149" t="s">
        <v>3423</v>
      </c>
      <c r="C412" s="149" t="n">
        <v>2021</v>
      </c>
      <c r="D412" s="150" t="n">
        <v>44376</v>
      </c>
      <c r="E412" s="68" t="s">
        <v>3424</v>
      </c>
      <c r="F412" s="151" t="s">
        <v>3425</v>
      </c>
      <c r="G412" s="68" t="s">
        <v>144</v>
      </c>
      <c r="H412" s="151" t="s">
        <v>119</v>
      </c>
      <c r="I412" s="150" t="n">
        <v>45748</v>
      </c>
      <c r="J412" s="68" t="n">
        <v>4</v>
      </c>
      <c r="K412" s="143" t="s">
        <v>48</v>
      </c>
      <c r="L412" s="151" t="s">
        <v>58</v>
      </c>
      <c r="M412" s="152" t="n">
        <v>1372</v>
      </c>
    </row>
    <row r="413" customFormat="false" ht="12.75" hidden="false" customHeight="true" outlineLevel="0" collapsed="false">
      <c r="A413" s="139" t="n">
        <v>8925</v>
      </c>
      <c r="B413" s="140" t="s">
        <v>3426</v>
      </c>
      <c r="C413" s="140" t="n">
        <v>2018</v>
      </c>
      <c r="D413" s="141" t="n">
        <v>43404</v>
      </c>
      <c r="E413" s="66" t="s">
        <v>3427</v>
      </c>
      <c r="F413" s="142" t="s">
        <v>3428</v>
      </c>
      <c r="G413" s="66" t="s">
        <v>441</v>
      </c>
      <c r="H413" s="142" t="s">
        <v>250</v>
      </c>
      <c r="I413" s="141" t="n">
        <v>45748</v>
      </c>
      <c r="J413" s="66" t="n">
        <v>4</v>
      </c>
      <c r="K413" s="143" t="s">
        <v>49</v>
      </c>
      <c r="L413" s="142" t="s">
        <v>58</v>
      </c>
      <c r="M413" s="145" t="n">
        <v>2344</v>
      </c>
    </row>
    <row r="414" customFormat="false" ht="12.75" hidden="false" customHeight="true" outlineLevel="0" collapsed="false">
      <c r="A414" s="148" t="n">
        <v>9025</v>
      </c>
      <c r="B414" s="149" t="s">
        <v>3429</v>
      </c>
      <c r="C414" s="149" t="n">
        <v>2018</v>
      </c>
      <c r="D414" s="150" t="n">
        <v>43294</v>
      </c>
      <c r="E414" s="68" t="s">
        <v>3430</v>
      </c>
      <c r="F414" s="151" t="s">
        <v>401</v>
      </c>
      <c r="G414" s="68" t="s">
        <v>441</v>
      </c>
      <c r="H414" s="151" t="s">
        <v>250</v>
      </c>
      <c r="I414" s="150" t="n">
        <v>45748</v>
      </c>
      <c r="J414" s="68" t="n">
        <v>4</v>
      </c>
      <c r="K414" s="143" t="s">
        <v>49</v>
      </c>
      <c r="L414" s="151" t="s">
        <v>58</v>
      </c>
      <c r="M414" s="152" t="n">
        <v>2454</v>
      </c>
    </row>
    <row r="415" customFormat="false" ht="12.75" hidden="false" customHeight="true" outlineLevel="0" collapsed="false">
      <c r="A415" s="139" t="n">
        <v>9125</v>
      </c>
      <c r="B415" s="140" t="s">
        <v>3431</v>
      </c>
      <c r="C415" s="140" t="n">
        <v>2016</v>
      </c>
      <c r="D415" s="141" t="n">
        <v>42640</v>
      </c>
      <c r="E415" s="66" t="s">
        <v>3432</v>
      </c>
      <c r="F415" s="142" t="s">
        <v>793</v>
      </c>
      <c r="G415" s="66" t="s">
        <v>441</v>
      </c>
      <c r="H415" s="142" t="s">
        <v>192</v>
      </c>
      <c r="I415" s="141" t="n">
        <v>45748</v>
      </c>
      <c r="J415" s="66" t="n">
        <v>4</v>
      </c>
      <c r="K415" s="143" t="s">
        <v>49</v>
      </c>
      <c r="L415" s="142" t="s">
        <v>60</v>
      </c>
      <c r="M415" s="145" t="n">
        <v>3108</v>
      </c>
    </row>
    <row r="416" customFormat="false" ht="12.75" hidden="false" customHeight="true" outlineLevel="0" collapsed="false">
      <c r="A416" s="148" t="n">
        <v>9225</v>
      </c>
      <c r="B416" s="149" t="s">
        <v>3433</v>
      </c>
      <c r="C416" s="149" t="n">
        <v>2020</v>
      </c>
      <c r="D416" s="150" t="n">
        <v>44175</v>
      </c>
      <c r="E416" s="68" t="s">
        <v>3434</v>
      </c>
      <c r="F416" s="151" t="s">
        <v>3435</v>
      </c>
      <c r="G416" s="68" t="s">
        <v>441</v>
      </c>
      <c r="H416" s="151" t="s">
        <v>192</v>
      </c>
      <c r="I416" s="150" t="n">
        <v>45748</v>
      </c>
      <c r="J416" s="68" t="n">
        <v>4</v>
      </c>
      <c r="K416" s="143" t="s">
        <v>49</v>
      </c>
      <c r="L416" s="151" t="s">
        <v>58</v>
      </c>
      <c r="M416" s="152" t="n">
        <v>1573</v>
      </c>
    </row>
    <row r="417" customFormat="false" ht="12.75" hidden="false" customHeight="true" outlineLevel="0" collapsed="false">
      <c r="A417" s="139" t="n">
        <v>9325</v>
      </c>
      <c r="B417" s="140" t="s">
        <v>3436</v>
      </c>
      <c r="C417" s="140" t="n">
        <v>2018</v>
      </c>
      <c r="D417" s="141" t="n">
        <v>43392</v>
      </c>
      <c r="E417" s="66" t="s">
        <v>3437</v>
      </c>
      <c r="F417" s="142" t="s">
        <v>537</v>
      </c>
      <c r="G417" s="66" t="s">
        <v>441</v>
      </c>
      <c r="H417" s="142" t="s">
        <v>192</v>
      </c>
      <c r="I417" s="141" t="n">
        <v>45748</v>
      </c>
      <c r="J417" s="66" t="n">
        <v>4</v>
      </c>
      <c r="K417" s="143" t="s">
        <v>49</v>
      </c>
      <c r="L417" s="142" t="s">
        <v>60</v>
      </c>
      <c r="M417" s="145" t="n">
        <v>2356</v>
      </c>
    </row>
    <row r="418" customFormat="false" ht="12.75" hidden="false" customHeight="true" outlineLevel="0" collapsed="false">
      <c r="A418" s="148" t="n">
        <v>9425</v>
      </c>
      <c r="B418" s="149" t="s">
        <v>3438</v>
      </c>
      <c r="C418" s="149" t="n">
        <v>2018</v>
      </c>
      <c r="D418" s="150" t="n">
        <v>43420</v>
      </c>
      <c r="E418" s="68" t="s">
        <v>3439</v>
      </c>
      <c r="F418" s="151" t="s">
        <v>1609</v>
      </c>
      <c r="G418" s="68" t="s">
        <v>441</v>
      </c>
      <c r="H418" s="151" t="s">
        <v>192</v>
      </c>
      <c r="I418" s="150" t="n">
        <v>45748</v>
      </c>
      <c r="J418" s="68" t="n">
        <v>4</v>
      </c>
      <c r="K418" s="143" t="s">
        <v>49</v>
      </c>
      <c r="L418" s="151" t="s">
        <v>58</v>
      </c>
      <c r="M418" s="152" t="n">
        <v>2328</v>
      </c>
    </row>
    <row r="419" customFormat="false" ht="12.75" hidden="false" customHeight="true" outlineLevel="0" collapsed="false">
      <c r="A419" s="139" t="n">
        <v>9525</v>
      </c>
      <c r="B419" s="140" t="s">
        <v>3440</v>
      </c>
      <c r="C419" s="140" t="n">
        <v>2019</v>
      </c>
      <c r="D419" s="141" t="n">
        <v>43805</v>
      </c>
      <c r="E419" s="66" t="s">
        <v>3441</v>
      </c>
      <c r="F419" s="142" t="s">
        <v>138</v>
      </c>
      <c r="G419" s="66" t="s">
        <v>441</v>
      </c>
      <c r="H419" s="142" t="s">
        <v>192</v>
      </c>
      <c r="I419" s="141" t="n">
        <v>45748</v>
      </c>
      <c r="J419" s="66" t="n">
        <v>4</v>
      </c>
      <c r="K419" s="143" t="s">
        <v>49</v>
      </c>
      <c r="L419" s="144" t="s">
        <v>61</v>
      </c>
      <c r="M419" s="145" t="n">
        <v>1943</v>
      </c>
    </row>
    <row r="420" customFormat="false" ht="12.75" hidden="false" customHeight="true" outlineLevel="0" collapsed="false">
      <c r="A420" s="148" t="n">
        <v>9625</v>
      </c>
      <c r="B420" s="149" t="s">
        <v>3442</v>
      </c>
      <c r="C420" s="149" t="n">
        <v>2020</v>
      </c>
      <c r="D420" s="150" t="n">
        <v>44184</v>
      </c>
      <c r="E420" s="68" t="s">
        <v>3443</v>
      </c>
      <c r="F420" s="151" t="s">
        <v>3444</v>
      </c>
      <c r="G420" s="68" t="s">
        <v>441</v>
      </c>
      <c r="H420" s="151" t="s">
        <v>267</v>
      </c>
      <c r="I420" s="150" t="n">
        <v>45749</v>
      </c>
      <c r="J420" s="68" t="n">
        <v>4</v>
      </c>
      <c r="K420" s="143" t="s">
        <v>49</v>
      </c>
      <c r="L420" s="151" t="s">
        <v>58</v>
      </c>
      <c r="M420" s="152" t="n">
        <v>1565</v>
      </c>
    </row>
    <row r="421" customFormat="false" ht="12.75" hidden="false" customHeight="true" outlineLevel="0" collapsed="false">
      <c r="A421" s="139" t="n">
        <v>9725</v>
      </c>
      <c r="B421" s="140" t="s">
        <v>3445</v>
      </c>
      <c r="C421" s="140" t="n">
        <v>2019</v>
      </c>
      <c r="D421" s="141" t="n">
        <v>43514</v>
      </c>
      <c r="E421" s="66" t="s">
        <v>3446</v>
      </c>
      <c r="F421" s="142" t="s">
        <v>3447</v>
      </c>
      <c r="G421" s="66" t="s">
        <v>441</v>
      </c>
      <c r="H421" s="142" t="s">
        <v>3056</v>
      </c>
      <c r="I421" s="141" t="n">
        <v>45749</v>
      </c>
      <c r="J421" s="66" t="n">
        <v>4</v>
      </c>
      <c r="K421" s="143" t="s">
        <v>48</v>
      </c>
      <c r="L421" s="142" t="s">
        <v>58</v>
      </c>
      <c r="M421" s="145" t="n">
        <v>2235</v>
      </c>
    </row>
    <row r="422" customFormat="false" ht="12.75" hidden="false" customHeight="true" outlineLevel="0" collapsed="false">
      <c r="A422" s="148" t="n">
        <v>9825</v>
      </c>
      <c r="B422" s="149" t="s">
        <v>3448</v>
      </c>
      <c r="C422" s="149" t="n">
        <v>2018</v>
      </c>
      <c r="D422" s="150" t="n">
        <v>43447</v>
      </c>
      <c r="E422" s="68" t="s">
        <v>3449</v>
      </c>
      <c r="F422" s="151" t="s">
        <v>242</v>
      </c>
      <c r="G422" s="68" t="s">
        <v>441</v>
      </c>
      <c r="H422" s="151" t="s">
        <v>192</v>
      </c>
      <c r="I422" s="150" t="n">
        <v>45749</v>
      </c>
      <c r="J422" s="68" t="n">
        <v>4</v>
      </c>
      <c r="K422" s="143" t="s">
        <v>49</v>
      </c>
      <c r="L422" s="151" t="s">
        <v>58</v>
      </c>
      <c r="M422" s="152" t="n">
        <v>2302</v>
      </c>
    </row>
    <row r="423" customFormat="false" ht="12.75" hidden="false" customHeight="true" outlineLevel="0" collapsed="false">
      <c r="A423" s="139" t="n">
        <v>9925</v>
      </c>
      <c r="B423" s="140" t="s">
        <v>3450</v>
      </c>
      <c r="C423" s="140" t="n">
        <v>2018</v>
      </c>
      <c r="D423" s="141" t="n">
        <v>43426</v>
      </c>
      <c r="E423" s="66" t="s">
        <v>3451</v>
      </c>
      <c r="F423" s="142" t="s">
        <v>1068</v>
      </c>
      <c r="G423" s="66" t="s">
        <v>441</v>
      </c>
      <c r="H423" s="142" t="s">
        <v>3056</v>
      </c>
      <c r="I423" s="141" t="n">
        <v>45749</v>
      </c>
      <c r="J423" s="66" t="n">
        <v>4</v>
      </c>
      <c r="K423" s="143" t="s">
        <v>49</v>
      </c>
      <c r="L423" s="142" t="s">
        <v>58</v>
      </c>
      <c r="M423" s="145" t="n">
        <v>2323</v>
      </c>
    </row>
    <row r="424" customFormat="false" ht="12.75" hidden="false" customHeight="true" outlineLevel="0" collapsed="false">
      <c r="A424" s="148" t="n">
        <v>10025</v>
      </c>
      <c r="B424" s="149" t="s">
        <v>3452</v>
      </c>
      <c r="C424" s="149" t="n">
        <v>2019</v>
      </c>
      <c r="D424" s="150" t="n">
        <v>43780</v>
      </c>
      <c r="E424" s="68" t="s">
        <v>3453</v>
      </c>
      <c r="F424" s="151" t="s">
        <v>3454</v>
      </c>
      <c r="G424" s="68" t="s">
        <v>144</v>
      </c>
      <c r="H424" s="151" t="s">
        <v>192</v>
      </c>
      <c r="I424" s="150" t="n">
        <v>45749</v>
      </c>
      <c r="J424" s="68" t="n">
        <v>4</v>
      </c>
      <c r="K424" s="143" t="s">
        <v>48</v>
      </c>
      <c r="L424" s="151" t="s">
        <v>58</v>
      </c>
      <c r="M424" s="152" t="n">
        <v>1969</v>
      </c>
    </row>
    <row r="425" customFormat="false" ht="12.75" hidden="false" customHeight="true" outlineLevel="0" collapsed="false">
      <c r="A425" s="139" t="n">
        <v>10125</v>
      </c>
      <c r="B425" s="140" t="s">
        <v>3455</v>
      </c>
      <c r="C425" s="140" t="n">
        <v>2020</v>
      </c>
      <c r="D425" s="141" t="n">
        <v>43986</v>
      </c>
      <c r="E425" s="66" t="s">
        <v>3456</v>
      </c>
      <c r="F425" s="142" t="s">
        <v>446</v>
      </c>
      <c r="G425" s="66" t="s">
        <v>441</v>
      </c>
      <c r="H425" s="142" t="s">
        <v>3056</v>
      </c>
      <c r="I425" s="141" t="n">
        <v>45749</v>
      </c>
      <c r="J425" s="66" t="n">
        <v>4</v>
      </c>
      <c r="K425" s="143" t="s">
        <v>49</v>
      </c>
      <c r="L425" s="142" t="s">
        <v>60</v>
      </c>
      <c r="M425" s="145" t="n">
        <v>1763</v>
      </c>
    </row>
    <row r="426" customFormat="false" ht="12.75" hidden="false" customHeight="true" outlineLevel="0" collapsed="false">
      <c r="A426" s="148" t="n">
        <v>10225</v>
      </c>
      <c r="B426" s="149" t="s">
        <v>3457</v>
      </c>
      <c r="C426" s="149" t="n">
        <v>2018</v>
      </c>
      <c r="D426" s="150" t="n">
        <v>43447</v>
      </c>
      <c r="E426" s="68" t="s">
        <v>3458</v>
      </c>
      <c r="F426" s="151" t="s">
        <v>3459</v>
      </c>
      <c r="G426" s="68" t="s">
        <v>441</v>
      </c>
      <c r="H426" s="151" t="s">
        <v>192</v>
      </c>
      <c r="I426" s="150" t="n">
        <v>45749</v>
      </c>
      <c r="J426" s="68" t="n">
        <v>4</v>
      </c>
      <c r="K426" s="143" t="s">
        <v>49</v>
      </c>
      <c r="L426" s="151" t="s">
        <v>60</v>
      </c>
      <c r="M426" s="152" t="n">
        <v>2302</v>
      </c>
    </row>
    <row r="427" customFormat="false" ht="12.75" hidden="false" customHeight="true" outlineLevel="0" collapsed="false">
      <c r="A427" s="139" t="n">
        <v>10325</v>
      </c>
      <c r="B427" s="140" t="s">
        <v>3460</v>
      </c>
      <c r="C427" s="140" t="n">
        <v>2017</v>
      </c>
      <c r="D427" s="141" t="n">
        <v>43068</v>
      </c>
      <c r="E427" s="66" t="s">
        <v>3461</v>
      </c>
      <c r="F427" s="142" t="s">
        <v>509</v>
      </c>
      <c r="G427" s="66" t="s">
        <v>441</v>
      </c>
      <c r="H427" s="142" t="s">
        <v>3056</v>
      </c>
      <c r="I427" s="141" t="n">
        <v>45749</v>
      </c>
      <c r="J427" s="66" t="n">
        <v>4</v>
      </c>
      <c r="K427" s="143" t="s">
        <v>48</v>
      </c>
      <c r="L427" s="142" t="s">
        <v>58</v>
      </c>
      <c r="M427" s="145" t="n">
        <v>2681</v>
      </c>
    </row>
    <row r="428" customFormat="false" ht="12.75" hidden="false" customHeight="true" outlineLevel="0" collapsed="false">
      <c r="A428" s="148" t="n">
        <v>10425</v>
      </c>
      <c r="B428" s="149" t="s">
        <v>3462</v>
      </c>
      <c r="C428" s="149" t="n">
        <v>2018</v>
      </c>
      <c r="D428" s="150" t="n">
        <v>43462</v>
      </c>
      <c r="E428" s="68" t="s">
        <v>3463</v>
      </c>
      <c r="F428" s="151" t="s">
        <v>180</v>
      </c>
      <c r="G428" s="68" t="s">
        <v>441</v>
      </c>
      <c r="H428" s="151" t="s">
        <v>192</v>
      </c>
      <c r="I428" s="150" t="n">
        <v>45749</v>
      </c>
      <c r="J428" s="68" t="n">
        <v>4</v>
      </c>
      <c r="K428" s="143" t="s">
        <v>49</v>
      </c>
      <c r="L428" s="151" t="s">
        <v>58</v>
      </c>
      <c r="M428" s="152" t="n">
        <v>2287</v>
      </c>
    </row>
    <row r="429" customFormat="false" ht="12.75" hidden="false" customHeight="true" outlineLevel="0" collapsed="false">
      <c r="A429" s="139" t="n">
        <v>10525</v>
      </c>
      <c r="B429" s="140" t="s">
        <v>3464</v>
      </c>
      <c r="C429" s="140" t="n">
        <v>2021</v>
      </c>
      <c r="D429" s="141" t="n">
        <v>44347</v>
      </c>
      <c r="E429" s="66" t="s">
        <v>3465</v>
      </c>
      <c r="F429" s="142" t="s">
        <v>459</v>
      </c>
      <c r="G429" s="66" t="s">
        <v>441</v>
      </c>
      <c r="H429" s="142" t="s">
        <v>250</v>
      </c>
      <c r="I429" s="141" t="n">
        <v>45749</v>
      </c>
      <c r="J429" s="66" t="n">
        <v>4</v>
      </c>
      <c r="K429" s="163" t="s">
        <v>46</v>
      </c>
      <c r="L429" s="142" t="s">
        <v>58</v>
      </c>
      <c r="M429" s="145" t="n">
        <v>1402</v>
      </c>
    </row>
    <row r="430" customFormat="false" ht="12.75" hidden="false" customHeight="true" outlineLevel="0" collapsed="false">
      <c r="A430" s="148" t="n">
        <v>10625</v>
      </c>
      <c r="B430" s="149" t="s">
        <v>3466</v>
      </c>
      <c r="C430" s="149" t="n">
        <v>2024</v>
      </c>
      <c r="D430" s="150" t="n">
        <v>45440</v>
      </c>
      <c r="E430" s="68" t="s">
        <v>3467</v>
      </c>
      <c r="F430" s="151" t="s">
        <v>661</v>
      </c>
      <c r="G430" s="68" t="s">
        <v>130</v>
      </c>
      <c r="H430" s="151" t="s">
        <v>3468</v>
      </c>
      <c r="I430" s="150" t="n">
        <v>45749</v>
      </c>
      <c r="J430" s="68" t="n">
        <v>4</v>
      </c>
      <c r="K430" s="143" t="s">
        <v>49</v>
      </c>
      <c r="L430" s="151" t="s">
        <v>61</v>
      </c>
      <c r="M430" s="152" t="n">
        <v>309</v>
      </c>
    </row>
    <row r="431" customFormat="false" ht="12.75" hidden="false" customHeight="true" outlineLevel="0" collapsed="false">
      <c r="A431" s="139" t="n">
        <v>10725</v>
      </c>
      <c r="B431" s="140" t="s">
        <v>3469</v>
      </c>
      <c r="C431" s="140" t="n">
        <v>2024</v>
      </c>
      <c r="D431" s="141" t="n">
        <v>45441</v>
      </c>
      <c r="E431" s="66" t="s">
        <v>3470</v>
      </c>
      <c r="F431" s="142" t="s">
        <v>3471</v>
      </c>
      <c r="G431" s="66" t="s">
        <v>130</v>
      </c>
      <c r="H431" s="142" t="s">
        <v>3472</v>
      </c>
      <c r="I431" s="141" t="n">
        <v>45749</v>
      </c>
      <c r="J431" s="66" t="n">
        <v>4</v>
      </c>
      <c r="K431" s="143" t="s">
        <v>49</v>
      </c>
      <c r="L431" s="144" t="s">
        <v>61</v>
      </c>
      <c r="M431" s="145" t="n">
        <v>308</v>
      </c>
    </row>
    <row r="432" customFormat="false" ht="12.75" hidden="false" customHeight="true" outlineLevel="0" collapsed="false">
      <c r="A432" s="148" t="n">
        <v>10825</v>
      </c>
      <c r="B432" s="149" t="s">
        <v>3473</v>
      </c>
      <c r="C432" s="149" t="n">
        <v>2019</v>
      </c>
      <c r="D432" s="150" t="n">
        <v>43474</v>
      </c>
      <c r="E432" s="68" t="s">
        <v>3474</v>
      </c>
      <c r="F432" s="151" t="s">
        <v>3475</v>
      </c>
      <c r="G432" s="68" t="s">
        <v>441</v>
      </c>
      <c r="H432" s="151" t="s">
        <v>109</v>
      </c>
      <c r="I432" s="150" t="n">
        <v>45750</v>
      </c>
      <c r="J432" s="68" t="n">
        <v>4</v>
      </c>
      <c r="K432" s="188" t="s">
        <v>49</v>
      </c>
      <c r="L432" s="151" t="s">
        <v>60</v>
      </c>
      <c r="M432" s="152" t="n">
        <v>2276</v>
      </c>
    </row>
    <row r="433" customFormat="false" ht="12.75" hidden="false" customHeight="true" outlineLevel="0" collapsed="false">
      <c r="A433" s="139" t="n">
        <v>10925</v>
      </c>
      <c r="B433" s="140" t="s">
        <v>3476</v>
      </c>
      <c r="C433" s="140" t="n">
        <v>2020</v>
      </c>
      <c r="D433" s="141" t="n">
        <v>43840</v>
      </c>
      <c r="E433" s="66" t="s">
        <v>3477</v>
      </c>
      <c r="F433" s="142" t="s">
        <v>689</v>
      </c>
      <c r="G433" s="66" t="s">
        <v>441</v>
      </c>
      <c r="H433" s="142" t="s">
        <v>1567</v>
      </c>
      <c r="I433" s="141" t="n">
        <v>45750</v>
      </c>
      <c r="J433" s="186" t="n">
        <v>4</v>
      </c>
      <c r="K433" s="169" t="s">
        <v>290</v>
      </c>
      <c r="L433" s="191" t="s">
        <v>60</v>
      </c>
      <c r="M433" s="145" t="n">
        <v>1910</v>
      </c>
    </row>
    <row r="434" customFormat="false" ht="12.75" hidden="false" customHeight="true" outlineLevel="0" collapsed="false">
      <c r="A434" s="148" t="n">
        <v>11025</v>
      </c>
      <c r="B434" s="149" t="s">
        <v>3478</v>
      </c>
      <c r="C434" s="149" t="n">
        <v>2024</v>
      </c>
      <c r="D434" s="150" t="n">
        <v>45383</v>
      </c>
      <c r="E434" s="68" t="s">
        <v>3479</v>
      </c>
      <c r="F434" s="151" t="s">
        <v>3480</v>
      </c>
      <c r="G434" s="68" t="s">
        <v>125</v>
      </c>
      <c r="H434" s="151" t="s">
        <v>373</v>
      </c>
      <c r="I434" s="150" t="n">
        <v>45750</v>
      </c>
      <c r="J434" s="158" t="n">
        <v>4</v>
      </c>
      <c r="K434" s="169" t="s">
        <v>290</v>
      </c>
      <c r="L434" s="189" t="s">
        <v>61</v>
      </c>
      <c r="M434" s="152" t="n">
        <v>367</v>
      </c>
    </row>
    <row r="435" customFormat="false" ht="12.75" hidden="false" customHeight="true" outlineLevel="0" collapsed="false">
      <c r="A435" s="139" t="n">
        <v>11125</v>
      </c>
      <c r="B435" s="140" t="s">
        <v>3481</v>
      </c>
      <c r="C435" s="140" t="n">
        <v>2023</v>
      </c>
      <c r="D435" s="141" t="n">
        <v>45121</v>
      </c>
      <c r="E435" s="66" t="s">
        <v>3482</v>
      </c>
      <c r="F435" s="142" t="s">
        <v>3483</v>
      </c>
      <c r="G435" s="66" t="s">
        <v>125</v>
      </c>
      <c r="H435" s="142" t="s">
        <v>3484</v>
      </c>
      <c r="I435" s="141" t="n">
        <v>45750</v>
      </c>
      <c r="J435" s="66" t="n">
        <v>4</v>
      </c>
      <c r="K435" s="143" t="s">
        <v>49</v>
      </c>
      <c r="L435" s="144" t="s">
        <v>61</v>
      </c>
      <c r="M435" s="145" t="n">
        <v>629</v>
      </c>
    </row>
    <row r="436" customFormat="false" ht="12.75" hidden="false" customHeight="true" outlineLevel="0" collapsed="false">
      <c r="A436" s="148" t="n">
        <v>11225</v>
      </c>
      <c r="B436" s="149" t="s">
        <v>3485</v>
      </c>
      <c r="C436" s="149" t="n">
        <v>2019</v>
      </c>
      <c r="D436" s="150" t="n">
        <v>43798</v>
      </c>
      <c r="E436" s="68" t="s">
        <v>3486</v>
      </c>
      <c r="F436" s="151" t="s">
        <v>143</v>
      </c>
      <c r="G436" s="68" t="s">
        <v>441</v>
      </c>
      <c r="H436" s="151" t="s">
        <v>2388</v>
      </c>
      <c r="I436" s="150" t="n">
        <v>45750</v>
      </c>
      <c r="J436" s="68" t="n">
        <v>4</v>
      </c>
      <c r="K436" s="188" t="s">
        <v>49</v>
      </c>
      <c r="L436" s="151" t="s">
        <v>60</v>
      </c>
      <c r="M436" s="152" t="n">
        <v>1952</v>
      </c>
    </row>
    <row r="437" customFormat="false" ht="12.75" hidden="false" customHeight="true" outlineLevel="0" collapsed="false">
      <c r="A437" s="139" t="n">
        <v>11325</v>
      </c>
      <c r="B437" s="140" t="s">
        <v>3487</v>
      </c>
      <c r="C437" s="140" t="n">
        <v>2019</v>
      </c>
      <c r="D437" s="141" t="n">
        <v>43573</v>
      </c>
      <c r="E437" s="66" t="s">
        <v>3488</v>
      </c>
      <c r="F437" s="142" t="s">
        <v>3489</v>
      </c>
      <c r="G437" s="66" t="s">
        <v>441</v>
      </c>
      <c r="H437" s="142" t="s">
        <v>471</v>
      </c>
      <c r="I437" s="141" t="n">
        <v>45750</v>
      </c>
      <c r="J437" s="66" t="n">
        <v>4</v>
      </c>
      <c r="K437" s="143" t="s">
        <v>48</v>
      </c>
      <c r="L437" s="142" t="s">
        <v>58</v>
      </c>
      <c r="M437" s="145" t="n">
        <v>2177</v>
      </c>
    </row>
    <row r="438" customFormat="false" ht="12.75" hidden="false" customHeight="true" outlineLevel="0" collapsed="false">
      <c r="A438" s="148" t="n">
        <v>11425</v>
      </c>
      <c r="B438" s="149" t="s">
        <v>3490</v>
      </c>
      <c r="C438" s="149" t="n">
        <v>2020</v>
      </c>
      <c r="D438" s="150" t="n">
        <v>44151</v>
      </c>
      <c r="E438" s="68" t="s">
        <v>3491</v>
      </c>
      <c r="F438" s="151" t="s">
        <v>3492</v>
      </c>
      <c r="G438" s="68" t="s">
        <v>144</v>
      </c>
      <c r="H438" s="151" t="s">
        <v>3493</v>
      </c>
      <c r="I438" s="150" t="n">
        <v>45751</v>
      </c>
      <c r="J438" s="68" t="n">
        <v>4</v>
      </c>
      <c r="K438" s="143" t="s">
        <v>48</v>
      </c>
      <c r="L438" s="151" t="s">
        <v>58</v>
      </c>
      <c r="M438" s="152" t="n">
        <v>1600</v>
      </c>
    </row>
    <row r="439" customFormat="false" ht="12.75" hidden="false" customHeight="true" outlineLevel="0" collapsed="false">
      <c r="A439" s="139" t="n">
        <v>11525</v>
      </c>
      <c r="B439" s="140" t="s">
        <v>3494</v>
      </c>
      <c r="C439" s="140" t="n">
        <v>2019</v>
      </c>
      <c r="D439" s="141" t="n">
        <v>43797</v>
      </c>
      <c r="E439" s="66" t="s">
        <v>3495</v>
      </c>
      <c r="F439" s="142" t="s">
        <v>3496</v>
      </c>
      <c r="G439" s="66" t="s">
        <v>441</v>
      </c>
      <c r="H439" s="142" t="s">
        <v>3497</v>
      </c>
      <c r="I439" s="141" t="n">
        <v>45751</v>
      </c>
      <c r="J439" s="66" t="n">
        <v>4</v>
      </c>
      <c r="K439" s="143" t="s">
        <v>49</v>
      </c>
      <c r="L439" s="142" t="s">
        <v>58</v>
      </c>
      <c r="M439" s="145" t="n">
        <v>1954</v>
      </c>
    </row>
    <row r="440" customFormat="false" ht="12.75" hidden="false" customHeight="true" outlineLevel="0" collapsed="false">
      <c r="A440" s="148" t="n">
        <v>11625</v>
      </c>
      <c r="B440" s="149" t="s">
        <v>3498</v>
      </c>
      <c r="C440" s="149" t="n">
        <v>2022</v>
      </c>
      <c r="D440" s="150" t="n">
        <v>44797</v>
      </c>
      <c r="E440" s="68" t="s">
        <v>3499</v>
      </c>
      <c r="F440" s="151" t="s">
        <v>650</v>
      </c>
      <c r="G440" s="68" t="s">
        <v>441</v>
      </c>
      <c r="H440" s="151" t="s">
        <v>409</v>
      </c>
      <c r="I440" s="150" t="n">
        <v>45751</v>
      </c>
      <c r="J440" s="68" t="n">
        <v>4</v>
      </c>
      <c r="K440" s="163" t="s">
        <v>46</v>
      </c>
      <c r="L440" s="151" t="s">
        <v>58</v>
      </c>
      <c r="M440" s="152" t="n">
        <v>954</v>
      </c>
    </row>
    <row r="441" customFormat="false" ht="12.75" hidden="false" customHeight="true" outlineLevel="0" collapsed="false">
      <c r="A441" s="139" t="n">
        <v>11725</v>
      </c>
      <c r="B441" s="140" t="s">
        <v>3500</v>
      </c>
      <c r="C441" s="140" t="n">
        <v>2020</v>
      </c>
      <c r="D441" s="141" t="n">
        <v>44040</v>
      </c>
      <c r="E441" s="66" t="s">
        <v>3501</v>
      </c>
      <c r="F441" s="142" t="s">
        <v>3502</v>
      </c>
      <c r="G441" s="66" t="s">
        <v>441</v>
      </c>
      <c r="H441" s="142" t="s">
        <v>1059</v>
      </c>
      <c r="I441" s="141" t="n">
        <v>45754</v>
      </c>
      <c r="J441" s="66" t="n">
        <v>4</v>
      </c>
      <c r="K441" s="143" t="s">
        <v>49</v>
      </c>
      <c r="L441" s="191" t="s">
        <v>60</v>
      </c>
      <c r="M441" s="145" t="n">
        <v>1714</v>
      </c>
    </row>
    <row r="442" customFormat="false" ht="12.75" hidden="false" customHeight="true" outlineLevel="0" collapsed="false">
      <c r="A442" s="148" t="n">
        <v>11825</v>
      </c>
      <c r="B442" s="149" t="s">
        <v>3503</v>
      </c>
      <c r="C442" s="149" t="n">
        <v>2023</v>
      </c>
      <c r="D442" s="150" t="n">
        <v>45155</v>
      </c>
      <c r="E442" s="68" t="s">
        <v>3504</v>
      </c>
      <c r="F442" s="151" t="s">
        <v>3505</v>
      </c>
      <c r="G442" s="68" t="s">
        <v>125</v>
      </c>
      <c r="H442" s="151" t="s">
        <v>3506</v>
      </c>
      <c r="I442" s="150" t="n">
        <v>45754</v>
      </c>
      <c r="J442" s="68" t="n">
        <v>4</v>
      </c>
      <c r="K442" s="169" t="s">
        <v>290</v>
      </c>
      <c r="L442" s="189" t="s">
        <v>61</v>
      </c>
      <c r="M442" s="152" t="n">
        <v>599</v>
      </c>
    </row>
    <row r="443" customFormat="false" ht="12.75" hidden="false" customHeight="true" outlineLevel="0" collapsed="false">
      <c r="A443" s="139" t="n">
        <v>11925</v>
      </c>
      <c r="B443" s="140" t="s">
        <v>3507</v>
      </c>
      <c r="C443" s="140" t="n">
        <v>2021</v>
      </c>
      <c r="D443" s="141" t="n">
        <v>44526</v>
      </c>
      <c r="E443" s="66" t="s">
        <v>3508</v>
      </c>
      <c r="F443" s="142" t="s">
        <v>138</v>
      </c>
      <c r="G443" s="66" t="s">
        <v>441</v>
      </c>
      <c r="H443" s="142" t="s">
        <v>3509</v>
      </c>
      <c r="I443" s="141" t="n">
        <v>45754</v>
      </c>
      <c r="J443" s="66" t="n">
        <v>4</v>
      </c>
      <c r="K443" s="143" t="s">
        <v>49</v>
      </c>
      <c r="L443" s="142" t="s">
        <v>60</v>
      </c>
      <c r="M443" s="145" t="n">
        <v>1228</v>
      </c>
    </row>
    <row r="444" customFormat="false" ht="12.75" hidden="false" customHeight="true" outlineLevel="0" collapsed="false">
      <c r="A444" s="148" t="n">
        <v>12025</v>
      </c>
      <c r="B444" s="149" t="s">
        <v>3510</v>
      </c>
      <c r="C444" s="149" t="n">
        <v>2022</v>
      </c>
      <c r="D444" s="150" t="n">
        <v>44692</v>
      </c>
      <c r="E444" s="68" t="s">
        <v>3511</v>
      </c>
      <c r="F444" s="151" t="s">
        <v>3512</v>
      </c>
      <c r="G444" s="68" t="s">
        <v>441</v>
      </c>
      <c r="H444" s="151" t="s">
        <v>3268</v>
      </c>
      <c r="I444" s="150" t="n">
        <v>45754</v>
      </c>
      <c r="J444" s="68" t="n">
        <v>4</v>
      </c>
      <c r="K444" s="188" t="s">
        <v>49</v>
      </c>
      <c r="L444" s="151" t="s">
        <v>60</v>
      </c>
      <c r="M444" s="152" t="n">
        <v>1062</v>
      </c>
    </row>
    <row r="445" customFormat="false" ht="15" hidden="false" customHeight="true" outlineLevel="0" collapsed="false">
      <c r="A445" s="139" t="n">
        <v>12125</v>
      </c>
      <c r="B445" s="140" t="s">
        <v>3513</v>
      </c>
      <c r="C445" s="140" t="n">
        <v>2021</v>
      </c>
      <c r="D445" s="141" t="n">
        <v>44400</v>
      </c>
      <c r="E445" s="66" t="s">
        <v>3514</v>
      </c>
      <c r="F445" s="142" t="s">
        <v>176</v>
      </c>
      <c r="G445" s="66" t="s">
        <v>441</v>
      </c>
      <c r="H445" s="142" t="s">
        <v>693</v>
      </c>
      <c r="I445" s="141" t="n">
        <v>45754</v>
      </c>
      <c r="J445" s="66" t="n">
        <v>4</v>
      </c>
      <c r="K445" s="169" t="s">
        <v>290</v>
      </c>
      <c r="L445" s="142" t="s">
        <v>60</v>
      </c>
      <c r="M445" s="145" t="n">
        <v>1354</v>
      </c>
    </row>
    <row r="446" customFormat="false" ht="12.75" hidden="false" customHeight="true" outlineLevel="0" collapsed="false">
      <c r="A446" s="148" t="n">
        <v>12225</v>
      </c>
      <c r="B446" s="149" t="s">
        <v>3515</v>
      </c>
      <c r="C446" s="149" t="n">
        <v>2022</v>
      </c>
      <c r="D446" s="150" t="n">
        <v>44645</v>
      </c>
      <c r="E446" s="68" t="s">
        <v>3516</v>
      </c>
      <c r="F446" s="151" t="s">
        <v>1609</v>
      </c>
      <c r="G446" s="68" t="s">
        <v>441</v>
      </c>
      <c r="H446" s="151" t="s">
        <v>471</v>
      </c>
      <c r="I446" s="150" t="n">
        <v>45761</v>
      </c>
      <c r="J446" s="68" t="n">
        <v>4</v>
      </c>
      <c r="K446" s="188" t="s">
        <v>49</v>
      </c>
      <c r="L446" s="151" t="s">
        <v>58</v>
      </c>
      <c r="M446" s="187" t="n">
        <v>1116</v>
      </c>
    </row>
    <row r="447" customFormat="false" ht="12.75" hidden="false" customHeight="true" outlineLevel="0" collapsed="false">
      <c r="A447" s="139" t="n">
        <v>12325</v>
      </c>
      <c r="B447" s="140" t="s">
        <v>3517</v>
      </c>
      <c r="C447" s="140" t="n">
        <v>2021</v>
      </c>
      <c r="D447" s="141" t="n">
        <v>44354</v>
      </c>
      <c r="E447" s="66" t="s">
        <v>3518</v>
      </c>
      <c r="F447" s="142" t="s">
        <v>3519</v>
      </c>
      <c r="G447" s="66" t="s">
        <v>441</v>
      </c>
      <c r="H447" s="142" t="s">
        <v>1231</v>
      </c>
      <c r="I447" s="141" t="n">
        <v>45762</v>
      </c>
      <c r="J447" s="66" t="n">
        <v>4</v>
      </c>
      <c r="K447" s="143" t="s">
        <v>48</v>
      </c>
      <c r="L447" s="142" t="s">
        <v>58</v>
      </c>
      <c r="M447" s="145" t="n">
        <v>1408</v>
      </c>
    </row>
    <row r="448" customFormat="false" ht="12.75" hidden="false" customHeight="true" outlineLevel="0" collapsed="false">
      <c r="A448" s="148" t="n">
        <v>12425</v>
      </c>
      <c r="B448" s="149" t="s">
        <v>3520</v>
      </c>
      <c r="C448" s="149" t="n">
        <v>2019</v>
      </c>
      <c r="D448" s="150" t="n">
        <v>43677</v>
      </c>
      <c r="E448" s="68" t="s">
        <v>3521</v>
      </c>
      <c r="F448" s="151" t="s">
        <v>3522</v>
      </c>
      <c r="G448" s="68" t="s">
        <v>144</v>
      </c>
      <c r="H448" s="151" t="s">
        <v>134</v>
      </c>
      <c r="I448" s="150" t="n">
        <v>45762</v>
      </c>
      <c r="J448" s="68" t="n">
        <v>4</v>
      </c>
      <c r="K448" s="143" t="s">
        <v>48</v>
      </c>
      <c r="L448" s="151" t="s">
        <v>2848</v>
      </c>
      <c r="M448" s="152" t="n">
        <v>2085</v>
      </c>
    </row>
    <row r="449" customFormat="false" ht="15" hidden="false" customHeight="true" outlineLevel="0" collapsed="false">
      <c r="A449" s="139" t="n">
        <v>12525</v>
      </c>
      <c r="B449" s="140" t="s">
        <v>3523</v>
      </c>
      <c r="C449" s="140" t="n">
        <v>2016</v>
      </c>
      <c r="D449" s="141" t="n">
        <v>42572</v>
      </c>
      <c r="E449" s="66" t="s">
        <v>3524</v>
      </c>
      <c r="F449" s="142" t="s">
        <v>3525</v>
      </c>
      <c r="G449" s="66" t="s">
        <v>144</v>
      </c>
      <c r="H449" s="142" t="s">
        <v>134</v>
      </c>
      <c r="I449" s="141" t="n">
        <v>45762</v>
      </c>
      <c r="J449" s="66" t="n">
        <v>4</v>
      </c>
      <c r="K449" s="143" t="s">
        <v>48</v>
      </c>
      <c r="L449" s="142" t="s">
        <v>58</v>
      </c>
      <c r="M449" s="145" t="n">
        <v>3190</v>
      </c>
    </row>
    <row r="450" customFormat="false" ht="12.75" hidden="false" customHeight="true" outlineLevel="0" collapsed="false">
      <c r="A450" s="148" t="n">
        <v>12625</v>
      </c>
      <c r="B450" s="149" t="s">
        <v>3526</v>
      </c>
      <c r="C450" s="149" t="n">
        <v>2022</v>
      </c>
      <c r="D450" s="150" t="n">
        <v>44602</v>
      </c>
      <c r="E450" s="68" t="s">
        <v>3527</v>
      </c>
      <c r="F450" s="151" t="s">
        <v>3528</v>
      </c>
      <c r="G450" s="68" t="s">
        <v>441</v>
      </c>
      <c r="H450" s="151" t="s">
        <v>513</v>
      </c>
      <c r="I450" s="150" t="n">
        <v>45762</v>
      </c>
      <c r="J450" s="68" t="n">
        <v>4</v>
      </c>
      <c r="K450" s="188" t="s">
        <v>49</v>
      </c>
      <c r="L450" s="151" t="s">
        <v>60</v>
      </c>
      <c r="M450" s="152" t="n">
        <v>1160</v>
      </c>
    </row>
    <row r="451" customFormat="false" ht="12.75" hidden="false" customHeight="true" outlineLevel="0" collapsed="false">
      <c r="A451" s="139" t="n">
        <v>12725</v>
      </c>
      <c r="B451" s="140" t="s">
        <v>3529</v>
      </c>
      <c r="C451" s="140" t="n">
        <v>2018</v>
      </c>
      <c r="D451" s="141" t="n">
        <v>43262</v>
      </c>
      <c r="E451" s="66" t="s">
        <v>3530</v>
      </c>
      <c r="F451" s="142" t="s">
        <v>3531</v>
      </c>
      <c r="G451" s="66" t="s">
        <v>441</v>
      </c>
      <c r="H451" s="142" t="s">
        <v>1538</v>
      </c>
      <c r="I451" s="141" t="n">
        <v>45762</v>
      </c>
      <c r="J451" s="66" t="n">
        <v>4</v>
      </c>
      <c r="K451" s="143" t="s">
        <v>48</v>
      </c>
      <c r="L451" s="142" t="s">
        <v>58</v>
      </c>
      <c r="M451" s="145" t="n">
        <v>2500</v>
      </c>
    </row>
    <row r="452" customFormat="false" ht="12.75" hidden="false" customHeight="true" outlineLevel="0" collapsed="false">
      <c r="A452" s="148" t="n">
        <v>12825</v>
      </c>
      <c r="B452" s="149" t="s">
        <v>3532</v>
      </c>
      <c r="C452" s="149" t="n">
        <v>2022</v>
      </c>
      <c r="D452" s="150" t="n">
        <v>44883</v>
      </c>
      <c r="E452" s="68" t="s">
        <v>3533</v>
      </c>
      <c r="F452" s="151" t="s">
        <v>1890</v>
      </c>
      <c r="G452" s="68" t="s">
        <v>441</v>
      </c>
      <c r="H452" s="151" t="s">
        <v>208</v>
      </c>
      <c r="I452" s="150" t="n">
        <v>45762</v>
      </c>
      <c r="J452" s="68" t="n">
        <v>4</v>
      </c>
      <c r="K452" s="188" t="s">
        <v>49</v>
      </c>
      <c r="L452" s="151" t="s">
        <v>58</v>
      </c>
      <c r="M452" s="152" t="n">
        <v>879</v>
      </c>
    </row>
    <row r="453" customFormat="false" ht="12.75" hidden="false" customHeight="true" outlineLevel="0" collapsed="false">
      <c r="A453" s="139" t="n">
        <v>12925</v>
      </c>
      <c r="B453" s="140" t="s">
        <v>3534</v>
      </c>
      <c r="C453" s="140" t="n">
        <v>2020</v>
      </c>
      <c r="D453" s="141" t="n">
        <v>43860</v>
      </c>
      <c r="E453" s="66" t="s">
        <v>3535</v>
      </c>
      <c r="F453" s="142" t="s">
        <v>2010</v>
      </c>
      <c r="G453" s="66" t="s">
        <v>144</v>
      </c>
      <c r="H453" s="142" t="s">
        <v>134</v>
      </c>
      <c r="I453" s="141" t="n">
        <v>45763</v>
      </c>
      <c r="J453" s="66" t="n">
        <v>4</v>
      </c>
      <c r="K453" s="169" t="s">
        <v>290</v>
      </c>
      <c r="L453" s="142" t="s">
        <v>58</v>
      </c>
      <c r="M453" s="145" t="n">
        <v>1903</v>
      </c>
    </row>
    <row r="454" customFormat="false" ht="12.75" hidden="false" customHeight="true" outlineLevel="0" collapsed="false">
      <c r="A454" s="148" t="n">
        <v>13025</v>
      </c>
      <c r="B454" s="149" t="s">
        <v>3536</v>
      </c>
      <c r="C454" s="149" t="n">
        <v>2022</v>
      </c>
      <c r="D454" s="150" t="n">
        <v>44755</v>
      </c>
      <c r="E454" s="68" t="s">
        <v>3537</v>
      </c>
      <c r="F454" s="151" t="s">
        <v>3538</v>
      </c>
      <c r="G454" s="68" t="s">
        <v>144</v>
      </c>
      <c r="H454" s="151" t="s">
        <v>1109</v>
      </c>
      <c r="I454" s="150" t="n">
        <v>45763</v>
      </c>
      <c r="J454" s="68" t="n">
        <v>4</v>
      </c>
      <c r="K454" s="188" t="s">
        <v>49</v>
      </c>
      <c r="L454" s="151" t="s">
        <v>58</v>
      </c>
      <c r="M454" s="152" t="n">
        <v>1008</v>
      </c>
    </row>
    <row r="455" customFormat="false" ht="12.75" hidden="false" customHeight="true" outlineLevel="0" collapsed="false">
      <c r="A455" s="139" t="n">
        <v>13125</v>
      </c>
      <c r="B455" s="140" t="s">
        <v>3539</v>
      </c>
      <c r="C455" s="140" t="n">
        <v>2016</v>
      </c>
      <c r="D455" s="141" t="n">
        <v>42593</v>
      </c>
      <c r="E455" s="66" t="s">
        <v>3540</v>
      </c>
      <c r="F455" s="142" t="s">
        <v>477</v>
      </c>
      <c r="G455" s="66" t="s">
        <v>441</v>
      </c>
      <c r="H455" s="142" t="s">
        <v>1231</v>
      </c>
      <c r="I455" s="141" t="n">
        <v>45763</v>
      </c>
      <c r="J455" s="66" t="n">
        <v>4</v>
      </c>
      <c r="K455" s="143" t="s">
        <v>48</v>
      </c>
      <c r="L455" s="142" t="s">
        <v>60</v>
      </c>
      <c r="M455" s="145" t="n">
        <v>3170</v>
      </c>
    </row>
    <row r="456" customFormat="false" ht="12.75" hidden="false" customHeight="true" outlineLevel="0" collapsed="false">
      <c r="A456" s="148" t="n">
        <v>13225</v>
      </c>
      <c r="B456" s="149" t="s">
        <v>3541</v>
      </c>
      <c r="C456" s="149" t="n">
        <v>2020</v>
      </c>
      <c r="D456" s="150" t="n">
        <v>44104</v>
      </c>
      <c r="E456" s="68" t="s">
        <v>3542</v>
      </c>
      <c r="F456" s="151" t="s">
        <v>3362</v>
      </c>
      <c r="G456" s="68" t="s">
        <v>441</v>
      </c>
      <c r="H456" s="151" t="s">
        <v>813</v>
      </c>
      <c r="I456" s="150" t="n">
        <v>45763</v>
      </c>
      <c r="J456" s="68" t="n">
        <v>4</v>
      </c>
      <c r="K456" s="188" t="s">
        <v>49</v>
      </c>
      <c r="L456" s="151" t="s">
        <v>60</v>
      </c>
      <c r="M456" s="152" t="n">
        <v>1659</v>
      </c>
    </row>
    <row r="457" customFormat="false" ht="12.75" hidden="false" customHeight="true" outlineLevel="0" collapsed="false">
      <c r="A457" s="139" t="n">
        <v>13325</v>
      </c>
      <c r="B457" s="140" t="s">
        <v>3543</v>
      </c>
      <c r="C457" s="140" t="n">
        <v>2020</v>
      </c>
      <c r="D457" s="141" t="n">
        <v>44104</v>
      </c>
      <c r="E457" s="66" t="s">
        <v>3544</v>
      </c>
      <c r="F457" s="142" t="s">
        <v>3362</v>
      </c>
      <c r="G457" s="66" t="s">
        <v>441</v>
      </c>
      <c r="H457" s="142" t="s">
        <v>522</v>
      </c>
      <c r="I457" s="141" t="n">
        <v>45763</v>
      </c>
      <c r="J457" s="66" t="n">
        <v>4</v>
      </c>
      <c r="K457" s="188" t="s">
        <v>49</v>
      </c>
      <c r="L457" s="142" t="s">
        <v>60</v>
      </c>
      <c r="M457" s="145" t="n">
        <v>1659</v>
      </c>
    </row>
    <row r="458" customFormat="false" ht="12.75" hidden="false" customHeight="true" outlineLevel="0" collapsed="false">
      <c r="A458" s="148" t="n">
        <v>13425</v>
      </c>
      <c r="B458" s="149" t="s">
        <v>3545</v>
      </c>
      <c r="C458" s="149" t="n">
        <v>2021</v>
      </c>
      <c r="D458" s="150" t="n">
        <v>44330</v>
      </c>
      <c r="E458" s="68" t="s">
        <v>3546</v>
      </c>
      <c r="F458" s="151" t="s">
        <v>1097</v>
      </c>
      <c r="G458" s="68" t="s">
        <v>441</v>
      </c>
      <c r="H458" s="151" t="s">
        <v>139</v>
      </c>
      <c r="I458" s="150" t="n">
        <v>45763</v>
      </c>
      <c r="J458" s="68" t="n">
        <v>4</v>
      </c>
      <c r="K458" s="143" t="s">
        <v>48</v>
      </c>
      <c r="L458" s="151" t="s">
        <v>60</v>
      </c>
      <c r="M458" s="152" t="n">
        <v>1433</v>
      </c>
    </row>
    <row r="459" customFormat="false" ht="12.75" hidden="false" customHeight="true" outlineLevel="0" collapsed="false">
      <c r="A459" s="139" t="n">
        <v>13525</v>
      </c>
      <c r="B459" s="140" t="s">
        <v>3547</v>
      </c>
      <c r="C459" s="140" t="n">
        <v>2021</v>
      </c>
      <c r="D459" s="141" t="n">
        <v>44482</v>
      </c>
      <c r="E459" s="66" t="s">
        <v>3548</v>
      </c>
      <c r="F459" s="142" t="s">
        <v>3549</v>
      </c>
      <c r="G459" s="66" t="s">
        <v>441</v>
      </c>
      <c r="H459" s="142" t="s">
        <v>633</v>
      </c>
      <c r="I459" s="141" t="n">
        <v>45764</v>
      </c>
      <c r="J459" s="66" t="n">
        <v>4</v>
      </c>
      <c r="K459" s="188" t="s">
        <v>49</v>
      </c>
      <c r="L459" s="142" t="s">
        <v>60</v>
      </c>
      <c r="M459" s="145" t="n">
        <v>1282</v>
      </c>
    </row>
    <row r="460" customFormat="false" ht="12.75" hidden="false" customHeight="true" outlineLevel="0" collapsed="false">
      <c r="A460" s="148" t="n">
        <v>13625</v>
      </c>
      <c r="B460" s="149" t="s">
        <v>3550</v>
      </c>
      <c r="C460" s="149" t="n">
        <v>2023</v>
      </c>
      <c r="D460" s="150" t="n">
        <v>45257</v>
      </c>
      <c r="E460" s="68" t="s">
        <v>3551</v>
      </c>
      <c r="F460" s="151" t="s">
        <v>3552</v>
      </c>
      <c r="G460" s="68" t="s">
        <v>130</v>
      </c>
      <c r="H460" s="151" t="s">
        <v>3553</v>
      </c>
      <c r="I460" s="150" t="n">
        <v>45764</v>
      </c>
      <c r="J460" s="68" t="n">
        <v>4</v>
      </c>
      <c r="K460" s="169" t="s">
        <v>290</v>
      </c>
      <c r="L460" s="189" t="s">
        <v>61</v>
      </c>
      <c r="M460" s="152" t="n">
        <v>507</v>
      </c>
    </row>
    <row r="461" customFormat="false" ht="12.75" hidden="false" customHeight="true" outlineLevel="0" collapsed="false">
      <c r="A461" s="139" t="n">
        <v>13725</v>
      </c>
      <c r="B461" s="140" t="s">
        <v>3554</v>
      </c>
      <c r="C461" s="140" t="n">
        <v>2018</v>
      </c>
      <c r="D461" s="141" t="n">
        <v>43404</v>
      </c>
      <c r="E461" s="66" t="s">
        <v>3555</v>
      </c>
      <c r="F461" s="142" t="s">
        <v>1025</v>
      </c>
      <c r="G461" s="66" t="s">
        <v>441</v>
      </c>
      <c r="H461" s="142" t="s">
        <v>2176</v>
      </c>
      <c r="I461" s="141" t="n">
        <v>45783</v>
      </c>
      <c r="J461" s="66" t="n">
        <v>5</v>
      </c>
      <c r="K461" s="143" t="s">
        <v>48</v>
      </c>
      <c r="L461" s="142" t="s">
        <v>58</v>
      </c>
      <c r="M461" s="145" t="n">
        <v>2379</v>
      </c>
    </row>
    <row r="462" customFormat="false" ht="12.75" hidden="false" customHeight="true" outlineLevel="0" collapsed="false">
      <c r="A462" s="148" t="n">
        <v>13825</v>
      </c>
      <c r="B462" s="149" t="s">
        <v>3556</v>
      </c>
      <c r="C462" s="149" t="n">
        <v>2021</v>
      </c>
      <c r="D462" s="150" t="n">
        <v>44244</v>
      </c>
      <c r="E462" s="68" t="s">
        <v>3557</v>
      </c>
      <c r="F462" s="151" t="s">
        <v>3558</v>
      </c>
      <c r="G462" s="68" t="s">
        <v>144</v>
      </c>
      <c r="H462" s="151" t="s">
        <v>697</v>
      </c>
      <c r="I462" s="150" t="n">
        <v>45785</v>
      </c>
      <c r="J462" s="68" t="n">
        <v>5</v>
      </c>
      <c r="K462" s="163" t="s">
        <v>46</v>
      </c>
      <c r="L462" s="151" t="s">
        <v>58</v>
      </c>
      <c r="M462" s="152" t="n">
        <v>1541</v>
      </c>
    </row>
    <row r="463" customFormat="false" ht="12.75" hidden="false" customHeight="true" outlineLevel="0" collapsed="false">
      <c r="A463" s="139" t="n">
        <v>13925</v>
      </c>
      <c r="B463" s="140" t="s">
        <v>3559</v>
      </c>
      <c r="C463" s="140" t="n">
        <v>2020</v>
      </c>
      <c r="D463" s="141" t="n">
        <v>44162</v>
      </c>
      <c r="E463" s="66" t="s">
        <v>3560</v>
      </c>
      <c r="F463" s="142" t="s">
        <v>696</v>
      </c>
      <c r="G463" s="66" t="s">
        <v>144</v>
      </c>
      <c r="H463" s="142" t="s">
        <v>697</v>
      </c>
      <c r="I463" s="141" t="n">
        <v>45785</v>
      </c>
      <c r="J463" s="66" t="n">
        <v>5</v>
      </c>
      <c r="K463" s="188" t="s">
        <v>49</v>
      </c>
      <c r="L463" s="142" t="s">
        <v>58</v>
      </c>
      <c r="M463" s="145" t="n">
        <v>1623</v>
      </c>
    </row>
    <row r="464" customFormat="false" ht="12.75" hidden="false" customHeight="true" outlineLevel="0" collapsed="false">
      <c r="A464" s="148" t="n">
        <v>14025</v>
      </c>
      <c r="B464" s="149" t="s">
        <v>3561</v>
      </c>
      <c r="C464" s="149" t="n">
        <v>2024</v>
      </c>
      <c r="D464" s="150" t="n">
        <v>45383</v>
      </c>
      <c r="E464" s="68" t="s">
        <v>3562</v>
      </c>
      <c r="F464" s="151" t="s">
        <v>3563</v>
      </c>
      <c r="G464" s="68" t="s">
        <v>125</v>
      </c>
      <c r="H464" s="151" t="s">
        <v>3564</v>
      </c>
      <c r="I464" s="150" t="n">
        <v>45785</v>
      </c>
      <c r="J464" s="68" t="n">
        <v>5</v>
      </c>
      <c r="K464" s="188" t="s">
        <v>49</v>
      </c>
      <c r="L464" s="189" t="s">
        <v>61</v>
      </c>
      <c r="M464" s="152" t="n">
        <v>402</v>
      </c>
    </row>
    <row r="465" customFormat="false" ht="12.75" hidden="false" customHeight="true" outlineLevel="0" collapsed="false">
      <c r="A465" s="139" t="n">
        <v>14125</v>
      </c>
      <c r="B465" s="140" t="s">
        <v>3565</v>
      </c>
      <c r="C465" s="140" t="n">
        <v>2023</v>
      </c>
      <c r="D465" s="141" t="n">
        <v>45267</v>
      </c>
      <c r="E465" s="66" t="s">
        <v>3566</v>
      </c>
      <c r="F465" s="142" t="s">
        <v>3567</v>
      </c>
      <c r="G465" s="66" t="s">
        <v>130</v>
      </c>
      <c r="H465" s="142" t="s">
        <v>3568</v>
      </c>
      <c r="I465" s="141" t="n">
        <v>45786</v>
      </c>
      <c r="J465" s="66" t="n">
        <v>5</v>
      </c>
      <c r="K465" s="188" t="s">
        <v>49</v>
      </c>
      <c r="L465" s="144" t="s">
        <v>61</v>
      </c>
      <c r="M465" s="145" t="n">
        <v>519</v>
      </c>
    </row>
    <row r="466" customFormat="false" ht="12.75" hidden="false" customHeight="true" outlineLevel="0" collapsed="false">
      <c r="A466" s="148" t="n">
        <v>14225</v>
      </c>
      <c r="B466" s="149" t="s">
        <v>3569</v>
      </c>
      <c r="C466" s="149" t="n">
        <v>2018</v>
      </c>
      <c r="D466" s="150" t="n">
        <v>43209</v>
      </c>
      <c r="E466" s="68" t="s">
        <v>3570</v>
      </c>
      <c r="F466" s="151" t="s">
        <v>908</v>
      </c>
      <c r="G466" s="68" t="s">
        <v>441</v>
      </c>
      <c r="H466" s="151" t="s">
        <v>1538</v>
      </c>
      <c r="I466" s="150" t="n">
        <v>45786</v>
      </c>
      <c r="J466" s="68" t="n">
        <v>5</v>
      </c>
      <c r="K466" s="188" t="s">
        <v>49</v>
      </c>
      <c r="L466" s="151" t="s">
        <v>58</v>
      </c>
      <c r="M466" s="152" t="n">
        <v>2577</v>
      </c>
    </row>
    <row r="467" customFormat="false" ht="12.75" hidden="false" customHeight="true" outlineLevel="0" collapsed="false">
      <c r="A467" s="139" t="n">
        <v>14325</v>
      </c>
      <c r="B467" s="140" t="s">
        <v>3571</v>
      </c>
      <c r="C467" s="140" t="n">
        <v>2024</v>
      </c>
      <c r="D467" s="141" t="n">
        <v>45575</v>
      </c>
      <c r="E467" s="66" t="s">
        <v>3572</v>
      </c>
      <c r="F467" s="142" t="s">
        <v>856</v>
      </c>
      <c r="G467" s="66" t="s">
        <v>130</v>
      </c>
      <c r="H467" s="142" t="s">
        <v>873</v>
      </c>
      <c r="I467" s="141" t="n">
        <v>45786</v>
      </c>
      <c r="J467" s="66" t="n">
        <v>5</v>
      </c>
      <c r="K467" s="188" t="s">
        <v>49</v>
      </c>
      <c r="L467" s="144" t="s">
        <v>61</v>
      </c>
      <c r="M467" s="145" t="n">
        <v>211</v>
      </c>
    </row>
    <row r="468" customFormat="false" ht="12.75" hidden="false" customHeight="true" outlineLevel="0" collapsed="false">
      <c r="A468" s="148" t="n">
        <v>14425</v>
      </c>
      <c r="B468" s="149" t="s">
        <v>3573</v>
      </c>
      <c r="C468" s="149" t="n">
        <v>2022</v>
      </c>
      <c r="D468" s="150" t="n">
        <v>44874</v>
      </c>
      <c r="E468" s="68" t="s">
        <v>3574</v>
      </c>
      <c r="F468" s="151" t="s">
        <v>3575</v>
      </c>
      <c r="G468" s="68" t="s">
        <v>125</v>
      </c>
      <c r="H468" s="151" t="s">
        <v>1567</v>
      </c>
      <c r="I468" s="150" t="n">
        <v>45786</v>
      </c>
      <c r="J468" s="68" t="n">
        <v>5</v>
      </c>
      <c r="K468" s="188" t="s">
        <v>49</v>
      </c>
      <c r="L468" s="189" t="s">
        <v>61</v>
      </c>
      <c r="M468" s="152" t="n">
        <v>912</v>
      </c>
    </row>
    <row r="469" customFormat="false" ht="12.75" hidden="false" customHeight="true" outlineLevel="0" collapsed="false">
      <c r="A469" s="139" t="n">
        <v>14525</v>
      </c>
      <c r="B469" s="140" t="s">
        <v>3576</v>
      </c>
      <c r="C469" s="140" t="n">
        <v>2024</v>
      </c>
      <c r="D469" s="141" t="n">
        <v>45477</v>
      </c>
      <c r="E469" s="66" t="s">
        <v>3577</v>
      </c>
      <c r="F469" s="142" t="s">
        <v>3578</v>
      </c>
      <c r="G469" s="66" t="s">
        <v>130</v>
      </c>
      <c r="H469" s="142" t="s">
        <v>3579</v>
      </c>
      <c r="I469" s="141" t="n">
        <v>45786</v>
      </c>
      <c r="J469" s="66" t="n">
        <v>5</v>
      </c>
      <c r="K469" s="188" t="s">
        <v>49</v>
      </c>
      <c r="L469" s="144" t="s">
        <v>61</v>
      </c>
      <c r="M469" s="145" t="n">
        <v>309</v>
      </c>
    </row>
    <row r="470" customFormat="false" ht="12.75" hidden="false" customHeight="true" outlineLevel="0" collapsed="false">
      <c r="A470" s="148" t="n">
        <v>14625</v>
      </c>
      <c r="B470" s="149" t="s">
        <v>3580</v>
      </c>
      <c r="C470" s="149" t="n">
        <v>2022</v>
      </c>
      <c r="D470" s="150" t="n">
        <v>44839</v>
      </c>
      <c r="E470" s="68" t="s">
        <v>3581</v>
      </c>
      <c r="F470" s="151" t="s">
        <v>3582</v>
      </c>
      <c r="G470" s="68" t="s">
        <v>441</v>
      </c>
      <c r="H470" s="151" t="s">
        <v>3268</v>
      </c>
      <c r="I470" s="150" t="n">
        <v>45786</v>
      </c>
      <c r="J470" s="68" t="n">
        <v>5</v>
      </c>
      <c r="K470" s="188" t="s">
        <v>49</v>
      </c>
      <c r="L470" s="151" t="s">
        <v>58</v>
      </c>
      <c r="M470" s="152" t="n">
        <v>947</v>
      </c>
    </row>
    <row r="471" customFormat="false" ht="12.75" hidden="false" customHeight="true" outlineLevel="0" collapsed="false">
      <c r="A471" s="139" t="n">
        <v>14725</v>
      </c>
      <c r="B471" s="140" t="s">
        <v>3583</v>
      </c>
      <c r="C471" s="140" t="n">
        <v>2024</v>
      </c>
      <c r="D471" s="141" t="n">
        <v>45330</v>
      </c>
      <c r="E471" s="66" t="s">
        <v>3584</v>
      </c>
      <c r="F471" s="142" t="s">
        <v>3585</v>
      </c>
      <c r="G471" s="66" t="s">
        <v>130</v>
      </c>
      <c r="H471" s="142" t="s">
        <v>3586</v>
      </c>
      <c r="I471" s="141" t="n">
        <v>45786</v>
      </c>
      <c r="J471" s="66" t="n">
        <v>5</v>
      </c>
      <c r="K471" s="188" t="s">
        <v>49</v>
      </c>
      <c r="L471" s="144" t="s">
        <v>61</v>
      </c>
      <c r="M471" s="145" t="n">
        <v>456</v>
      </c>
    </row>
    <row r="472" customFormat="false" ht="12.75" hidden="false" customHeight="true" outlineLevel="0" collapsed="false">
      <c r="A472" s="148" t="n">
        <v>14825</v>
      </c>
      <c r="B472" s="149" t="s">
        <v>3587</v>
      </c>
      <c r="C472" s="149" t="n">
        <v>2023</v>
      </c>
      <c r="D472" s="150" t="n">
        <v>45078</v>
      </c>
      <c r="E472" s="68" t="s">
        <v>3588</v>
      </c>
      <c r="F472" s="151" t="s">
        <v>3589</v>
      </c>
      <c r="G472" s="68" t="s">
        <v>125</v>
      </c>
      <c r="H472" s="151" t="s">
        <v>3590</v>
      </c>
      <c r="I472" s="150" t="n">
        <v>45786</v>
      </c>
      <c r="J472" s="68" t="n">
        <v>5</v>
      </c>
      <c r="K472" s="169" t="s">
        <v>290</v>
      </c>
      <c r="L472" s="189" t="s">
        <v>61</v>
      </c>
      <c r="M472" s="152" t="n">
        <v>708</v>
      </c>
    </row>
    <row r="473" customFormat="false" ht="12.75" hidden="false" customHeight="true" outlineLevel="0" collapsed="false">
      <c r="A473" s="139" t="n">
        <v>14925</v>
      </c>
      <c r="B473" s="140" t="s">
        <v>3591</v>
      </c>
      <c r="C473" s="140" t="n">
        <v>2023</v>
      </c>
      <c r="D473" s="141" t="n">
        <v>45257</v>
      </c>
      <c r="E473" s="66" t="s">
        <v>3592</v>
      </c>
      <c r="F473" s="142" t="s">
        <v>3593</v>
      </c>
      <c r="G473" s="66" t="s">
        <v>125</v>
      </c>
      <c r="H473" s="142" t="s">
        <v>54</v>
      </c>
      <c r="I473" s="141" t="n">
        <v>45786</v>
      </c>
      <c r="J473" s="66" t="n">
        <v>5</v>
      </c>
      <c r="K473" s="188" t="s">
        <v>49</v>
      </c>
      <c r="L473" s="144" t="s">
        <v>61</v>
      </c>
      <c r="M473" s="145" t="n">
        <v>529</v>
      </c>
    </row>
    <row r="474" customFormat="false" ht="12.75" hidden="false" customHeight="true" outlineLevel="0" collapsed="false">
      <c r="A474" s="148" t="n">
        <v>15025</v>
      </c>
      <c r="B474" s="149" t="s">
        <v>3594</v>
      </c>
      <c r="C474" s="149" t="n">
        <v>2020</v>
      </c>
      <c r="D474" s="150" t="n">
        <v>44119</v>
      </c>
      <c r="E474" s="68" t="s">
        <v>3595</v>
      </c>
      <c r="F474" s="151" t="s">
        <v>242</v>
      </c>
      <c r="G474" s="68" t="s">
        <v>441</v>
      </c>
      <c r="H474" s="68" t="s">
        <v>250</v>
      </c>
      <c r="I474" s="150" t="n">
        <v>45786</v>
      </c>
      <c r="J474" s="68" t="n">
        <v>5</v>
      </c>
      <c r="K474" s="188" t="s">
        <v>49</v>
      </c>
      <c r="L474" s="151" t="s">
        <v>58</v>
      </c>
      <c r="M474" s="152" t="n">
        <v>1667</v>
      </c>
    </row>
    <row r="475" customFormat="false" ht="12.75" hidden="false" customHeight="true" outlineLevel="0" collapsed="false">
      <c r="A475" s="139" t="n">
        <v>15125</v>
      </c>
      <c r="B475" s="140" t="s">
        <v>3596</v>
      </c>
      <c r="C475" s="140" t="n">
        <v>2024</v>
      </c>
      <c r="D475" s="141" t="n">
        <v>45435</v>
      </c>
      <c r="E475" s="66" t="s">
        <v>3597</v>
      </c>
      <c r="F475" s="142" t="s">
        <v>3598</v>
      </c>
      <c r="G475" s="66" t="s">
        <v>130</v>
      </c>
      <c r="H475" s="142" t="s">
        <v>3599</v>
      </c>
      <c r="I475" s="141" t="n">
        <v>45789</v>
      </c>
      <c r="J475" s="66" t="n">
        <v>5</v>
      </c>
      <c r="K475" s="188" t="s">
        <v>49</v>
      </c>
      <c r="L475" s="144" t="s">
        <v>61</v>
      </c>
      <c r="M475" s="145" t="n">
        <v>354</v>
      </c>
    </row>
    <row r="476" customFormat="false" ht="12.75" hidden="false" customHeight="true" outlineLevel="0" collapsed="false">
      <c r="A476" s="148" t="n">
        <v>15225</v>
      </c>
      <c r="B476" s="149" t="s">
        <v>3600</v>
      </c>
      <c r="C476" s="149" t="n">
        <v>2024</v>
      </c>
      <c r="D476" s="150" t="n">
        <v>45435</v>
      </c>
      <c r="E476" s="68" t="s">
        <v>3601</v>
      </c>
      <c r="F476" s="151" t="s">
        <v>3567</v>
      </c>
      <c r="G476" s="68" t="s">
        <v>130</v>
      </c>
      <c r="H476" s="151" t="s">
        <v>3602</v>
      </c>
      <c r="I476" s="150" t="n">
        <v>45789</v>
      </c>
      <c r="J476" s="68" t="n">
        <v>5</v>
      </c>
      <c r="K476" s="188" t="s">
        <v>49</v>
      </c>
      <c r="L476" s="189" t="s">
        <v>61</v>
      </c>
      <c r="M476" s="152" t="n">
        <v>354</v>
      </c>
    </row>
    <row r="477" customFormat="false" ht="12.75" hidden="false" customHeight="true" outlineLevel="0" collapsed="false">
      <c r="A477" s="139" t="n">
        <v>15325</v>
      </c>
      <c r="B477" s="140" t="s">
        <v>3603</v>
      </c>
      <c r="C477" s="140" t="n">
        <v>2020</v>
      </c>
      <c r="D477" s="141" t="n">
        <v>44118</v>
      </c>
      <c r="E477" s="66" t="s">
        <v>3604</v>
      </c>
      <c r="F477" s="142" t="s">
        <v>1879</v>
      </c>
      <c r="G477" s="66" t="s">
        <v>441</v>
      </c>
      <c r="H477" s="142" t="s">
        <v>3605</v>
      </c>
      <c r="I477" s="141" t="n">
        <v>45789</v>
      </c>
      <c r="J477" s="66" t="n">
        <v>5</v>
      </c>
      <c r="K477" s="169" t="s">
        <v>290</v>
      </c>
      <c r="L477" s="142" t="s">
        <v>60</v>
      </c>
      <c r="M477" s="145" t="n">
        <v>1671</v>
      </c>
    </row>
    <row r="478" customFormat="false" ht="12.75" hidden="false" customHeight="true" outlineLevel="0" collapsed="false">
      <c r="A478" s="148" t="n">
        <v>15425</v>
      </c>
      <c r="B478" s="149" t="s">
        <v>3606</v>
      </c>
      <c r="C478" s="149" t="n">
        <v>2021</v>
      </c>
      <c r="D478" s="150" t="n">
        <v>44477</v>
      </c>
      <c r="E478" s="68" t="s">
        <v>3607</v>
      </c>
      <c r="F478" s="151" t="s">
        <v>3608</v>
      </c>
      <c r="G478" s="68" t="s">
        <v>144</v>
      </c>
      <c r="H478" s="151" t="s">
        <v>1042</v>
      </c>
      <c r="I478" s="150" t="n">
        <v>45789</v>
      </c>
      <c r="J478" s="68" t="n">
        <v>5</v>
      </c>
      <c r="K478" s="143" t="s">
        <v>48</v>
      </c>
      <c r="L478" s="151" t="s">
        <v>58</v>
      </c>
      <c r="M478" s="152" t="n">
        <v>1312</v>
      </c>
    </row>
    <row r="479" customFormat="false" ht="12.75" hidden="false" customHeight="true" outlineLevel="0" collapsed="false">
      <c r="A479" s="139" t="n">
        <v>15525</v>
      </c>
      <c r="B479" s="140" t="s">
        <v>3609</v>
      </c>
      <c r="C479" s="140" t="n">
        <v>2020</v>
      </c>
      <c r="D479" s="141" t="n">
        <v>44083</v>
      </c>
      <c r="E479" s="66" t="s">
        <v>3610</v>
      </c>
      <c r="F479" s="142" t="s">
        <v>3611</v>
      </c>
      <c r="G479" s="66" t="s">
        <v>441</v>
      </c>
      <c r="H479" s="142" t="s">
        <v>1538</v>
      </c>
      <c r="I479" s="141" t="n">
        <v>45789</v>
      </c>
      <c r="J479" s="66" t="n">
        <v>5</v>
      </c>
      <c r="K479" s="188" t="s">
        <v>49</v>
      </c>
      <c r="L479" s="142" t="s">
        <v>60</v>
      </c>
      <c r="M479" s="145" t="n">
        <v>1706</v>
      </c>
    </row>
    <row r="480" customFormat="false" ht="12.75" hidden="false" customHeight="true" outlineLevel="0" collapsed="false">
      <c r="A480" s="148" t="n">
        <v>15625</v>
      </c>
      <c r="B480" s="149" t="s">
        <v>3612</v>
      </c>
      <c r="C480" s="149" t="n">
        <v>2018</v>
      </c>
      <c r="D480" s="150" t="n">
        <v>43451</v>
      </c>
      <c r="E480" s="68" t="s">
        <v>3613</v>
      </c>
      <c r="F480" s="151" t="s">
        <v>3614</v>
      </c>
      <c r="G480" s="68" t="s">
        <v>441</v>
      </c>
      <c r="H480" s="151" t="s">
        <v>3393</v>
      </c>
      <c r="I480" s="150" t="n">
        <v>45789</v>
      </c>
      <c r="J480" s="68" t="n">
        <v>5</v>
      </c>
      <c r="K480" s="188" t="s">
        <v>49</v>
      </c>
      <c r="L480" s="151" t="s">
        <v>60</v>
      </c>
      <c r="M480" s="152" t="n">
        <v>2338</v>
      </c>
    </row>
    <row r="481" customFormat="false" ht="12.75" hidden="false" customHeight="true" outlineLevel="0" collapsed="false">
      <c r="A481" s="139" t="n">
        <v>15725</v>
      </c>
      <c r="B481" s="140" t="s">
        <v>3615</v>
      </c>
      <c r="C481" s="140" t="n">
        <v>2021</v>
      </c>
      <c r="D481" s="141" t="n">
        <v>44406</v>
      </c>
      <c r="E481" s="66" t="s">
        <v>3616</v>
      </c>
      <c r="F481" s="142" t="s">
        <v>138</v>
      </c>
      <c r="G481" s="66" t="s">
        <v>441</v>
      </c>
      <c r="H481" s="142" t="s">
        <v>3617</v>
      </c>
      <c r="I481" s="141" t="n">
        <v>45789</v>
      </c>
      <c r="J481" s="66" t="n">
        <v>5</v>
      </c>
      <c r="K481" s="188" t="s">
        <v>49</v>
      </c>
      <c r="L481" s="144" t="s">
        <v>61</v>
      </c>
      <c r="M481" s="145" t="n">
        <v>1383</v>
      </c>
    </row>
    <row r="482" customFormat="false" ht="12.75" hidden="false" customHeight="true" outlineLevel="0" collapsed="false">
      <c r="A482" s="148" t="n">
        <v>15825</v>
      </c>
      <c r="B482" s="149" t="s">
        <v>3618</v>
      </c>
      <c r="C482" s="149" t="n">
        <v>2020</v>
      </c>
      <c r="D482" s="150" t="n">
        <v>44011</v>
      </c>
      <c r="E482" s="68" t="s">
        <v>3619</v>
      </c>
      <c r="F482" s="151" t="s">
        <v>3620</v>
      </c>
      <c r="G482" s="68" t="s">
        <v>441</v>
      </c>
      <c r="H482" s="151" t="s">
        <v>522</v>
      </c>
      <c r="I482" s="150" t="n">
        <v>45789</v>
      </c>
      <c r="J482" s="68" t="n">
        <v>5</v>
      </c>
      <c r="K482" s="188" t="s">
        <v>49</v>
      </c>
      <c r="L482" s="151" t="s">
        <v>58</v>
      </c>
      <c r="M482" s="152" t="n">
        <v>1778</v>
      </c>
    </row>
    <row r="483" customFormat="false" ht="12.75" hidden="false" customHeight="true" outlineLevel="0" collapsed="false">
      <c r="A483" s="139" t="n">
        <v>15925</v>
      </c>
      <c r="B483" s="140" t="s">
        <v>3621</v>
      </c>
      <c r="C483" s="140" t="n">
        <v>2019</v>
      </c>
      <c r="D483" s="141" t="n">
        <v>43759</v>
      </c>
      <c r="E483" s="66" t="s">
        <v>3622</v>
      </c>
      <c r="F483" s="142" t="s">
        <v>3623</v>
      </c>
      <c r="G483" s="66" t="s">
        <v>441</v>
      </c>
      <c r="H483" s="142" t="s">
        <v>522</v>
      </c>
      <c r="I483" s="141" t="n">
        <v>45789</v>
      </c>
      <c r="J483" s="66" t="n">
        <v>5</v>
      </c>
      <c r="K483" s="143" t="s">
        <v>48</v>
      </c>
      <c r="L483" s="142" t="s">
        <v>58</v>
      </c>
      <c r="M483" s="145" t="n">
        <v>2030</v>
      </c>
    </row>
    <row r="484" customFormat="false" ht="12.75" hidden="false" customHeight="true" outlineLevel="0" collapsed="false">
      <c r="A484" s="148" t="n">
        <v>16025</v>
      </c>
      <c r="B484" s="149" t="s">
        <v>3624</v>
      </c>
      <c r="C484" s="149" t="n">
        <v>2020</v>
      </c>
      <c r="D484" s="150" t="n">
        <v>44140</v>
      </c>
      <c r="E484" s="68" t="s">
        <v>3625</v>
      </c>
      <c r="F484" s="151" t="s">
        <v>3626</v>
      </c>
      <c r="G484" s="68" t="s">
        <v>441</v>
      </c>
      <c r="H484" s="151" t="s">
        <v>196</v>
      </c>
      <c r="I484" s="150" t="n">
        <v>45789</v>
      </c>
      <c r="J484" s="68" t="n">
        <v>5</v>
      </c>
      <c r="K484" s="143" t="s">
        <v>48</v>
      </c>
      <c r="L484" s="151" t="s">
        <v>58</v>
      </c>
      <c r="M484" s="152" t="n">
        <v>1649</v>
      </c>
    </row>
    <row r="485" customFormat="false" ht="12.75" hidden="false" customHeight="true" outlineLevel="0" collapsed="false">
      <c r="A485" s="139" t="n">
        <v>16125</v>
      </c>
      <c r="B485" s="140" t="s">
        <v>3627</v>
      </c>
      <c r="C485" s="140" t="n">
        <v>2020</v>
      </c>
      <c r="D485" s="141" t="n">
        <v>44043</v>
      </c>
      <c r="E485" s="66" t="s">
        <v>3628</v>
      </c>
      <c r="F485" s="142" t="s">
        <v>3519</v>
      </c>
      <c r="G485" s="66" t="s">
        <v>144</v>
      </c>
      <c r="H485" s="142" t="s">
        <v>254</v>
      </c>
      <c r="I485" s="141" t="n">
        <v>45789</v>
      </c>
      <c r="J485" s="66" t="n">
        <v>5</v>
      </c>
      <c r="K485" s="143" t="s">
        <v>48</v>
      </c>
      <c r="L485" s="142" t="s">
        <v>58</v>
      </c>
      <c r="M485" s="145" t="n">
        <v>1746</v>
      </c>
    </row>
    <row r="486" customFormat="false" ht="12.75" hidden="false" customHeight="true" outlineLevel="0" collapsed="false">
      <c r="A486" s="148" t="n">
        <v>16225</v>
      </c>
      <c r="B486" s="149" t="s">
        <v>3629</v>
      </c>
      <c r="C486" s="149" t="n">
        <v>2024</v>
      </c>
      <c r="D486" s="150" t="n">
        <v>45471</v>
      </c>
      <c r="E486" s="68" t="s">
        <v>3630</v>
      </c>
      <c r="F486" s="151" t="s">
        <v>3631</v>
      </c>
      <c r="G486" s="68" t="s">
        <v>125</v>
      </c>
      <c r="H486" s="151" t="s">
        <v>3632</v>
      </c>
      <c r="I486" s="150" t="n">
        <v>45789</v>
      </c>
      <c r="J486" s="68" t="n">
        <v>5</v>
      </c>
      <c r="K486" s="188" t="s">
        <v>49</v>
      </c>
      <c r="L486" s="189" t="s">
        <v>61</v>
      </c>
      <c r="M486" s="152" t="n">
        <v>318</v>
      </c>
    </row>
    <row r="487" customFormat="false" ht="12.75" hidden="false" customHeight="true" outlineLevel="0" collapsed="false">
      <c r="A487" s="139" t="n">
        <v>16325</v>
      </c>
      <c r="B487" s="140" t="s">
        <v>3633</v>
      </c>
      <c r="C487" s="140" t="n">
        <v>2024</v>
      </c>
      <c r="D487" s="141" t="n">
        <v>45525</v>
      </c>
      <c r="E487" s="66" t="s">
        <v>3634</v>
      </c>
      <c r="F487" s="142" t="s">
        <v>3635</v>
      </c>
      <c r="G487" s="66" t="s">
        <v>125</v>
      </c>
      <c r="H487" s="142" t="s">
        <v>3636</v>
      </c>
      <c r="I487" s="141" t="n">
        <v>45789</v>
      </c>
      <c r="J487" s="66" t="n">
        <v>5</v>
      </c>
      <c r="K487" s="188" t="s">
        <v>49</v>
      </c>
      <c r="L487" s="144" t="s">
        <v>61</v>
      </c>
      <c r="M487" s="145" t="n">
        <v>264</v>
      </c>
    </row>
    <row r="488" customFormat="false" ht="12.75" hidden="false" customHeight="true" outlineLevel="0" collapsed="false">
      <c r="A488" s="148" t="n">
        <v>16425</v>
      </c>
      <c r="B488" s="149" t="s">
        <v>3637</v>
      </c>
      <c r="C488" s="149" t="n">
        <v>2024</v>
      </c>
      <c r="D488" s="150" t="n">
        <v>45508</v>
      </c>
      <c r="E488" s="68" t="s">
        <v>3638</v>
      </c>
      <c r="F488" s="151" t="s">
        <v>3639</v>
      </c>
      <c r="G488" s="68" t="s">
        <v>125</v>
      </c>
      <c r="H488" s="151" t="s">
        <v>3636</v>
      </c>
      <c r="I488" s="150" t="n">
        <v>45789</v>
      </c>
      <c r="J488" s="68" t="n">
        <v>5</v>
      </c>
      <c r="K488" s="188" t="s">
        <v>49</v>
      </c>
      <c r="L488" s="189" t="s">
        <v>61</v>
      </c>
      <c r="M488" s="152" t="n">
        <v>281</v>
      </c>
    </row>
    <row r="489" customFormat="false" ht="12.75" hidden="false" customHeight="true" outlineLevel="0" collapsed="false">
      <c r="A489" s="139" t="n">
        <v>16525</v>
      </c>
      <c r="B489" s="140" t="s">
        <v>3640</v>
      </c>
      <c r="C489" s="140" t="n">
        <v>2021</v>
      </c>
      <c r="D489" s="141" t="n">
        <v>44439</v>
      </c>
      <c r="E489" s="66" t="s">
        <v>3641</v>
      </c>
      <c r="F489" s="142" t="s">
        <v>191</v>
      </c>
      <c r="G489" s="66" t="s">
        <v>144</v>
      </c>
      <c r="H489" s="142" t="s">
        <v>373</v>
      </c>
      <c r="I489" s="141" t="n">
        <v>45789</v>
      </c>
      <c r="J489" s="66" t="n">
        <v>5</v>
      </c>
      <c r="K489" s="169" t="s">
        <v>290</v>
      </c>
      <c r="L489" s="142" t="s">
        <v>58</v>
      </c>
      <c r="M489" s="145" t="n">
        <v>1350</v>
      </c>
    </row>
    <row r="490" customFormat="false" ht="12.75" hidden="false" customHeight="true" outlineLevel="0" collapsed="false">
      <c r="A490" s="148" t="n">
        <v>16625</v>
      </c>
      <c r="B490" s="149" t="s">
        <v>3642</v>
      </c>
      <c r="C490" s="149" t="n">
        <v>2019</v>
      </c>
      <c r="D490" s="150" t="n">
        <v>43573</v>
      </c>
      <c r="E490" s="68" t="s">
        <v>3643</v>
      </c>
      <c r="F490" s="151" t="s">
        <v>3644</v>
      </c>
      <c r="G490" s="68" t="s">
        <v>441</v>
      </c>
      <c r="H490" s="151" t="s">
        <v>1081</v>
      </c>
      <c r="I490" s="150" t="n">
        <v>45789</v>
      </c>
      <c r="J490" s="68" t="n">
        <v>5</v>
      </c>
      <c r="K490" s="143" t="s">
        <v>48</v>
      </c>
      <c r="L490" s="151" t="s">
        <v>58</v>
      </c>
      <c r="M490" s="152" t="n">
        <v>2216</v>
      </c>
    </row>
    <row r="491" customFormat="false" ht="12.75" hidden="false" customHeight="true" outlineLevel="0" collapsed="false">
      <c r="A491" s="139" t="n">
        <v>16725</v>
      </c>
      <c r="B491" s="140" t="s">
        <v>3645</v>
      </c>
      <c r="C491" s="140" t="n">
        <v>2024</v>
      </c>
      <c r="D491" s="141" t="n">
        <v>45398</v>
      </c>
      <c r="E491" s="66" t="s">
        <v>3646</v>
      </c>
      <c r="F491" s="142" t="s">
        <v>3647</v>
      </c>
      <c r="G491" s="66" t="s">
        <v>125</v>
      </c>
      <c r="H491" s="142" t="s">
        <v>3648</v>
      </c>
      <c r="I491" s="141" t="n">
        <v>45790</v>
      </c>
      <c r="J491" s="66" t="n">
        <v>5</v>
      </c>
      <c r="K491" s="188" t="s">
        <v>49</v>
      </c>
      <c r="L491" s="144" t="s">
        <v>61</v>
      </c>
      <c r="M491" s="145" t="n">
        <v>392</v>
      </c>
    </row>
    <row r="492" customFormat="false" ht="12.75" hidden="false" customHeight="true" outlineLevel="0" collapsed="false">
      <c r="A492" s="148" t="n">
        <v>16825</v>
      </c>
      <c r="B492" s="149" t="s">
        <v>3649</v>
      </c>
      <c r="C492" s="149" t="n">
        <v>2020</v>
      </c>
      <c r="D492" s="150" t="n">
        <v>44123</v>
      </c>
      <c r="E492" s="68" t="s">
        <v>3650</v>
      </c>
      <c r="F492" s="151" t="s">
        <v>3651</v>
      </c>
      <c r="G492" s="68" t="s">
        <v>441</v>
      </c>
      <c r="H492" s="151" t="s">
        <v>813</v>
      </c>
      <c r="I492" s="150" t="n">
        <v>45790</v>
      </c>
      <c r="J492" s="68" t="n">
        <v>5</v>
      </c>
      <c r="K492" s="188" t="s">
        <v>49</v>
      </c>
      <c r="L492" s="151" t="s">
        <v>58</v>
      </c>
      <c r="M492" s="152" t="n">
        <v>1667</v>
      </c>
    </row>
    <row r="493" customFormat="false" ht="12.75" hidden="false" customHeight="true" outlineLevel="0" collapsed="false">
      <c r="A493" s="139" t="n">
        <v>16925</v>
      </c>
      <c r="B493" s="140" t="s">
        <v>3652</v>
      </c>
      <c r="C493" s="140" t="n">
        <v>2019</v>
      </c>
      <c r="D493" s="141" t="n">
        <v>43759</v>
      </c>
      <c r="E493" s="66" t="s">
        <v>3653</v>
      </c>
      <c r="F493" s="142" t="s">
        <v>365</v>
      </c>
      <c r="G493" s="66" t="s">
        <v>441</v>
      </c>
      <c r="H493" s="142" t="s">
        <v>1081</v>
      </c>
      <c r="I493" s="141" t="n">
        <v>45790</v>
      </c>
      <c r="J493" s="66" t="n">
        <v>5</v>
      </c>
      <c r="K493" s="143" t="s">
        <v>48</v>
      </c>
      <c r="L493" s="142" t="s">
        <v>60</v>
      </c>
      <c r="M493" s="145" t="n">
        <v>2031</v>
      </c>
    </row>
    <row r="494" customFormat="false" ht="12.75" hidden="false" customHeight="true" outlineLevel="0" collapsed="false">
      <c r="A494" s="148" t="n">
        <v>17025</v>
      </c>
      <c r="B494" s="149" t="s">
        <v>3654</v>
      </c>
      <c r="C494" s="149" t="n">
        <v>2019</v>
      </c>
      <c r="D494" s="150" t="n">
        <v>43759</v>
      </c>
      <c r="E494" s="68" t="s">
        <v>3655</v>
      </c>
      <c r="F494" s="151" t="s">
        <v>3656</v>
      </c>
      <c r="G494" s="68" t="s">
        <v>441</v>
      </c>
      <c r="H494" s="151" t="s">
        <v>192</v>
      </c>
      <c r="I494" s="150" t="n">
        <v>45790</v>
      </c>
      <c r="J494" s="68" t="n">
        <v>5</v>
      </c>
      <c r="K494" s="188" t="s">
        <v>49</v>
      </c>
      <c r="L494" s="151" t="s">
        <v>60</v>
      </c>
      <c r="M494" s="152" t="n">
        <v>2031</v>
      </c>
    </row>
    <row r="495" customFormat="false" ht="12.75" hidden="false" customHeight="true" outlineLevel="0" collapsed="false">
      <c r="A495" s="139" t="n">
        <v>17125</v>
      </c>
      <c r="B495" s="140" t="s">
        <v>3657</v>
      </c>
      <c r="C495" s="140" t="n">
        <v>2020</v>
      </c>
      <c r="D495" s="141" t="n">
        <v>43976</v>
      </c>
      <c r="E495" s="66" t="s">
        <v>3658</v>
      </c>
      <c r="F495" s="142" t="s">
        <v>3659</v>
      </c>
      <c r="G495" s="66" t="s">
        <v>441</v>
      </c>
      <c r="H495" s="142" t="s">
        <v>2974</v>
      </c>
      <c r="I495" s="141" t="n">
        <v>45790</v>
      </c>
      <c r="J495" s="66" t="n">
        <v>5</v>
      </c>
      <c r="K495" s="188" t="s">
        <v>49</v>
      </c>
      <c r="L495" s="142" t="s">
        <v>60</v>
      </c>
      <c r="M495" s="145" t="n">
        <v>1814</v>
      </c>
    </row>
    <row r="496" customFormat="false" ht="12.75" hidden="false" customHeight="true" outlineLevel="0" collapsed="false">
      <c r="A496" s="148" t="n">
        <v>17225</v>
      </c>
      <c r="B496" s="149" t="s">
        <v>3660</v>
      </c>
      <c r="C496" s="149" t="n">
        <v>2019</v>
      </c>
      <c r="D496" s="150" t="n">
        <v>43825</v>
      </c>
      <c r="E496" s="68" t="s">
        <v>3661</v>
      </c>
      <c r="F496" s="151" t="s">
        <v>1068</v>
      </c>
      <c r="G496" s="68" t="s">
        <v>441</v>
      </c>
      <c r="H496" s="151" t="s">
        <v>192</v>
      </c>
      <c r="I496" s="150" t="n">
        <v>45790</v>
      </c>
      <c r="J496" s="68" t="n">
        <v>5</v>
      </c>
      <c r="K496" s="188" t="s">
        <v>49</v>
      </c>
      <c r="L496" s="151" t="s">
        <v>60</v>
      </c>
      <c r="M496" s="152" t="n">
        <v>1965</v>
      </c>
    </row>
    <row r="497" customFormat="false" ht="12.75" hidden="false" customHeight="true" outlineLevel="0" collapsed="false">
      <c r="A497" s="139" t="n">
        <v>17325</v>
      </c>
      <c r="B497" s="140" t="s">
        <v>3662</v>
      </c>
      <c r="C497" s="140" t="n">
        <v>2021</v>
      </c>
      <c r="D497" s="141" t="n">
        <v>44315</v>
      </c>
      <c r="E497" s="66" t="s">
        <v>3663</v>
      </c>
      <c r="F497" s="142" t="s">
        <v>3664</v>
      </c>
      <c r="G497" s="66" t="s">
        <v>441</v>
      </c>
      <c r="H497" s="142" t="s">
        <v>254</v>
      </c>
      <c r="I497" s="141" t="n">
        <v>45790</v>
      </c>
      <c r="J497" s="66" t="n">
        <v>5</v>
      </c>
      <c r="K497" s="188" t="s">
        <v>49</v>
      </c>
      <c r="L497" s="142" t="s">
        <v>58</v>
      </c>
      <c r="M497" s="145" t="n">
        <v>1475</v>
      </c>
    </row>
    <row r="498" customFormat="false" ht="12.75" hidden="false" customHeight="true" outlineLevel="0" collapsed="false">
      <c r="A498" s="148" t="n">
        <v>17425</v>
      </c>
      <c r="B498" s="149" t="s">
        <v>3665</v>
      </c>
      <c r="C498" s="149" t="n">
        <v>2023</v>
      </c>
      <c r="D498" s="150" t="n">
        <v>45275</v>
      </c>
      <c r="E498" s="68" t="s">
        <v>3666</v>
      </c>
      <c r="F498" s="151" t="s">
        <v>1025</v>
      </c>
      <c r="G498" s="68" t="s">
        <v>441</v>
      </c>
      <c r="H498" s="151" t="s">
        <v>1231</v>
      </c>
      <c r="I498" s="150" t="n">
        <v>45790</v>
      </c>
      <c r="J498" s="68" t="n">
        <v>5</v>
      </c>
      <c r="K498" s="188" t="s">
        <v>49</v>
      </c>
      <c r="L498" s="151" t="s">
        <v>58</v>
      </c>
      <c r="M498" s="152" t="n">
        <v>515</v>
      </c>
    </row>
    <row r="499" customFormat="false" ht="12.75" hidden="false" customHeight="true" outlineLevel="0" collapsed="false">
      <c r="A499" s="139" t="n">
        <v>17525</v>
      </c>
      <c r="B499" s="140" t="s">
        <v>3667</v>
      </c>
      <c r="C499" s="140" t="n">
        <v>2020</v>
      </c>
      <c r="D499" s="141" t="n">
        <v>44175</v>
      </c>
      <c r="E499" s="66" t="s">
        <v>3668</v>
      </c>
      <c r="F499" s="142" t="s">
        <v>3669</v>
      </c>
      <c r="G499" s="66" t="s">
        <v>441</v>
      </c>
      <c r="H499" s="142" t="s">
        <v>192</v>
      </c>
      <c r="I499" s="141" t="n">
        <v>45790</v>
      </c>
      <c r="J499" s="66" t="n">
        <v>5</v>
      </c>
      <c r="K499" s="143" t="s">
        <v>48</v>
      </c>
      <c r="L499" s="142" t="s">
        <v>58</v>
      </c>
      <c r="M499" s="145" t="n">
        <v>1615</v>
      </c>
    </row>
    <row r="500" customFormat="false" ht="12.75" hidden="false" customHeight="true" outlineLevel="0" collapsed="false">
      <c r="A500" s="148" t="n">
        <v>17625</v>
      </c>
      <c r="B500" s="149" t="s">
        <v>3670</v>
      </c>
      <c r="C500" s="149" t="n">
        <v>2021</v>
      </c>
      <c r="D500" s="150" t="n">
        <v>44433</v>
      </c>
      <c r="E500" s="68" t="s">
        <v>3671</v>
      </c>
      <c r="F500" s="151" t="s">
        <v>3672</v>
      </c>
      <c r="G500" s="68" t="s">
        <v>130</v>
      </c>
      <c r="H500" s="151" t="s">
        <v>3673</v>
      </c>
      <c r="I500" s="150" t="n">
        <v>45790</v>
      </c>
      <c r="J500" s="68" t="n">
        <v>5</v>
      </c>
      <c r="K500" s="169" t="s">
        <v>290</v>
      </c>
      <c r="L500" s="189" t="s">
        <v>61</v>
      </c>
      <c r="M500" s="152" t="n">
        <v>1357</v>
      </c>
    </row>
    <row r="501" customFormat="false" ht="12.75" hidden="false" customHeight="true" outlineLevel="0" collapsed="false">
      <c r="A501" s="139" t="n">
        <v>17725</v>
      </c>
      <c r="B501" s="140" t="s">
        <v>3674</v>
      </c>
      <c r="C501" s="140" t="n">
        <v>2019</v>
      </c>
      <c r="D501" s="141" t="n">
        <v>43616</v>
      </c>
      <c r="E501" s="66" t="s">
        <v>3675</v>
      </c>
      <c r="F501" s="142" t="s">
        <v>902</v>
      </c>
      <c r="G501" s="66" t="s">
        <v>441</v>
      </c>
      <c r="H501" s="142" t="s">
        <v>250</v>
      </c>
      <c r="I501" s="141" t="n">
        <v>45790</v>
      </c>
      <c r="J501" s="66" t="n">
        <v>5</v>
      </c>
      <c r="K501" s="188" t="s">
        <v>49</v>
      </c>
      <c r="L501" s="142" t="s">
        <v>58</v>
      </c>
      <c r="M501" s="145" t="n">
        <v>2174</v>
      </c>
    </row>
    <row r="502" customFormat="false" ht="15" hidden="false" customHeight="true" outlineLevel="0" collapsed="false">
      <c r="A502" s="148" t="n">
        <v>17825</v>
      </c>
      <c r="B502" s="149" t="s">
        <v>3676</v>
      </c>
      <c r="C502" s="149" t="n">
        <v>2024</v>
      </c>
      <c r="D502" s="150" t="n">
        <v>45478</v>
      </c>
      <c r="E502" s="68" t="s">
        <v>3677</v>
      </c>
      <c r="F502" s="151" t="s">
        <v>3678</v>
      </c>
      <c r="G502" s="68" t="s">
        <v>125</v>
      </c>
      <c r="H502" s="151" t="s">
        <v>3225</v>
      </c>
      <c r="I502" s="150" t="n">
        <v>45791</v>
      </c>
      <c r="J502" s="68" t="n">
        <v>5</v>
      </c>
      <c r="K502" s="188" t="s">
        <v>49</v>
      </c>
      <c r="L502" s="189" t="s">
        <v>61</v>
      </c>
      <c r="M502" s="152" t="n">
        <v>313</v>
      </c>
    </row>
    <row r="503" customFormat="false" ht="12.75" hidden="false" customHeight="true" outlineLevel="0" collapsed="false">
      <c r="A503" s="139" t="n">
        <v>17925</v>
      </c>
      <c r="B503" s="140" t="s">
        <v>3679</v>
      </c>
      <c r="C503" s="140" t="n">
        <v>2024</v>
      </c>
      <c r="D503" s="141" t="n">
        <v>45478</v>
      </c>
      <c r="E503" s="66" t="s">
        <v>3680</v>
      </c>
      <c r="F503" s="142" t="s">
        <v>3681</v>
      </c>
      <c r="G503" s="66" t="s">
        <v>125</v>
      </c>
      <c r="H503" s="142" t="s">
        <v>3682</v>
      </c>
      <c r="I503" s="141" t="n">
        <v>45791</v>
      </c>
      <c r="J503" s="66" t="n">
        <v>5</v>
      </c>
      <c r="K503" s="169" t="s">
        <v>290</v>
      </c>
      <c r="L503" s="144" t="s">
        <v>61</v>
      </c>
      <c r="M503" s="145" t="n">
        <v>313</v>
      </c>
    </row>
    <row r="504" customFormat="false" ht="12.75" hidden="false" customHeight="true" outlineLevel="0" collapsed="false">
      <c r="A504" s="148" t="n">
        <v>18025</v>
      </c>
      <c r="B504" s="149" t="s">
        <v>3683</v>
      </c>
      <c r="C504" s="149" t="n">
        <v>2024</v>
      </c>
      <c r="D504" s="150" t="n">
        <v>45468</v>
      </c>
      <c r="E504" s="68" t="s">
        <v>3684</v>
      </c>
      <c r="F504" s="151" t="s">
        <v>3685</v>
      </c>
      <c r="G504" s="68" t="s">
        <v>125</v>
      </c>
      <c r="H504" s="151" t="s">
        <v>3686</v>
      </c>
      <c r="I504" s="150" t="n">
        <v>45791</v>
      </c>
      <c r="J504" s="68" t="n">
        <v>5</v>
      </c>
      <c r="K504" s="188" t="s">
        <v>49</v>
      </c>
      <c r="L504" s="189" t="s">
        <v>61</v>
      </c>
      <c r="M504" s="152" t="n">
        <v>323</v>
      </c>
    </row>
    <row r="505" customFormat="false" ht="12.75" hidden="false" customHeight="true" outlineLevel="0" collapsed="false">
      <c r="A505" s="139" t="n">
        <v>18125</v>
      </c>
      <c r="B505" s="140" t="s">
        <v>3687</v>
      </c>
      <c r="C505" s="140" t="n">
        <v>2024</v>
      </c>
      <c r="D505" s="141" t="n">
        <v>45468</v>
      </c>
      <c r="E505" s="66" t="s">
        <v>3688</v>
      </c>
      <c r="F505" s="142" t="s">
        <v>376</v>
      </c>
      <c r="G505" s="66" t="s">
        <v>130</v>
      </c>
      <c r="H505" s="142" t="s">
        <v>3689</v>
      </c>
      <c r="I505" s="141" t="n">
        <v>45792</v>
      </c>
      <c r="J505" s="66" t="n">
        <v>5</v>
      </c>
      <c r="K505" s="188" t="s">
        <v>49</v>
      </c>
      <c r="L505" s="144" t="s">
        <v>61</v>
      </c>
      <c r="M505" s="145" t="n">
        <v>324</v>
      </c>
    </row>
    <row r="506" customFormat="false" ht="12.75" hidden="false" customHeight="true" outlineLevel="0" collapsed="false">
      <c r="A506" s="148" t="n">
        <v>18225</v>
      </c>
      <c r="B506" s="149" t="s">
        <v>3690</v>
      </c>
      <c r="C506" s="149" t="n">
        <v>2024</v>
      </c>
      <c r="D506" s="150" t="n">
        <v>45345</v>
      </c>
      <c r="E506" s="68" t="s">
        <v>3691</v>
      </c>
      <c r="F506" s="151" t="s">
        <v>376</v>
      </c>
      <c r="G506" s="68" t="s">
        <v>130</v>
      </c>
      <c r="H506" s="151" t="s">
        <v>3234</v>
      </c>
      <c r="I506" s="150" t="n">
        <v>45792</v>
      </c>
      <c r="J506" s="68" t="n">
        <v>5</v>
      </c>
      <c r="K506" s="188" t="s">
        <v>49</v>
      </c>
      <c r="L506" s="189" t="s">
        <v>61</v>
      </c>
      <c r="M506" s="152" t="n">
        <v>447</v>
      </c>
    </row>
    <row r="507" customFormat="false" ht="12.75" hidden="false" customHeight="true" outlineLevel="0" collapsed="false">
      <c r="A507" s="139" t="n">
        <v>18325</v>
      </c>
      <c r="B507" s="140" t="s">
        <v>3692</v>
      </c>
      <c r="C507" s="140" t="n">
        <v>2022</v>
      </c>
      <c r="D507" s="141" t="n">
        <v>44806</v>
      </c>
      <c r="E507" s="66" t="s">
        <v>3693</v>
      </c>
      <c r="F507" s="142" t="s">
        <v>3694</v>
      </c>
      <c r="G507" s="66" t="s">
        <v>441</v>
      </c>
      <c r="H507" s="142" t="s">
        <v>580</v>
      </c>
      <c r="I507" s="141" t="n">
        <v>45792</v>
      </c>
      <c r="J507" s="66" t="n">
        <v>5</v>
      </c>
      <c r="K507" s="143" t="s">
        <v>48</v>
      </c>
      <c r="L507" s="142" t="s">
        <v>58</v>
      </c>
      <c r="M507" s="145" t="n">
        <v>986</v>
      </c>
    </row>
    <row r="508" customFormat="false" ht="12.75" hidden="false" customHeight="true" outlineLevel="0" collapsed="false">
      <c r="A508" s="148" t="n">
        <v>18425</v>
      </c>
      <c r="B508" s="149" t="s">
        <v>3695</v>
      </c>
      <c r="C508" s="149" t="n">
        <v>2024</v>
      </c>
      <c r="D508" s="150" t="n">
        <v>45471</v>
      </c>
      <c r="E508" s="68" t="s">
        <v>3696</v>
      </c>
      <c r="F508" s="151" t="s">
        <v>3697</v>
      </c>
      <c r="G508" s="68" t="s">
        <v>125</v>
      </c>
      <c r="H508" s="151" t="s">
        <v>3327</v>
      </c>
      <c r="I508" s="150" t="n">
        <v>45792</v>
      </c>
      <c r="J508" s="68" t="n">
        <v>5</v>
      </c>
      <c r="K508" s="188" t="s">
        <v>49</v>
      </c>
      <c r="L508" s="189" t="s">
        <v>61</v>
      </c>
      <c r="M508" s="152" t="n">
        <v>321</v>
      </c>
    </row>
    <row r="509" customFormat="false" ht="12.75" hidden="false" customHeight="true" outlineLevel="0" collapsed="false">
      <c r="A509" s="139" t="n">
        <v>18525</v>
      </c>
      <c r="B509" s="140" t="s">
        <v>3698</v>
      </c>
      <c r="C509" s="140" t="n">
        <v>2024</v>
      </c>
      <c r="D509" s="141" t="n">
        <v>45564</v>
      </c>
      <c r="E509" s="66" t="s">
        <v>3699</v>
      </c>
      <c r="F509" s="142" t="s">
        <v>3700</v>
      </c>
      <c r="G509" s="66" t="s">
        <v>125</v>
      </c>
      <c r="H509" s="142" t="s">
        <v>3327</v>
      </c>
      <c r="I509" s="141" t="n">
        <v>45792</v>
      </c>
      <c r="J509" s="66" t="n">
        <v>5</v>
      </c>
      <c r="K509" s="188" t="s">
        <v>49</v>
      </c>
      <c r="L509" s="144" t="s">
        <v>61</v>
      </c>
      <c r="M509" s="145" t="n">
        <v>228</v>
      </c>
    </row>
    <row r="510" customFormat="false" ht="12.75" hidden="false" customHeight="true" outlineLevel="0" collapsed="false">
      <c r="A510" s="148" t="n">
        <v>18625</v>
      </c>
      <c r="B510" s="149" t="s">
        <v>3701</v>
      </c>
      <c r="C510" s="149" t="n">
        <v>2018</v>
      </c>
      <c r="D510" s="150" t="n">
        <v>43437</v>
      </c>
      <c r="E510" s="68" t="s">
        <v>3702</v>
      </c>
      <c r="F510" s="151" t="s">
        <v>3703</v>
      </c>
      <c r="G510" s="68" t="s">
        <v>441</v>
      </c>
      <c r="H510" s="151" t="s">
        <v>1231</v>
      </c>
      <c r="I510" s="150" t="n">
        <v>45792</v>
      </c>
      <c r="J510" s="68" t="n">
        <v>5</v>
      </c>
      <c r="K510" s="188" t="s">
        <v>49</v>
      </c>
      <c r="L510" s="151" t="s">
        <v>58</v>
      </c>
      <c r="M510" s="152" t="n">
        <v>2355</v>
      </c>
    </row>
    <row r="511" customFormat="false" ht="12.75" hidden="false" customHeight="true" outlineLevel="0" collapsed="false">
      <c r="A511" s="139" t="n">
        <v>18725</v>
      </c>
      <c r="B511" s="140" t="s">
        <v>3704</v>
      </c>
      <c r="C511" s="140" t="n">
        <v>2024</v>
      </c>
      <c r="D511" s="141" t="n">
        <v>45352</v>
      </c>
      <c r="E511" s="66" t="s">
        <v>3705</v>
      </c>
      <c r="F511" s="142" t="s">
        <v>3706</v>
      </c>
      <c r="G511" s="66" t="s">
        <v>125</v>
      </c>
      <c r="H511" s="142" t="s">
        <v>3707</v>
      </c>
      <c r="I511" s="141" t="n">
        <v>45792</v>
      </c>
      <c r="J511" s="66" t="n">
        <v>5</v>
      </c>
      <c r="K511" s="188" t="s">
        <v>49</v>
      </c>
      <c r="L511" s="144" t="s">
        <v>61</v>
      </c>
      <c r="M511" s="145" t="n">
        <v>440</v>
      </c>
    </row>
    <row r="512" customFormat="false" ht="12.75" hidden="false" customHeight="true" outlineLevel="0" collapsed="false">
      <c r="A512" s="148" t="n">
        <v>18825</v>
      </c>
      <c r="B512" s="149" t="s">
        <v>3708</v>
      </c>
      <c r="C512" s="149" t="n">
        <v>2021</v>
      </c>
      <c r="D512" s="150" t="n">
        <v>44533</v>
      </c>
      <c r="E512" s="68" t="s">
        <v>3709</v>
      </c>
      <c r="F512" s="151" t="s">
        <v>3710</v>
      </c>
      <c r="G512" s="68" t="s">
        <v>441</v>
      </c>
      <c r="H512" s="151" t="s">
        <v>208</v>
      </c>
      <c r="I512" s="150" t="n">
        <v>45792</v>
      </c>
      <c r="J512" s="68" t="n">
        <v>5</v>
      </c>
      <c r="K512" s="143" t="s">
        <v>48</v>
      </c>
      <c r="L512" s="151" t="s">
        <v>58</v>
      </c>
      <c r="M512" s="152" t="n">
        <v>1259</v>
      </c>
    </row>
    <row r="513" customFormat="false" ht="12.75" hidden="false" customHeight="true" outlineLevel="0" collapsed="false">
      <c r="A513" s="139" t="n">
        <v>18925</v>
      </c>
      <c r="B513" s="140" t="s">
        <v>3711</v>
      </c>
      <c r="C513" s="140" t="n">
        <v>2020</v>
      </c>
      <c r="D513" s="141" t="n">
        <v>44132</v>
      </c>
      <c r="E513" s="66" t="s">
        <v>3712</v>
      </c>
      <c r="F513" s="142" t="s">
        <v>3713</v>
      </c>
      <c r="G513" s="66" t="s">
        <v>115</v>
      </c>
      <c r="H513" s="142" t="s">
        <v>1109</v>
      </c>
      <c r="I513" s="141" t="n">
        <v>45792</v>
      </c>
      <c r="J513" s="66" t="n">
        <v>5</v>
      </c>
      <c r="K513" s="188" t="s">
        <v>49</v>
      </c>
      <c r="L513" s="142" t="s">
        <v>60</v>
      </c>
      <c r="M513" s="145" t="n">
        <v>1660</v>
      </c>
    </row>
    <row r="514" customFormat="false" ht="12.75" hidden="false" customHeight="true" outlineLevel="0" collapsed="false">
      <c r="A514" s="148" t="n">
        <v>19025</v>
      </c>
      <c r="B514" s="149" t="s">
        <v>3714</v>
      </c>
      <c r="C514" s="149" t="n">
        <v>2019</v>
      </c>
      <c r="D514" s="150" t="n">
        <v>43692</v>
      </c>
      <c r="E514" s="68" t="s">
        <v>3715</v>
      </c>
      <c r="F514" s="151" t="s">
        <v>1062</v>
      </c>
      <c r="G514" s="68" t="s">
        <v>441</v>
      </c>
      <c r="H514" s="151" t="s">
        <v>254</v>
      </c>
      <c r="I514" s="150" t="n">
        <v>45792</v>
      </c>
      <c r="J514" s="68" t="n">
        <v>5</v>
      </c>
      <c r="K514" s="143" t="s">
        <v>48</v>
      </c>
      <c r="L514" s="151" t="s">
        <v>2848</v>
      </c>
      <c r="M514" s="152" t="n">
        <v>2100</v>
      </c>
    </row>
    <row r="515" customFormat="false" ht="12.75" hidden="false" customHeight="true" outlineLevel="0" collapsed="false">
      <c r="A515" s="139" t="n">
        <v>19125</v>
      </c>
      <c r="B515" s="140" t="s">
        <v>3716</v>
      </c>
      <c r="C515" s="140" t="n">
        <v>2021</v>
      </c>
      <c r="D515" s="141" t="n">
        <v>44512</v>
      </c>
      <c r="E515" s="66" t="s">
        <v>3717</v>
      </c>
      <c r="F515" s="142" t="s">
        <v>3718</v>
      </c>
      <c r="G515" s="66" t="s">
        <v>441</v>
      </c>
      <c r="H515" s="142" t="s">
        <v>208</v>
      </c>
      <c r="I515" s="141" t="n">
        <v>45792</v>
      </c>
      <c r="J515" s="66" t="n">
        <v>5</v>
      </c>
      <c r="K515" s="188" t="s">
        <v>49</v>
      </c>
      <c r="L515" s="142" t="s">
        <v>58</v>
      </c>
      <c r="M515" s="145" t="n">
        <v>1280</v>
      </c>
    </row>
    <row r="516" customFormat="false" ht="12.75" hidden="false" customHeight="true" outlineLevel="0" collapsed="false">
      <c r="A516" s="148" t="n">
        <v>19225</v>
      </c>
      <c r="B516" s="149" t="s">
        <v>3719</v>
      </c>
      <c r="C516" s="149" t="n">
        <v>2024</v>
      </c>
      <c r="D516" s="150" t="n">
        <v>45412</v>
      </c>
      <c r="E516" s="68" t="s">
        <v>3720</v>
      </c>
      <c r="F516" s="151" t="s">
        <v>3721</v>
      </c>
      <c r="G516" s="68" t="s">
        <v>125</v>
      </c>
      <c r="H516" s="151" t="s">
        <v>3636</v>
      </c>
      <c r="I516" s="150" t="n">
        <v>45792</v>
      </c>
      <c r="J516" s="68" t="n">
        <v>5</v>
      </c>
      <c r="K516" s="188" t="s">
        <v>49</v>
      </c>
      <c r="L516" s="189" t="s">
        <v>61</v>
      </c>
      <c r="M516" s="152" t="n">
        <v>380</v>
      </c>
    </row>
    <row r="517" customFormat="false" ht="12.75" hidden="false" customHeight="true" outlineLevel="0" collapsed="false">
      <c r="A517" s="139" t="n">
        <v>19325</v>
      </c>
      <c r="B517" s="140" t="s">
        <v>3722</v>
      </c>
      <c r="C517" s="140" t="n">
        <v>2023</v>
      </c>
      <c r="D517" s="141" t="n">
        <v>44999</v>
      </c>
      <c r="E517" s="66" t="s">
        <v>3723</v>
      </c>
      <c r="F517" s="142" t="s">
        <v>3724</v>
      </c>
      <c r="G517" s="66" t="s">
        <v>125</v>
      </c>
      <c r="H517" s="142" t="s">
        <v>3553</v>
      </c>
      <c r="I517" s="141" t="n">
        <v>45792</v>
      </c>
      <c r="J517" s="66" t="n">
        <v>5</v>
      </c>
      <c r="K517" s="188" t="s">
        <v>49</v>
      </c>
      <c r="L517" s="144" t="s">
        <v>61</v>
      </c>
      <c r="M517" s="145" t="n">
        <v>793</v>
      </c>
    </row>
    <row r="518" customFormat="false" ht="12.75" hidden="false" customHeight="true" outlineLevel="0" collapsed="false">
      <c r="A518" s="148" t="n">
        <v>19425</v>
      </c>
      <c r="B518" s="149" t="s">
        <v>3725</v>
      </c>
      <c r="C518" s="149" t="n">
        <v>2021</v>
      </c>
      <c r="D518" s="150" t="n">
        <v>44256</v>
      </c>
      <c r="E518" s="68" t="s">
        <v>3726</v>
      </c>
      <c r="F518" s="151" t="s">
        <v>467</v>
      </c>
      <c r="G518" s="68" t="s">
        <v>441</v>
      </c>
      <c r="H518" s="151" t="s">
        <v>3727</v>
      </c>
      <c r="I518" s="150" t="n">
        <v>45792</v>
      </c>
      <c r="J518" s="68" t="n">
        <v>5</v>
      </c>
      <c r="K518" s="188" t="s">
        <v>49</v>
      </c>
      <c r="L518" s="189" t="s">
        <v>61</v>
      </c>
      <c r="M518" s="152" t="n">
        <v>1536</v>
      </c>
    </row>
    <row r="519" customFormat="false" ht="12.75" hidden="false" customHeight="true" outlineLevel="0" collapsed="false">
      <c r="A519" s="139" t="n">
        <v>19525</v>
      </c>
      <c r="B519" s="140" t="s">
        <v>3728</v>
      </c>
      <c r="C519" s="140" t="n">
        <v>2022</v>
      </c>
      <c r="D519" s="141" t="n">
        <v>44705</v>
      </c>
      <c r="E519" s="66" t="s">
        <v>3729</v>
      </c>
      <c r="F519" s="168" t="s">
        <v>3730</v>
      </c>
      <c r="G519" s="66" t="s">
        <v>125</v>
      </c>
      <c r="H519" s="142" t="s">
        <v>3553</v>
      </c>
      <c r="I519" s="141" t="n">
        <v>45792</v>
      </c>
      <c r="J519" s="66" t="n">
        <v>5</v>
      </c>
      <c r="K519" s="169" t="s">
        <v>290</v>
      </c>
      <c r="L519" s="144" t="s">
        <v>61</v>
      </c>
      <c r="M519" s="145" t="n">
        <v>1087</v>
      </c>
    </row>
    <row r="520" customFormat="false" ht="12.75" hidden="false" customHeight="true" outlineLevel="0" collapsed="false">
      <c r="A520" s="148" t="n">
        <v>19625</v>
      </c>
      <c r="B520" s="149" t="s">
        <v>3731</v>
      </c>
      <c r="C520" s="149" t="n">
        <v>2021</v>
      </c>
      <c r="D520" s="150" t="n">
        <v>44292</v>
      </c>
      <c r="E520" s="68" t="s">
        <v>3732</v>
      </c>
      <c r="F520" s="151" t="s">
        <v>168</v>
      </c>
      <c r="G520" s="68" t="s">
        <v>441</v>
      </c>
      <c r="H520" s="151" t="s">
        <v>544</v>
      </c>
      <c r="I520" s="150" t="n">
        <v>45804</v>
      </c>
      <c r="J520" s="68" t="n">
        <v>5</v>
      </c>
      <c r="K520" s="196" t="s">
        <v>44</v>
      </c>
      <c r="L520" s="151" t="s">
        <v>58</v>
      </c>
      <c r="M520" s="152" t="n">
        <v>1512</v>
      </c>
    </row>
    <row r="521" customFormat="false" ht="12.75" hidden="false" customHeight="true" outlineLevel="0" collapsed="false">
      <c r="A521" s="139" t="n">
        <v>19725</v>
      </c>
      <c r="B521" s="140" t="s">
        <v>3733</v>
      </c>
      <c r="C521" s="140" t="n">
        <v>2020</v>
      </c>
      <c r="D521" s="141" t="n">
        <v>44183</v>
      </c>
      <c r="E521" s="66" t="s">
        <v>3734</v>
      </c>
      <c r="F521" s="142" t="s">
        <v>180</v>
      </c>
      <c r="G521" s="66" t="s">
        <v>441</v>
      </c>
      <c r="H521" s="142" t="s">
        <v>263</v>
      </c>
      <c r="I521" s="141" t="n">
        <v>45804</v>
      </c>
      <c r="J521" s="66" t="n">
        <v>5</v>
      </c>
      <c r="K521" s="143" t="s">
        <v>48</v>
      </c>
      <c r="L521" s="142" t="s">
        <v>58</v>
      </c>
      <c r="M521" s="145" t="n">
        <v>1621</v>
      </c>
    </row>
    <row r="522" customFormat="false" ht="12.75" hidden="false" customHeight="true" outlineLevel="0" collapsed="false">
      <c r="A522" s="148" t="n">
        <v>19825</v>
      </c>
      <c r="B522" s="149" t="s">
        <v>3735</v>
      </c>
      <c r="C522" s="149" t="n">
        <v>2024</v>
      </c>
      <c r="D522" s="150" t="n">
        <v>45485</v>
      </c>
      <c r="E522" s="68" t="s">
        <v>3736</v>
      </c>
      <c r="F522" s="151" t="s">
        <v>3737</v>
      </c>
      <c r="G522" s="68" t="s">
        <v>125</v>
      </c>
      <c r="H522" s="151" t="s">
        <v>3225</v>
      </c>
      <c r="I522" s="150" t="n">
        <v>45804</v>
      </c>
      <c r="J522" s="68" t="n">
        <v>5</v>
      </c>
      <c r="K522" s="188" t="s">
        <v>49</v>
      </c>
      <c r="L522" s="189" t="s">
        <v>61</v>
      </c>
      <c r="M522" s="152" t="n">
        <v>319</v>
      </c>
    </row>
    <row r="523" customFormat="false" ht="12.75" hidden="false" customHeight="true" outlineLevel="0" collapsed="false">
      <c r="A523" s="139" t="n">
        <v>19925</v>
      </c>
      <c r="B523" s="140" t="s">
        <v>3738</v>
      </c>
      <c r="C523" s="140" t="n">
        <v>2019</v>
      </c>
      <c r="D523" s="141" t="n">
        <v>43578</v>
      </c>
      <c r="E523" s="66" t="s">
        <v>3739</v>
      </c>
      <c r="F523" s="142" t="s">
        <v>3740</v>
      </c>
      <c r="G523" s="66" t="s">
        <v>441</v>
      </c>
      <c r="H523" s="142" t="s">
        <v>471</v>
      </c>
      <c r="I523" s="141" t="n">
        <v>45804</v>
      </c>
      <c r="J523" s="66" t="n">
        <v>5</v>
      </c>
      <c r="K523" s="143" t="s">
        <v>48</v>
      </c>
      <c r="L523" s="142" t="s">
        <v>60</v>
      </c>
      <c r="M523" s="145" t="n">
        <v>2226</v>
      </c>
    </row>
    <row r="524" customFormat="false" ht="12.75" hidden="false" customHeight="true" outlineLevel="0" collapsed="false">
      <c r="A524" s="148" t="n">
        <v>20025</v>
      </c>
      <c r="B524" s="149" t="s">
        <v>3741</v>
      </c>
      <c r="C524" s="149" t="n">
        <v>2018</v>
      </c>
      <c r="D524" s="150" t="n">
        <v>43462</v>
      </c>
      <c r="E524" s="68" t="s">
        <v>3742</v>
      </c>
      <c r="F524" s="151" t="s">
        <v>3743</v>
      </c>
      <c r="G524" s="68" t="s">
        <v>441</v>
      </c>
      <c r="H524" s="151" t="s">
        <v>706</v>
      </c>
      <c r="I524" s="150" t="n">
        <v>45805</v>
      </c>
      <c r="J524" s="68" t="n">
        <v>5</v>
      </c>
      <c r="K524" s="188" t="s">
        <v>49</v>
      </c>
      <c r="L524" s="151" t="s">
        <v>60</v>
      </c>
      <c r="M524" s="152" t="n">
        <v>2343</v>
      </c>
    </row>
    <row r="525" customFormat="false" ht="12.75" hidden="false" customHeight="true" outlineLevel="0" collapsed="false">
      <c r="A525" s="139" t="n">
        <v>20125</v>
      </c>
      <c r="B525" s="140" t="s">
        <v>3744</v>
      </c>
      <c r="C525" s="140" t="n">
        <v>2019</v>
      </c>
      <c r="D525" s="141" t="n">
        <v>43741</v>
      </c>
      <c r="E525" s="66" t="s">
        <v>3745</v>
      </c>
      <c r="F525" s="142" t="s">
        <v>3746</v>
      </c>
      <c r="G525" s="66" t="s">
        <v>441</v>
      </c>
      <c r="H525" s="142" t="s">
        <v>706</v>
      </c>
      <c r="I525" s="141" t="n">
        <v>45805</v>
      </c>
      <c r="J525" s="66" t="n">
        <v>5</v>
      </c>
      <c r="K525" s="188" t="s">
        <v>49</v>
      </c>
      <c r="L525" s="142" t="s">
        <v>60</v>
      </c>
      <c r="M525" s="145" t="n">
        <v>2064</v>
      </c>
    </row>
    <row r="526" customFormat="false" ht="12.75" hidden="false" customHeight="true" outlineLevel="0" collapsed="false">
      <c r="A526" s="148" t="n">
        <v>20225</v>
      </c>
      <c r="B526" s="149" t="s">
        <v>3747</v>
      </c>
      <c r="C526" s="149" t="n">
        <v>2016</v>
      </c>
      <c r="D526" s="150" t="n">
        <v>42719</v>
      </c>
      <c r="E526" s="68" t="s">
        <v>3748</v>
      </c>
      <c r="F526" s="151" t="s">
        <v>3749</v>
      </c>
      <c r="G526" s="68" t="s">
        <v>441</v>
      </c>
      <c r="H526" s="151" t="s">
        <v>263</v>
      </c>
      <c r="I526" s="150" t="n">
        <v>45805</v>
      </c>
      <c r="J526" s="68" t="n">
        <v>5</v>
      </c>
      <c r="K526" s="188" t="s">
        <v>49</v>
      </c>
      <c r="L526" s="151" t="s">
        <v>60</v>
      </c>
      <c r="M526" s="152" t="n">
        <v>3086</v>
      </c>
    </row>
    <row r="527" customFormat="false" ht="12.75" hidden="false" customHeight="true" outlineLevel="0" collapsed="false">
      <c r="A527" s="139" t="n">
        <v>20325</v>
      </c>
      <c r="B527" s="140" t="s">
        <v>3750</v>
      </c>
      <c r="C527" s="140" t="n">
        <v>2016</v>
      </c>
      <c r="D527" s="141" t="n">
        <v>42492</v>
      </c>
      <c r="E527" s="66" t="s">
        <v>3751</v>
      </c>
      <c r="F527" s="142" t="s">
        <v>180</v>
      </c>
      <c r="G527" s="66" t="s">
        <v>441</v>
      </c>
      <c r="H527" s="142" t="s">
        <v>263</v>
      </c>
      <c r="I527" s="141" t="n">
        <v>45805</v>
      </c>
      <c r="J527" s="66" t="n">
        <v>5</v>
      </c>
      <c r="K527" s="188" t="s">
        <v>49</v>
      </c>
      <c r="L527" s="142" t="s">
        <v>58</v>
      </c>
      <c r="M527" s="145" t="n">
        <v>3313</v>
      </c>
    </row>
    <row r="528" customFormat="false" ht="12.75" hidden="false" customHeight="true" outlineLevel="0" collapsed="false">
      <c r="A528" s="148" t="n">
        <v>20425</v>
      </c>
      <c r="B528" s="149" t="s">
        <v>3752</v>
      </c>
      <c r="C528" s="149" t="n">
        <v>2016</v>
      </c>
      <c r="D528" s="150" t="n">
        <v>42719</v>
      </c>
      <c r="E528" s="68" t="s">
        <v>3753</v>
      </c>
      <c r="F528" s="151" t="s">
        <v>3754</v>
      </c>
      <c r="G528" s="68" t="s">
        <v>441</v>
      </c>
      <c r="H528" s="151" t="s">
        <v>263</v>
      </c>
      <c r="I528" s="150" t="n">
        <v>45805</v>
      </c>
      <c r="J528" s="68" t="n">
        <v>5</v>
      </c>
      <c r="K528" s="188" t="s">
        <v>49</v>
      </c>
      <c r="L528" s="151" t="s">
        <v>60</v>
      </c>
      <c r="M528" s="152" t="n">
        <v>3086</v>
      </c>
    </row>
    <row r="529" customFormat="false" ht="12.75" hidden="false" customHeight="true" outlineLevel="0" collapsed="false">
      <c r="A529" s="139" t="n">
        <v>20525</v>
      </c>
      <c r="B529" s="140" t="s">
        <v>3755</v>
      </c>
      <c r="C529" s="140" t="n">
        <v>2024</v>
      </c>
      <c r="D529" s="141" t="n">
        <v>45510</v>
      </c>
      <c r="E529" s="66" t="s">
        <v>3756</v>
      </c>
      <c r="F529" s="142" t="s">
        <v>3757</v>
      </c>
      <c r="G529" s="66" t="s">
        <v>130</v>
      </c>
      <c r="H529" s="142" t="s">
        <v>665</v>
      </c>
      <c r="I529" s="141" t="n">
        <v>45806</v>
      </c>
      <c r="J529" s="66" t="n">
        <v>5</v>
      </c>
      <c r="K529" s="188" t="s">
        <v>49</v>
      </c>
      <c r="L529" s="144" t="s">
        <v>61</v>
      </c>
      <c r="M529" s="145" t="n">
        <v>296</v>
      </c>
    </row>
    <row r="530" customFormat="false" ht="12.75" hidden="false" customHeight="true" outlineLevel="0" collapsed="false">
      <c r="A530" s="148" t="n">
        <v>20625</v>
      </c>
      <c r="B530" s="149" t="s">
        <v>3758</v>
      </c>
      <c r="C530" s="149" t="n">
        <v>2017</v>
      </c>
      <c r="D530" s="150" t="n">
        <v>43034</v>
      </c>
      <c r="E530" s="68" t="s">
        <v>3759</v>
      </c>
      <c r="F530" s="151" t="s">
        <v>823</v>
      </c>
      <c r="G530" s="68" t="s">
        <v>441</v>
      </c>
      <c r="H530" s="151" t="s">
        <v>3760</v>
      </c>
      <c r="I530" s="150" t="n">
        <v>45806</v>
      </c>
      <c r="J530" s="68" t="n">
        <v>5</v>
      </c>
      <c r="K530" s="188" t="s">
        <v>49</v>
      </c>
      <c r="L530" s="151" t="s">
        <v>60</v>
      </c>
      <c r="M530" s="152" t="n">
        <v>2772</v>
      </c>
    </row>
    <row r="531" customFormat="false" ht="12.75" hidden="false" customHeight="true" outlineLevel="0" collapsed="false">
      <c r="A531" s="139" t="n">
        <v>20725</v>
      </c>
      <c r="B531" s="140" t="s">
        <v>3761</v>
      </c>
      <c r="C531" s="140" t="n">
        <v>2020</v>
      </c>
      <c r="D531" s="141" t="n">
        <v>44133</v>
      </c>
      <c r="E531" s="66" t="s">
        <v>3762</v>
      </c>
      <c r="F531" s="142" t="s">
        <v>1068</v>
      </c>
      <c r="G531" s="66" t="s">
        <v>441</v>
      </c>
      <c r="H531" s="142" t="s">
        <v>3763</v>
      </c>
      <c r="I531" s="141" t="n">
        <v>45806</v>
      </c>
      <c r="J531" s="66" t="n">
        <v>5</v>
      </c>
      <c r="K531" s="188" t="s">
        <v>49</v>
      </c>
      <c r="L531" s="142" t="s">
        <v>60</v>
      </c>
      <c r="M531" s="145" t="n">
        <v>1673</v>
      </c>
    </row>
    <row r="532" customFormat="false" ht="12.75" hidden="false" customHeight="true" outlineLevel="0" collapsed="false">
      <c r="A532" s="148" t="n">
        <v>20825</v>
      </c>
      <c r="B532" s="149" t="s">
        <v>3764</v>
      </c>
      <c r="C532" s="149" t="n">
        <v>2024</v>
      </c>
      <c r="D532" s="150" t="n">
        <v>45366</v>
      </c>
      <c r="E532" s="68" t="s">
        <v>3765</v>
      </c>
      <c r="F532" s="151" t="s">
        <v>3766</v>
      </c>
      <c r="G532" s="68" t="s">
        <v>130</v>
      </c>
      <c r="H532" s="151" t="s">
        <v>263</v>
      </c>
      <c r="I532" s="150" t="n">
        <v>45806</v>
      </c>
      <c r="J532" s="68" t="n">
        <v>5</v>
      </c>
      <c r="K532" s="188" t="s">
        <v>49</v>
      </c>
      <c r="L532" s="189" t="s">
        <v>61</v>
      </c>
      <c r="M532" s="152" t="n">
        <v>440</v>
      </c>
    </row>
    <row r="533" customFormat="false" ht="12.75" hidden="false" customHeight="true" outlineLevel="0" collapsed="false">
      <c r="A533" s="139" t="n">
        <v>20925</v>
      </c>
      <c r="B533" s="140" t="s">
        <v>3767</v>
      </c>
      <c r="C533" s="140" t="n">
        <v>2020</v>
      </c>
      <c r="D533" s="141" t="n">
        <v>44188</v>
      </c>
      <c r="E533" s="66" t="s">
        <v>3768</v>
      </c>
      <c r="F533" s="142" t="s">
        <v>1879</v>
      </c>
      <c r="G533" s="66" t="s">
        <v>441</v>
      </c>
      <c r="H533" s="142" t="s">
        <v>263</v>
      </c>
      <c r="I533" s="141" t="n">
        <v>45807</v>
      </c>
      <c r="J533" s="66" t="n">
        <v>5</v>
      </c>
      <c r="K533" s="188" t="s">
        <v>49</v>
      </c>
      <c r="L533" s="142" t="s">
        <v>58</v>
      </c>
      <c r="M533" s="145" t="n">
        <v>1619</v>
      </c>
    </row>
    <row r="534" customFormat="false" ht="12.75" hidden="false" customHeight="true" outlineLevel="0" collapsed="false">
      <c r="A534" s="148" t="n">
        <v>21025</v>
      </c>
      <c r="B534" s="149" t="s">
        <v>3769</v>
      </c>
      <c r="C534" s="149" t="n">
        <v>2021</v>
      </c>
      <c r="D534" s="150" t="n">
        <v>44368</v>
      </c>
      <c r="E534" s="68" t="s">
        <v>3770</v>
      </c>
      <c r="F534" s="151" t="s">
        <v>555</v>
      </c>
      <c r="G534" s="68" t="s">
        <v>441</v>
      </c>
      <c r="H534" s="151" t="s">
        <v>208</v>
      </c>
      <c r="I534" s="150" t="n">
        <v>45807</v>
      </c>
      <c r="J534" s="68" t="n">
        <v>5</v>
      </c>
      <c r="K534" s="188" t="s">
        <v>49</v>
      </c>
      <c r="L534" s="151" t="s">
        <v>58</v>
      </c>
      <c r="M534" s="152" t="n">
        <v>1439</v>
      </c>
    </row>
    <row r="535" customFormat="false" ht="12.75" hidden="false" customHeight="true" outlineLevel="0" collapsed="false">
      <c r="A535" s="139" t="n">
        <v>21125</v>
      </c>
      <c r="B535" s="140" t="s">
        <v>3771</v>
      </c>
      <c r="C535" s="140" t="n">
        <v>2017</v>
      </c>
      <c r="D535" s="141" t="n">
        <v>43081</v>
      </c>
      <c r="E535" s="66" t="s">
        <v>3772</v>
      </c>
      <c r="F535" s="142" t="s">
        <v>509</v>
      </c>
      <c r="G535" s="66" t="s">
        <v>441</v>
      </c>
      <c r="H535" s="142" t="s">
        <v>1231</v>
      </c>
      <c r="I535" s="141" t="n">
        <v>45807</v>
      </c>
      <c r="J535" s="66" t="n">
        <v>5</v>
      </c>
      <c r="K535" s="143" t="s">
        <v>48</v>
      </c>
      <c r="L535" s="142" t="s">
        <v>58</v>
      </c>
      <c r="M535" s="145" t="n">
        <v>2726</v>
      </c>
    </row>
    <row r="536" customFormat="false" ht="12.75" hidden="false" customHeight="true" outlineLevel="0" collapsed="false">
      <c r="A536" s="148" t="n">
        <v>21225</v>
      </c>
      <c r="B536" s="149" t="s">
        <v>3773</v>
      </c>
      <c r="C536" s="149" t="n">
        <v>2020</v>
      </c>
      <c r="D536" s="150" t="n">
        <v>44075</v>
      </c>
      <c r="E536" s="68" t="s">
        <v>3774</v>
      </c>
      <c r="F536" s="151" t="s">
        <v>509</v>
      </c>
      <c r="G536" s="68" t="s">
        <v>441</v>
      </c>
      <c r="H536" s="151" t="s">
        <v>409</v>
      </c>
      <c r="I536" s="150" t="n">
        <v>45807</v>
      </c>
      <c r="J536" s="68" t="n">
        <v>5</v>
      </c>
      <c r="K536" s="143" t="s">
        <v>48</v>
      </c>
      <c r="L536" s="151" t="s">
        <v>58</v>
      </c>
      <c r="M536" s="152" t="n">
        <v>1732</v>
      </c>
    </row>
    <row r="537" customFormat="false" ht="12.75" hidden="false" customHeight="true" outlineLevel="0" collapsed="false">
      <c r="A537" s="139" t="n">
        <v>21325</v>
      </c>
      <c r="B537" s="140" t="s">
        <v>3775</v>
      </c>
      <c r="C537" s="140" t="n">
        <v>2020</v>
      </c>
      <c r="D537" s="141" t="n">
        <v>44179</v>
      </c>
      <c r="E537" s="66" t="s">
        <v>3776</v>
      </c>
      <c r="F537" s="142" t="s">
        <v>3777</v>
      </c>
      <c r="G537" s="66" t="s">
        <v>441</v>
      </c>
      <c r="H537" s="142" t="s">
        <v>513</v>
      </c>
      <c r="I537" s="141" t="n">
        <v>45807</v>
      </c>
      <c r="J537" s="66" t="n">
        <v>5</v>
      </c>
      <c r="K537" s="188" t="s">
        <v>49</v>
      </c>
      <c r="L537" s="142" t="s">
        <v>58</v>
      </c>
      <c r="M537" s="145" t="n">
        <v>1628</v>
      </c>
    </row>
    <row r="538" customFormat="false" ht="12.75" hidden="false" customHeight="true" outlineLevel="0" collapsed="false">
      <c r="A538" s="148" t="n">
        <v>21425</v>
      </c>
      <c r="B538" s="149" t="s">
        <v>3778</v>
      </c>
      <c r="C538" s="149" t="n">
        <v>2024</v>
      </c>
      <c r="D538" s="150" t="n">
        <v>45328</v>
      </c>
      <c r="E538" s="68" t="s">
        <v>3779</v>
      </c>
      <c r="F538" s="151" t="s">
        <v>876</v>
      </c>
      <c r="G538" s="68" t="s">
        <v>130</v>
      </c>
      <c r="H538" s="151" t="s">
        <v>3780</v>
      </c>
      <c r="I538" s="150" t="n">
        <v>45807</v>
      </c>
      <c r="J538" s="68" t="n">
        <v>5</v>
      </c>
      <c r="K538" s="188" t="s">
        <v>49</v>
      </c>
      <c r="L538" s="189" t="s">
        <v>61</v>
      </c>
      <c r="M538" s="152" t="n">
        <v>479</v>
      </c>
    </row>
    <row r="539" customFormat="false" ht="12.75" hidden="false" customHeight="true" outlineLevel="0" collapsed="false">
      <c r="A539" s="139" t="n">
        <v>21525</v>
      </c>
      <c r="B539" s="193" t="s">
        <v>3781</v>
      </c>
      <c r="C539" s="140" t="n">
        <v>2024</v>
      </c>
      <c r="D539" s="141" t="n">
        <v>45328</v>
      </c>
      <c r="E539" s="66" t="s">
        <v>3782</v>
      </c>
      <c r="F539" s="142" t="s">
        <v>876</v>
      </c>
      <c r="G539" s="66" t="s">
        <v>130</v>
      </c>
      <c r="H539" s="142" t="s">
        <v>3780</v>
      </c>
      <c r="I539" s="141" t="n">
        <v>45807</v>
      </c>
      <c r="J539" s="66" t="n">
        <v>5</v>
      </c>
      <c r="K539" s="188" t="s">
        <v>49</v>
      </c>
      <c r="L539" s="144" t="s">
        <v>61</v>
      </c>
      <c r="M539" s="145" t="n">
        <v>479</v>
      </c>
    </row>
    <row r="540" customFormat="false" ht="12.75" hidden="false" customHeight="true" outlineLevel="0" collapsed="false">
      <c r="A540" s="148" t="n">
        <v>21625</v>
      </c>
      <c r="B540" s="149" t="s">
        <v>3783</v>
      </c>
      <c r="C540" s="149" t="n">
        <v>2023</v>
      </c>
      <c r="D540" s="150" t="n">
        <v>45280</v>
      </c>
      <c r="E540" s="68" t="s">
        <v>3784</v>
      </c>
      <c r="F540" s="151" t="s">
        <v>376</v>
      </c>
      <c r="G540" s="68" t="s">
        <v>130</v>
      </c>
      <c r="H540" s="151" t="s">
        <v>3780</v>
      </c>
      <c r="I540" s="150" t="n">
        <v>45807</v>
      </c>
      <c r="J540" s="68" t="n">
        <v>5</v>
      </c>
      <c r="K540" s="188" t="s">
        <v>49</v>
      </c>
      <c r="L540" s="189" t="s">
        <v>61</v>
      </c>
      <c r="M540" s="152" t="n">
        <v>527</v>
      </c>
    </row>
    <row r="541" customFormat="false" ht="12.75" hidden="false" customHeight="true" outlineLevel="0" collapsed="false">
      <c r="A541" s="139" t="n">
        <v>21725</v>
      </c>
      <c r="B541" s="140" t="s">
        <v>3785</v>
      </c>
      <c r="C541" s="140" t="n">
        <v>2023</v>
      </c>
      <c r="D541" s="141" t="n">
        <v>45268</v>
      </c>
      <c r="E541" s="66" t="s">
        <v>3786</v>
      </c>
      <c r="F541" s="142" t="s">
        <v>376</v>
      </c>
      <c r="G541" s="66" t="s">
        <v>130</v>
      </c>
      <c r="H541" s="142" t="s">
        <v>3780</v>
      </c>
      <c r="I541" s="141" t="n">
        <v>45807</v>
      </c>
      <c r="J541" s="66" t="n">
        <v>5</v>
      </c>
      <c r="K541" s="188" t="s">
        <v>49</v>
      </c>
      <c r="L541" s="144" t="s">
        <v>61</v>
      </c>
      <c r="M541" s="145" t="n">
        <v>539</v>
      </c>
    </row>
    <row r="542" customFormat="false" ht="12.75" hidden="false" customHeight="true" outlineLevel="0" collapsed="false">
      <c r="A542" s="148" t="n">
        <v>21825</v>
      </c>
      <c r="B542" s="149" t="s">
        <v>3787</v>
      </c>
      <c r="C542" s="149" t="n">
        <v>2024</v>
      </c>
      <c r="D542" s="150" t="n">
        <v>45464</v>
      </c>
      <c r="E542" s="68" t="s">
        <v>3788</v>
      </c>
      <c r="F542" s="151" t="s">
        <v>636</v>
      </c>
      <c r="G542" s="68" t="s">
        <v>130</v>
      </c>
      <c r="H542" s="151" t="s">
        <v>3789</v>
      </c>
      <c r="I542" s="150" t="n">
        <v>45807</v>
      </c>
      <c r="J542" s="68" t="n">
        <v>5</v>
      </c>
      <c r="K542" s="188" t="s">
        <v>49</v>
      </c>
      <c r="L542" s="189" t="s">
        <v>61</v>
      </c>
      <c r="M542" s="152" t="n">
        <v>343</v>
      </c>
    </row>
    <row r="543" customFormat="false" ht="12.75" hidden="false" customHeight="true" outlineLevel="0" collapsed="false">
      <c r="A543" s="139" t="n">
        <v>21925</v>
      </c>
      <c r="B543" s="140" t="s">
        <v>3790</v>
      </c>
      <c r="C543" s="140" t="n">
        <v>2024</v>
      </c>
      <c r="D543" s="141" t="n">
        <v>45462</v>
      </c>
      <c r="E543" s="66" t="s">
        <v>3791</v>
      </c>
      <c r="F543" s="142" t="s">
        <v>376</v>
      </c>
      <c r="G543" s="66" t="s">
        <v>130</v>
      </c>
      <c r="H543" s="142" t="s">
        <v>3792</v>
      </c>
      <c r="I543" s="141" t="n">
        <v>45807</v>
      </c>
      <c r="J543" s="66" t="n">
        <v>5</v>
      </c>
      <c r="K543" s="188" t="s">
        <v>49</v>
      </c>
      <c r="L543" s="144" t="s">
        <v>61</v>
      </c>
      <c r="M543" s="145" t="n">
        <v>345</v>
      </c>
    </row>
    <row r="544" customFormat="false" ht="12.75" hidden="false" customHeight="true" outlineLevel="0" collapsed="false">
      <c r="A544" s="148" t="n">
        <v>22025</v>
      </c>
      <c r="B544" s="149" t="s">
        <v>3793</v>
      </c>
      <c r="C544" s="149" t="n">
        <v>2023</v>
      </c>
      <c r="D544" s="150" t="n">
        <v>45249</v>
      </c>
      <c r="E544" s="68" t="s">
        <v>3794</v>
      </c>
      <c r="F544" s="151" t="s">
        <v>3795</v>
      </c>
      <c r="G544" s="68" t="s">
        <v>125</v>
      </c>
      <c r="H544" s="151" t="s">
        <v>54</v>
      </c>
      <c r="I544" s="150" t="n">
        <v>45807</v>
      </c>
      <c r="J544" s="68" t="n">
        <v>5</v>
      </c>
      <c r="K544" s="188" t="s">
        <v>49</v>
      </c>
      <c r="L544" s="189" t="s">
        <v>61</v>
      </c>
      <c r="M544" s="152" t="n">
        <v>558</v>
      </c>
    </row>
    <row r="545" customFormat="false" ht="12.75" hidden="false" customHeight="true" outlineLevel="0" collapsed="false">
      <c r="A545" s="139" t="n">
        <v>22125</v>
      </c>
      <c r="B545" s="140" t="s">
        <v>3796</v>
      </c>
      <c r="C545" s="140" t="n">
        <v>2023</v>
      </c>
      <c r="D545" s="141" t="n">
        <v>45125</v>
      </c>
      <c r="E545" s="66" t="s">
        <v>3797</v>
      </c>
      <c r="F545" s="142" t="s">
        <v>3798</v>
      </c>
      <c r="G545" s="66" t="s">
        <v>125</v>
      </c>
      <c r="H545" s="142" t="s">
        <v>54</v>
      </c>
      <c r="I545" s="141" t="n">
        <v>45807</v>
      </c>
      <c r="J545" s="66" t="n">
        <v>5</v>
      </c>
      <c r="K545" s="188" t="s">
        <v>49</v>
      </c>
      <c r="L545" s="144" t="s">
        <v>61</v>
      </c>
      <c r="M545" s="145" t="n">
        <v>682</v>
      </c>
    </row>
    <row r="546" customFormat="false" ht="12.75" hidden="false" customHeight="true" outlineLevel="0" collapsed="false">
      <c r="A546" s="148" t="n">
        <v>22225</v>
      </c>
      <c r="B546" s="149" t="s">
        <v>3799</v>
      </c>
      <c r="C546" s="149" t="n">
        <v>2020</v>
      </c>
      <c r="D546" s="150" t="n">
        <v>44196</v>
      </c>
      <c r="E546" s="68" t="s">
        <v>3800</v>
      </c>
      <c r="F546" s="151" t="s">
        <v>1025</v>
      </c>
      <c r="G546" s="68" t="s">
        <v>441</v>
      </c>
      <c r="H546" s="151" t="s">
        <v>471</v>
      </c>
      <c r="I546" s="150" t="n">
        <v>45819</v>
      </c>
      <c r="J546" s="68" t="n">
        <v>6</v>
      </c>
      <c r="K546" s="188" t="s">
        <v>49</v>
      </c>
      <c r="L546" s="151" t="s">
        <v>58</v>
      </c>
      <c r="M546" s="152" t="n">
        <v>1623</v>
      </c>
    </row>
    <row r="547" customFormat="false" ht="12.75" hidden="false" customHeight="true" outlineLevel="0" collapsed="false">
      <c r="A547" s="139" t="n">
        <v>22325</v>
      </c>
      <c r="B547" s="140" t="s">
        <v>3801</v>
      </c>
      <c r="C547" s="140" t="n">
        <v>2020</v>
      </c>
      <c r="D547" s="141" t="n">
        <v>43948</v>
      </c>
      <c r="E547" s="66" t="s">
        <v>3802</v>
      </c>
      <c r="F547" s="142" t="s">
        <v>3803</v>
      </c>
      <c r="G547" s="66" t="s">
        <v>441</v>
      </c>
      <c r="H547" s="142" t="s">
        <v>471</v>
      </c>
      <c r="I547" s="141" t="n">
        <v>45819</v>
      </c>
      <c r="J547" s="66" t="n">
        <v>6</v>
      </c>
      <c r="K547" s="188" t="s">
        <v>49</v>
      </c>
      <c r="L547" s="142" t="s">
        <v>60</v>
      </c>
      <c r="M547" s="145" t="n">
        <v>1871</v>
      </c>
    </row>
    <row r="548" customFormat="false" ht="12.75" hidden="false" customHeight="true" outlineLevel="0" collapsed="false">
      <c r="A548" s="148" t="n">
        <v>22425</v>
      </c>
      <c r="B548" s="149" t="s">
        <v>3804</v>
      </c>
      <c r="C548" s="149" t="n">
        <v>2024</v>
      </c>
      <c r="D548" s="150" t="n">
        <v>45574</v>
      </c>
      <c r="E548" s="68" t="s">
        <v>3805</v>
      </c>
      <c r="F548" s="151" t="s">
        <v>3806</v>
      </c>
      <c r="G548" s="68" t="s">
        <v>125</v>
      </c>
      <c r="H548" s="151" t="s">
        <v>980</v>
      </c>
      <c r="I548" s="150" t="n">
        <v>45819</v>
      </c>
      <c r="J548" s="68" t="n">
        <v>6</v>
      </c>
      <c r="K548" s="169" t="s">
        <v>290</v>
      </c>
      <c r="L548" s="189" t="s">
        <v>61</v>
      </c>
      <c r="M548" s="152" t="n">
        <v>245</v>
      </c>
    </row>
    <row r="549" customFormat="false" ht="12.75" hidden="false" customHeight="true" outlineLevel="0" collapsed="false">
      <c r="A549" s="139" t="n">
        <v>22525</v>
      </c>
      <c r="B549" s="140" t="s">
        <v>3807</v>
      </c>
      <c r="C549" s="140" t="n">
        <v>2019</v>
      </c>
      <c r="D549" s="141" t="n">
        <v>43787</v>
      </c>
      <c r="E549" s="66" t="s">
        <v>3808</v>
      </c>
      <c r="F549" s="142" t="s">
        <v>705</v>
      </c>
      <c r="G549" s="66" t="s">
        <v>441</v>
      </c>
      <c r="H549" s="142" t="s">
        <v>706</v>
      </c>
      <c r="I549" s="141" t="n">
        <v>45824</v>
      </c>
      <c r="J549" s="66" t="n">
        <v>6</v>
      </c>
      <c r="K549" s="143" t="s">
        <v>48</v>
      </c>
      <c r="L549" s="142" t="s">
        <v>58</v>
      </c>
      <c r="M549" s="145" t="n">
        <v>2037</v>
      </c>
    </row>
    <row r="550" customFormat="false" ht="12.75" hidden="false" customHeight="true" outlineLevel="0" collapsed="false">
      <c r="A550" s="148" t="n">
        <v>22625</v>
      </c>
      <c r="B550" s="149" t="s">
        <v>3809</v>
      </c>
      <c r="C550" s="149" t="n">
        <v>2024</v>
      </c>
      <c r="D550" s="150" t="n">
        <v>45414</v>
      </c>
      <c r="E550" s="68" t="s">
        <v>3810</v>
      </c>
      <c r="F550" s="151" t="s">
        <v>3811</v>
      </c>
      <c r="G550" s="68" t="s">
        <v>125</v>
      </c>
      <c r="H550" s="151" t="s">
        <v>980</v>
      </c>
      <c r="I550" s="150" t="n">
        <v>45824</v>
      </c>
      <c r="J550" s="68" t="n">
        <v>6</v>
      </c>
      <c r="K550" s="169" t="s">
        <v>290</v>
      </c>
      <c r="L550" s="189" t="s">
        <v>61</v>
      </c>
      <c r="M550" s="152" t="n">
        <v>410</v>
      </c>
    </row>
    <row r="551" customFormat="false" ht="12.75" hidden="false" customHeight="true" outlineLevel="0" collapsed="false">
      <c r="A551" s="139" t="n">
        <v>22725</v>
      </c>
      <c r="B551" s="140" t="s">
        <v>3812</v>
      </c>
      <c r="C551" s="140" t="n">
        <v>2024</v>
      </c>
      <c r="D551" s="141" t="n">
        <v>45551</v>
      </c>
      <c r="E551" s="66" t="s">
        <v>3813</v>
      </c>
      <c r="F551" s="142" t="s">
        <v>3814</v>
      </c>
      <c r="G551" s="66" t="s">
        <v>125</v>
      </c>
      <c r="H551" s="142" t="s">
        <v>3815</v>
      </c>
      <c r="I551" s="141" t="n">
        <v>45824</v>
      </c>
      <c r="J551" s="66" t="n">
        <v>6</v>
      </c>
      <c r="K551" s="169" t="s">
        <v>290</v>
      </c>
      <c r="L551" s="144" t="s">
        <v>61</v>
      </c>
      <c r="M551" s="145" t="n">
        <v>273</v>
      </c>
    </row>
    <row r="552" customFormat="false" ht="12.75" hidden="false" customHeight="true" outlineLevel="0" collapsed="false">
      <c r="A552" s="148" t="n">
        <v>22825</v>
      </c>
      <c r="B552" s="149" t="s">
        <v>3816</v>
      </c>
      <c r="C552" s="149" t="n">
        <v>2023</v>
      </c>
      <c r="D552" s="150" t="n">
        <v>45222</v>
      </c>
      <c r="E552" s="68" t="s">
        <v>3817</v>
      </c>
      <c r="F552" s="151" t="s">
        <v>3818</v>
      </c>
      <c r="G552" s="68" t="s">
        <v>125</v>
      </c>
      <c r="H552" s="151" t="s">
        <v>391</v>
      </c>
      <c r="I552" s="150" t="n">
        <v>45824</v>
      </c>
      <c r="J552" s="68" t="n">
        <v>6</v>
      </c>
      <c r="K552" s="169" t="s">
        <v>290</v>
      </c>
      <c r="L552" s="189" t="s">
        <v>61</v>
      </c>
      <c r="M552" s="152" t="n">
        <v>602</v>
      </c>
    </row>
    <row r="553" customFormat="false" ht="12.75" hidden="false" customHeight="true" outlineLevel="0" collapsed="false">
      <c r="A553" s="139" t="n">
        <v>22925</v>
      </c>
      <c r="B553" s="140" t="s">
        <v>3819</v>
      </c>
      <c r="C553" s="140" t="n">
        <v>2019</v>
      </c>
      <c r="D553" s="141" t="n">
        <v>43585</v>
      </c>
      <c r="E553" s="66" t="s">
        <v>3820</v>
      </c>
      <c r="F553" s="142" t="s">
        <v>157</v>
      </c>
      <c r="G553" s="66" t="s">
        <v>441</v>
      </c>
      <c r="H553" s="142" t="s">
        <v>813</v>
      </c>
      <c r="I553" s="141" t="n">
        <v>45824</v>
      </c>
      <c r="J553" s="66" t="n">
        <v>6</v>
      </c>
      <c r="K553" s="188" t="s">
        <v>49</v>
      </c>
      <c r="L553" s="142" t="s">
        <v>58</v>
      </c>
      <c r="M553" s="145" t="n">
        <v>2239</v>
      </c>
    </row>
    <row r="554" customFormat="false" ht="12.75" hidden="false" customHeight="true" outlineLevel="0" collapsed="false">
      <c r="A554" s="148" t="n">
        <v>23025</v>
      </c>
      <c r="B554" s="149" t="s">
        <v>3821</v>
      </c>
      <c r="C554" s="149" t="n">
        <v>2021</v>
      </c>
      <c r="D554" s="150" t="n">
        <v>44285</v>
      </c>
      <c r="E554" s="68" t="s">
        <v>3822</v>
      </c>
      <c r="F554" s="151" t="s">
        <v>3335</v>
      </c>
      <c r="G554" s="68" t="s">
        <v>144</v>
      </c>
      <c r="H554" s="151" t="s">
        <v>119</v>
      </c>
      <c r="I554" s="150" t="n">
        <v>45824</v>
      </c>
      <c r="J554" s="68" t="n">
        <v>6</v>
      </c>
      <c r="K554" s="143" t="s">
        <v>48</v>
      </c>
      <c r="L554" s="151" t="s">
        <v>58</v>
      </c>
      <c r="M554" s="152" t="n">
        <v>1539</v>
      </c>
    </row>
    <row r="555" customFormat="false" ht="12.75" hidden="false" customHeight="true" outlineLevel="0" collapsed="false">
      <c r="A555" s="139" t="n">
        <v>23125</v>
      </c>
      <c r="B555" s="140" t="s">
        <v>3823</v>
      </c>
      <c r="C555" s="140" t="n">
        <v>2021</v>
      </c>
      <c r="D555" s="141" t="n">
        <v>44399</v>
      </c>
      <c r="E555" s="66" t="s">
        <v>3824</v>
      </c>
      <c r="F555" s="142" t="s">
        <v>689</v>
      </c>
      <c r="G555" s="66" t="s">
        <v>441</v>
      </c>
      <c r="H555" s="142" t="s">
        <v>513</v>
      </c>
      <c r="I555" s="141" t="n">
        <v>45824</v>
      </c>
      <c r="J555" s="66" t="n">
        <v>6</v>
      </c>
      <c r="K555" s="188" t="s">
        <v>49</v>
      </c>
      <c r="L555" s="142" t="s">
        <v>60</v>
      </c>
      <c r="M555" s="145" t="n">
        <v>1425</v>
      </c>
    </row>
    <row r="556" customFormat="false" ht="12.75" hidden="false" customHeight="true" outlineLevel="0" collapsed="false">
      <c r="A556" s="148" t="n">
        <v>23225</v>
      </c>
      <c r="B556" s="149" t="s">
        <v>3825</v>
      </c>
      <c r="C556" s="149" t="n">
        <v>2021</v>
      </c>
      <c r="D556" s="150" t="n">
        <v>44371</v>
      </c>
      <c r="E556" s="68" t="s">
        <v>3826</v>
      </c>
      <c r="F556" s="151" t="s">
        <v>689</v>
      </c>
      <c r="G556" s="68" t="s">
        <v>441</v>
      </c>
      <c r="H556" s="151" t="s">
        <v>513</v>
      </c>
      <c r="I556" s="150" t="n">
        <v>45824</v>
      </c>
      <c r="J556" s="68" t="n">
        <v>6</v>
      </c>
      <c r="K556" s="188" t="s">
        <v>49</v>
      </c>
      <c r="L556" s="151" t="s">
        <v>60</v>
      </c>
      <c r="M556" s="152" t="n">
        <v>1453</v>
      </c>
    </row>
    <row r="557" customFormat="false" ht="12.75" hidden="false" customHeight="true" outlineLevel="0" collapsed="false">
      <c r="A557" s="139" t="n">
        <v>23325</v>
      </c>
      <c r="B557" s="140" t="s">
        <v>3827</v>
      </c>
      <c r="C557" s="140" t="n">
        <v>2023</v>
      </c>
      <c r="D557" s="141" t="n">
        <v>45218</v>
      </c>
      <c r="E557" s="66" t="s">
        <v>3828</v>
      </c>
      <c r="F557" s="142" t="s">
        <v>625</v>
      </c>
      <c r="G557" s="66" t="s">
        <v>144</v>
      </c>
      <c r="H557" s="142" t="s">
        <v>54</v>
      </c>
      <c r="I557" s="141" t="n">
        <v>45825</v>
      </c>
      <c r="J557" s="66" t="n">
        <v>6</v>
      </c>
      <c r="K557" s="188" t="s">
        <v>49</v>
      </c>
      <c r="L557" s="144" t="s">
        <v>61</v>
      </c>
      <c r="M557" s="145" t="n">
        <v>607</v>
      </c>
    </row>
    <row r="558" customFormat="false" ht="12.75" hidden="false" customHeight="true" outlineLevel="0" collapsed="false">
      <c r="A558" s="148" t="n">
        <v>23425</v>
      </c>
      <c r="B558" s="149" t="s">
        <v>3829</v>
      </c>
      <c r="C558" s="149" t="n">
        <v>2023</v>
      </c>
      <c r="D558" s="150" t="n">
        <v>45281</v>
      </c>
      <c r="E558" s="68" t="s">
        <v>3830</v>
      </c>
      <c r="F558" s="151" t="s">
        <v>3831</v>
      </c>
      <c r="G558" s="68" t="s">
        <v>125</v>
      </c>
      <c r="H558" s="151" t="s">
        <v>3832</v>
      </c>
      <c r="I558" s="150" t="n">
        <v>45825</v>
      </c>
      <c r="J558" s="68" t="n">
        <v>6</v>
      </c>
      <c r="K558" s="188" t="s">
        <v>49</v>
      </c>
      <c r="L558" s="189" t="s">
        <v>61</v>
      </c>
      <c r="M558" s="152" t="n">
        <v>544</v>
      </c>
    </row>
    <row r="559" customFormat="false" ht="12.75" hidden="false" customHeight="true" outlineLevel="0" collapsed="false">
      <c r="A559" s="139" t="n">
        <v>23525</v>
      </c>
      <c r="B559" s="140" t="s">
        <v>3833</v>
      </c>
      <c r="C559" s="140" t="n">
        <v>2024</v>
      </c>
      <c r="D559" s="141" t="n">
        <v>45622</v>
      </c>
      <c r="E559" s="66" t="s">
        <v>3834</v>
      </c>
      <c r="F559" s="142" t="s">
        <v>376</v>
      </c>
      <c r="G559" s="66" t="s">
        <v>130</v>
      </c>
      <c r="H559" s="142" t="s">
        <v>3835</v>
      </c>
      <c r="I559" s="141" t="n">
        <v>45825</v>
      </c>
      <c r="J559" s="66" t="n">
        <v>6</v>
      </c>
      <c r="K559" s="188" t="s">
        <v>49</v>
      </c>
      <c r="L559" s="144" t="s">
        <v>61</v>
      </c>
      <c r="M559" s="145" t="n">
        <v>203</v>
      </c>
    </row>
    <row r="560" customFormat="false" ht="12.75" hidden="false" customHeight="true" outlineLevel="0" collapsed="false">
      <c r="A560" s="148" t="n">
        <v>23625</v>
      </c>
      <c r="B560" s="149" t="s">
        <v>3836</v>
      </c>
      <c r="C560" s="149" t="n">
        <v>2024</v>
      </c>
      <c r="D560" s="150" t="n">
        <v>45590</v>
      </c>
      <c r="E560" s="68" t="s">
        <v>3837</v>
      </c>
      <c r="F560" s="151" t="s">
        <v>856</v>
      </c>
      <c r="G560" s="68" t="s">
        <v>130</v>
      </c>
      <c r="H560" s="151" t="s">
        <v>3838</v>
      </c>
      <c r="I560" s="150" t="n">
        <v>45825</v>
      </c>
      <c r="J560" s="68" t="n">
        <v>6</v>
      </c>
      <c r="K560" s="188" t="s">
        <v>49</v>
      </c>
      <c r="L560" s="189" t="s">
        <v>61</v>
      </c>
      <c r="M560" s="152" t="n">
        <v>235</v>
      </c>
    </row>
    <row r="561" customFormat="false" ht="12.75" hidden="false" customHeight="true" outlineLevel="0" collapsed="false">
      <c r="A561" s="139" t="n">
        <v>23725</v>
      </c>
      <c r="B561" s="140" t="s">
        <v>3839</v>
      </c>
      <c r="C561" s="140" t="n">
        <v>2014</v>
      </c>
      <c r="D561" s="141" t="n">
        <v>41906</v>
      </c>
      <c r="E561" s="66" t="s">
        <v>3840</v>
      </c>
      <c r="F561" s="142" t="s">
        <v>365</v>
      </c>
      <c r="G561" s="66" t="s">
        <v>441</v>
      </c>
      <c r="H561" s="142" t="s">
        <v>3841</v>
      </c>
      <c r="I561" s="141" t="n">
        <v>45833</v>
      </c>
      <c r="J561" s="66" t="n">
        <v>6</v>
      </c>
      <c r="K561" s="143" t="s">
        <v>48</v>
      </c>
      <c r="L561" s="142" t="s">
        <v>60</v>
      </c>
      <c r="M561" s="145" t="n">
        <v>3927</v>
      </c>
    </row>
    <row r="562" customFormat="false" ht="12.75" hidden="false" customHeight="true" outlineLevel="0" collapsed="false">
      <c r="A562" s="148" t="n">
        <v>23825</v>
      </c>
      <c r="B562" s="149" t="s">
        <v>3842</v>
      </c>
      <c r="C562" s="149" t="n">
        <v>2021</v>
      </c>
      <c r="D562" s="150" t="n">
        <v>44249</v>
      </c>
      <c r="E562" s="68" t="s">
        <v>3843</v>
      </c>
      <c r="F562" s="151" t="s">
        <v>3844</v>
      </c>
      <c r="G562" s="68" t="s">
        <v>441</v>
      </c>
      <c r="H562" s="151" t="s">
        <v>109</v>
      </c>
      <c r="I562" s="150" t="n">
        <v>45833</v>
      </c>
      <c r="J562" s="68" t="n">
        <v>6</v>
      </c>
      <c r="K562" s="188" t="s">
        <v>49</v>
      </c>
      <c r="L562" s="151" t="s">
        <v>58</v>
      </c>
      <c r="M562" s="152" t="n">
        <v>1584</v>
      </c>
    </row>
    <row r="563" customFormat="false" ht="12.75" hidden="false" customHeight="true" outlineLevel="0" collapsed="false">
      <c r="A563" s="139" t="n">
        <v>23925</v>
      </c>
      <c r="B563" s="140" t="s">
        <v>3845</v>
      </c>
      <c r="C563" s="140" t="n">
        <v>2021</v>
      </c>
      <c r="D563" s="141" t="n">
        <v>44249</v>
      </c>
      <c r="E563" s="66" t="s">
        <v>3846</v>
      </c>
      <c r="F563" s="142" t="s">
        <v>3844</v>
      </c>
      <c r="G563" s="66" t="s">
        <v>441</v>
      </c>
      <c r="H563" s="142" t="s">
        <v>706</v>
      </c>
      <c r="I563" s="141" t="n">
        <v>45834</v>
      </c>
      <c r="J563" s="66" t="n">
        <v>6</v>
      </c>
      <c r="K563" s="188" t="s">
        <v>49</v>
      </c>
      <c r="L563" s="142" t="s">
        <v>58</v>
      </c>
      <c r="M563" s="145" t="n">
        <v>1585</v>
      </c>
    </row>
    <row r="564" customFormat="false" ht="12.75" hidden="false" customHeight="true" outlineLevel="0" collapsed="false">
      <c r="A564" s="148" t="n">
        <v>24025</v>
      </c>
      <c r="B564" s="149" t="s">
        <v>3847</v>
      </c>
      <c r="C564" s="149" t="n">
        <v>2024</v>
      </c>
      <c r="D564" s="150" t="n">
        <v>45310</v>
      </c>
      <c r="E564" s="68" t="s">
        <v>3848</v>
      </c>
      <c r="F564" s="151" t="s">
        <v>636</v>
      </c>
      <c r="G564" s="68" t="s">
        <v>130</v>
      </c>
      <c r="H564" s="151" t="s">
        <v>3234</v>
      </c>
      <c r="I564" s="150" t="n">
        <v>45834</v>
      </c>
      <c r="J564" s="68" t="n">
        <v>6</v>
      </c>
      <c r="K564" s="188" t="s">
        <v>49</v>
      </c>
      <c r="L564" s="189" t="s">
        <v>61</v>
      </c>
      <c r="M564" s="152" t="n">
        <v>524</v>
      </c>
    </row>
    <row r="565" customFormat="false" ht="12.75" hidden="false" customHeight="true" outlineLevel="0" collapsed="false">
      <c r="A565" s="139" t="n">
        <v>24125</v>
      </c>
      <c r="B565" s="140" t="s">
        <v>3849</v>
      </c>
      <c r="C565" s="140" t="n">
        <v>2018</v>
      </c>
      <c r="D565" s="141" t="n">
        <v>43278</v>
      </c>
      <c r="E565" s="66" t="s">
        <v>3850</v>
      </c>
      <c r="F565" s="142" t="s">
        <v>1277</v>
      </c>
      <c r="G565" s="66" t="s">
        <v>441</v>
      </c>
      <c r="H565" s="142" t="s">
        <v>3760</v>
      </c>
      <c r="I565" s="141" t="n">
        <v>45834</v>
      </c>
      <c r="J565" s="66" t="n">
        <v>6</v>
      </c>
      <c r="K565" s="143" t="s">
        <v>48</v>
      </c>
      <c r="L565" s="142" t="s">
        <v>58</v>
      </c>
      <c r="M565" s="145" t="n">
        <v>2556</v>
      </c>
    </row>
    <row r="566" customFormat="false" ht="12.75" hidden="false" customHeight="true" outlineLevel="0" collapsed="false">
      <c r="A566" s="148" t="n">
        <v>24225</v>
      </c>
      <c r="B566" s="149" t="s">
        <v>3851</v>
      </c>
      <c r="C566" s="149" t="n">
        <v>2020</v>
      </c>
      <c r="D566" s="150" t="n">
        <v>44125</v>
      </c>
      <c r="E566" s="68" t="s">
        <v>3852</v>
      </c>
      <c r="F566" s="151" t="s">
        <v>467</v>
      </c>
      <c r="G566" s="68" t="s">
        <v>441</v>
      </c>
      <c r="H566" s="151" t="s">
        <v>263</v>
      </c>
      <c r="I566" s="150" t="n">
        <v>45834</v>
      </c>
      <c r="J566" s="68" t="n">
        <v>6</v>
      </c>
      <c r="K566" s="188" t="s">
        <v>49</v>
      </c>
      <c r="L566" s="189" t="s">
        <v>61</v>
      </c>
      <c r="M566" s="152" t="n">
        <v>1709</v>
      </c>
    </row>
    <row r="567" customFormat="false" ht="12.75" hidden="false" customHeight="true" outlineLevel="0" collapsed="false">
      <c r="A567" s="139" t="n">
        <v>24325</v>
      </c>
      <c r="B567" s="140" t="s">
        <v>3853</v>
      </c>
      <c r="C567" s="140" t="n">
        <v>2018</v>
      </c>
      <c r="D567" s="141" t="n">
        <v>43426</v>
      </c>
      <c r="E567" s="66" t="s">
        <v>3854</v>
      </c>
      <c r="F567" s="142" t="s">
        <v>3855</v>
      </c>
      <c r="G567" s="66" t="s">
        <v>441</v>
      </c>
      <c r="H567" s="142" t="s">
        <v>3856</v>
      </c>
      <c r="I567" s="141" t="n">
        <v>45834</v>
      </c>
      <c r="J567" s="66" t="n">
        <v>6</v>
      </c>
      <c r="K567" s="143" t="s">
        <v>48</v>
      </c>
      <c r="L567" s="142" t="s">
        <v>60</v>
      </c>
      <c r="M567" s="145" t="n">
        <v>2408</v>
      </c>
    </row>
    <row r="568" customFormat="false" ht="12.75" hidden="false" customHeight="true" outlineLevel="0" collapsed="false">
      <c r="A568" s="148" t="n">
        <v>24425</v>
      </c>
      <c r="B568" s="149" t="s">
        <v>3857</v>
      </c>
      <c r="C568" s="149" t="n">
        <v>2021</v>
      </c>
      <c r="D568" s="150" t="n">
        <v>44399</v>
      </c>
      <c r="E568" s="68" t="s">
        <v>3858</v>
      </c>
      <c r="F568" s="151" t="s">
        <v>3859</v>
      </c>
      <c r="G568" s="68" t="s">
        <v>144</v>
      </c>
      <c r="H568" s="151" t="s">
        <v>453</v>
      </c>
      <c r="I568" s="150" t="n">
        <v>45834</v>
      </c>
      <c r="J568" s="68" t="n">
        <v>6</v>
      </c>
      <c r="K568" s="143" t="s">
        <v>48</v>
      </c>
      <c r="L568" s="151" t="s">
        <v>58</v>
      </c>
      <c r="M568" s="152" t="n">
        <v>1435</v>
      </c>
    </row>
    <row r="569" customFormat="false" ht="12.75" hidden="false" customHeight="true" outlineLevel="0" collapsed="false">
      <c r="A569" s="139" t="n">
        <v>24525</v>
      </c>
      <c r="B569" s="140" t="s">
        <v>3860</v>
      </c>
      <c r="C569" s="140" t="n">
        <v>2024</v>
      </c>
      <c r="D569" s="141" t="n">
        <v>45601</v>
      </c>
      <c r="E569" s="66" t="s">
        <v>3861</v>
      </c>
      <c r="F569" s="142" t="s">
        <v>3862</v>
      </c>
      <c r="G569" s="66" t="s">
        <v>125</v>
      </c>
      <c r="H569" s="142" t="s">
        <v>149</v>
      </c>
      <c r="I569" s="141" t="n">
        <v>45835</v>
      </c>
      <c r="J569" s="66" t="n">
        <v>6</v>
      </c>
      <c r="K569" s="169" t="s">
        <v>290</v>
      </c>
      <c r="L569" s="144" t="s">
        <v>61</v>
      </c>
      <c r="M569" s="145" t="n">
        <v>234</v>
      </c>
    </row>
    <row r="570" customFormat="false" ht="12.75" hidden="false" customHeight="true" outlineLevel="0" collapsed="false">
      <c r="A570" s="148" t="n">
        <v>24625</v>
      </c>
      <c r="B570" s="149" t="s">
        <v>3863</v>
      </c>
      <c r="C570" s="149" t="n">
        <v>2017</v>
      </c>
      <c r="D570" s="150" t="n">
        <v>42852</v>
      </c>
      <c r="E570" s="68" t="s">
        <v>3864</v>
      </c>
      <c r="F570" s="151" t="s">
        <v>3865</v>
      </c>
      <c r="G570" s="68" t="s">
        <v>441</v>
      </c>
      <c r="H570" s="151" t="s">
        <v>1059</v>
      </c>
      <c r="I570" s="150" t="n">
        <v>45835</v>
      </c>
      <c r="J570" s="68" t="n">
        <v>6</v>
      </c>
      <c r="K570" s="188" t="s">
        <v>49</v>
      </c>
      <c r="L570" s="151" t="s">
        <v>60</v>
      </c>
      <c r="M570" s="152" t="n">
        <v>2983</v>
      </c>
    </row>
    <row r="571" customFormat="false" ht="12.75" hidden="false" customHeight="true" outlineLevel="0" collapsed="false">
      <c r="A571" s="139" t="n">
        <v>24725</v>
      </c>
      <c r="B571" s="140" t="s">
        <v>3866</v>
      </c>
      <c r="C571" s="140" t="n">
        <v>2020</v>
      </c>
      <c r="D571" s="141" t="n">
        <v>44090</v>
      </c>
      <c r="E571" s="66" t="s">
        <v>3867</v>
      </c>
      <c r="F571" s="142" t="s">
        <v>3868</v>
      </c>
      <c r="G571" s="66" t="s">
        <v>441</v>
      </c>
      <c r="H571" s="142" t="s">
        <v>1059</v>
      </c>
      <c r="I571" s="141" t="n">
        <v>45835</v>
      </c>
      <c r="J571" s="66" t="n">
        <v>6</v>
      </c>
      <c r="K571" s="188" t="s">
        <v>49</v>
      </c>
      <c r="L571" s="142" t="s">
        <v>60</v>
      </c>
      <c r="M571" s="145" t="n">
        <v>1745</v>
      </c>
    </row>
    <row r="572" customFormat="false" ht="12.75" hidden="false" customHeight="true" outlineLevel="0" collapsed="false">
      <c r="A572" s="148" t="n">
        <v>24825</v>
      </c>
      <c r="B572" s="149" t="s">
        <v>3869</v>
      </c>
      <c r="C572" s="149" t="n">
        <v>2020</v>
      </c>
      <c r="D572" s="150" t="n">
        <v>43979</v>
      </c>
      <c r="E572" s="68" t="s">
        <v>3870</v>
      </c>
      <c r="F572" s="151" t="s">
        <v>242</v>
      </c>
      <c r="G572" s="68" t="s">
        <v>441</v>
      </c>
      <c r="H572" s="151" t="s">
        <v>3871</v>
      </c>
      <c r="I572" s="150" t="n">
        <v>45835</v>
      </c>
      <c r="J572" s="68" t="n">
        <v>6</v>
      </c>
      <c r="K572" s="188" t="s">
        <v>49</v>
      </c>
      <c r="L572" s="151" t="s">
        <v>58</v>
      </c>
      <c r="M572" s="152" t="n">
        <v>1856</v>
      </c>
    </row>
    <row r="573" customFormat="false" ht="12.75" hidden="false" customHeight="true" outlineLevel="0" collapsed="false">
      <c r="A573" s="139" t="n">
        <v>24925</v>
      </c>
      <c r="B573" s="140" t="s">
        <v>3872</v>
      </c>
      <c r="C573" s="140" t="n">
        <v>2022</v>
      </c>
      <c r="D573" s="141" t="n">
        <v>44896</v>
      </c>
      <c r="E573" s="66" t="s">
        <v>3873</v>
      </c>
      <c r="F573" s="142" t="s">
        <v>3874</v>
      </c>
      <c r="G573" s="66" t="s">
        <v>441</v>
      </c>
      <c r="H573" s="142" t="s">
        <v>1880</v>
      </c>
      <c r="I573" s="141" t="n">
        <v>45835</v>
      </c>
      <c r="J573" s="66" t="n">
        <v>6</v>
      </c>
      <c r="K573" s="143" t="s">
        <v>48</v>
      </c>
      <c r="L573" s="142" t="s">
        <v>58</v>
      </c>
      <c r="M573" s="145" t="n">
        <v>939</v>
      </c>
    </row>
    <row r="574" customFormat="false" ht="12.75" hidden="false" customHeight="true" outlineLevel="0" collapsed="false">
      <c r="A574" s="148" t="n">
        <v>25025</v>
      </c>
      <c r="B574" s="149" t="s">
        <v>3875</v>
      </c>
      <c r="C574" s="149" t="n">
        <v>2018</v>
      </c>
      <c r="D574" s="150" t="n">
        <v>43322</v>
      </c>
      <c r="E574" s="68" t="s">
        <v>3876</v>
      </c>
      <c r="F574" s="151" t="s">
        <v>699</v>
      </c>
      <c r="G574" s="68" t="s">
        <v>441</v>
      </c>
      <c r="H574" s="151" t="s">
        <v>1538</v>
      </c>
      <c r="I574" s="150" t="n">
        <v>45835</v>
      </c>
      <c r="J574" s="68" t="n">
        <v>6</v>
      </c>
      <c r="K574" s="169" t="s">
        <v>290</v>
      </c>
      <c r="L574" s="151" t="s">
        <v>60</v>
      </c>
      <c r="M574" s="152" t="n">
        <v>2513</v>
      </c>
    </row>
    <row r="575" customFormat="false" ht="12.75" hidden="false" customHeight="true" outlineLevel="0" collapsed="false">
      <c r="A575" s="139" t="n">
        <v>25125</v>
      </c>
      <c r="B575" s="140" t="s">
        <v>3877</v>
      </c>
      <c r="C575" s="140" t="n">
        <v>2024</v>
      </c>
      <c r="D575" s="141" t="n">
        <v>45622</v>
      </c>
      <c r="E575" s="66" t="s">
        <v>3878</v>
      </c>
      <c r="F575" s="142" t="s">
        <v>876</v>
      </c>
      <c r="G575" s="66" t="s">
        <v>130</v>
      </c>
      <c r="H575" s="142" t="s">
        <v>3835</v>
      </c>
      <c r="I575" s="141" t="n">
        <v>45835</v>
      </c>
      <c r="J575" s="66" t="n">
        <v>6</v>
      </c>
      <c r="K575" s="188" t="s">
        <v>49</v>
      </c>
      <c r="L575" s="144" t="s">
        <v>61</v>
      </c>
      <c r="M575" s="145" t="n">
        <v>213</v>
      </c>
    </row>
    <row r="576" customFormat="false" ht="12.75" hidden="false" customHeight="true" outlineLevel="0" collapsed="false">
      <c r="A576" s="148" t="n">
        <v>25225</v>
      </c>
      <c r="B576" s="149" t="s">
        <v>3879</v>
      </c>
      <c r="C576" s="149" t="n">
        <v>2021</v>
      </c>
      <c r="D576" s="150" t="n">
        <v>44494</v>
      </c>
      <c r="E576" s="68" t="s">
        <v>3880</v>
      </c>
      <c r="F576" s="151" t="s">
        <v>3204</v>
      </c>
      <c r="G576" s="68" t="s">
        <v>441</v>
      </c>
      <c r="H576" s="151" t="s">
        <v>471</v>
      </c>
      <c r="I576" s="150" t="n">
        <v>45835</v>
      </c>
      <c r="J576" s="68" t="n">
        <v>6</v>
      </c>
      <c r="K576" s="188" t="s">
        <v>49</v>
      </c>
      <c r="L576" s="151" t="s">
        <v>58</v>
      </c>
      <c r="M576" s="152" t="n">
        <v>1341</v>
      </c>
    </row>
    <row r="577" customFormat="false" ht="12.75" hidden="false" customHeight="true" outlineLevel="0" collapsed="false">
      <c r="A577" s="139" t="n">
        <v>25325</v>
      </c>
      <c r="B577" s="140" t="s">
        <v>3881</v>
      </c>
      <c r="C577" s="140" t="n">
        <v>2014</v>
      </c>
      <c r="D577" s="141" t="n">
        <v>41880</v>
      </c>
      <c r="E577" s="66" t="s">
        <v>3882</v>
      </c>
      <c r="F577" s="142" t="s">
        <v>365</v>
      </c>
      <c r="G577" s="66" t="s">
        <v>441</v>
      </c>
      <c r="H577" s="142" t="s">
        <v>3856</v>
      </c>
      <c r="I577" s="141" t="n">
        <v>45835</v>
      </c>
      <c r="J577" s="66" t="n">
        <v>6</v>
      </c>
      <c r="K577" s="143" t="s">
        <v>48</v>
      </c>
      <c r="L577" s="142" t="s">
        <v>60</v>
      </c>
      <c r="M577" s="145" t="n">
        <v>3955</v>
      </c>
    </row>
    <row r="578" customFormat="false" ht="12.75" hidden="false" customHeight="true" outlineLevel="0" collapsed="false">
      <c r="A578" s="148" t="n">
        <v>25425</v>
      </c>
      <c r="B578" s="149" t="s">
        <v>3883</v>
      </c>
      <c r="C578" s="149" t="n">
        <v>2021</v>
      </c>
      <c r="D578" s="150" t="n">
        <v>44491</v>
      </c>
      <c r="E578" s="68" t="s">
        <v>3884</v>
      </c>
      <c r="F578" s="151" t="s">
        <v>3855</v>
      </c>
      <c r="G578" s="68" t="s">
        <v>441</v>
      </c>
      <c r="H578" s="151" t="s">
        <v>3885</v>
      </c>
      <c r="I578" s="150" t="n">
        <v>45835</v>
      </c>
      <c r="J578" s="68" t="n">
        <v>6</v>
      </c>
      <c r="K578" s="143" t="s">
        <v>48</v>
      </c>
      <c r="L578" s="151" t="s">
        <v>60</v>
      </c>
      <c r="M578" s="152" t="n">
        <v>1344</v>
      </c>
    </row>
    <row r="579" customFormat="false" ht="12.75" hidden="false" customHeight="true" outlineLevel="0" collapsed="false">
      <c r="A579" s="139" t="n">
        <v>25525</v>
      </c>
      <c r="B579" s="140" t="s">
        <v>3886</v>
      </c>
      <c r="C579" s="140" t="n">
        <v>2022</v>
      </c>
      <c r="D579" s="141" t="n">
        <v>44914</v>
      </c>
      <c r="E579" s="66" t="s">
        <v>3887</v>
      </c>
      <c r="F579" s="142" t="s">
        <v>537</v>
      </c>
      <c r="G579" s="66" t="s">
        <v>441</v>
      </c>
      <c r="H579" s="142" t="s">
        <v>208</v>
      </c>
      <c r="I579" s="141" t="n">
        <v>45846</v>
      </c>
      <c r="J579" s="66" t="n">
        <v>7</v>
      </c>
      <c r="K579" s="188" t="s">
        <v>49</v>
      </c>
      <c r="L579" s="142" t="s">
        <v>60</v>
      </c>
      <c r="M579" s="145" t="n">
        <v>932</v>
      </c>
    </row>
    <row r="580" customFormat="false" ht="12.75" hidden="false" customHeight="true" outlineLevel="0" collapsed="false">
      <c r="A580" s="148" t="n">
        <v>25625</v>
      </c>
      <c r="B580" s="149" t="s">
        <v>3888</v>
      </c>
      <c r="C580" s="149" t="n">
        <v>2022</v>
      </c>
      <c r="D580" s="157" t="n">
        <v>44776</v>
      </c>
      <c r="E580" s="68" t="s">
        <v>3889</v>
      </c>
      <c r="F580" s="151" t="s">
        <v>1156</v>
      </c>
      <c r="G580" s="68" t="s">
        <v>441</v>
      </c>
      <c r="H580" s="151" t="s">
        <v>1538</v>
      </c>
      <c r="I580" s="150" t="n">
        <v>45846</v>
      </c>
      <c r="J580" s="68" t="n">
        <v>7</v>
      </c>
      <c r="K580" s="163" t="s">
        <v>46</v>
      </c>
      <c r="L580" s="151" t="s">
        <v>60</v>
      </c>
      <c r="M580" s="152" t="n">
        <v>1070</v>
      </c>
    </row>
    <row r="581" customFormat="false" ht="12.75" hidden="false" customHeight="true" outlineLevel="0" collapsed="false">
      <c r="A581" s="139" t="n">
        <v>25725</v>
      </c>
      <c r="B581" s="140" t="s">
        <v>3890</v>
      </c>
      <c r="C581" s="140" t="n">
        <v>2024</v>
      </c>
      <c r="D581" s="141" t="n">
        <v>45320</v>
      </c>
      <c r="E581" s="66" t="s">
        <v>3891</v>
      </c>
      <c r="F581" s="142" t="s">
        <v>3892</v>
      </c>
      <c r="G581" s="66" t="s">
        <v>125</v>
      </c>
      <c r="H581" s="142" t="s">
        <v>3893</v>
      </c>
      <c r="I581" s="141" t="n">
        <v>45846</v>
      </c>
      <c r="J581" s="66" t="n">
        <v>7</v>
      </c>
      <c r="K581" s="169" t="s">
        <v>290</v>
      </c>
      <c r="L581" s="144" t="s">
        <v>61</v>
      </c>
      <c r="M581" s="145" t="n">
        <v>526</v>
      </c>
    </row>
    <row r="582" customFormat="false" ht="12.75" hidden="false" customHeight="true" outlineLevel="0" collapsed="false">
      <c r="A582" s="148" t="n">
        <v>25825</v>
      </c>
      <c r="B582" s="149" t="s">
        <v>3894</v>
      </c>
      <c r="C582" s="149" t="n">
        <v>2021</v>
      </c>
      <c r="D582" s="150" t="n">
        <v>44517</v>
      </c>
      <c r="E582" s="68" t="s">
        <v>3895</v>
      </c>
      <c r="F582" s="151" t="s">
        <v>128</v>
      </c>
      <c r="G582" s="68" t="s">
        <v>441</v>
      </c>
      <c r="H582" s="151" t="s">
        <v>2388</v>
      </c>
      <c r="I582" s="150" t="n">
        <v>45846</v>
      </c>
      <c r="J582" s="68" t="n">
        <v>7</v>
      </c>
      <c r="K582" s="188" t="s">
        <v>49</v>
      </c>
      <c r="L582" s="151" t="s">
        <v>60</v>
      </c>
      <c r="M582" s="152" t="n">
        <v>1329</v>
      </c>
    </row>
    <row r="583" customFormat="false" ht="12.75" hidden="false" customHeight="true" outlineLevel="0" collapsed="false">
      <c r="A583" s="139" t="n">
        <v>25925</v>
      </c>
      <c r="B583" s="140" t="s">
        <v>3896</v>
      </c>
      <c r="C583" s="140" t="n">
        <v>2019</v>
      </c>
      <c r="D583" s="141" t="n">
        <v>43770</v>
      </c>
      <c r="E583" s="66" t="s">
        <v>3897</v>
      </c>
      <c r="F583" s="142" t="s">
        <v>3305</v>
      </c>
      <c r="G583" s="66" t="s">
        <v>441</v>
      </c>
      <c r="H583" s="142" t="s">
        <v>706</v>
      </c>
      <c r="I583" s="141" t="n">
        <v>45846</v>
      </c>
      <c r="J583" s="66" t="n">
        <v>7</v>
      </c>
      <c r="K583" s="197" t="s">
        <v>43</v>
      </c>
      <c r="L583" s="142" t="s">
        <v>60</v>
      </c>
      <c r="M583" s="145" t="n">
        <v>2076</v>
      </c>
    </row>
    <row r="584" customFormat="false" ht="12.75" hidden="false" customHeight="true" outlineLevel="0" collapsed="false">
      <c r="A584" s="148" t="n">
        <v>26025</v>
      </c>
      <c r="B584" s="149" t="s">
        <v>3898</v>
      </c>
      <c r="C584" s="149" t="n">
        <v>2021</v>
      </c>
      <c r="D584" s="150" t="n">
        <v>44348</v>
      </c>
      <c r="E584" s="68" t="s">
        <v>3899</v>
      </c>
      <c r="F584" s="151" t="s">
        <v>3900</v>
      </c>
      <c r="G584" s="68" t="s">
        <v>441</v>
      </c>
      <c r="H584" s="151" t="s">
        <v>3901</v>
      </c>
      <c r="I584" s="150" t="n">
        <v>45846</v>
      </c>
      <c r="J584" s="68" t="n">
        <v>7</v>
      </c>
      <c r="K584" s="143" t="s">
        <v>48</v>
      </c>
      <c r="L584" s="151" t="s">
        <v>58</v>
      </c>
      <c r="M584" s="152" t="n">
        <v>1498</v>
      </c>
    </row>
    <row r="585" customFormat="false" ht="12.75" hidden="false" customHeight="true" outlineLevel="0" collapsed="false">
      <c r="A585" s="139" t="n">
        <v>26125</v>
      </c>
      <c r="B585" s="140" t="s">
        <v>3902</v>
      </c>
      <c r="C585" s="140" t="n">
        <v>2024</v>
      </c>
      <c r="D585" s="141" t="n">
        <v>45579</v>
      </c>
      <c r="E585" s="66" t="s">
        <v>3903</v>
      </c>
      <c r="F585" s="142" t="s">
        <v>3904</v>
      </c>
      <c r="G585" s="66" t="s">
        <v>125</v>
      </c>
      <c r="H585" s="142" t="s">
        <v>3905</v>
      </c>
      <c r="I585" s="141" t="n">
        <v>45846</v>
      </c>
      <c r="J585" s="66" t="n">
        <v>7</v>
      </c>
      <c r="K585" s="188" t="s">
        <v>49</v>
      </c>
      <c r="L585" s="144" t="s">
        <v>61</v>
      </c>
      <c r="M585" s="145" t="n">
        <v>267</v>
      </c>
    </row>
    <row r="586" customFormat="false" ht="12.75" hidden="false" customHeight="true" outlineLevel="0" collapsed="false">
      <c r="A586" s="148" t="n">
        <v>26225</v>
      </c>
      <c r="B586" s="149" t="s">
        <v>3906</v>
      </c>
      <c r="C586" s="149" t="n">
        <v>2024</v>
      </c>
      <c r="D586" s="150" t="n">
        <v>45574</v>
      </c>
      <c r="E586" s="68" t="s">
        <v>3907</v>
      </c>
      <c r="F586" s="151" t="s">
        <v>3908</v>
      </c>
      <c r="G586" s="68" t="s">
        <v>130</v>
      </c>
      <c r="H586" s="151" t="s">
        <v>3909</v>
      </c>
      <c r="I586" s="150" t="n">
        <v>45846</v>
      </c>
      <c r="J586" s="68" t="n">
        <v>7</v>
      </c>
      <c r="K586" s="188" t="s">
        <v>49</v>
      </c>
      <c r="L586" s="189" t="s">
        <v>61</v>
      </c>
      <c r="M586" s="152" t="n">
        <v>272</v>
      </c>
    </row>
    <row r="587" customFormat="false" ht="12.75" hidden="false" customHeight="true" outlineLevel="0" collapsed="false">
      <c r="A587" s="139" t="n">
        <v>26325</v>
      </c>
      <c r="B587" s="140" t="s">
        <v>3910</v>
      </c>
      <c r="C587" s="140" t="n">
        <v>2020</v>
      </c>
      <c r="D587" s="141" t="n">
        <v>44188</v>
      </c>
      <c r="E587" s="66" t="s">
        <v>3911</v>
      </c>
      <c r="F587" s="142" t="s">
        <v>1879</v>
      </c>
      <c r="G587" s="66" t="s">
        <v>441</v>
      </c>
      <c r="H587" s="142" t="s">
        <v>263</v>
      </c>
      <c r="I587" s="141" t="n">
        <v>45848</v>
      </c>
      <c r="J587" s="66" t="n">
        <v>7</v>
      </c>
      <c r="K587" s="188" t="s">
        <v>49</v>
      </c>
      <c r="L587" s="142" t="s">
        <v>58</v>
      </c>
      <c r="M587" s="145" t="n">
        <v>1660</v>
      </c>
    </row>
    <row r="588" customFormat="false" ht="12.75" hidden="false" customHeight="true" outlineLevel="0" collapsed="false">
      <c r="A588" s="148" t="n">
        <v>26425</v>
      </c>
      <c r="B588" s="149" t="s">
        <v>3912</v>
      </c>
      <c r="C588" s="149" t="n">
        <v>2023</v>
      </c>
      <c r="D588" s="150" t="n">
        <v>45210</v>
      </c>
      <c r="E588" s="68" t="s">
        <v>3913</v>
      </c>
      <c r="F588" s="151" t="s">
        <v>3914</v>
      </c>
      <c r="G588" s="68" t="s">
        <v>130</v>
      </c>
      <c r="H588" s="151" t="s">
        <v>3915</v>
      </c>
      <c r="I588" s="150" t="n">
        <v>45856</v>
      </c>
      <c r="J588" s="68" t="n">
        <v>7</v>
      </c>
      <c r="K588" s="169" t="s">
        <v>290</v>
      </c>
      <c r="L588" s="189" t="s">
        <v>61</v>
      </c>
      <c r="M588" s="152" t="n">
        <v>646</v>
      </c>
    </row>
    <row r="589" customFormat="false" ht="12.75" hidden="false" customHeight="true" outlineLevel="0" collapsed="false">
      <c r="A589" s="139" t="n">
        <v>26525</v>
      </c>
      <c r="B589" s="140" t="s">
        <v>3916</v>
      </c>
      <c r="C589" s="140" t="n">
        <v>2021</v>
      </c>
      <c r="D589" s="141" t="n">
        <v>44538</v>
      </c>
      <c r="E589" s="66" t="s">
        <v>3917</v>
      </c>
      <c r="F589" s="142" t="s">
        <v>3918</v>
      </c>
      <c r="G589" s="66" t="s">
        <v>441</v>
      </c>
      <c r="H589" s="142" t="s">
        <v>1231</v>
      </c>
      <c r="I589" s="141" t="n">
        <v>45856</v>
      </c>
      <c r="J589" s="66" t="n">
        <v>7</v>
      </c>
      <c r="K589" s="188" t="s">
        <v>49</v>
      </c>
      <c r="L589" s="142" t="s">
        <v>58</v>
      </c>
      <c r="M589" s="145" t="n">
        <v>1318</v>
      </c>
    </row>
    <row r="590" customFormat="false" ht="12.75" hidden="false" customHeight="true" outlineLevel="0" collapsed="false">
      <c r="A590" s="148" t="n">
        <v>26625</v>
      </c>
      <c r="B590" s="149" t="s">
        <v>3919</v>
      </c>
      <c r="C590" s="149" t="n">
        <v>2020</v>
      </c>
      <c r="D590" s="150" t="n">
        <v>44141</v>
      </c>
      <c r="E590" s="68" t="s">
        <v>3920</v>
      </c>
      <c r="F590" s="151" t="s">
        <v>3921</v>
      </c>
      <c r="G590" s="68" t="s">
        <v>441</v>
      </c>
      <c r="H590" s="151" t="s">
        <v>1231</v>
      </c>
      <c r="I590" s="150" t="n">
        <v>45856</v>
      </c>
      <c r="J590" s="68" t="n">
        <v>7</v>
      </c>
      <c r="K590" s="143" t="s">
        <v>48</v>
      </c>
      <c r="L590" s="151" t="s">
        <v>58</v>
      </c>
      <c r="M590" s="152" t="n">
        <v>1715</v>
      </c>
    </row>
    <row r="591" customFormat="false" ht="12.75" hidden="false" customHeight="true" outlineLevel="0" collapsed="false">
      <c r="A591" s="139" t="n">
        <v>26725</v>
      </c>
      <c r="B591" s="140" t="s">
        <v>3922</v>
      </c>
      <c r="C591" s="140" t="n">
        <v>2018</v>
      </c>
      <c r="D591" s="141" t="n">
        <v>43458</v>
      </c>
      <c r="E591" s="66" t="s">
        <v>3923</v>
      </c>
      <c r="F591" s="142" t="s">
        <v>3924</v>
      </c>
      <c r="G591" s="66" t="s">
        <v>441</v>
      </c>
      <c r="H591" s="142" t="s">
        <v>192</v>
      </c>
      <c r="I591" s="141" t="n">
        <v>45856</v>
      </c>
      <c r="J591" s="66" t="n">
        <v>7</v>
      </c>
      <c r="K591" s="143" t="s">
        <v>48</v>
      </c>
      <c r="L591" s="142" t="s">
        <v>58</v>
      </c>
      <c r="M591" s="145" t="n">
        <v>2398</v>
      </c>
    </row>
    <row r="592" customFormat="false" ht="12.75" hidden="false" customHeight="true" outlineLevel="0" collapsed="false">
      <c r="A592" s="148" t="n">
        <v>26825</v>
      </c>
      <c r="B592" s="149" t="s">
        <v>3925</v>
      </c>
      <c r="C592" s="149" t="n">
        <v>2020</v>
      </c>
      <c r="D592" s="150" t="n">
        <v>44181</v>
      </c>
      <c r="E592" s="68" t="s">
        <v>3926</v>
      </c>
      <c r="F592" s="151" t="s">
        <v>715</v>
      </c>
      <c r="G592" s="68" t="s">
        <v>441</v>
      </c>
      <c r="H592" s="151" t="s">
        <v>3056</v>
      </c>
      <c r="I592" s="150" t="n">
        <v>45856</v>
      </c>
      <c r="J592" s="68" t="n">
        <v>7</v>
      </c>
      <c r="K592" s="143" t="s">
        <v>48</v>
      </c>
      <c r="L592" s="151" t="s">
        <v>60</v>
      </c>
      <c r="M592" s="152" t="n">
        <v>1675</v>
      </c>
    </row>
    <row r="593" customFormat="false" ht="12.75" hidden="false" customHeight="true" outlineLevel="0" collapsed="false">
      <c r="A593" s="139" t="n">
        <v>26925</v>
      </c>
      <c r="B593" s="140" t="s">
        <v>3927</v>
      </c>
      <c r="C593" s="140" t="n">
        <v>2021</v>
      </c>
      <c r="D593" s="141" t="n">
        <v>44315</v>
      </c>
      <c r="E593" s="66" t="s">
        <v>3928</v>
      </c>
      <c r="F593" s="142" t="s">
        <v>1273</v>
      </c>
      <c r="G593" s="66" t="s">
        <v>441</v>
      </c>
      <c r="H593" s="142" t="s">
        <v>192</v>
      </c>
      <c r="I593" s="141" t="n">
        <v>45856</v>
      </c>
      <c r="J593" s="66" t="n">
        <v>7</v>
      </c>
      <c r="K593" s="143" t="s">
        <v>48</v>
      </c>
      <c r="L593" s="142" t="s">
        <v>58</v>
      </c>
      <c r="M593" s="145" t="n">
        <v>1541</v>
      </c>
    </row>
    <row r="594" customFormat="false" ht="12.75" hidden="false" customHeight="true" outlineLevel="0" collapsed="false">
      <c r="A594" s="148" t="n">
        <v>27025</v>
      </c>
      <c r="B594" s="149" t="s">
        <v>3929</v>
      </c>
      <c r="C594" s="149" t="n">
        <v>2022</v>
      </c>
      <c r="D594" s="150" t="n">
        <v>44753</v>
      </c>
      <c r="E594" s="68" t="s">
        <v>3930</v>
      </c>
      <c r="F594" s="151" t="s">
        <v>3931</v>
      </c>
      <c r="G594" s="68" t="s">
        <v>441</v>
      </c>
      <c r="H594" s="151" t="s">
        <v>3306</v>
      </c>
      <c r="I594" s="150" t="n">
        <v>45856</v>
      </c>
      <c r="J594" s="68" t="n">
        <v>7</v>
      </c>
      <c r="K594" s="188" t="s">
        <v>49</v>
      </c>
      <c r="L594" s="151" t="s">
        <v>60</v>
      </c>
      <c r="M594" s="152" t="n">
        <v>1103</v>
      </c>
    </row>
    <row r="595" customFormat="false" ht="12.75" hidden="false" customHeight="true" outlineLevel="0" collapsed="false">
      <c r="A595" s="139" t="n">
        <v>27125</v>
      </c>
      <c r="B595" s="140" t="s">
        <v>3932</v>
      </c>
      <c r="C595" s="140" t="n">
        <v>2024</v>
      </c>
      <c r="D595" s="141" t="n">
        <v>45622</v>
      </c>
      <c r="E595" s="66" t="s">
        <v>3933</v>
      </c>
      <c r="F595" s="142" t="s">
        <v>636</v>
      </c>
      <c r="G595" s="66" t="s">
        <v>130</v>
      </c>
      <c r="H595" s="142" t="s">
        <v>3835</v>
      </c>
      <c r="I595" s="141" t="n">
        <v>45856</v>
      </c>
      <c r="J595" s="66" t="n">
        <v>7</v>
      </c>
      <c r="K595" s="188" t="s">
        <v>49</v>
      </c>
      <c r="L595" s="144" t="s">
        <v>61</v>
      </c>
      <c r="M595" s="145" t="n">
        <v>234</v>
      </c>
    </row>
    <row r="596" customFormat="false" ht="12.75" hidden="false" customHeight="true" outlineLevel="0" collapsed="false">
      <c r="A596" s="148" t="n">
        <v>27225</v>
      </c>
      <c r="B596" s="149" t="s">
        <v>3934</v>
      </c>
      <c r="C596" s="149" t="n">
        <v>2024</v>
      </c>
      <c r="D596" s="150" t="n">
        <v>45450</v>
      </c>
      <c r="E596" s="68" t="s">
        <v>3935</v>
      </c>
      <c r="F596" s="151" t="s">
        <v>3936</v>
      </c>
      <c r="G596" s="68" t="s">
        <v>125</v>
      </c>
      <c r="H596" s="151" t="s">
        <v>3682</v>
      </c>
      <c r="I596" s="150" t="n">
        <v>45856</v>
      </c>
      <c r="J596" s="68" t="n">
        <v>7</v>
      </c>
      <c r="K596" s="169" t="s">
        <v>290</v>
      </c>
      <c r="L596" s="189" t="s">
        <v>61</v>
      </c>
      <c r="M596" s="152" t="n">
        <v>406</v>
      </c>
    </row>
    <row r="597" customFormat="false" ht="12.75" hidden="false" customHeight="true" outlineLevel="0" collapsed="false">
      <c r="A597" s="139" t="n">
        <v>27325</v>
      </c>
      <c r="B597" s="140" t="s">
        <v>3937</v>
      </c>
      <c r="C597" s="140" t="n">
        <v>2024</v>
      </c>
      <c r="D597" s="141" t="n">
        <v>45618</v>
      </c>
      <c r="E597" s="66" t="s">
        <v>3938</v>
      </c>
      <c r="F597" s="142" t="s">
        <v>3939</v>
      </c>
      <c r="G597" s="66" t="s">
        <v>125</v>
      </c>
      <c r="H597" s="142" t="s">
        <v>3225</v>
      </c>
      <c r="I597" s="141" t="n">
        <v>45856</v>
      </c>
      <c r="J597" s="66" t="n">
        <v>7</v>
      </c>
      <c r="K597" s="188" t="s">
        <v>49</v>
      </c>
      <c r="L597" s="144" t="s">
        <v>61</v>
      </c>
      <c r="M597" s="145" t="n">
        <v>238</v>
      </c>
    </row>
    <row r="598" customFormat="false" ht="12.75" hidden="false" customHeight="true" outlineLevel="0" collapsed="false">
      <c r="A598" s="148" t="n">
        <v>27425</v>
      </c>
      <c r="B598" s="149" t="s">
        <v>3940</v>
      </c>
      <c r="C598" s="149" t="n">
        <v>2023</v>
      </c>
      <c r="D598" s="150" t="n">
        <v>45279</v>
      </c>
      <c r="E598" s="68" t="s">
        <v>3941</v>
      </c>
      <c r="F598" s="151" t="s">
        <v>3942</v>
      </c>
      <c r="G598" s="68" t="s">
        <v>125</v>
      </c>
      <c r="H598" s="151" t="s">
        <v>3943</v>
      </c>
      <c r="I598" s="150" t="n">
        <v>45859</v>
      </c>
      <c r="J598" s="68" t="n">
        <v>7</v>
      </c>
      <c r="K598" s="151" t="s">
        <v>2407</v>
      </c>
      <c r="L598" s="189" t="s">
        <v>61</v>
      </c>
      <c r="M598" s="152" t="n">
        <v>580</v>
      </c>
    </row>
    <row r="599" customFormat="false" ht="12.75" hidden="false" customHeight="true" outlineLevel="0" collapsed="false">
      <c r="A599" s="139" t="n">
        <v>27525</v>
      </c>
      <c r="B599" s="140" t="s">
        <v>3944</v>
      </c>
      <c r="C599" s="140" t="n">
        <v>2023</v>
      </c>
      <c r="D599" s="141" t="n">
        <v>45223</v>
      </c>
      <c r="E599" s="66" t="s">
        <v>3945</v>
      </c>
      <c r="F599" s="142" t="s">
        <v>3946</v>
      </c>
      <c r="G599" s="66" t="s">
        <v>125</v>
      </c>
      <c r="H599" s="142" t="s">
        <v>522</v>
      </c>
      <c r="I599" s="141" t="n">
        <v>45859</v>
      </c>
      <c r="J599" s="66" t="n">
        <v>7</v>
      </c>
      <c r="K599" s="188" t="s">
        <v>49</v>
      </c>
      <c r="L599" s="144" t="s">
        <v>61</v>
      </c>
      <c r="M599" s="145" t="n">
        <v>636</v>
      </c>
    </row>
    <row r="600" customFormat="false" ht="12.75" hidden="false" customHeight="true" outlineLevel="0" collapsed="false">
      <c r="A600" s="148" t="n">
        <v>27625</v>
      </c>
      <c r="B600" s="149" t="s">
        <v>3947</v>
      </c>
      <c r="C600" s="149" t="n">
        <v>2021</v>
      </c>
      <c r="D600" s="150" t="n">
        <v>44491</v>
      </c>
      <c r="E600" s="68" t="s">
        <v>3948</v>
      </c>
      <c r="F600" s="151" t="s">
        <v>449</v>
      </c>
      <c r="G600" s="68" t="s">
        <v>441</v>
      </c>
      <c r="H600" s="151" t="s">
        <v>813</v>
      </c>
      <c r="I600" s="150" t="n">
        <v>45859</v>
      </c>
      <c r="J600" s="68" t="n">
        <v>7</v>
      </c>
      <c r="K600" s="143" t="s">
        <v>48</v>
      </c>
      <c r="L600" s="151" t="s">
        <v>58</v>
      </c>
      <c r="M600" s="152" t="n">
        <v>1368</v>
      </c>
    </row>
    <row r="601" customFormat="false" ht="12.75" hidden="false" customHeight="true" outlineLevel="0" collapsed="false">
      <c r="A601" s="139" t="n">
        <v>27725</v>
      </c>
      <c r="B601" s="140" t="s">
        <v>3949</v>
      </c>
      <c r="C601" s="140" t="n">
        <v>2024</v>
      </c>
      <c r="D601" s="141" t="n">
        <v>45576</v>
      </c>
      <c r="E601" s="66" t="s">
        <v>3950</v>
      </c>
      <c r="F601" s="142" t="s">
        <v>3951</v>
      </c>
      <c r="G601" s="66" t="s">
        <v>125</v>
      </c>
      <c r="H601" s="142" t="s">
        <v>3952</v>
      </c>
      <c r="I601" s="141" t="n">
        <v>45859</v>
      </c>
      <c r="J601" s="66" t="n">
        <v>7</v>
      </c>
      <c r="K601" s="169" t="s">
        <v>290</v>
      </c>
      <c r="L601" s="144" t="s">
        <v>61</v>
      </c>
      <c r="M601" s="145" t="n">
        <v>283</v>
      </c>
    </row>
    <row r="602" customFormat="false" ht="12.75" hidden="false" customHeight="true" outlineLevel="0" collapsed="false">
      <c r="A602" s="148" t="n">
        <v>27825</v>
      </c>
      <c r="B602" s="149" t="s">
        <v>3953</v>
      </c>
      <c r="C602" s="149" t="n">
        <v>2018</v>
      </c>
      <c r="D602" s="150" t="n">
        <v>43178</v>
      </c>
      <c r="E602" s="68" t="s">
        <v>3954</v>
      </c>
      <c r="F602" s="151" t="s">
        <v>715</v>
      </c>
      <c r="G602" s="68" t="s">
        <v>441</v>
      </c>
      <c r="H602" s="151" t="s">
        <v>263</v>
      </c>
      <c r="I602" s="150" t="n">
        <v>46008</v>
      </c>
      <c r="J602" s="68" t="n">
        <v>12</v>
      </c>
      <c r="K602" s="188" t="s">
        <v>49</v>
      </c>
      <c r="L602" s="151" t="s">
        <v>60</v>
      </c>
      <c r="M602" s="152" t="n">
        <v>2830</v>
      </c>
    </row>
    <row r="603" customFormat="false" ht="12.75" hidden="false" customHeight="true" outlineLevel="0" collapsed="false">
      <c r="A603" s="139" t="n">
        <v>27925</v>
      </c>
      <c r="B603" s="140" t="s">
        <v>3955</v>
      </c>
      <c r="C603" s="140" t="n">
        <v>2018</v>
      </c>
      <c r="D603" s="141" t="n">
        <v>43259</v>
      </c>
      <c r="E603" s="66" t="s">
        <v>3956</v>
      </c>
      <c r="F603" s="142" t="s">
        <v>793</v>
      </c>
      <c r="G603" s="66" t="s">
        <v>441</v>
      </c>
      <c r="H603" s="142" t="s">
        <v>263</v>
      </c>
      <c r="I603" s="141" t="n">
        <v>45859</v>
      </c>
      <c r="J603" s="66" t="n">
        <v>7</v>
      </c>
      <c r="K603" s="188" t="s">
        <v>49</v>
      </c>
      <c r="L603" s="142" t="s">
        <v>58</v>
      </c>
      <c r="M603" s="145" t="n">
        <v>2600</v>
      </c>
    </row>
    <row r="604" customFormat="false" ht="12.75" hidden="false" customHeight="true" outlineLevel="0" collapsed="false">
      <c r="A604" s="148" t="n">
        <v>28025</v>
      </c>
      <c r="B604" s="149" t="s">
        <v>3957</v>
      </c>
      <c r="C604" s="149" t="n">
        <v>2024</v>
      </c>
      <c r="D604" s="150" t="n">
        <v>45630</v>
      </c>
      <c r="E604" s="68" t="s">
        <v>3958</v>
      </c>
      <c r="F604" s="151" t="s">
        <v>148</v>
      </c>
      <c r="G604" s="68" t="s">
        <v>125</v>
      </c>
      <c r="H604" s="151" t="s">
        <v>149</v>
      </c>
      <c r="I604" s="150" t="n">
        <v>45859</v>
      </c>
      <c r="J604" s="68" t="n">
        <v>7</v>
      </c>
      <c r="K604" s="143" t="s">
        <v>48</v>
      </c>
      <c r="L604" s="189" t="s">
        <v>61</v>
      </c>
      <c r="M604" s="152" t="n">
        <v>229</v>
      </c>
    </row>
    <row r="605" customFormat="false" ht="12.75" hidden="false" customHeight="true" outlineLevel="0" collapsed="false">
      <c r="A605" s="139" t="n">
        <v>28125</v>
      </c>
      <c r="B605" s="140" t="s">
        <v>3959</v>
      </c>
      <c r="C605" s="140" t="n">
        <v>2017</v>
      </c>
      <c r="D605" s="141" t="n">
        <v>42872</v>
      </c>
      <c r="E605" s="66" t="s">
        <v>3960</v>
      </c>
      <c r="F605" s="142" t="s">
        <v>798</v>
      </c>
      <c r="G605" s="66" t="s">
        <v>441</v>
      </c>
      <c r="H605" s="142" t="s">
        <v>3056</v>
      </c>
      <c r="I605" s="141" t="n">
        <v>45859</v>
      </c>
      <c r="J605" s="66" t="n">
        <v>7</v>
      </c>
      <c r="K605" s="188" t="s">
        <v>49</v>
      </c>
      <c r="L605" s="142" t="s">
        <v>60</v>
      </c>
      <c r="M605" s="145" t="n">
        <v>2987</v>
      </c>
    </row>
    <row r="606" customFormat="false" ht="12.75" hidden="false" customHeight="true" outlineLevel="0" collapsed="false">
      <c r="A606" s="148" t="n">
        <v>28225</v>
      </c>
      <c r="B606" s="149" t="s">
        <v>3961</v>
      </c>
      <c r="C606" s="149" t="n">
        <v>2022</v>
      </c>
      <c r="D606" s="150" t="n">
        <v>44622</v>
      </c>
      <c r="E606" s="68" t="s">
        <v>3962</v>
      </c>
      <c r="F606" s="151" t="s">
        <v>157</v>
      </c>
      <c r="G606" s="68" t="s">
        <v>441</v>
      </c>
      <c r="H606" s="151" t="s">
        <v>693</v>
      </c>
      <c r="I606" s="150" t="n">
        <v>45859</v>
      </c>
      <c r="J606" s="68" t="n">
        <v>7</v>
      </c>
      <c r="K606" s="188" t="s">
        <v>49</v>
      </c>
      <c r="L606" s="151" t="s">
        <v>58</v>
      </c>
      <c r="M606" s="152" t="n">
        <v>1237</v>
      </c>
    </row>
    <row r="607" customFormat="false" ht="12.75" hidden="false" customHeight="true" outlineLevel="0" collapsed="false">
      <c r="A607" s="139" t="n">
        <v>28325</v>
      </c>
      <c r="B607" s="140" t="s">
        <v>3963</v>
      </c>
      <c r="C607" s="140" t="n">
        <v>2022</v>
      </c>
      <c r="D607" s="141" t="n">
        <v>44631</v>
      </c>
      <c r="E607" s="66" t="s">
        <v>3964</v>
      </c>
      <c r="F607" s="142" t="s">
        <v>3965</v>
      </c>
      <c r="G607" s="66" t="s">
        <v>441</v>
      </c>
      <c r="H607" s="142" t="s">
        <v>3056</v>
      </c>
      <c r="I607" s="141" t="n">
        <v>45859</v>
      </c>
      <c r="J607" s="66" t="n">
        <v>7</v>
      </c>
      <c r="K607" s="196" t="s">
        <v>44</v>
      </c>
      <c r="L607" s="142" t="s">
        <v>58</v>
      </c>
      <c r="M607" s="145" t="n">
        <v>1228</v>
      </c>
    </row>
    <row r="608" customFormat="false" ht="12.75" hidden="false" customHeight="true" outlineLevel="0" collapsed="false">
      <c r="A608" s="148" t="n">
        <v>28425</v>
      </c>
      <c r="B608" s="149" t="s">
        <v>3966</v>
      </c>
      <c r="C608" s="149" t="n">
        <v>2024</v>
      </c>
      <c r="D608" s="150" t="n">
        <v>45378</v>
      </c>
      <c r="E608" s="68" t="s">
        <v>3967</v>
      </c>
      <c r="F608" s="151" t="s">
        <v>3968</v>
      </c>
      <c r="G608" s="68" t="s">
        <v>125</v>
      </c>
      <c r="H608" s="151" t="s">
        <v>3636</v>
      </c>
      <c r="I608" s="150" t="n">
        <v>45859</v>
      </c>
      <c r="J608" s="68" t="n">
        <v>7</v>
      </c>
      <c r="K608" s="169" t="s">
        <v>290</v>
      </c>
      <c r="L608" s="189" t="s">
        <v>61</v>
      </c>
      <c r="M608" s="152" t="n">
        <v>481</v>
      </c>
    </row>
    <row r="609" customFormat="false" ht="12.75" hidden="false" customHeight="true" outlineLevel="0" collapsed="false">
      <c r="A609" s="139" t="n">
        <v>28525</v>
      </c>
      <c r="B609" s="140" t="s">
        <v>3969</v>
      </c>
      <c r="C609" s="140" t="n">
        <v>2024</v>
      </c>
      <c r="D609" s="141" t="n">
        <v>45377</v>
      </c>
      <c r="E609" s="66" t="s">
        <v>3970</v>
      </c>
      <c r="F609" s="142" t="s">
        <v>3971</v>
      </c>
      <c r="G609" s="66" t="s">
        <v>125</v>
      </c>
      <c r="H609" s="142" t="s">
        <v>3636</v>
      </c>
      <c r="I609" s="141" t="n">
        <v>45859</v>
      </c>
      <c r="J609" s="66" t="n">
        <v>7</v>
      </c>
      <c r="K609" s="169" t="s">
        <v>290</v>
      </c>
      <c r="L609" s="144" t="s">
        <v>61</v>
      </c>
      <c r="M609" s="145" t="n">
        <v>482</v>
      </c>
    </row>
    <row r="610" customFormat="false" ht="12.75" hidden="false" customHeight="true" outlineLevel="0" collapsed="false">
      <c r="A610" s="148" t="n">
        <v>28625</v>
      </c>
      <c r="B610" s="149" t="s">
        <v>3972</v>
      </c>
      <c r="C610" s="149" t="n">
        <v>2020</v>
      </c>
      <c r="D610" s="150" t="n">
        <v>44109</v>
      </c>
      <c r="E610" s="68" t="s">
        <v>3973</v>
      </c>
      <c r="F610" s="151" t="s">
        <v>3974</v>
      </c>
      <c r="G610" s="68" t="s">
        <v>441</v>
      </c>
      <c r="H610" s="151" t="s">
        <v>1434</v>
      </c>
      <c r="I610" s="150" t="n">
        <v>45859</v>
      </c>
      <c r="J610" s="68" t="n">
        <v>7</v>
      </c>
      <c r="K610" s="188" t="s">
        <v>49</v>
      </c>
      <c r="L610" s="151" t="s">
        <v>60</v>
      </c>
      <c r="M610" s="152" t="n">
        <v>1750</v>
      </c>
    </row>
    <row r="611" customFormat="false" ht="12.75" hidden="false" customHeight="true" outlineLevel="0" collapsed="false">
      <c r="A611" s="139" t="n">
        <v>28725</v>
      </c>
      <c r="B611" s="140" t="s">
        <v>3975</v>
      </c>
      <c r="C611" s="140" t="n">
        <v>2023</v>
      </c>
      <c r="D611" s="141" t="n">
        <v>45273</v>
      </c>
      <c r="E611" s="66" t="s">
        <v>3976</v>
      </c>
      <c r="F611" s="142" t="s">
        <v>3946</v>
      </c>
      <c r="G611" s="66" t="s">
        <v>144</v>
      </c>
      <c r="H611" s="142" t="s">
        <v>1042</v>
      </c>
      <c r="I611" s="141" t="n">
        <v>45859</v>
      </c>
      <c r="J611" s="66" t="n">
        <v>7</v>
      </c>
      <c r="K611" s="169" t="s">
        <v>290</v>
      </c>
      <c r="L611" s="144" t="s">
        <v>61</v>
      </c>
      <c r="M611" s="145" t="n">
        <v>586</v>
      </c>
    </row>
    <row r="612" customFormat="false" ht="12.75" hidden="false" customHeight="true" outlineLevel="0" collapsed="false">
      <c r="A612" s="148" t="n">
        <v>28825</v>
      </c>
      <c r="B612" s="149" t="s">
        <v>3977</v>
      </c>
      <c r="C612" s="149" t="n">
        <v>2023</v>
      </c>
      <c r="D612" s="150" t="n">
        <v>44953</v>
      </c>
      <c r="E612" s="68" t="s">
        <v>3978</v>
      </c>
      <c r="F612" s="151" t="s">
        <v>3475</v>
      </c>
      <c r="G612" s="68" t="s">
        <v>441</v>
      </c>
      <c r="H612" s="151" t="s">
        <v>1459</v>
      </c>
      <c r="I612" s="150" t="n">
        <v>45859</v>
      </c>
      <c r="J612" s="68" t="n">
        <v>7</v>
      </c>
      <c r="K612" s="188" t="s">
        <v>49</v>
      </c>
      <c r="L612" s="151" t="s">
        <v>60</v>
      </c>
      <c r="M612" s="152" t="n">
        <v>906</v>
      </c>
    </row>
    <row r="613" customFormat="false" ht="12.75" hidden="false" customHeight="true" outlineLevel="0" collapsed="false">
      <c r="A613" s="139" t="n">
        <v>28925</v>
      </c>
      <c r="B613" s="140" t="s">
        <v>3979</v>
      </c>
      <c r="C613" s="140" t="n">
        <v>2020</v>
      </c>
      <c r="D613" s="141" t="n">
        <v>44155</v>
      </c>
      <c r="E613" s="66" t="s">
        <v>3980</v>
      </c>
      <c r="F613" s="142" t="s">
        <v>3981</v>
      </c>
      <c r="G613" s="66" t="s">
        <v>441</v>
      </c>
      <c r="H613" s="142" t="s">
        <v>263</v>
      </c>
      <c r="I613" s="141" t="n">
        <v>45860</v>
      </c>
      <c r="J613" s="66" t="n">
        <v>7</v>
      </c>
      <c r="K613" s="143" t="s">
        <v>48</v>
      </c>
      <c r="L613" s="142" t="s">
        <v>58</v>
      </c>
      <c r="M613" s="145" t="n">
        <v>1705</v>
      </c>
    </row>
    <row r="614" customFormat="false" ht="12.75" hidden="false" customHeight="true" outlineLevel="0" collapsed="false">
      <c r="A614" s="148" t="n">
        <v>29025</v>
      </c>
      <c r="B614" s="149" t="s">
        <v>3982</v>
      </c>
      <c r="C614" s="149" t="n">
        <v>2021</v>
      </c>
      <c r="D614" s="150" t="n">
        <v>44299</v>
      </c>
      <c r="E614" s="68" t="s">
        <v>3983</v>
      </c>
      <c r="F614" s="151" t="s">
        <v>3984</v>
      </c>
      <c r="G614" s="68" t="s">
        <v>441</v>
      </c>
      <c r="H614" s="151" t="s">
        <v>362</v>
      </c>
      <c r="I614" s="150" t="n">
        <v>45868</v>
      </c>
      <c r="J614" s="68" t="n">
        <v>7</v>
      </c>
      <c r="K614" s="188" t="s">
        <v>49</v>
      </c>
      <c r="L614" s="151" t="s">
        <v>58</v>
      </c>
      <c r="M614" s="152" t="n">
        <v>1569</v>
      </c>
    </row>
    <row r="615" customFormat="false" ht="12.75" hidden="false" customHeight="true" outlineLevel="0" collapsed="false">
      <c r="A615" s="139" t="n">
        <v>29125</v>
      </c>
      <c r="B615" s="140" t="s">
        <v>3985</v>
      </c>
      <c r="C615" s="140" t="n">
        <v>2024</v>
      </c>
      <c r="D615" s="141" t="n">
        <v>45615</v>
      </c>
      <c r="E615" s="66" t="s">
        <v>3986</v>
      </c>
      <c r="F615" s="142" t="s">
        <v>3987</v>
      </c>
      <c r="G615" s="66" t="s">
        <v>125</v>
      </c>
      <c r="H615" s="142" t="s">
        <v>3988</v>
      </c>
      <c r="I615" s="141" t="n">
        <v>45868</v>
      </c>
      <c r="J615" s="66" t="n">
        <v>7</v>
      </c>
      <c r="K615" s="169" t="s">
        <v>290</v>
      </c>
      <c r="L615" s="144" t="s">
        <v>61</v>
      </c>
      <c r="M615" s="145" t="n">
        <v>253</v>
      </c>
    </row>
    <row r="616" customFormat="false" ht="12.75" hidden="false" customHeight="true" outlineLevel="0" collapsed="false">
      <c r="A616" s="148" t="n">
        <v>29225</v>
      </c>
      <c r="B616" s="149" t="s">
        <v>3989</v>
      </c>
      <c r="C616" s="149" t="n">
        <v>2012</v>
      </c>
      <c r="D616" s="150" t="n">
        <v>43642</v>
      </c>
      <c r="E616" s="151" t="s">
        <v>3990</v>
      </c>
      <c r="F616" s="151" t="s">
        <v>3991</v>
      </c>
      <c r="G616" s="68" t="s">
        <v>441</v>
      </c>
      <c r="H616" s="151" t="s">
        <v>3393</v>
      </c>
      <c r="I616" s="150" t="n">
        <v>45868</v>
      </c>
      <c r="J616" s="68" t="n">
        <v>7</v>
      </c>
      <c r="K616" s="188" t="s">
        <v>49</v>
      </c>
      <c r="L616" s="151" t="s">
        <v>58</v>
      </c>
      <c r="M616" s="152" t="n">
        <v>2226</v>
      </c>
    </row>
    <row r="617" customFormat="false" ht="12.75" hidden="false" customHeight="true" outlineLevel="0" collapsed="false">
      <c r="A617" s="139" t="n">
        <v>29325</v>
      </c>
      <c r="B617" s="140" t="s">
        <v>3992</v>
      </c>
      <c r="C617" s="140" t="n">
        <v>2021</v>
      </c>
      <c r="D617" s="141" t="n">
        <v>44476</v>
      </c>
      <c r="E617" s="66" t="s">
        <v>3993</v>
      </c>
      <c r="F617" s="142" t="s">
        <v>699</v>
      </c>
      <c r="G617" s="66" t="s">
        <v>441</v>
      </c>
      <c r="H617" s="142" t="s">
        <v>544</v>
      </c>
      <c r="I617" s="141" t="n">
        <v>45868</v>
      </c>
      <c r="J617" s="66" t="n">
        <v>7</v>
      </c>
      <c r="K617" s="188" t="s">
        <v>49</v>
      </c>
      <c r="L617" s="142" t="s">
        <v>60</v>
      </c>
      <c r="M617" s="145" t="n">
        <v>1392</v>
      </c>
    </row>
    <row r="618" customFormat="false" ht="12.75" hidden="false" customHeight="true" outlineLevel="0" collapsed="false">
      <c r="A618" s="148" t="n">
        <v>29425</v>
      </c>
      <c r="B618" s="149" t="s">
        <v>3994</v>
      </c>
      <c r="C618" s="149" t="n">
        <v>2022</v>
      </c>
      <c r="D618" s="150" t="n">
        <v>44637</v>
      </c>
      <c r="E618" s="68" t="s">
        <v>3995</v>
      </c>
      <c r="F618" s="151" t="s">
        <v>3996</v>
      </c>
      <c r="G618" s="68" t="s">
        <v>125</v>
      </c>
      <c r="H618" s="151" t="s">
        <v>3997</v>
      </c>
      <c r="I618" s="150" t="n">
        <v>45868</v>
      </c>
      <c r="J618" s="68" t="n">
        <v>7</v>
      </c>
      <c r="K618" s="169" t="s">
        <v>290</v>
      </c>
      <c r="L618" s="151" t="s">
        <v>60</v>
      </c>
      <c r="M618" s="152" t="n">
        <v>1231</v>
      </c>
    </row>
    <row r="619" customFormat="false" ht="12.75" hidden="false" customHeight="true" outlineLevel="0" collapsed="false">
      <c r="A619" s="139" t="n">
        <v>29525</v>
      </c>
      <c r="B619" s="140" t="s">
        <v>3998</v>
      </c>
      <c r="C619" s="140" t="n">
        <v>2024</v>
      </c>
      <c r="D619" s="141" t="n">
        <v>45836</v>
      </c>
      <c r="E619" s="66" t="s">
        <v>3999</v>
      </c>
      <c r="F619" s="142" t="s">
        <v>4000</v>
      </c>
      <c r="G619" s="66" t="s">
        <v>125</v>
      </c>
      <c r="H619" s="142" t="s">
        <v>54</v>
      </c>
      <c r="I619" s="141" t="n">
        <v>45868</v>
      </c>
      <c r="J619" s="66" t="n">
        <v>7</v>
      </c>
      <c r="K619" s="169" t="s">
        <v>290</v>
      </c>
      <c r="L619" s="144" t="s">
        <v>61</v>
      </c>
      <c r="M619" s="145" t="n">
        <v>32</v>
      </c>
    </row>
    <row r="620" customFormat="false" ht="12.75" hidden="false" customHeight="true" outlineLevel="0" collapsed="false">
      <c r="A620" s="148" t="n">
        <v>29625</v>
      </c>
      <c r="B620" s="149" t="s">
        <v>4001</v>
      </c>
      <c r="C620" s="149" t="n">
        <v>2024</v>
      </c>
      <c r="D620" s="150" t="n">
        <v>45606</v>
      </c>
      <c r="E620" s="68" t="s">
        <v>4002</v>
      </c>
      <c r="F620" s="151" t="s">
        <v>4003</v>
      </c>
      <c r="G620" s="68" t="s">
        <v>125</v>
      </c>
      <c r="H620" s="151" t="s">
        <v>3988</v>
      </c>
      <c r="I620" s="150" t="n">
        <v>45869</v>
      </c>
      <c r="J620" s="68" t="n">
        <v>7</v>
      </c>
      <c r="K620" s="188" t="s">
        <v>49</v>
      </c>
      <c r="L620" s="189" t="s">
        <v>61</v>
      </c>
      <c r="M620" s="152" t="n">
        <v>263</v>
      </c>
    </row>
    <row r="621" customFormat="false" ht="12.75" hidden="false" customHeight="true" outlineLevel="0" collapsed="false">
      <c r="A621" s="139" t="n">
        <v>29725</v>
      </c>
      <c r="B621" s="140" t="s">
        <v>4004</v>
      </c>
      <c r="C621" s="140" t="n">
        <v>2024</v>
      </c>
      <c r="D621" s="141" t="n">
        <v>45638</v>
      </c>
      <c r="E621" s="66" t="s">
        <v>4005</v>
      </c>
      <c r="F621" s="142" t="s">
        <v>4006</v>
      </c>
      <c r="G621" s="66" t="s">
        <v>125</v>
      </c>
      <c r="H621" s="142" t="s">
        <v>4007</v>
      </c>
      <c r="I621" s="141" t="n">
        <v>45869</v>
      </c>
      <c r="J621" s="66" t="n">
        <v>7</v>
      </c>
      <c r="K621" s="188" t="s">
        <v>49</v>
      </c>
      <c r="L621" s="144" t="s">
        <v>61</v>
      </c>
      <c r="M621" s="145" t="n">
        <v>231</v>
      </c>
    </row>
    <row r="622" customFormat="false" ht="12.75" hidden="false" customHeight="true" outlineLevel="0" collapsed="false">
      <c r="A622" s="148" t="n">
        <v>29825</v>
      </c>
      <c r="B622" s="149" t="s">
        <v>4008</v>
      </c>
      <c r="C622" s="149" t="n">
        <v>2021</v>
      </c>
      <c r="D622" s="150" t="n">
        <v>44391</v>
      </c>
      <c r="E622" s="68" t="s">
        <v>4009</v>
      </c>
      <c r="F622" s="151" t="s">
        <v>4010</v>
      </c>
      <c r="G622" s="68" t="s">
        <v>441</v>
      </c>
      <c r="H622" s="151" t="s">
        <v>4011</v>
      </c>
      <c r="I622" s="150" t="n">
        <v>45869</v>
      </c>
      <c r="J622" s="68" t="n">
        <v>7</v>
      </c>
      <c r="K622" s="188" t="s">
        <v>49</v>
      </c>
      <c r="L622" s="151" t="s">
        <v>58</v>
      </c>
      <c r="M622" s="152" t="n">
        <v>1478</v>
      </c>
    </row>
    <row r="623" customFormat="false" ht="12.75" hidden="false" customHeight="true" outlineLevel="0" collapsed="false">
      <c r="A623" s="139" t="n">
        <v>29925</v>
      </c>
      <c r="B623" s="140" t="s">
        <v>4012</v>
      </c>
      <c r="C623" s="140" t="n">
        <v>2023</v>
      </c>
      <c r="D623" s="141" t="n">
        <v>45244</v>
      </c>
      <c r="E623" s="66" t="s">
        <v>4013</v>
      </c>
      <c r="F623" s="142" t="s">
        <v>4014</v>
      </c>
      <c r="G623" s="66" t="s">
        <v>125</v>
      </c>
      <c r="H623" s="142" t="s">
        <v>54</v>
      </c>
      <c r="I623" s="141" t="n">
        <v>45869</v>
      </c>
      <c r="J623" s="66" t="n">
        <v>7</v>
      </c>
      <c r="K623" s="188" t="s">
        <v>49</v>
      </c>
      <c r="L623" s="144" t="s">
        <v>61</v>
      </c>
      <c r="M623" s="145" t="n">
        <v>625</v>
      </c>
    </row>
    <row r="624" customFormat="false" ht="12.75" hidden="false" customHeight="true" outlineLevel="0" collapsed="false">
      <c r="A624" s="148" t="n">
        <v>30025</v>
      </c>
      <c r="B624" s="149" t="s">
        <v>4015</v>
      </c>
      <c r="C624" s="149" t="n">
        <v>2024</v>
      </c>
      <c r="D624" s="150" t="n">
        <v>45615</v>
      </c>
      <c r="E624" s="68" t="s">
        <v>4016</v>
      </c>
      <c r="F624" s="151" t="s">
        <v>856</v>
      </c>
      <c r="G624" s="68" t="s">
        <v>130</v>
      </c>
      <c r="H624" s="151" t="s">
        <v>3234</v>
      </c>
      <c r="I624" s="150" t="n">
        <v>45869</v>
      </c>
      <c r="J624" s="68" t="n">
        <v>7</v>
      </c>
      <c r="K624" s="188" t="s">
        <v>49</v>
      </c>
      <c r="L624" s="189" t="s">
        <v>61</v>
      </c>
      <c r="M624" s="152" t="n">
        <v>254</v>
      </c>
    </row>
    <row r="625" customFormat="false" ht="12.75" hidden="false" customHeight="true" outlineLevel="0" collapsed="false">
      <c r="A625" s="139" t="n">
        <v>30125</v>
      </c>
      <c r="B625" s="140" t="s">
        <v>4017</v>
      </c>
      <c r="C625" s="140" t="n">
        <v>2024</v>
      </c>
      <c r="D625" s="141" t="n">
        <v>45470</v>
      </c>
      <c r="E625" s="66" t="s">
        <v>4018</v>
      </c>
      <c r="F625" s="142" t="s">
        <v>4019</v>
      </c>
      <c r="G625" s="66" t="s">
        <v>130</v>
      </c>
      <c r="H625" s="142" t="s">
        <v>3472</v>
      </c>
      <c r="I625" s="141" t="n">
        <v>45870</v>
      </c>
      <c r="J625" s="66" t="n">
        <v>8</v>
      </c>
      <c r="K625" s="188" t="s">
        <v>49</v>
      </c>
      <c r="L625" s="144" t="s">
        <v>61</v>
      </c>
      <c r="M625" s="145" t="n">
        <v>400</v>
      </c>
    </row>
    <row r="626" customFormat="false" ht="12.75" hidden="false" customHeight="true" outlineLevel="0" collapsed="false">
      <c r="A626" s="148" t="n">
        <v>30225</v>
      </c>
      <c r="B626" s="149" t="s">
        <v>4020</v>
      </c>
      <c r="C626" s="149" t="n">
        <v>2021</v>
      </c>
      <c r="D626" s="150" t="n">
        <v>44432</v>
      </c>
      <c r="E626" s="68" t="s">
        <v>4021</v>
      </c>
      <c r="F626" s="151" t="s">
        <v>525</v>
      </c>
      <c r="G626" s="68" t="s">
        <v>441</v>
      </c>
      <c r="H626" s="151" t="s">
        <v>409</v>
      </c>
      <c r="I626" s="150" t="n">
        <v>45870</v>
      </c>
      <c r="J626" s="68" t="n">
        <v>8</v>
      </c>
      <c r="K626" s="143" t="s">
        <v>48</v>
      </c>
      <c r="L626" s="151" t="s">
        <v>2848</v>
      </c>
      <c r="M626" s="152" t="n">
        <v>1438</v>
      </c>
    </row>
    <row r="627" customFormat="false" ht="12.75" hidden="false" customHeight="true" outlineLevel="0" collapsed="false">
      <c r="A627" s="139" t="n">
        <v>30325</v>
      </c>
      <c r="B627" s="140" t="s">
        <v>4022</v>
      </c>
      <c r="C627" s="140" t="n">
        <v>2021</v>
      </c>
      <c r="D627" s="141" t="n">
        <v>44537</v>
      </c>
      <c r="E627" s="66" t="s">
        <v>4023</v>
      </c>
      <c r="F627" s="142" t="s">
        <v>157</v>
      </c>
      <c r="G627" s="66" t="s">
        <v>441</v>
      </c>
      <c r="H627" s="142" t="s">
        <v>409</v>
      </c>
      <c r="I627" s="141" t="n">
        <v>45870</v>
      </c>
      <c r="J627" s="66" t="n">
        <v>8</v>
      </c>
      <c r="K627" s="143" t="s">
        <v>48</v>
      </c>
      <c r="L627" s="142" t="s">
        <v>58</v>
      </c>
      <c r="M627" s="145" t="n">
        <v>1333</v>
      </c>
    </row>
    <row r="628" customFormat="false" ht="12.75" hidden="false" customHeight="true" outlineLevel="0" collapsed="false">
      <c r="A628" s="148" t="n">
        <v>30425</v>
      </c>
      <c r="B628" s="149" t="s">
        <v>4024</v>
      </c>
      <c r="C628" s="149" t="n">
        <v>2024</v>
      </c>
      <c r="D628" s="150" t="n">
        <v>45308</v>
      </c>
      <c r="E628" s="68" t="s">
        <v>4025</v>
      </c>
      <c r="F628" s="151" t="s">
        <v>376</v>
      </c>
      <c r="G628" s="68" t="s">
        <v>130</v>
      </c>
      <c r="H628" s="151" t="s">
        <v>4026</v>
      </c>
      <c r="I628" s="150" t="n">
        <v>45870</v>
      </c>
      <c r="J628" s="68" t="n">
        <v>8</v>
      </c>
      <c r="K628" s="188" t="s">
        <v>49</v>
      </c>
      <c r="L628" s="189" t="s">
        <v>61</v>
      </c>
      <c r="M628" s="152" t="n">
        <v>562</v>
      </c>
    </row>
    <row r="629" customFormat="false" ht="12.75" hidden="false" customHeight="true" outlineLevel="0" collapsed="false">
      <c r="A629" s="139" t="n">
        <v>30525</v>
      </c>
      <c r="B629" s="140" t="s">
        <v>4027</v>
      </c>
      <c r="C629" s="140" t="n">
        <v>2023</v>
      </c>
      <c r="D629" s="141" t="n">
        <v>45261</v>
      </c>
      <c r="E629" s="66" t="s">
        <v>4028</v>
      </c>
      <c r="F629" s="142" t="s">
        <v>3908</v>
      </c>
      <c r="G629" s="66" t="s">
        <v>130</v>
      </c>
      <c r="H629" s="142" t="s">
        <v>4029</v>
      </c>
      <c r="I629" s="141" t="n">
        <v>45870</v>
      </c>
      <c r="J629" s="66" t="n">
        <v>8</v>
      </c>
      <c r="K629" s="188" t="s">
        <v>49</v>
      </c>
      <c r="L629" s="144" t="s">
        <v>61</v>
      </c>
      <c r="M629" s="145" t="n">
        <v>609</v>
      </c>
    </row>
    <row r="630" customFormat="false" ht="12.75" hidden="false" customHeight="true" outlineLevel="0" collapsed="false">
      <c r="A630" s="148" t="n">
        <v>30625</v>
      </c>
      <c r="B630" s="149" t="s">
        <v>4030</v>
      </c>
      <c r="C630" s="149" t="n">
        <v>2024</v>
      </c>
      <c r="D630" s="150" t="n">
        <v>45401</v>
      </c>
      <c r="E630" s="68" t="s">
        <v>4031</v>
      </c>
      <c r="F630" s="151" t="s">
        <v>4032</v>
      </c>
      <c r="G630" s="68" t="s">
        <v>125</v>
      </c>
      <c r="H630" s="151" t="s">
        <v>3682</v>
      </c>
      <c r="I630" s="150" t="n">
        <v>45870</v>
      </c>
      <c r="J630" s="68" t="n">
        <v>8</v>
      </c>
      <c r="K630" s="188" t="s">
        <v>49</v>
      </c>
      <c r="L630" s="189" t="s">
        <v>61</v>
      </c>
      <c r="M630" s="152" t="n">
        <v>469</v>
      </c>
    </row>
    <row r="631" customFormat="false" ht="12.75" hidden="false" customHeight="true" outlineLevel="0" collapsed="false">
      <c r="A631" s="139" t="n">
        <v>30725</v>
      </c>
      <c r="B631" s="140" t="s">
        <v>4033</v>
      </c>
      <c r="C631" s="140" t="n">
        <v>2023</v>
      </c>
      <c r="D631" s="141" t="n">
        <v>45163</v>
      </c>
      <c r="E631" s="66" t="s">
        <v>4034</v>
      </c>
      <c r="F631" s="142" t="s">
        <v>3946</v>
      </c>
      <c r="G631" s="66" t="s">
        <v>125</v>
      </c>
      <c r="H631" s="142" t="s">
        <v>1042</v>
      </c>
      <c r="I631" s="141" t="n">
        <v>45870</v>
      </c>
      <c r="J631" s="66" t="n">
        <v>8</v>
      </c>
      <c r="K631" s="169" t="s">
        <v>290</v>
      </c>
      <c r="L631" s="144" t="s">
        <v>61</v>
      </c>
      <c r="M631" s="145" t="n">
        <v>707</v>
      </c>
    </row>
    <row r="632" customFormat="false" ht="12.75" hidden="false" customHeight="true" outlineLevel="0" collapsed="false">
      <c r="A632" s="148" t="n">
        <v>30825</v>
      </c>
      <c r="B632" s="149" t="s">
        <v>4035</v>
      </c>
      <c r="C632" s="149" t="n">
        <v>2024</v>
      </c>
      <c r="D632" s="150" t="n">
        <v>45309</v>
      </c>
      <c r="E632" s="68" t="s">
        <v>4036</v>
      </c>
      <c r="F632" s="151" t="s">
        <v>636</v>
      </c>
      <c r="G632" s="68" t="s">
        <v>130</v>
      </c>
      <c r="H632" s="151" t="s">
        <v>1105</v>
      </c>
      <c r="I632" s="150" t="n">
        <v>45873</v>
      </c>
      <c r="J632" s="68" t="n">
        <v>8</v>
      </c>
      <c r="K632" s="188" t="s">
        <v>49</v>
      </c>
      <c r="L632" s="189" t="s">
        <v>61</v>
      </c>
      <c r="M632" s="152" t="n">
        <v>564</v>
      </c>
    </row>
    <row r="633" customFormat="false" ht="12.75" hidden="false" customHeight="true" outlineLevel="0" collapsed="false">
      <c r="A633" s="139" t="n">
        <v>30925</v>
      </c>
      <c r="B633" s="140" t="s">
        <v>4037</v>
      </c>
      <c r="C633" s="140" t="n">
        <v>2020</v>
      </c>
      <c r="D633" s="141" t="n">
        <v>44109</v>
      </c>
      <c r="E633" s="66" t="s">
        <v>4038</v>
      </c>
      <c r="F633" s="142" t="s">
        <v>446</v>
      </c>
      <c r="G633" s="66" t="s">
        <v>441</v>
      </c>
      <c r="H633" s="142" t="s">
        <v>1434</v>
      </c>
      <c r="I633" s="141" t="n">
        <v>45873</v>
      </c>
      <c r="J633" s="66" t="n">
        <v>8</v>
      </c>
      <c r="K633" s="188" t="s">
        <v>49</v>
      </c>
      <c r="L633" s="142" t="s">
        <v>60</v>
      </c>
      <c r="M633" s="145" t="n">
        <v>1764</v>
      </c>
    </row>
    <row r="634" customFormat="false" ht="12.75" hidden="false" customHeight="true" outlineLevel="0" collapsed="false">
      <c r="A634" s="148" t="n">
        <v>31025</v>
      </c>
      <c r="B634" s="149" t="s">
        <v>4039</v>
      </c>
      <c r="C634" s="149" t="n">
        <v>2024</v>
      </c>
      <c r="D634" s="150" t="n">
        <v>45582</v>
      </c>
      <c r="E634" s="68" t="s">
        <v>4040</v>
      </c>
      <c r="F634" s="151" t="s">
        <v>636</v>
      </c>
      <c r="G634" s="68" t="s">
        <v>130</v>
      </c>
      <c r="H634" s="151" t="s">
        <v>263</v>
      </c>
      <c r="I634" s="150" t="n">
        <v>45873</v>
      </c>
      <c r="J634" s="68" t="n">
        <v>8</v>
      </c>
      <c r="K634" s="188" t="s">
        <v>49</v>
      </c>
      <c r="L634" s="189" t="s">
        <v>61</v>
      </c>
      <c r="M634" s="152" t="n">
        <v>291</v>
      </c>
    </row>
    <row r="635" customFormat="false" ht="12.75" hidden="false" customHeight="true" outlineLevel="0" collapsed="false">
      <c r="A635" s="139" t="n">
        <v>31125</v>
      </c>
      <c r="B635" s="140" t="s">
        <v>4041</v>
      </c>
      <c r="C635" s="140" t="n">
        <v>2019</v>
      </c>
      <c r="D635" s="141" t="n">
        <v>43692</v>
      </c>
      <c r="E635" s="66" t="s">
        <v>4042</v>
      </c>
      <c r="F635" s="142" t="s">
        <v>191</v>
      </c>
      <c r="G635" s="66" t="s">
        <v>441</v>
      </c>
      <c r="H635" s="142" t="s">
        <v>254</v>
      </c>
      <c r="I635" s="141" t="n">
        <v>45873</v>
      </c>
      <c r="J635" s="66" t="n">
        <v>8</v>
      </c>
      <c r="K635" s="169" t="s">
        <v>290</v>
      </c>
      <c r="L635" s="142" t="s">
        <v>58</v>
      </c>
      <c r="M635" s="145" t="n">
        <v>2181</v>
      </c>
    </row>
    <row r="636" customFormat="false" ht="12.75" hidden="false" customHeight="true" outlineLevel="0" collapsed="false">
      <c r="A636" s="148" t="n">
        <v>31225</v>
      </c>
      <c r="B636" s="149" t="s">
        <v>4043</v>
      </c>
      <c r="C636" s="149" t="n">
        <v>2020</v>
      </c>
      <c r="D636" s="150" t="n">
        <v>44109</v>
      </c>
      <c r="E636" s="68" t="s">
        <v>4044</v>
      </c>
      <c r="F636" s="151" t="s">
        <v>446</v>
      </c>
      <c r="G636" s="68" t="s">
        <v>441</v>
      </c>
      <c r="H636" s="151" t="s">
        <v>4045</v>
      </c>
      <c r="I636" s="150" t="n">
        <v>45873</v>
      </c>
      <c r="J636" s="68" t="n">
        <v>8</v>
      </c>
      <c r="K636" s="188" t="s">
        <v>49</v>
      </c>
      <c r="L636" s="151" t="s">
        <v>60</v>
      </c>
      <c r="M636" s="152" t="n">
        <v>1764</v>
      </c>
    </row>
    <row r="637" customFormat="false" ht="12.75" hidden="false" customHeight="true" outlineLevel="0" collapsed="false">
      <c r="A637" s="139" t="n">
        <v>31325</v>
      </c>
      <c r="B637" s="140" t="s">
        <v>4046</v>
      </c>
      <c r="C637" s="140" t="n">
        <v>2024</v>
      </c>
      <c r="D637" s="141" t="n">
        <v>45643</v>
      </c>
      <c r="E637" s="66" t="s">
        <v>4047</v>
      </c>
      <c r="F637" s="142" t="s">
        <v>609</v>
      </c>
      <c r="G637" s="66" t="s">
        <v>125</v>
      </c>
      <c r="H637" s="142" t="s">
        <v>3686</v>
      </c>
      <c r="I637" s="141" t="n">
        <v>45873</v>
      </c>
      <c r="J637" s="66" t="n">
        <v>8</v>
      </c>
      <c r="K637" s="188" t="s">
        <v>49</v>
      </c>
      <c r="L637" s="144" t="s">
        <v>61</v>
      </c>
      <c r="M637" s="145" t="n">
        <v>230</v>
      </c>
    </row>
    <row r="638" customFormat="false" ht="12.75" hidden="false" customHeight="true" outlineLevel="0" collapsed="false">
      <c r="A638" s="148" t="n">
        <v>31425</v>
      </c>
      <c r="B638" s="149" t="s">
        <v>4048</v>
      </c>
      <c r="C638" s="149" t="n">
        <v>2021</v>
      </c>
      <c r="D638" s="150" t="n">
        <v>44440</v>
      </c>
      <c r="E638" s="68" t="s">
        <v>4049</v>
      </c>
      <c r="F638" s="151" t="s">
        <v>372</v>
      </c>
      <c r="G638" s="68" t="s">
        <v>144</v>
      </c>
      <c r="H638" s="151" t="s">
        <v>373</v>
      </c>
      <c r="I638" s="150" t="n">
        <v>45889</v>
      </c>
      <c r="J638" s="68" t="n">
        <v>8</v>
      </c>
      <c r="K638" s="169" t="s">
        <v>290</v>
      </c>
      <c r="L638" s="151" t="s">
        <v>58</v>
      </c>
      <c r="M638" s="152" t="n">
        <v>1449</v>
      </c>
    </row>
    <row r="639" customFormat="false" ht="12.75" hidden="false" customHeight="true" outlineLevel="0" collapsed="false">
      <c r="A639" s="139" t="n">
        <v>31525</v>
      </c>
      <c r="B639" s="140" t="s">
        <v>4050</v>
      </c>
      <c r="C639" s="140" t="n">
        <v>2020</v>
      </c>
      <c r="D639" s="141" t="n">
        <v>44008</v>
      </c>
      <c r="E639" s="66" t="s">
        <v>4051</v>
      </c>
      <c r="F639" s="142" t="s">
        <v>2439</v>
      </c>
      <c r="G639" s="66" t="s">
        <v>115</v>
      </c>
      <c r="H639" s="142" t="s">
        <v>119</v>
      </c>
      <c r="I639" s="141" t="n">
        <v>45890</v>
      </c>
      <c r="J639" s="66" t="n">
        <v>8</v>
      </c>
      <c r="K639" s="163" t="s">
        <v>46</v>
      </c>
      <c r="L639" s="142" t="s">
        <v>58</v>
      </c>
      <c r="M639" s="145" t="n">
        <v>1882</v>
      </c>
    </row>
    <row r="640" customFormat="false" ht="12.75" hidden="false" customHeight="true" outlineLevel="0" collapsed="false">
      <c r="A640" s="148" t="n">
        <v>31625</v>
      </c>
      <c r="B640" s="149" t="s">
        <v>4052</v>
      </c>
      <c r="C640" s="149" t="n">
        <v>2020</v>
      </c>
      <c r="D640" s="150" t="n">
        <v>44013</v>
      </c>
      <c r="E640" s="68" t="s">
        <v>4053</v>
      </c>
      <c r="F640" s="151" t="s">
        <v>4054</v>
      </c>
      <c r="G640" s="68" t="s">
        <v>115</v>
      </c>
      <c r="H640" s="151" t="s">
        <v>119</v>
      </c>
      <c r="I640" s="150" t="n">
        <v>45890</v>
      </c>
      <c r="J640" s="68" t="n">
        <v>8</v>
      </c>
      <c r="K640" s="143" t="s">
        <v>48</v>
      </c>
      <c r="L640" s="151" t="s">
        <v>58</v>
      </c>
      <c r="M640" s="152" t="n">
        <v>1877</v>
      </c>
    </row>
    <row r="641" customFormat="false" ht="12.75" hidden="false" customHeight="true" outlineLevel="0" collapsed="false">
      <c r="A641" s="139" t="n">
        <v>31725</v>
      </c>
      <c r="B641" s="140" t="s">
        <v>4055</v>
      </c>
      <c r="C641" s="140" t="n">
        <v>2019</v>
      </c>
      <c r="D641" s="141" t="n">
        <v>43500</v>
      </c>
      <c r="E641" s="66" t="s">
        <v>4056</v>
      </c>
      <c r="F641" s="142" t="s">
        <v>3190</v>
      </c>
      <c r="G641" s="66" t="s">
        <v>441</v>
      </c>
      <c r="H641" s="142" t="s">
        <v>706</v>
      </c>
      <c r="I641" s="141" t="n">
        <v>45890</v>
      </c>
      <c r="J641" s="66" t="n">
        <v>8</v>
      </c>
      <c r="K641" s="188" t="s">
        <v>49</v>
      </c>
      <c r="L641" s="142" t="s">
        <v>60</v>
      </c>
      <c r="M641" s="145" t="n">
        <v>2390</v>
      </c>
    </row>
    <row r="642" customFormat="false" ht="12.75" hidden="false" customHeight="true" outlineLevel="0" collapsed="false">
      <c r="A642" s="148" t="n">
        <v>31825</v>
      </c>
      <c r="B642" s="149" t="s">
        <v>4057</v>
      </c>
      <c r="C642" s="149" t="n">
        <v>2020</v>
      </c>
      <c r="D642" s="150" t="n">
        <v>44162</v>
      </c>
      <c r="E642" s="68" t="s">
        <v>4058</v>
      </c>
      <c r="F642" s="151" t="s">
        <v>3190</v>
      </c>
      <c r="G642" s="68" t="s">
        <v>441</v>
      </c>
      <c r="H642" s="151" t="s">
        <v>706</v>
      </c>
      <c r="I642" s="150" t="n">
        <v>45890</v>
      </c>
      <c r="J642" s="68" t="n">
        <v>8</v>
      </c>
      <c r="K642" s="188" t="s">
        <v>49</v>
      </c>
      <c r="L642" s="151" t="s">
        <v>60</v>
      </c>
      <c r="M642" s="152" t="n">
        <v>1728</v>
      </c>
    </row>
    <row r="643" customFormat="false" ht="12.75" hidden="false" customHeight="true" outlineLevel="0" collapsed="false">
      <c r="A643" s="139" t="n">
        <v>31925</v>
      </c>
      <c r="B643" s="140" t="s">
        <v>4059</v>
      </c>
      <c r="C643" s="140" t="n">
        <v>2021</v>
      </c>
      <c r="D643" s="141" t="n">
        <v>44376</v>
      </c>
      <c r="E643" s="66" t="s">
        <v>4060</v>
      </c>
      <c r="F643" s="142" t="s">
        <v>2420</v>
      </c>
      <c r="G643" s="66" t="s">
        <v>115</v>
      </c>
      <c r="H643" s="142" t="s">
        <v>3407</v>
      </c>
      <c r="I643" s="141" t="n">
        <v>45890</v>
      </c>
      <c r="J643" s="66" t="n">
        <v>8</v>
      </c>
      <c r="K643" s="188" t="s">
        <v>49</v>
      </c>
      <c r="L643" s="144" t="s">
        <v>61</v>
      </c>
      <c r="M643" s="145" t="n">
        <v>1514</v>
      </c>
    </row>
    <row r="644" customFormat="false" ht="12.75" hidden="false" customHeight="true" outlineLevel="0" collapsed="false">
      <c r="A644" s="148" t="n">
        <v>32025</v>
      </c>
      <c r="B644" s="149" t="s">
        <v>4061</v>
      </c>
      <c r="C644" s="149" t="n">
        <v>2020</v>
      </c>
      <c r="D644" s="150" t="n">
        <v>43985</v>
      </c>
      <c r="E644" s="68" t="s">
        <v>4062</v>
      </c>
      <c r="F644" s="151" t="s">
        <v>1014</v>
      </c>
      <c r="G644" s="68" t="s">
        <v>441</v>
      </c>
      <c r="H644" s="151" t="s">
        <v>1231</v>
      </c>
      <c r="I644" s="150" t="n">
        <v>45890</v>
      </c>
      <c r="J644" s="68" t="n">
        <v>8</v>
      </c>
      <c r="K644" s="188" t="s">
        <v>49</v>
      </c>
      <c r="L644" s="151" t="s">
        <v>60</v>
      </c>
      <c r="M644" s="152" t="n">
        <v>1905</v>
      </c>
    </row>
    <row r="645" customFormat="false" ht="12.75" hidden="false" customHeight="true" outlineLevel="0" collapsed="false">
      <c r="A645" s="139" t="n">
        <v>32125</v>
      </c>
      <c r="B645" s="140" t="s">
        <v>4063</v>
      </c>
      <c r="C645" s="140" t="n">
        <v>2021</v>
      </c>
      <c r="D645" s="141" t="n">
        <v>44552</v>
      </c>
      <c r="E645" s="66" t="s">
        <v>4064</v>
      </c>
      <c r="F645" s="142" t="s">
        <v>2420</v>
      </c>
      <c r="G645" s="66" t="s">
        <v>115</v>
      </c>
      <c r="H645" s="142" t="s">
        <v>3407</v>
      </c>
      <c r="I645" s="141" t="n">
        <v>45890</v>
      </c>
      <c r="J645" s="66" t="n">
        <v>8</v>
      </c>
      <c r="K645" s="188" t="s">
        <v>49</v>
      </c>
      <c r="L645" s="144" t="s">
        <v>61</v>
      </c>
      <c r="M645" s="145" t="n">
        <v>1338</v>
      </c>
    </row>
    <row r="646" customFormat="false" ht="12.75" hidden="false" customHeight="true" outlineLevel="0" collapsed="false">
      <c r="A646" s="148" t="n">
        <v>32225</v>
      </c>
      <c r="B646" s="149" t="s">
        <v>4065</v>
      </c>
      <c r="C646" s="149" t="n">
        <v>2020</v>
      </c>
      <c r="D646" s="150" t="n">
        <v>44092</v>
      </c>
      <c r="E646" s="68" t="s">
        <v>4066</v>
      </c>
      <c r="F646" s="151" t="s">
        <v>712</v>
      </c>
      <c r="G646" s="68" t="s">
        <v>441</v>
      </c>
      <c r="H646" s="151" t="s">
        <v>250</v>
      </c>
      <c r="I646" s="150" t="n">
        <v>45890</v>
      </c>
      <c r="J646" s="68" t="n">
        <v>8</v>
      </c>
      <c r="K646" s="143" t="s">
        <v>48</v>
      </c>
      <c r="L646" s="151" t="s">
        <v>60</v>
      </c>
      <c r="M646" s="152" t="n">
        <v>1798</v>
      </c>
    </row>
    <row r="647" customFormat="false" ht="12.75" hidden="false" customHeight="true" outlineLevel="0" collapsed="false">
      <c r="A647" s="139" t="n">
        <v>32325</v>
      </c>
      <c r="B647" s="140" t="s">
        <v>4067</v>
      </c>
      <c r="C647" s="140" t="n">
        <v>2016</v>
      </c>
      <c r="D647" s="141" t="n">
        <v>42601</v>
      </c>
      <c r="E647" s="66" t="s">
        <v>4068</v>
      </c>
      <c r="F647" s="142" t="s">
        <v>4069</v>
      </c>
      <c r="G647" s="66" t="s">
        <v>115</v>
      </c>
      <c r="H647" s="142" t="s">
        <v>3268</v>
      </c>
      <c r="I647" s="141" t="n">
        <v>45890</v>
      </c>
      <c r="J647" s="66" t="n">
        <v>8</v>
      </c>
      <c r="K647" s="188" t="s">
        <v>49</v>
      </c>
      <c r="L647" s="142" t="s">
        <v>58</v>
      </c>
      <c r="M647" s="145" t="n">
        <v>3289</v>
      </c>
    </row>
    <row r="648" customFormat="false" ht="12.75" hidden="false" customHeight="true" outlineLevel="0" collapsed="false">
      <c r="A648" s="148" t="n">
        <v>32425</v>
      </c>
      <c r="B648" s="149" t="s">
        <v>4070</v>
      </c>
      <c r="C648" s="149" t="n">
        <v>2019</v>
      </c>
      <c r="D648" s="150" t="n">
        <v>43553</v>
      </c>
      <c r="E648" s="68" t="s">
        <v>4071</v>
      </c>
      <c r="F648" s="151" t="s">
        <v>569</v>
      </c>
      <c r="G648" s="68" t="s">
        <v>441</v>
      </c>
      <c r="H648" s="151" t="s">
        <v>522</v>
      </c>
      <c r="I648" s="150" t="n">
        <v>45890</v>
      </c>
      <c r="J648" s="68" t="n">
        <v>8</v>
      </c>
      <c r="K648" s="188" t="s">
        <v>49</v>
      </c>
      <c r="L648" s="151" t="s">
        <v>58</v>
      </c>
      <c r="M648" s="152" t="n">
        <v>2337</v>
      </c>
    </row>
    <row r="649" customFormat="false" ht="12.75" hidden="false" customHeight="true" outlineLevel="0" collapsed="false">
      <c r="A649" s="139" t="n">
        <v>32525</v>
      </c>
      <c r="B649" s="140" t="s">
        <v>4072</v>
      </c>
      <c r="C649" s="140" t="n">
        <v>2020</v>
      </c>
      <c r="D649" s="141" t="n">
        <v>44161</v>
      </c>
      <c r="E649" s="66" t="s">
        <v>4073</v>
      </c>
      <c r="F649" s="142" t="s">
        <v>303</v>
      </c>
      <c r="G649" s="66" t="s">
        <v>115</v>
      </c>
      <c r="H649" s="142" t="s">
        <v>119</v>
      </c>
      <c r="I649" s="141" t="n">
        <v>45891</v>
      </c>
      <c r="J649" s="66" t="n">
        <v>8</v>
      </c>
      <c r="K649" s="169" t="s">
        <v>290</v>
      </c>
      <c r="L649" s="142" t="s">
        <v>60</v>
      </c>
      <c r="M649" s="145" t="n">
        <v>1730</v>
      </c>
    </row>
    <row r="650" customFormat="false" ht="12.75" hidden="false" customHeight="true" outlineLevel="0" collapsed="false">
      <c r="A650" s="148" t="n">
        <v>32625</v>
      </c>
      <c r="B650" s="149" t="s">
        <v>4074</v>
      </c>
      <c r="C650" s="149" t="n">
        <v>2020</v>
      </c>
      <c r="D650" s="150" t="n">
        <v>44161</v>
      </c>
      <c r="E650" s="68" t="s">
        <v>4075</v>
      </c>
      <c r="F650" s="151" t="s">
        <v>4076</v>
      </c>
      <c r="G650" s="68" t="s">
        <v>115</v>
      </c>
      <c r="H650" s="151" t="s">
        <v>119</v>
      </c>
      <c r="I650" s="150" t="n">
        <v>45891</v>
      </c>
      <c r="J650" s="68" t="n">
        <v>8</v>
      </c>
      <c r="K650" s="169" t="s">
        <v>290</v>
      </c>
      <c r="L650" s="151" t="s">
        <v>60</v>
      </c>
      <c r="M650" s="152" t="n">
        <v>1730</v>
      </c>
    </row>
    <row r="651" customFormat="false" ht="12.75" hidden="false" customHeight="true" outlineLevel="0" collapsed="false">
      <c r="A651" s="139" t="n">
        <v>32725</v>
      </c>
      <c r="B651" s="140" t="s">
        <v>4077</v>
      </c>
      <c r="C651" s="140" t="n">
        <v>2022</v>
      </c>
      <c r="D651" s="141" t="n">
        <v>44607</v>
      </c>
      <c r="E651" s="66" t="s">
        <v>4078</v>
      </c>
      <c r="F651" s="142" t="s">
        <v>720</v>
      </c>
      <c r="G651" s="66" t="s">
        <v>144</v>
      </c>
      <c r="H651" s="142" t="s">
        <v>119</v>
      </c>
      <c r="I651" s="141" t="n">
        <v>45891</v>
      </c>
      <c r="J651" s="66" t="n">
        <v>8</v>
      </c>
      <c r="K651" s="143" t="s">
        <v>48</v>
      </c>
      <c r="L651" s="142" t="s">
        <v>58</v>
      </c>
      <c r="M651" s="145" t="n">
        <v>1284</v>
      </c>
    </row>
    <row r="652" customFormat="false" ht="12.75" hidden="false" customHeight="true" outlineLevel="0" collapsed="false">
      <c r="A652" s="148" t="n">
        <v>32825</v>
      </c>
      <c r="B652" s="149" t="s">
        <v>4079</v>
      </c>
      <c r="C652" s="149" t="n">
        <v>2024</v>
      </c>
      <c r="D652" s="150" t="n">
        <v>45446</v>
      </c>
      <c r="E652" s="68" t="s">
        <v>4080</v>
      </c>
      <c r="F652" s="151" t="s">
        <v>4081</v>
      </c>
      <c r="G652" s="68" t="s">
        <v>125</v>
      </c>
      <c r="H652" s="151" t="s">
        <v>204</v>
      </c>
      <c r="I652" s="150" t="n">
        <v>45891</v>
      </c>
      <c r="J652" s="68" t="n">
        <v>8</v>
      </c>
      <c r="K652" s="169" t="s">
        <v>290</v>
      </c>
      <c r="L652" s="151" t="s">
        <v>61</v>
      </c>
      <c r="M652" s="152" t="n">
        <v>445</v>
      </c>
    </row>
    <row r="653" customFormat="false" ht="12.75" hidden="false" customHeight="true" outlineLevel="0" collapsed="false">
      <c r="A653" s="139" t="n">
        <v>32925</v>
      </c>
      <c r="B653" s="140" t="s">
        <v>4082</v>
      </c>
      <c r="C653" s="140" t="n">
        <v>2024</v>
      </c>
      <c r="D653" s="141" t="n">
        <v>45338</v>
      </c>
      <c r="E653" s="66" t="s">
        <v>4083</v>
      </c>
      <c r="F653" s="142" t="s">
        <v>4084</v>
      </c>
      <c r="G653" s="66" t="s">
        <v>130</v>
      </c>
      <c r="H653" s="142" t="s">
        <v>3234</v>
      </c>
      <c r="I653" s="141" t="n">
        <v>45891</v>
      </c>
      <c r="J653" s="66" t="n">
        <v>8</v>
      </c>
      <c r="K653" s="188" t="s">
        <v>49</v>
      </c>
      <c r="L653" s="144" t="s">
        <v>61</v>
      </c>
      <c r="M653" s="145" t="n">
        <v>553</v>
      </c>
    </row>
    <row r="654" customFormat="false" ht="14.15" hidden="false" customHeight="false" outlineLevel="0" collapsed="false">
      <c r="A654" s="148" t="n">
        <v>33025</v>
      </c>
      <c r="B654" s="149" t="s">
        <v>4085</v>
      </c>
      <c r="C654" s="149" t="n">
        <v>2024</v>
      </c>
      <c r="D654" s="150" t="n">
        <v>45505</v>
      </c>
      <c r="E654" s="68" t="s">
        <v>4086</v>
      </c>
      <c r="F654" s="151" t="s">
        <v>4087</v>
      </c>
      <c r="G654" s="68" t="s">
        <v>130</v>
      </c>
      <c r="H654" s="151" t="s">
        <v>643</v>
      </c>
      <c r="I654" s="150" t="n">
        <v>45891</v>
      </c>
      <c r="J654" s="68" t="n">
        <v>8</v>
      </c>
      <c r="K654" s="169" t="s">
        <v>290</v>
      </c>
      <c r="L654" s="151" t="s">
        <v>61</v>
      </c>
      <c r="M654" s="152" t="n">
        <v>386</v>
      </c>
    </row>
    <row r="655" customFormat="false" ht="14.15" hidden="false" customHeight="false" outlineLevel="0" collapsed="false">
      <c r="A655" s="139" t="n">
        <v>33125</v>
      </c>
      <c r="B655" s="140" t="s">
        <v>4088</v>
      </c>
      <c r="C655" s="140" t="n">
        <v>2020</v>
      </c>
      <c r="D655" s="141" t="n">
        <v>43950</v>
      </c>
      <c r="E655" s="66" t="s">
        <v>4089</v>
      </c>
      <c r="F655" s="142" t="s">
        <v>4090</v>
      </c>
      <c r="G655" s="66" t="s">
        <v>144</v>
      </c>
      <c r="H655" s="142" t="s">
        <v>285</v>
      </c>
      <c r="I655" s="141" t="n">
        <v>45891</v>
      </c>
      <c r="J655" s="66" t="n">
        <v>8</v>
      </c>
      <c r="K655" s="188" t="s">
        <v>49</v>
      </c>
      <c r="L655" s="142" t="s">
        <v>58</v>
      </c>
      <c r="M655" s="145" t="n">
        <v>1941</v>
      </c>
    </row>
    <row r="656" customFormat="false" ht="26.85" hidden="false" customHeight="false" outlineLevel="0" collapsed="false">
      <c r="A656" s="148" t="n">
        <v>33225</v>
      </c>
      <c r="B656" s="149" t="s">
        <v>4091</v>
      </c>
      <c r="C656" s="149" t="n">
        <v>2024</v>
      </c>
      <c r="D656" s="150" t="n">
        <v>45639</v>
      </c>
      <c r="E656" s="68" t="s">
        <v>4092</v>
      </c>
      <c r="F656" s="151" t="s">
        <v>856</v>
      </c>
      <c r="G656" s="68" t="s">
        <v>130</v>
      </c>
      <c r="H656" s="151" t="s">
        <v>4093</v>
      </c>
      <c r="I656" s="150" t="n">
        <v>45894</v>
      </c>
      <c r="J656" s="68" t="n">
        <v>8</v>
      </c>
      <c r="K656" s="188" t="s">
        <v>49</v>
      </c>
      <c r="L656" s="151" t="s">
        <v>61</v>
      </c>
      <c r="M656" s="152" t="n">
        <v>255</v>
      </c>
    </row>
    <row r="657" customFormat="false" ht="26.85" hidden="false" customHeight="false" outlineLevel="0" collapsed="false">
      <c r="A657" s="139" t="n">
        <v>33325</v>
      </c>
      <c r="B657" s="140" t="s">
        <v>4094</v>
      </c>
      <c r="C657" s="140" t="n">
        <v>2024</v>
      </c>
      <c r="D657" s="141" t="n">
        <v>45588</v>
      </c>
      <c r="E657" s="66" t="s">
        <v>4095</v>
      </c>
      <c r="F657" s="142" t="s">
        <v>856</v>
      </c>
      <c r="G657" s="66" t="s">
        <v>130</v>
      </c>
      <c r="H657" s="142" t="s">
        <v>204</v>
      </c>
      <c r="I657" s="141" t="n">
        <v>45894</v>
      </c>
      <c r="J657" s="66" t="n">
        <v>8</v>
      </c>
      <c r="K657" s="188" t="s">
        <v>49</v>
      </c>
      <c r="L657" s="144" t="s">
        <v>61</v>
      </c>
      <c r="M657" s="145" t="n">
        <v>306</v>
      </c>
    </row>
    <row r="658" customFormat="false" ht="14.15" hidden="false" customHeight="false" outlineLevel="0" collapsed="false">
      <c r="A658" s="148" t="n">
        <v>33425</v>
      </c>
      <c r="B658" s="149" t="s">
        <v>4096</v>
      </c>
      <c r="C658" s="149" t="n">
        <v>2024</v>
      </c>
      <c r="D658" s="150" t="n">
        <v>45588</v>
      </c>
      <c r="E658" s="68" t="s">
        <v>4097</v>
      </c>
      <c r="F658" s="151" t="s">
        <v>376</v>
      </c>
      <c r="G658" s="68" t="s">
        <v>130</v>
      </c>
      <c r="H658" s="151" t="s">
        <v>200</v>
      </c>
      <c r="I658" s="150" t="n">
        <v>45894</v>
      </c>
      <c r="J658" s="68" t="n">
        <v>8</v>
      </c>
      <c r="K658" s="188" t="s">
        <v>49</v>
      </c>
      <c r="L658" s="151" t="s">
        <v>61</v>
      </c>
      <c r="M658" s="152" t="n">
        <v>306</v>
      </c>
    </row>
    <row r="659" customFormat="false" ht="14.15" hidden="false" customHeight="false" outlineLevel="0" collapsed="false">
      <c r="A659" s="139" t="n">
        <v>33525</v>
      </c>
      <c r="B659" s="140" t="s">
        <v>4098</v>
      </c>
      <c r="C659" s="140" t="n">
        <v>2021</v>
      </c>
      <c r="D659" s="141" t="n">
        <v>44488</v>
      </c>
      <c r="E659" s="66" t="s">
        <v>4099</v>
      </c>
      <c r="F659" s="142" t="s">
        <v>4100</v>
      </c>
      <c r="G659" s="66" t="s">
        <v>441</v>
      </c>
      <c r="H659" s="142" t="s">
        <v>1538</v>
      </c>
      <c r="I659" s="141" t="n">
        <v>45894</v>
      </c>
      <c r="J659" s="66" t="n">
        <v>8</v>
      </c>
      <c r="K659" s="143" t="s">
        <v>48</v>
      </c>
      <c r="L659" s="142" t="s">
        <v>60</v>
      </c>
      <c r="M659" s="145" t="n">
        <v>1406</v>
      </c>
    </row>
    <row r="660" customFormat="false" ht="14.15" hidden="false" customHeight="false" outlineLevel="0" collapsed="false">
      <c r="A660" s="148" t="n">
        <v>33625</v>
      </c>
      <c r="B660" s="194" t="s">
        <v>4101</v>
      </c>
      <c r="C660" s="149" t="n">
        <v>2017</v>
      </c>
      <c r="D660" s="150" t="n">
        <v>43095</v>
      </c>
      <c r="E660" s="68" t="s">
        <v>4102</v>
      </c>
      <c r="F660" s="151" t="s">
        <v>4103</v>
      </c>
      <c r="G660" s="68" t="s">
        <v>441</v>
      </c>
      <c r="H660" s="151" t="s">
        <v>267</v>
      </c>
      <c r="I660" s="150" t="n">
        <v>45894</v>
      </c>
      <c r="J660" s="68" t="n">
        <v>8</v>
      </c>
      <c r="K660" s="188" t="s">
        <v>49</v>
      </c>
      <c r="L660" s="151" t="s">
        <v>58</v>
      </c>
      <c r="M660" s="152" t="n">
        <v>2799</v>
      </c>
    </row>
    <row r="661" customFormat="false" ht="14.15" hidden="false" customHeight="false" outlineLevel="0" collapsed="false">
      <c r="A661" s="139" t="n">
        <v>33725</v>
      </c>
      <c r="B661" s="140" t="s">
        <v>4104</v>
      </c>
      <c r="C661" s="140" t="n">
        <v>2021</v>
      </c>
      <c r="D661" s="141" t="n">
        <v>44284</v>
      </c>
      <c r="E661" s="66" t="s">
        <v>4105</v>
      </c>
      <c r="F661" s="142" t="s">
        <v>2420</v>
      </c>
      <c r="G661" s="66" t="s">
        <v>115</v>
      </c>
      <c r="H661" s="142" t="s">
        <v>4106</v>
      </c>
      <c r="I661" s="141" t="n">
        <v>45894</v>
      </c>
      <c r="J661" s="66" t="n">
        <v>8</v>
      </c>
      <c r="K661" s="188" t="s">
        <v>49</v>
      </c>
      <c r="L661" s="144" t="s">
        <v>61</v>
      </c>
      <c r="M661" s="145" t="n">
        <v>1610</v>
      </c>
    </row>
    <row r="662" customFormat="false" ht="14.15" hidden="false" customHeight="false" outlineLevel="0" collapsed="false">
      <c r="A662" s="148" t="n">
        <v>33825</v>
      </c>
      <c r="B662" s="149" t="s">
        <v>4107</v>
      </c>
      <c r="C662" s="149" t="n">
        <v>2021</v>
      </c>
      <c r="D662" s="150" t="n">
        <v>44284</v>
      </c>
      <c r="E662" s="68" t="s">
        <v>4108</v>
      </c>
      <c r="F662" s="151" t="s">
        <v>2420</v>
      </c>
      <c r="G662" s="68" t="s">
        <v>115</v>
      </c>
      <c r="H662" s="151" t="s">
        <v>4109</v>
      </c>
      <c r="I662" s="150" t="n">
        <v>45894</v>
      </c>
      <c r="J662" s="68" t="n">
        <v>8</v>
      </c>
      <c r="K662" s="188" t="s">
        <v>49</v>
      </c>
      <c r="L662" s="151" t="s">
        <v>61</v>
      </c>
      <c r="M662" s="152" t="n">
        <v>1610</v>
      </c>
    </row>
    <row r="663" customFormat="false" ht="14.15" hidden="false" customHeight="false" outlineLevel="0" collapsed="false">
      <c r="A663" s="139" t="n">
        <v>33925</v>
      </c>
      <c r="B663" s="140" t="s">
        <v>4110</v>
      </c>
      <c r="C663" s="140" t="n">
        <v>2021</v>
      </c>
      <c r="D663" s="141" t="n">
        <v>44516</v>
      </c>
      <c r="E663" s="66" t="s">
        <v>4111</v>
      </c>
      <c r="F663" s="142" t="s">
        <v>2420</v>
      </c>
      <c r="G663" s="66" t="s">
        <v>115</v>
      </c>
      <c r="H663" s="142" t="s">
        <v>3407</v>
      </c>
      <c r="I663" s="141" t="n">
        <v>45894</v>
      </c>
      <c r="J663" s="66" t="n">
        <v>8</v>
      </c>
      <c r="K663" s="188" t="s">
        <v>49</v>
      </c>
      <c r="L663" s="144" t="s">
        <v>61</v>
      </c>
      <c r="M663" s="145" t="n">
        <v>1378</v>
      </c>
    </row>
    <row r="664" customFormat="false" ht="14.15" hidden="false" customHeight="false" outlineLevel="0" collapsed="false">
      <c r="A664" s="148" t="n">
        <v>34025</v>
      </c>
      <c r="B664" s="149" t="s">
        <v>4112</v>
      </c>
      <c r="C664" s="149" t="n">
        <v>2021</v>
      </c>
      <c r="D664" s="150" t="n">
        <v>44516</v>
      </c>
      <c r="E664" s="68" t="s">
        <v>4113</v>
      </c>
      <c r="F664" s="151" t="s">
        <v>2420</v>
      </c>
      <c r="G664" s="68" t="s">
        <v>115</v>
      </c>
      <c r="H664" s="151" t="s">
        <v>3407</v>
      </c>
      <c r="I664" s="150" t="n">
        <v>45894</v>
      </c>
      <c r="J664" s="68" t="n">
        <v>8</v>
      </c>
      <c r="K664" s="188" t="s">
        <v>49</v>
      </c>
      <c r="L664" s="151" t="s">
        <v>61</v>
      </c>
      <c r="M664" s="152" t="n">
        <v>1378</v>
      </c>
    </row>
    <row r="665" customFormat="false" ht="14.15" hidden="false" customHeight="false" outlineLevel="0" collapsed="false">
      <c r="A665" s="139" t="n">
        <v>34125</v>
      </c>
      <c r="B665" s="140" t="s">
        <v>4114</v>
      </c>
      <c r="C665" s="140" t="n">
        <v>2021</v>
      </c>
      <c r="D665" s="141" t="n">
        <v>44484</v>
      </c>
      <c r="E665" s="66" t="s">
        <v>4115</v>
      </c>
      <c r="F665" s="142" t="s">
        <v>128</v>
      </c>
      <c r="G665" s="66" t="s">
        <v>144</v>
      </c>
      <c r="H665" s="142" t="s">
        <v>3407</v>
      </c>
      <c r="I665" s="141" t="n">
        <v>45894</v>
      </c>
      <c r="J665" s="66" t="n">
        <v>8</v>
      </c>
      <c r="K665" s="188" t="s">
        <v>49</v>
      </c>
      <c r="L665" s="142" t="s">
        <v>60</v>
      </c>
      <c r="M665" s="145" t="n">
        <v>1410</v>
      </c>
    </row>
    <row r="666" customFormat="false" ht="14.15" hidden="false" customHeight="false" outlineLevel="0" collapsed="false">
      <c r="A666" s="148" t="n">
        <v>34225</v>
      </c>
      <c r="B666" s="149" t="s">
        <v>4116</v>
      </c>
      <c r="C666" s="149" t="n">
        <v>2020</v>
      </c>
      <c r="D666" s="150" t="n">
        <v>44103</v>
      </c>
      <c r="E666" s="68" t="s">
        <v>4117</v>
      </c>
      <c r="F666" s="151" t="s">
        <v>4118</v>
      </c>
      <c r="G666" s="68" t="s">
        <v>441</v>
      </c>
      <c r="H666" s="151" t="s">
        <v>1059</v>
      </c>
      <c r="I666" s="150" t="n">
        <v>45895</v>
      </c>
      <c r="J666" s="68" t="n">
        <v>8</v>
      </c>
      <c r="K666" s="163" t="s">
        <v>46</v>
      </c>
      <c r="L666" s="151" t="s">
        <v>58</v>
      </c>
      <c r="M666" s="152" t="n">
        <v>1792</v>
      </c>
    </row>
    <row r="667" customFormat="false" ht="14.15" hidden="false" customHeight="false" outlineLevel="0" collapsed="false">
      <c r="A667" s="139" t="n">
        <v>34325</v>
      </c>
      <c r="B667" s="140" t="s">
        <v>4119</v>
      </c>
      <c r="C667" s="140" t="n">
        <v>2024</v>
      </c>
      <c r="D667" s="141" t="n">
        <v>45588</v>
      </c>
      <c r="E667" s="66" t="s">
        <v>4120</v>
      </c>
      <c r="F667" s="142" t="s">
        <v>876</v>
      </c>
      <c r="G667" s="66" t="s">
        <v>130</v>
      </c>
      <c r="H667" s="142" t="s">
        <v>851</v>
      </c>
      <c r="I667" s="141" t="n">
        <v>45895</v>
      </c>
      <c r="J667" s="66" t="n">
        <v>8</v>
      </c>
      <c r="K667" s="188" t="s">
        <v>49</v>
      </c>
      <c r="L667" s="144" t="s">
        <v>61</v>
      </c>
      <c r="M667" s="145" t="n">
        <v>307</v>
      </c>
    </row>
    <row r="668" customFormat="false" ht="14.15" hidden="false" customHeight="false" outlineLevel="0" collapsed="false">
      <c r="A668" s="148" t="n">
        <v>34425</v>
      </c>
      <c r="B668" s="149" t="s">
        <v>4121</v>
      </c>
      <c r="C668" s="149" t="n">
        <v>2024</v>
      </c>
      <c r="D668" s="150" t="n">
        <v>45379</v>
      </c>
      <c r="E668" s="68" t="s">
        <v>4122</v>
      </c>
      <c r="F668" s="151" t="s">
        <v>4123</v>
      </c>
      <c r="G668" s="68" t="s">
        <v>125</v>
      </c>
      <c r="H668" s="151" t="s">
        <v>3422</v>
      </c>
      <c r="I668" s="150" t="n">
        <v>45895</v>
      </c>
      <c r="J668" s="68" t="n">
        <v>8</v>
      </c>
      <c r="K668" s="188" t="s">
        <v>49</v>
      </c>
      <c r="L668" s="151" t="s">
        <v>61</v>
      </c>
      <c r="M668" s="152" t="n">
        <v>516</v>
      </c>
    </row>
    <row r="669" customFormat="false" ht="14.15" hidden="false" customHeight="false" outlineLevel="0" collapsed="false">
      <c r="A669" s="139" t="n">
        <v>34525</v>
      </c>
      <c r="B669" s="140" t="s">
        <v>4124</v>
      </c>
      <c r="C669" s="140" t="n">
        <v>2022</v>
      </c>
      <c r="D669" s="141" t="n">
        <v>44789</v>
      </c>
      <c r="E669" s="66" t="s">
        <v>4125</v>
      </c>
      <c r="F669" s="142" t="s">
        <v>467</v>
      </c>
      <c r="G669" s="66" t="s">
        <v>441</v>
      </c>
      <c r="H669" s="142" t="s">
        <v>513</v>
      </c>
      <c r="I669" s="141" t="n">
        <v>45895</v>
      </c>
      <c r="J669" s="66" t="n">
        <v>8</v>
      </c>
      <c r="K669" s="188" t="s">
        <v>49</v>
      </c>
      <c r="L669" s="142" t="s">
        <v>60</v>
      </c>
      <c r="M669" s="145" t="n">
        <v>1106</v>
      </c>
    </row>
    <row r="670" customFormat="false" ht="14.15" hidden="false" customHeight="false" outlineLevel="0" collapsed="false">
      <c r="A670" s="148" t="n">
        <v>34625</v>
      </c>
      <c r="B670" s="149" t="s">
        <v>4126</v>
      </c>
      <c r="C670" s="149" t="n">
        <v>2021</v>
      </c>
      <c r="D670" s="150" t="n">
        <v>44286</v>
      </c>
      <c r="E670" s="68" t="s">
        <v>4127</v>
      </c>
      <c r="F670" s="151" t="s">
        <v>123</v>
      </c>
      <c r="G670" s="68" t="s">
        <v>441</v>
      </c>
      <c r="H670" s="151" t="s">
        <v>250</v>
      </c>
      <c r="I670" s="150" t="n">
        <v>45895</v>
      </c>
      <c r="J670" s="68" t="n">
        <v>8</v>
      </c>
      <c r="K670" s="188" t="s">
        <v>49</v>
      </c>
      <c r="L670" s="151" t="s">
        <v>58</v>
      </c>
      <c r="M670" s="152" t="n">
        <v>1609</v>
      </c>
    </row>
    <row r="671" customFormat="false" ht="14.15" hidden="false" customHeight="false" outlineLevel="0" collapsed="false">
      <c r="A671" s="139" t="n">
        <v>34725</v>
      </c>
      <c r="B671" s="140" t="s">
        <v>4128</v>
      </c>
      <c r="C671" s="140" t="n">
        <v>2021</v>
      </c>
      <c r="D671" s="141" t="n">
        <v>44498</v>
      </c>
      <c r="E671" s="66" t="s">
        <v>4129</v>
      </c>
      <c r="F671" s="142" t="s">
        <v>555</v>
      </c>
      <c r="G671" s="66" t="s">
        <v>441</v>
      </c>
      <c r="H671" s="142" t="s">
        <v>471</v>
      </c>
      <c r="I671" s="141" t="n">
        <v>45895</v>
      </c>
      <c r="J671" s="66" t="n">
        <v>8</v>
      </c>
      <c r="K671" s="188" t="s">
        <v>49</v>
      </c>
      <c r="L671" s="142" t="s">
        <v>58</v>
      </c>
      <c r="M671" s="145" t="n">
        <v>1397</v>
      </c>
    </row>
    <row r="672" customFormat="false" ht="14.15" hidden="false" customHeight="false" outlineLevel="0" collapsed="false">
      <c r="A672" s="148" t="n">
        <v>34825</v>
      </c>
      <c r="B672" s="149" t="s">
        <v>4130</v>
      </c>
      <c r="C672" s="149" t="n">
        <v>2021</v>
      </c>
      <c r="D672" s="150" t="n">
        <v>44491</v>
      </c>
      <c r="E672" s="68" t="s">
        <v>4131</v>
      </c>
      <c r="F672" s="151" t="s">
        <v>632</v>
      </c>
      <c r="G672" s="68" t="s">
        <v>441</v>
      </c>
      <c r="H672" s="151" t="s">
        <v>4132</v>
      </c>
      <c r="I672" s="150" t="n">
        <v>45895</v>
      </c>
      <c r="J672" s="68" t="n">
        <v>8</v>
      </c>
      <c r="K672" s="188" t="s">
        <v>49</v>
      </c>
      <c r="L672" s="151" t="s">
        <v>58</v>
      </c>
      <c r="M672" s="152" t="n">
        <v>1404</v>
      </c>
    </row>
    <row r="673" customFormat="false" ht="26.85" hidden="false" customHeight="false" outlineLevel="0" collapsed="false">
      <c r="A673" s="139" t="n">
        <v>34925</v>
      </c>
      <c r="B673" s="140" t="s">
        <v>4133</v>
      </c>
      <c r="C673" s="140" t="n">
        <v>2024</v>
      </c>
      <c r="D673" s="141" t="n">
        <v>45614</v>
      </c>
      <c r="E673" s="66" t="s">
        <v>4134</v>
      </c>
      <c r="F673" s="142" t="s">
        <v>4135</v>
      </c>
      <c r="G673" s="66" t="s">
        <v>125</v>
      </c>
      <c r="H673" s="142" t="s">
        <v>4136</v>
      </c>
      <c r="I673" s="141" t="n">
        <v>45895</v>
      </c>
      <c r="J673" s="66" t="n">
        <v>8</v>
      </c>
      <c r="K673" s="188" t="s">
        <v>49</v>
      </c>
      <c r="L673" s="144" t="s">
        <v>61</v>
      </c>
      <c r="M673" s="145" t="n">
        <v>281</v>
      </c>
    </row>
    <row r="674" customFormat="false" ht="14.15" hidden="false" customHeight="false" outlineLevel="0" collapsed="false">
      <c r="A674" s="148" t="n">
        <v>35025</v>
      </c>
      <c r="B674" s="149" t="s">
        <v>4137</v>
      </c>
      <c r="C674" s="149" t="n">
        <v>2018</v>
      </c>
      <c r="D674" s="150" t="n">
        <v>43447</v>
      </c>
      <c r="E674" s="68" t="s">
        <v>4138</v>
      </c>
      <c r="F674" s="151" t="s">
        <v>1783</v>
      </c>
      <c r="G674" s="68" t="s">
        <v>441</v>
      </c>
      <c r="H674" s="151" t="s">
        <v>4139</v>
      </c>
      <c r="I674" s="150" t="n">
        <v>45895</v>
      </c>
      <c r="J674" s="68" t="n">
        <v>8</v>
      </c>
      <c r="K674" s="143" t="s">
        <v>48</v>
      </c>
      <c r="L674" s="151" t="s">
        <v>60</v>
      </c>
      <c r="M674" s="152" t="n">
        <v>2448</v>
      </c>
    </row>
    <row r="675" customFormat="false" ht="14.15" hidden="false" customHeight="false" outlineLevel="0" collapsed="false">
      <c r="A675" s="139" t="n">
        <v>35125</v>
      </c>
      <c r="B675" s="140" t="s">
        <v>4140</v>
      </c>
      <c r="C675" s="140" t="n">
        <v>2023</v>
      </c>
      <c r="D675" s="141" t="n">
        <v>44953</v>
      </c>
      <c r="E675" s="66" t="s">
        <v>4141</v>
      </c>
      <c r="F675" s="142" t="s">
        <v>4142</v>
      </c>
      <c r="G675" s="66" t="s">
        <v>441</v>
      </c>
      <c r="H675" s="142" t="s">
        <v>409</v>
      </c>
      <c r="I675" s="141" t="n">
        <v>45895</v>
      </c>
      <c r="J675" s="66" t="n">
        <v>8</v>
      </c>
      <c r="K675" s="143" t="s">
        <v>48</v>
      </c>
      <c r="L675" s="142" t="s">
        <v>60</v>
      </c>
      <c r="M675" s="145" t="n">
        <v>942</v>
      </c>
    </row>
    <row r="676" customFormat="false" ht="26.85" hidden="false" customHeight="false" outlineLevel="0" collapsed="false">
      <c r="A676" s="148" t="n">
        <v>35225</v>
      </c>
      <c r="B676" s="149" t="s">
        <v>4143</v>
      </c>
      <c r="C676" s="149" t="n">
        <v>2023</v>
      </c>
      <c r="D676" s="150" t="n">
        <v>45281</v>
      </c>
      <c r="E676" s="68" t="s">
        <v>4144</v>
      </c>
      <c r="F676" s="151" t="s">
        <v>4145</v>
      </c>
      <c r="G676" s="68" t="s">
        <v>125</v>
      </c>
      <c r="H676" s="151" t="s">
        <v>4146</v>
      </c>
      <c r="I676" s="150" t="n">
        <v>45905</v>
      </c>
      <c r="J676" s="68" t="n">
        <v>9</v>
      </c>
      <c r="K676" s="188" t="s">
        <v>49</v>
      </c>
      <c r="L676" s="151" t="s">
        <v>61</v>
      </c>
      <c r="M676" s="152" t="n">
        <v>624</v>
      </c>
    </row>
    <row r="677" customFormat="false" ht="14.15" hidden="false" customHeight="false" outlineLevel="0" collapsed="false">
      <c r="A677" s="139" t="n">
        <v>35325</v>
      </c>
      <c r="B677" s="140" t="s">
        <v>4147</v>
      </c>
      <c r="C677" s="140" t="n">
        <v>2021</v>
      </c>
      <c r="D677" s="141" t="n">
        <v>44510</v>
      </c>
      <c r="E677" s="66" t="s">
        <v>4148</v>
      </c>
      <c r="F677" s="142" t="s">
        <v>741</v>
      </c>
      <c r="G677" s="66" t="s">
        <v>115</v>
      </c>
      <c r="H677" s="142" t="s">
        <v>119</v>
      </c>
      <c r="I677" s="141" t="n">
        <v>45905</v>
      </c>
      <c r="J677" s="66" t="n">
        <v>9</v>
      </c>
      <c r="K677" s="188" t="s">
        <v>49</v>
      </c>
      <c r="L677" s="142" t="s">
        <v>58</v>
      </c>
      <c r="M677" s="145" t="n">
        <v>1395</v>
      </c>
    </row>
    <row r="678" customFormat="false" ht="39.55" hidden="false" customHeight="false" outlineLevel="0" collapsed="false">
      <c r="A678" s="148" t="n">
        <v>35425</v>
      </c>
      <c r="B678" s="149" t="s">
        <v>4149</v>
      </c>
      <c r="C678" s="149" t="n">
        <v>2024</v>
      </c>
      <c r="D678" s="150" t="n">
        <v>45644</v>
      </c>
      <c r="E678" s="68" t="s">
        <v>4150</v>
      </c>
      <c r="F678" s="151" t="s">
        <v>4151</v>
      </c>
      <c r="G678" s="68" t="s">
        <v>125</v>
      </c>
      <c r="H678" s="151" t="s">
        <v>4152</v>
      </c>
      <c r="I678" s="150" t="n">
        <v>45905</v>
      </c>
      <c r="J678" s="68" t="n">
        <v>9</v>
      </c>
      <c r="K678" s="188" t="s">
        <v>49</v>
      </c>
      <c r="L678" s="151" t="s">
        <v>61</v>
      </c>
      <c r="M678" s="152" t="n">
        <v>261</v>
      </c>
    </row>
    <row r="679" customFormat="false" ht="14.15" hidden="false" customHeight="false" outlineLevel="0" collapsed="false">
      <c r="A679" s="139" t="n">
        <v>35525</v>
      </c>
      <c r="B679" s="140" t="s">
        <v>4153</v>
      </c>
      <c r="C679" s="140" t="n">
        <v>2020</v>
      </c>
      <c r="D679" s="141" t="n">
        <v>44196</v>
      </c>
      <c r="E679" s="66" t="s">
        <v>4154</v>
      </c>
      <c r="F679" s="142" t="s">
        <v>467</v>
      </c>
      <c r="G679" s="66" t="s">
        <v>441</v>
      </c>
      <c r="H679" s="142" t="s">
        <v>522</v>
      </c>
      <c r="I679" s="141" t="n">
        <v>45905</v>
      </c>
      <c r="J679" s="66" t="n">
        <v>9</v>
      </c>
      <c r="K679" s="188" t="s">
        <v>49</v>
      </c>
      <c r="L679" s="144" t="s">
        <v>61</v>
      </c>
      <c r="M679" s="145" t="n">
        <v>1709</v>
      </c>
    </row>
    <row r="680" customFormat="false" ht="14.15" hidden="false" customHeight="false" outlineLevel="0" collapsed="false">
      <c r="A680" s="148" t="n">
        <v>35625</v>
      </c>
      <c r="B680" s="149" t="s">
        <v>4155</v>
      </c>
      <c r="C680" s="149" t="n">
        <v>2024</v>
      </c>
      <c r="D680" s="150" t="n">
        <v>45601</v>
      </c>
      <c r="E680" s="68" t="s">
        <v>4156</v>
      </c>
      <c r="F680" s="151" t="s">
        <v>4157</v>
      </c>
      <c r="G680" s="68" t="s">
        <v>125</v>
      </c>
      <c r="H680" s="151" t="s">
        <v>263</v>
      </c>
      <c r="I680" s="150" t="n">
        <v>45905</v>
      </c>
      <c r="J680" s="68" t="n">
        <v>9</v>
      </c>
      <c r="K680" s="188" t="s">
        <v>49</v>
      </c>
      <c r="L680" s="151" t="s">
        <v>61</v>
      </c>
      <c r="M680" s="152" t="n">
        <v>304</v>
      </c>
    </row>
    <row r="681" customFormat="false" ht="14.15" hidden="false" customHeight="false" outlineLevel="0" collapsed="false">
      <c r="A681" s="139" t="n">
        <v>35725</v>
      </c>
      <c r="B681" s="140" t="s">
        <v>4158</v>
      </c>
      <c r="C681" s="140" t="n">
        <v>2024</v>
      </c>
      <c r="D681" s="141" t="n">
        <v>45391</v>
      </c>
      <c r="E681" s="66" t="s">
        <v>4159</v>
      </c>
      <c r="F681" s="142" t="s">
        <v>4160</v>
      </c>
      <c r="G681" s="66" t="s">
        <v>125</v>
      </c>
      <c r="H681" s="142" t="s">
        <v>3586</v>
      </c>
      <c r="I681" s="141" t="n">
        <v>45919</v>
      </c>
      <c r="J681" s="66" t="n">
        <v>9</v>
      </c>
      <c r="K681" s="169" t="s">
        <v>290</v>
      </c>
      <c r="L681" s="144" t="s">
        <v>61</v>
      </c>
      <c r="M681" s="145" t="n">
        <v>528</v>
      </c>
    </row>
    <row r="682" customFormat="false" ht="26.85" hidden="false" customHeight="false" outlineLevel="0" collapsed="false">
      <c r="A682" s="148" t="n">
        <v>35825</v>
      </c>
      <c r="B682" s="149" t="s">
        <v>4161</v>
      </c>
      <c r="C682" s="149" t="n">
        <v>2024</v>
      </c>
      <c r="D682" s="150" t="n">
        <v>45412</v>
      </c>
      <c r="E682" s="68" t="s">
        <v>4162</v>
      </c>
      <c r="F682" s="151" t="s">
        <v>4163</v>
      </c>
      <c r="G682" s="68" t="s">
        <v>125</v>
      </c>
      <c r="H682" s="151" t="s">
        <v>3636</v>
      </c>
      <c r="I682" s="150" t="n">
        <v>45919</v>
      </c>
      <c r="J682" s="68" t="n">
        <v>9</v>
      </c>
      <c r="K682" s="169" t="s">
        <v>290</v>
      </c>
      <c r="L682" s="151" t="s">
        <v>61</v>
      </c>
      <c r="M682" s="152" t="n">
        <v>507</v>
      </c>
    </row>
    <row r="683" customFormat="false" ht="14.15" hidden="false" customHeight="false" outlineLevel="0" collapsed="false">
      <c r="A683" s="139" t="n">
        <v>35925</v>
      </c>
      <c r="B683" s="140" t="s">
        <v>4164</v>
      </c>
      <c r="C683" s="140" t="n">
        <v>2019</v>
      </c>
      <c r="D683" s="141" t="n">
        <v>43668</v>
      </c>
      <c r="E683" s="66" t="s">
        <v>4165</v>
      </c>
      <c r="F683" s="142" t="s">
        <v>985</v>
      </c>
      <c r="G683" s="66" t="s">
        <v>441</v>
      </c>
      <c r="H683" s="142" t="s">
        <v>254</v>
      </c>
      <c r="I683" s="141" t="n">
        <v>45919</v>
      </c>
      <c r="J683" s="66" t="n">
        <v>9</v>
      </c>
      <c r="K683" s="169" t="s">
        <v>290</v>
      </c>
      <c r="L683" s="142" t="s">
        <v>58</v>
      </c>
      <c r="M683" s="145" t="n">
        <v>2251</v>
      </c>
    </row>
    <row r="684" customFormat="false" ht="14.15" hidden="false" customHeight="false" outlineLevel="0" collapsed="false">
      <c r="A684" s="148" t="n">
        <v>36025</v>
      </c>
      <c r="B684" s="149" t="s">
        <v>4166</v>
      </c>
      <c r="C684" s="149" t="n">
        <v>2020</v>
      </c>
      <c r="D684" s="150" t="n">
        <v>44112</v>
      </c>
      <c r="E684" s="68" t="s">
        <v>4167</v>
      </c>
      <c r="F684" s="151" t="s">
        <v>2948</v>
      </c>
      <c r="G684" s="68" t="s">
        <v>441</v>
      </c>
      <c r="H684" s="151" t="s">
        <v>1231</v>
      </c>
      <c r="I684" s="150" t="n">
        <v>45919</v>
      </c>
      <c r="J684" s="68" t="n">
        <v>9</v>
      </c>
      <c r="K684" s="188" t="s">
        <v>49</v>
      </c>
      <c r="L684" s="151" t="s">
        <v>58</v>
      </c>
      <c r="M684" s="152" t="n">
        <v>1807</v>
      </c>
    </row>
    <row r="685" customFormat="false" ht="14.15" hidden="false" customHeight="false" outlineLevel="0" collapsed="false">
      <c r="A685" s="139" t="n">
        <v>36125</v>
      </c>
      <c r="B685" s="140" t="s">
        <v>4168</v>
      </c>
      <c r="C685" s="140" t="n">
        <v>2020</v>
      </c>
      <c r="D685" s="141" t="n">
        <v>44179</v>
      </c>
      <c r="E685" s="66" t="s">
        <v>4169</v>
      </c>
      <c r="F685" s="142" t="s">
        <v>4170</v>
      </c>
      <c r="G685" s="66" t="s">
        <v>441</v>
      </c>
      <c r="H685" s="142" t="s">
        <v>139</v>
      </c>
      <c r="I685" s="141" t="n">
        <v>45919</v>
      </c>
      <c r="J685" s="66" t="n">
        <v>9</v>
      </c>
      <c r="K685" s="169" t="s">
        <v>290</v>
      </c>
      <c r="L685" s="142" t="s">
        <v>60</v>
      </c>
      <c r="M685" s="145" t="n">
        <v>1740</v>
      </c>
    </row>
    <row r="686" customFormat="false" ht="14.15" hidden="false" customHeight="false" outlineLevel="0" collapsed="false">
      <c r="A686" s="148" t="n">
        <v>36225</v>
      </c>
      <c r="B686" s="149" t="s">
        <v>4171</v>
      </c>
      <c r="C686" s="149" t="n">
        <v>2024</v>
      </c>
      <c r="D686" s="150" t="n">
        <v>45582</v>
      </c>
      <c r="E686" s="68" t="s">
        <v>4172</v>
      </c>
      <c r="F686" s="151" t="s">
        <v>4084</v>
      </c>
      <c r="G686" s="68" t="s">
        <v>130</v>
      </c>
      <c r="H686" s="151" t="s">
        <v>263</v>
      </c>
      <c r="I686" s="150" t="n">
        <v>45919</v>
      </c>
      <c r="J686" s="68" t="n">
        <v>9</v>
      </c>
      <c r="K686" s="188" t="s">
        <v>49</v>
      </c>
      <c r="L686" s="151" t="s">
        <v>61</v>
      </c>
      <c r="M686" s="152" t="n">
        <v>337</v>
      </c>
    </row>
    <row r="687" customFormat="false" ht="26.85" hidden="false" customHeight="false" outlineLevel="0" collapsed="false">
      <c r="A687" s="139" t="n">
        <v>36325</v>
      </c>
      <c r="B687" s="140" t="s">
        <v>4173</v>
      </c>
      <c r="C687" s="140" t="n">
        <v>2023</v>
      </c>
      <c r="D687" s="141" t="n">
        <v>45261</v>
      </c>
      <c r="E687" s="66" t="s">
        <v>4174</v>
      </c>
      <c r="F687" s="142" t="s">
        <v>4175</v>
      </c>
      <c r="G687" s="66" t="s">
        <v>125</v>
      </c>
      <c r="H687" s="142" t="s">
        <v>4176</v>
      </c>
      <c r="I687" s="141" t="n">
        <v>45922</v>
      </c>
      <c r="J687" s="66" t="n">
        <v>9</v>
      </c>
      <c r="K687" s="169" t="s">
        <v>290</v>
      </c>
      <c r="L687" s="144" t="s">
        <v>61</v>
      </c>
      <c r="M687" s="145" t="n">
        <v>661</v>
      </c>
    </row>
    <row r="688" customFormat="false" ht="14.15" hidden="false" customHeight="false" outlineLevel="0" collapsed="false">
      <c r="A688" s="148" t="n">
        <v>36425</v>
      </c>
      <c r="B688" s="149" t="s">
        <v>4177</v>
      </c>
      <c r="C688" s="149" t="n">
        <v>2023</v>
      </c>
      <c r="D688" s="150" t="n">
        <v>45275</v>
      </c>
      <c r="E688" s="68" t="s">
        <v>4178</v>
      </c>
      <c r="F688" s="151" t="s">
        <v>3575</v>
      </c>
      <c r="G688" s="68" t="s">
        <v>125</v>
      </c>
      <c r="H688" s="151" t="s">
        <v>1567</v>
      </c>
      <c r="I688" s="150" t="n">
        <v>45922</v>
      </c>
      <c r="J688" s="68" t="n">
        <v>9</v>
      </c>
      <c r="K688" s="188" t="s">
        <v>49</v>
      </c>
      <c r="L688" s="151" t="s">
        <v>61</v>
      </c>
      <c r="M688" s="152" t="n">
        <v>647</v>
      </c>
    </row>
    <row r="689" customFormat="false" ht="14.15" hidden="false" customHeight="false" outlineLevel="0" collapsed="false">
      <c r="A689" s="139" t="n">
        <v>36525</v>
      </c>
      <c r="B689" s="140" t="s">
        <v>4179</v>
      </c>
      <c r="C689" s="140" t="n">
        <v>2021</v>
      </c>
      <c r="D689" s="141" t="n">
        <v>44461</v>
      </c>
      <c r="E689" s="66" t="s">
        <v>4180</v>
      </c>
      <c r="F689" s="142" t="s">
        <v>908</v>
      </c>
      <c r="G689" s="66" t="s">
        <v>441</v>
      </c>
      <c r="H689" s="142" t="s">
        <v>139</v>
      </c>
      <c r="I689" s="141" t="n">
        <v>45922</v>
      </c>
      <c r="J689" s="66" t="n">
        <v>9</v>
      </c>
      <c r="K689" s="188" t="s">
        <v>49</v>
      </c>
      <c r="L689" s="142" t="s">
        <v>58</v>
      </c>
      <c r="M689" s="145" t="n">
        <v>1461</v>
      </c>
    </row>
    <row r="690" customFormat="false" ht="14.15" hidden="false" customHeight="false" outlineLevel="0" collapsed="false">
      <c r="A690" s="148" t="n">
        <v>36625</v>
      </c>
      <c r="B690" s="149" t="s">
        <v>4181</v>
      </c>
      <c r="C690" s="149" t="n">
        <v>2021</v>
      </c>
      <c r="D690" s="150" t="n">
        <v>44524</v>
      </c>
      <c r="E690" s="68" t="s">
        <v>4182</v>
      </c>
      <c r="F690" s="151" t="s">
        <v>525</v>
      </c>
      <c r="G690" s="68" t="s">
        <v>441</v>
      </c>
      <c r="H690" s="151" t="s">
        <v>409</v>
      </c>
      <c r="I690" s="150" t="n">
        <v>45922</v>
      </c>
      <c r="J690" s="68" t="n">
        <v>9</v>
      </c>
      <c r="K690" s="143" t="s">
        <v>48</v>
      </c>
      <c r="L690" s="151" t="s">
        <v>2848</v>
      </c>
      <c r="M690" s="152" t="n">
        <v>1398</v>
      </c>
    </row>
    <row r="691" customFormat="false" ht="14.15" hidden="false" customHeight="false" outlineLevel="0" collapsed="false">
      <c r="A691" s="139" t="n">
        <v>36725</v>
      </c>
      <c r="B691" s="140" t="s">
        <v>4183</v>
      </c>
      <c r="C691" s="140" t="n">
        <v>2020</v>
      </c>
      <c r="D691" s="141" t="n">
        <v>44175</v>
      </c>
      <c r="E691" s="66" t="s">
        <v>4184</v>
      </c>
      <c r="F691" s="142" t="s">
        <v>303</v>
      </c>
      <c r="G691" s="66" t="s">
        <v>115</v>
      </c>
      <c r="H691" s="142" t="s">
        <v>119</v>
      </c>
      <c r="I691" s="141" t="n">
        <v>45923</v>
      </c>
      <c r="J691" s="66" t="n">
        <v>9</v>
      </c>
      <c r="K691" s="188" t="s">
        <v>49</v>
      </c>
      <c r="L691" s="142" t="s">
        <v>60</v>
      </c>
      <c r="M691" s="145" t="n">
        <v>1748</v>
      </c>
    </row>
    <row r="692" customFormat="false" ht="14.15" hidden="false" customHeight="false" outlineLevel="0" collapsed="false">
      <c r="A692" s="148" t="n">
        <v>36825</v>
      </c>
      <c r="B692" s="149" t="s">
        <v>4185</v>
      </c>
      <c r="C692" s="149" t="n">
        <v>2017</v>
      </c>
      <c r="D692" s="150" t="n">
        <v>43007</v>
      </c>
      <c r="E692" s="68" t="s">
        <v>4186</v>
      </c>
      <c r="F692" s="151" t="s">
        <v>1262</v>
      </c>
      <c r="G692" s="68" t="s">
        <v>441</v>
      </c>
      <c r="H692" s="151" t="s">
        <v>250</v>
      </c>
      <c r="I692" s="150" t="n">
        <v>45924</v>
      </c>
      <c r="J692" s="68" t="n">
        <v>9</v>
      </c>
      <c r="K692" s="188" t="s">
        <v>49</v>
      </c>
      <c r="L692" s="151" t="s">
        <v>60</v>
      </c>
      <c r="M692" s="152" t="n">
        <v>2917</v>
      </c>
    </row>
    <row r="693" customFormat="false" ht="14.15" hidden="false" customHeight="false" outlineLevel="0" collapsed="false">
      <c r="A693" s="139" t="n">
        <v>36925</v>
      </c>
      <c r="B693" s="140" t="s">
        <v>4187</v>
      </c>
      <c r="C693" s="140" t="n">
        <v>2024</v>
      </c>
      <c r="D693" s="141" t="n">
        <v>45429</v>
      </c>
      <c r="E693" s="66" t="s">
        <v>4188</v>
      </c>
      <c r="F693" s="142" t="s">
        <v>4189</v>
      </c>
      <c r="G693" s="66" t="s">
        <v>130</v>
      </c>
      <c r="H693" s="142" t="s">
        <v>4190</v>
      </c>
      <c r="I693" s="141" t="n">
        <v>45924</v>
      </c>
      <c r="J693" s="66" t="n">
        <v>9</v>
      </c>
      <c r="K693" s="188" t="s">
        <v>49</v>
      </c>
      <c r="L693" s="144" t="s">
        <v>61</v>
      </c>
      <c r="M693" s="145" t="n">
        <v>495</v>
      </c>
    </row>
    <row r="694" customFormat="false" ht="14.15" hidden="false" customHeight="false" outlineLevel="0" collapsed="false">
      <c r="A694" s="148" t="n">
        <v>37025</v>
      </c>
      <c r="B694" s="149" t="s">
        <v>4191</v>
      </c>
      <c r="C694" s="149" t="n">
        <v>2024</v>
      </c>
      <c r="D694" s="150" t="n">
        <v>45555</v>
      </c>
      <c r="E694" s="68" t="s">
        <v>4192</v>
      </c>
      <c r="F694" s="151" t="s">
        <v>288</v>
      </c>
      <c r="G694" s="68" t="s">
        <v>130</v>
      </c>
      <c r="H694" s="151" t="s">
        <v>4193</v>
      </c>
      <c r="I694" s="150" t="n">
        <v>45924</v>
      </c>
      <c r="J694" s="68" t="n">
        <v>9</v>
      </c>
      <c r="K694" s="169" t="s">
        <v>290</v>
      </c>
      <c r="L694" s="151" t="s">
        <v>61</v>
      </c>
      <c r="M694" s="152" t="n">
        <v>369</v>
      </c>
    </row>
    <row r="695" customFormat="false" ht="26.85" hidden="false" customHeight="false" outlineLevel="0" collapsed="false">
      <c r="A695" s="139" t="n">
        <v>37125</v>
      </c>
      <c r="B695" s="140" t="s">
        <v>4194</v>
      </c>
      <c r="C695" s="140" t="n">
        <v>2024</v>
      </c>
      <c r="D695" s="141" t="n">
        <v>45484</v>
      </c>
      <c r="E695" s="66" t="s">
        <v>4195</v>
      </c>
      <c r="F695" s="142" t="s">
        <v>4196</v>
      </c>
      <c r="G695" s="66" t="s">
        <v>125</v>
      </c>
      <c r="H695" s="142" t="s">
        <v>254</v>
      </c>
      <c r="I695" s="141" t="n">
        <v>45924</v>
      </c>
      <c r="J695" s="66" t="n">
        <v>9</v>
      </c>
      <c r="K695" s="188" t="s">
        <v>49</v>
      </c>
      <c r="L695" s="144" t="s">
        <v>61</v>
      </c>
      <c r="M695" s="145" t="n">
        <v>440</v>
      </c>
    </row>
    <row r="696" customFormat="false" ht="14.15" hidden="false" customHeight="false" outlineLevel="0" collapsed="false">
      <c r="A696" s="148" t="n">
        <v>37225</v>
      </c>
      <c r="B696" s="149" t="s">
        <v>4197</v>
      </c>
      <c r="C696" s="149" t="n">
        <v>2024</v>
      </c>
      <c r="D696" s="150" t="n">
        <v>45440</v>
      </c>
      <c r="E696" s="68" t="s">
        <v>4198</v>
      </c>
      <c r="F696" s="151" t="s">
        <v>4199</v>
      </c>
      <c r="G696" s="68" t="s">
        <v>125</v>
      </c>
      <c r="H696" s="151" t="s">
        <v>873</v>
      </c>
      <c r="I696" s="150" t="n">
        <v>45924</v>
      </c>
      <c r="J696" s="68" t="n">
        <v>9</v>
      </c>
      <c r="K696" s="188" t="s">
        <v>49</v>
      </c>
      <c r="L696" s="151" t="s">
        <v>61</v>
      </c>
      <c r="M696" s="152" t="n">
        <v>484</v>
      </c>
    </row>
    <row r="697" customFormat="false" ht="14.15" hidden="false" customHeight="false" outlineLevel="0" collapsed="false">
      <c r="A697" s="139" t="n">
        <v>37325</v>
      </c>
      <c r="B697" s="140" t="s">
        <v>4200</v>
      </c>
      <c r="C697" s="140" t="n">
        <v>2023</v>
      </c>
      <c r="D697" s="141" t="n">
        <v>45254</v>
      </c>
      <c r="E697" s="66" t="s">
        <v>4201</v>
      </c>
      <c r="F697" s="142" t="s">
        <v>4202</v>
      </c>
      <c r="G697" s="66" t="s">
        <v>130</v>
      </c>
      <c r="H697" s="142" t="s">
        <v>4029</v>
      </c>
      <c r="I697" s="141" t="n">
        <v>45924</v>
      </c>
      <c r="J697" s="66" t="n">
        <v>9</v>
      </c>
      <c r="K697" s="188" t="s">
        <v>49</v>
      </c>
      <c r="L697" s="144" t="s">
        <v>61</v>
      </c>
      <c r="M697" s="145" t="n">
        <v>670</v>
      </c>
    </row>
    <row r="698" customFormat="false" ht="14.15" hidden="false" customHeight="false" outlineLevel="0" collapsed="false">
      <c r="A698" s="148" t="n">
        <v>37425</v>
      </c>
      <c r="B698" s="149" t="s">
        <v>4203</v>
      </c>
      <c r="C698" s="149" t="n">
        <v>2020</v>
      </c>
      <c r="D698" s="150" t="n">
        <v>44106</v>
      </c>
      <c r="E698" s="68" t="s">
        <v>4204</v>
      </c>
      <c r="F698" s="151" t="s">
        <v>2948</v>
      </c>
      <c r="G698" s="68" t="s">
        <v>441</v>
      </c>
      <c r="H698" s="151" t="s">
        <v>4205</v>
      </c>
      <c r="I698" s="150" t="n">
        <v>45924</v>
      </c>
      <c r="J698" s="68" t="n">
        <v>9</v>
      </c>
      <c r="K698" s="188" t="s">
        <v>49</v>
      </c>
      <c r="L698" s="151" t="s">
        <v>60</v>
      </c>
      <c r="M698" s="152" t="n">
        <v>1818</v>
      </c>
    </row>
    <row r="699" customFormat="false" ht="26.85" hidden="false" customHeight="false" outlineLevel="0" collapsed="false">
      <c r="A699" s="139" t="n">
        <v>37525</v>
      </c>
      <c r="B699" s="140" t="s">
        <v>4206</v>
      </c>
      <c r="C699" s="140" t="n">
        <v>2024</v>
      </c>
      <c r="D699" s="141" t="n">
        <v>45489</v>
      </c>
      <c r="E699" s="66" t="s">
        <v>4207</v>
      </c>
      <c r="F699" s="142" t="s">
        <v>4208</v>
      </c>
      <c r="G699" s="66" t="s">
        <v>125</v>
      </c>
      <c r="H699" s="142" t="s">
        <v>3636</v>
      </c>
      <c r="I699" s="141" t="n">
        <v>45925</v>
      </c>
      <c r="J699" s="66" t="n">
        <v>9</v>
      </c>
      <c r="K699" s="169" t="s">
        <v>290</v>
      </c>
      <c r="L699" s="144" t="s">
        <v>61</v>
      </c>
      <c r="M699" s="145" t="n">
        <v>436</v>
      </c>
    </row>
    <row r="700" customFormat="false" ht="14.15" hidden="false" customHeight="false" outlineLevel="0" collapsed="false">
      <c r="A700" s="148" t="n">
        <v>37625</v>
      </c>
      <c r="B700" s="149" t="s">
        <v>4209</v>
      </c>
      <c r="C700" s="149" t="n">
        <v>2024</v>
      </c>
      <c r="D700" s="150" t="n">
        <v>45554</v>
      </c>
      <c r="E700" s="68" t="s">
        <v>4210</v>
      </c>
      <c r="F700" s="151" t="s">
        <v>636</v>
      </c>
      <c r="G700" s="68" t="s">
        <v>130</v>
      </c>
      <c r="H700" s="151" t="s">
        <v>4211</v>
      </c>
      <c r="I700" s="150" t="n">
        <v>45925</v>
      </c>
      <c r="J700" s="68" t="n">
        <v>9</v>
      </c>
      <c r="K700" s="188" t="s">
        <v>49</v>
      </c>
      <c r="L700" s="151" t="s">
        <v>61</v>
      </c>
      <c r="M700" s="152" t="n">
        <v>371</v>
      </c>
    </row>
    <row r="701" customFormat="false" ht="14.15" hidden="false" customHeight="false" outlineLevel="0" collapsed="false">
      <c r="A701" s="139" t="n">
        <v>37725</v>
      </c>
      <c r="B701" s="140" t="s">
        <v>4212</v>
      </c>
      <c r="C701" s="140" t="n">
        <v>2019</v>
      </c>
      <c r="D701" s="141" t="n">
        <v>43641</v>
      </c>
      <c r="E701" s="66" t="s">
        <v>4213</v>
      </c>
      <c r="F701" s="142" t="s">
        <v>1068</v>
      </c>
      <c r="G701" s="66" t="s">
        <v>441</v>
      </c>
      <c r="H701" s="142" t="s">
        <v>254</v>
      </c>
      <c r="I701" s="141" t="n">
        <v>45925</v>
      </c>
      <c r="J701" s="66" t="n">
        <v>9</v>
      </c>
      <c r="K701" s="188" t="s">
        <v>49</v>
      </c>
      <c r="L701" s="142" t="s">
        <v>58</v>
      </c>
      <c r="M701" s="145" t="n">
        <v>2284</v>
      </c>
    </row>
    <row r="702" customFormat="false" ht="14.15" hidden="false" customHeight="false" outlineLevel="0" collapsed="false">
      <c r="A702" s="148" t="n">
        <v>37825</v>
      </c>
      <c r="B702" s="149" t="s">
        <v>4214</v>
      </c>
      <c r="C702" s="149" t="n">
        <v>2020</v>
      </c>
      <c r="D702" s="150" t="n">
        <v>44180</v>
      </c>
      <c r="E702" s="68" t="s">
        <v>4215</v>
      </c>
      <c r="F702" s="151" t="s">
        <v>4216</v>
      </c>
      <c r="G702" s="68" t="s">
        <v>441</v>
      </c>
      <c r="H702" s="151" t="s">
        <v>263</v>
      </c>
      <c r="I702" s="150" t="n">
        <v>45925</v>
      </c>
      <c r="J702" s="68" t="n">
        <v>9</v>
      </c>
      <c r="K702" s="143" t="s">
        <v>48</v>
      </c>
      <c r="L702" s="151" t="s">
        <v>60</v>
      </c>
      <c r="M702" s="152" t="n">
        <v>1745</v>
      </c>
    </row>
    <row r="703" customFormat="false" ht="14.15" hidden="false" customHeight="false" outlineLevel="0" collapsed="false">
      <c r="A703" s="139" t="n">
        <v>37925</v>
      </c>
      <c r="B703" s="140" t="s">
        <v>4217</v>
      </c>
      <c r="C703" s="140" t="n">
        <v>2024</v>
      </c>
      <c r="D703" s="141" t="n">
        <v>45436</v>
      </c>
      <c r="E703" s="66" t="s">
        <v>4218</v>
      </c>
      <c r="F703" s="142" t="s">
        <v>4219</v>
      </c>
      <c r="G703" s="66" t="s">
        <v>130</v>
      </c>
      <c r="H703" s="142" t="s">
        <v>4220</v>
      </c>
      <c r="I703" s="141" t="n">
        <v>45925</v>
      </c>
      <c r="J703" s="66" t="n">
        <v>9</v>
      </c>
      <c r="K703" s="169" t="s">
        <v>290</v>
      </c>
      <c r="L703" s="144" t="s">
        <v>61</v>
      </c>
      <c r="M703" s="145" t="n">
        <v>489</v>
      </c>
    </row>
    <row r="704" customFormat="false" ht="14.15" hidden="false" customHeight="false" outlineLevel="0" collapsed="false">
      <c r="A704" s="148" t="n">
        <v>38025</v>
      </c>
      <c r="B704" s="149" t="s">
        <v>4221</v>
      </c>
      <c r="C704" s="149" t="n">
        <v>2023</v>
      </c>
      <c r="D704" s="150" t="n">
        <v>45253</v>
      </c>
      <c r="E704" s="68" t="s">
        <v>4222</v>
      </c>
      <c r="F704" s="151" t="s">
        <v>3798</v>
      </c>
      <c r="G704" s="68" t="s">
        <v>125</v>
      </c>
      <c r="H704" s="151" t="s">
        <v>4223</v>
      </c>
      <c r="I704" s="150" t="n">
        <v>45925</v>
      </c>
      <c r="J704" s="68" t="n">
        <v>9</v>
      </c>
      <c r="K704" s="188" t="s">
        <v>49</v>
      </c>
      <c r="L704" s="151" t="s">
        <v>61</v>
      </c>
      <c r="M704" s="152" t="n">
        <v>672</v>
      </c>
    </row>
    <row r="705" customFormat="false" ht="14.15" hidden="false" customHeight="false" outlineLevel="0" collapsed="false">
      <c r="A705" s="139" t="n">
        <v>38125</v>
      </c>
      <c r="B705" s="140" t="s">
        <v>4224</v>
      </c>
      <c r="C705" s="140" t="n">
        <v>2022</v>
      </c>
      <c r="D705" s="141" t="n">
        <v>44781</v>
      </c>
      <c r="E705" s="66" t="s">
        <v>4225</v>
      </c>
      <c r="F705" s="142" t="s">
        <v>705</v>
      </c>
      <c r="G705" s="66" t="s">
        <v>441</v>
      </c>
      <c r="H705" s="142" t="s">
        <v>544</v>
      </c>
      <c r="I705" s="141" t="n">
        <v>45925</v>
      </c>
      <c r="J705" s="66" t="n">
        <v>9</v>
      </c>
      <c r="K705" s="143" t="s">
        <v>48</v>
      </c>
      <c r="L705" s="142" t="s">
        <v>58</v>
      </c>
      <c r="M705" s="145" t="n">
        <v>1144</v>
      </c>
    </row>
    <row r="706" customFormat="false" ht="14.15" hidden="false" customHeight="false" outlineLevel="0" collapsed="false">
      <c r="A706" s="148" t="n">
        <v>38225</v>
      </c>
      <c r="B706" s="149" t="s">
        <v>4226</v>
      </c>
      <c r="C706" s="149" t="n">
        <v>2015</v>
      </c>
      <c r="D706" s="150" t="n">
        <v>42368</v>
      </c>
      <c r="E706" s="68" t="s">
        <v>4227</v>
      </c>
      <c r="F706" s="151" t="s">
        <v>4228</v>
      </c>
      <c r="G706" s="68" t="s">
        <v>441</v>
      </c>
      <c r="H706" s="151" t="s">
        <v>1059</v>
      </c>
      <c r="I706" s="150" t="n">
        <v>45925</v>
      </c>
      <c r="J706" s="68" t="n">
        <v>9</v>
      </c>
      <c r="K706" s="188" t="s">
        <v>49</v>
      </c>
      <c r="L706" s="151" t="s">
        <v>58</v>
      </c>
      <c r="M706" s="152" t="n">
        <v>3557</v>
      </c>
    </row>
    <row r="707" customFormat="false" ht="14.15" hidden="false" customHeight="false" outlineLevel="0" collapsed="false">
      <c r="A707" s="139" t="n">
        <v>38325</v>
      </c>
      <c r="B707" s="140" t="s">
        <v>4229</v>
      </c>
      <c r="C707" s="140" t="n">
        <v>2020</v>
      </c>
      <c r="D707" s="141" t="n">
        <v>44035</v>
      </c>
      <c r="E707" s="66" t="s">
        <v>4230</v>
      </c>
      <c r="F707" s="142" t="s">
        <v>4118</v>
      </c>
      <c r="G707" s="66" t="s">
        <v>441</v>
      </c>
      <c r="H707" s="142" t="s">
        <v>1059</v>
      </c>
      <c r="I707" s="141" t="n">
        <v>45925</v>
      </c>
      <c r="J707" s="66" t="n">
        <v>9</v>
      </c>
      <c r="K707" s="163" t="s">
        <v>46</v>
      </c>
      <c r="L707" s="142" t="s">
        <v>58</v>
      </c>
      <c r="M707" s="145" t="n">
        <v>1890</v>
      </c>
    </row>
    <row r="708" customFormat="false" ht="14.15" hidden="false" customHeight="false" outlineLevel="0" collapsed="false">
      <c r="A708" s="148" t="n">
        <v>38425</v>
      </c>
      <c r="B708" s="149" t="s">
        <v>4231</v>
      </c>
      <c r="C708" s="149" t="n">
        <v>2019</v>
      </c>
      <c r="D708" s="150" t="n">
        <v>43573</v>
      </c>
      <c r="E708" s="68" t="s">
        <v>4232</v>
      </c>
      <c r="F708" s="151" t="s">
        <v>4233</v>
      </c>
      <c r="G708" s="68" t="s">
        <v>441</v>
      </c>
      <c r="H708" s="151" t="s">
        <v>706</v>
      </c>
      <c r="I708" s="150" t="n">
        <v>45926</v>
      </c>
      <c r="J708" s="68" t="n">
        <v>9</v>
      </c>
      <c r="K708" s="143" t="s">
        <v>48</v>
      </c>
      <c r="L708" s="151" t="s">
        <v>60</v>
      </c>
      <c r="M708" s="152" t="n">
        <v>2353</v>
      </c>
    </row>
    <row r="709" customFormat="false" ht="14.15" hidden="false" customHeight="false" outlineLevel="0" collapsed="false">
      <c r="A709" s="139" t="n">
        <v>38525</v>
      </c>
      <c r="B709" s="140" t="s">
        <v>4234</v>
      </c>
      <c r="C709" s="140" t="n">
        <v>2020</v>
      </c>
      <c r="D709" s="141" t="n">
        <v>44110</v>
      </c>
      <c r="E709" s="66" t="s">
        <v>4235</v>
      </c>
      <c r="F709" s="142" t="s">
        <v>512</v>
      </c>
      <c r="G709" s="66" t="s">
        <v>441</v>
      </c>
      <c r="H709" s="142" t="s">
        <v>310</v>
      </c>
      <c r="I709" s="141" t="n">
        <v>45929</v>
      </c>
      <c r="J709" s="66" t="n">
        <v>9</v>
      </c>
      <c r="K709" s="188" t="s">
        <v>49</v>
      </c>
      <c r="L709" s="142" t="s">
        <v>60</v>
      </c>
      <c r="M709" s="145" t="n">
        <v>1819</v>
      </c>
    </row>
    <row r="710" customFormat="false" ht="14.15" hidden="false" customHeight="false" outlineLevel="0" collapsed="false">
      <c r="A710" s="148" t="n">
        <v>38625</v>
      </c>
      <c r="B710" s="149" t="s">
        <v>4236</v>
      </c>
      <c r="C710" s="149" t="n">
        <v>2018</v>
      </c>
      <c r="D710" s="150" t="n">
        <v>43339</v>
      </c>
      <c r="E710" s="68" t="s">
        <v>4237</v>
      </c>
      <c r="F710" s="151" t="s">
        <v>1156</v>
      </c>
      <c r="G710" s="68" t="s">
        <v>441</v>
      </c>
      <c r="H710" s="151" t="s">
        <v>3056</v>
      </c>
      <c r="I710" s="150" t="n">
        <v>45936</v>
      </c>
      <c r="J710" s="68" t="n">
        <v>10</v>
      </c>
      <c r="K710" s="163" t="s">
        <v>46</v>
      </c>
      <c r="L710" s="151" t="s">
        <v>58</v>
      </c>
      <c r="M710" s="152" t="n">
        <v>2597</v>
      </c>
    </row>
    <row r="711" customFormat="false" ht="14.15" hidden="false" customHeight="false" outlineLevel="0" collapsed="false">
      <c r="A711" s="139" t="n">
        <v>38725</v>
      </c>
      <c r="B711" s="140" t="s">
        <v>4238</v>
      </c>
      <c r="C711" s="140" t="n">
        <v>2019</v>
      </c>
      <c r="D711" s="141" t="n">
        <v>43773</v>
      </c>
      <c r="E711" s="66" t="s">
        <v>4239</v>
      </c>
      <c r="F711" s="142" t="s">
        <v>4240</v>
      </c>
      <c r="G711" s="66" t="s">
        <v>441</v>
      </c>
      <c r="H711" s="142" t="s">
        <v>192</v>
      </c>
      <c r="I711" s="141" t="n">
        <v>45936</v>
      </c>
      <c r="J711" s="66" t="n">
        <v>10</v>
      </c>
      <c r="K711" s="188" t="s">
        <v>49</v>
      </c>
      <c r="L711" s="144" t="s">
        <v>61</v>
      </c>
      <c r="M711" s="145" t="n">
        <v>2163</v>
      </c>
    </row>
    <row r="712" customFormat="false" ht="14.15" hidden="false" customHeight="false" outlineLevel="0" collapsed="false">
      <c r="A712" s="148" t="n">
        <v>38825</v>
      </c>
      <c r="B712" s="149" t="s">
        <v>4241</v>
      </c>
      <c r="C712" s="149" t="n">
        <v>2021</v>
      </c>
      <c r="D712" s="150" t="n">
        <v>44225</v>
      </c>
      <c r="E712" s="68" t="s">
        <v>4242</v>
      </c>
      <c r="F712" s="151" t="s">
        <v>1200</v>
      </c>
      <c r="G712" s="68" t="s">
        <v>441</v>
      </c>
      <c r="H712" s="151" t="s">
        <v>192</v>
      </c>
      <c r="I712" s="150" t="n">
        <v>45936</v>
      </c>
      <c r="J712" s="68" t="n">
        <v>10</v>
      </c>
      <c r="K712" s="143" t="s">
        <v>48</v>
      </c>
      <c r="L712" s="151" t="s">
        <v>58</v>
      </c>
      <c r="M712" s="152" t="n">
        <v>1711</v>
      </c>
    </row>
    <row r="713" customFormat="false" ht="26.85" hidden="false" customHeight="false" outlineLevel="0" collapsed="false">
      <c r="A713" s="139" t="n">
        <v>38925</v>
      </c>
      <c r="B713" s="140" t="s">
        <v>4243</v>
      </c>
      <c r="C713" s="140" t="n">
        <v>2021</v>
      </c>
      <c r="D713" s="141" t="n">
        <v>44517</v>
      </c>
      <c r="E713" s="66" t="s">
        <v>4244</v>
      </c>
      <c r="F713" s="142" t="s">
        <v>4245</v>
      </c>
      <c r="G713" s="66" t="s">
        <v>144</v>
      </c>
      <c r="H713" s="142" t="s">
        <v>192</v>
      </c>
      <c r="I713" s="141" t="n">
        <v>45936</v>
      </c>
      <c r="J713" s="66" t="n">
        <v>10</v>
      </c>
      <c r="K713" s="143" t="s">
        <v>48</v>
      </c>
      <c r="L713" s="142" t="s">
        <v>58</v>
      </c>
      <c r="M713" s="145" t="n">
        <v>1419</v>
      </c>
    </row>
    <row r="714" customFormat="false" ht="14.15" hidden="false" customHeight="false" outlineLevel="0" collapsed="false">
      <c r="A714" s="148" t="n">
        <v>39025</v>
      </c>
      <c r="B714" s="149" t="s">
        <v>4246</v>
      </c>
      <c r="C714" s="149" t="n">
        <v>2018</v>
      </c>
      <c r="D714" s="150" t="n">
        <v>43423</v>
      </c>
      <c r="E714" s="68" t="s">
        <v>4247</v>
      </c>
      <c r="F714" s="151" t="s">
        <v>4248</v>
      </c>
      <c r="G714" s="68" t="s">
        <v>441</v>
      </c>
      <c r="H714" s="151" t="s">
        <v>263</v>
      </c>
      <c r="I714" s="150" t="n">
        <v>45937</v>
      </c>
      <c r="J714" s="68" t="n">
        <v>10</v>
      </c>
      <c r="K714" s="188" t="s">
        <v>49</v>
      </c>
      <c r="L714" s="151" t="s">
        <v>60</v>
      </c>
      <c r="M714" s="152" t="n">
        <v>2514</v>
      </c>
    </row>
    <row r="715" customFormat="false" ht="14.15" hidden="false" customHeight="false" outlineLevel="0" collapsed="false">
      <c r="A715" s="139" t="n">
        <v>39125</v>
      </c>
      <c r="B715" s="140" t="s">
        <v>4249</v>
      </c>
      <c r="C715" s="140" t="n">
        <v>2020</v>
      </c>
      <c r="D715" s="141" t="n">
        <v>44148</v>
      </c>
      <c r="E715" s="66" t="s">
        <v>4250</v>
      </c>
      <c r="F715" s="142" t="s">
        <v>4251</v>
      </c>
      <c r="G715" s="66" t="s">
        <v>441</v>
      </c>
      <c r="H715" s="142" t="s">
        <v>263</v>
      </c>
      <c r="I715" s="141" t="n">
        <v>45937</v>
      </c>
      <c r="J715" s="66" t="n">
        <v>10</v>
      </c>
      <c r="K715" s="143" t="s">
        <v>48</v>
      </c>
      <c r="L715" s="142" t="s">
        <v>58</v>
      </c>
      <c r="M715" s="145" t="n">
        <v>1789</v>
      </c>
    </row>
    <row r="716" customFormat="false" ht="14.15" hidden="false" customHeight="false" outlineLevel="0" collapsed="false">
      <c r="A716" s="148" t="n">
        <v>39225</v>
      </c>
      <c r="B716" s="149" t="s">
        <v>4252</v>
      </c>
      <c r="C716" s="149" t="n">
        <v>2017</v>
      </c>
      <c r="D716" s="150" t="n">
        <v>42954</v>
      </c>
      <c r="E716" s="68" t="s">
        <v>4253</v>
      </c>
      <c r="F716" s="151" t="s">
        <v>157</v>
      </c>
      <c r="G716" s="68" t="s">
        <v>441</v>
      </c>
      <c r="H716" s="151" t="s">
        <v>263</v>
      </c>
      <c r="I716" s="150" t="n">
        <v>45937</v>
      </c>
      <c r="J716" s="68" t="n">
        <v>10</v>
      </c>
      <c r="K716" s="188" t="s">
        <v>49</v>
      </c>
      <c r="L716" s="151" t="s">
        <v>58</v>
      </c>
      <c r="M716" s="152" t="n">
        <v>2983</v>
      </c>
    </row>
    <row r="717" customFormat="false" ht="14.15" hidden="false" customHeight="false" outlineLevel="0" collapsed="false">
      <c r="A717" s="139" t="n">
        <v>39325</v>
      </c>
      <c r="B717" s="140" t="s">
        <v>4254</v>
      </c>
      <c r="C717" s="140" t="n">
        <v>2020</v>
      </c>
      <c r="D717" s="141" t="n">
        <v>43850</v>
      </c>
      <c r="E717" s="66" t="s">
        <v>4255</v>
      </c>
      <c r="F717" s="142" t="s">
        <v>1156</v>
      </c>
      <c r="G717" s="66" t="s">
        <v>441</v>
      </c>
      <c r="H717" s="142" t="s">
        <v>471</v>
      </c>
      <c r="I717" s="141" t="n">
        <v>45937</v>
      </c>
      <c r="J717" s="66" t="n">
        <v>10</v>
      </c>
      <c r="K717" s="163" t="s">
        <v>46</v>
      </c>
      <c r="L717" s="142" t="s">
        <v>58</v>
      </c>
      <c r="M717" s="145" t="n">
        <v>2087</v>
      </c>
    </row>
    <row r="718" customFormat="false" ht="14.15" hidden="false" customHeight="false" outlineLevel="0" collapsed="false">
      <c r="A718" s="148" t="n">
        <v>39425</v>
      </c>
      <c r="B718" s="149" t="s">
        <v>4256</v>
      </c>
      <c r="C718" s="149" t="n">
        <v>2019</v>
      </c>
      <c r="D718" s="150" t="n">
        <v>43539</v>
      </c>
      <c r="E718" s="68" t="s">
        <v>4257</v>
      </c>
      <c r="F718" s="151" t="s">
        <v>4258</v>
      </c>
      <c r="G718" s="68" t="s">
        <v>441</v>
      </c>
      <c r="H718" s="151" t="s">
        <v>1081</v>
      </c>
      <c r="I718" s="150" t="n">
        <v>45937</v>
      </c>
      <c r="J718" s="68" t="n">
        <v>10</v>
      </c>
      <c r="K718" s="188" t="s">
        <v>49</v>
      </c>
      <c r="L718" s="151" t="s">
        <v>60</v>
      </c>
      <c r="M718" s="152" t="n">
        <v>2398</v>
      </c>
    </row>
    <row r="719" customFormat="false" ht="26.85" hidden="false" customHeight="false" outlineLevel="0" collapsed="false">
      <c r="A719" s="139" t="n">
        <v>39525</v>
      </c>
      <c r="B719" s="140" t="s">
        <v>4259</v>
      </c>
      <c r="C719" s="140" t="n">
        <v>2024</v>
      </c>
      <c r="D719" s="141" t="n">
        <v>45640</v>
      </c>
      <c r="E719" s="66" t="s">
        <v>4260</v>
      </c>
      <c r="F719" s="142" t="s">
        <v>4261</v>
      </c>
      <c r="G719" s="66" t="s">
        <v>125</v>
      </c>
      <c r="H719" s="142" t="s">
        <v>3225</v>
      </c>
      <c r="I719" s="141" t="n">
        <v>45937</v>
      </c>
      <c r="J719" s="66" t="n">
        <v>10</v>
      </c>
      <c r="K719" s="169" t="s">
        <v>290</v>
      </c>
      <c r="L719" s="144" t="s">
        <v>61</v>
      </c>
      <c r="M719" s="145" t="n">
        <v>297</v>
      </c>
    </row>
    <row r="720" customFormat="false" ht="39.55" hidden="false" customHeight="false" outlineLevel="0" collapsed="false">
      <c r="A720" s="148" t="n">
        <v>39625</v>
      </c>
      <c r="B720" s="149" t="s">
        <v>4262</v>
      </c>
      <c r="C720" s="149" t="n">
        <v>2024</v>
      </c>
      <c r="D720" s="150" t="n">
        <v>45644</v>
      </c>
      <c r="E720" s="68" t="s">
        <v>4263</v>
      </c>
      <c r="F720" s="151" t="s">
        <v>4264</v>
      </c>
      <c r="G720" s="68" t="s">
        <v>125</v>
      </c>
      <c r="H720" s="151" t="s">
        <v>3568</v>
      </c>
      <c r="I720" s="150" t="n">
        <v>45937</v>
      </c>
      <c r="J720" s="68" t="n">
        <v>10</v>
      </c>
      <c r="K720" s="169" t="s">
        <v>290</v>
      </c>
      <c r="L720" s="151" t="s">
        <v>61</v>
      </c>
      <c r="M720" s="152" t="n">
        <v>293</v>
      </c>
    </row>
    <row r="721" customFormat="false" ht="14.15" hidden="false" customHeight="false" outlineLevel="0" collapsed="false">
      <c r="A721" s="139" t="n">
        <v>39725</v>
      </c>
      <c r="B721" s="140" t="s">
        <v>4265</v>
      </c>
      <c r="C721" s="140" t="n">
        <v>2023</v>
      </c>
      <c r="D721" s="141" t="n">
        <v>45272</v>
      </c>
      <c r="E721" s="66" t="s">
        <v>4266</v>
      </c>
      <c r="F721" s="142" t="s">
        <v>4267</v>
      </c>
      <c r="G721" s="66" t="s">
        <v>441</v>
      </c>
      <c r="H721" s="142" t="s">
        <v>362</v>
      </c>
      <c r="I721" s="141" t="n">
        <v>45937</v>
      </c>
      <c r="J721" s="66" t="n">
        <v>10</v>
      </c>
      <c r="K721" s="188" t="s">
        <v>49</v>
      </c>
      <c r="L721" s="142" t="s">
        <v>60</v>
      </c>
      <c r="M721" s="145" t="n">
        <v>665</v>
      </c>
    </row>
    <row r="722" customFormat="false" ht="14.15" hidden="false" customHeight="false" outlineLevel="0" collapsed="false">
      <c r="A722" s="148" t="n">
        <v>39825</v>
      </c>
      <c r="B722" s="149" t="s">
        <v>4268</v>
      </c>
      <c r="C722" s="149" t="n">
        <v>2017</v>
      </c>
      <c r="D722" s="150" t="n">
        <v>42786</v>
      </c>
      <c r="E722" s="68" t="s">
        <v>4269</v>
      </c>
      <c r="F722" s="151" t="s">
        <v>4270</v>
      </c>
      <c r="G722" s="68" t="s">
        <v>441</v>
      </c>
      <c r="H722" s="151" t="s">
        <v>3393</v>
      </c>
      <c r="I722" s="150" t="n">
        <v>45937</v>
      </c>
      <c r="J722" s="68" t="n">
        <v>10</v>
      </c>
      <c r="K722" s="188" t="s">
        <v>49</v>
      </c>
      <c r="L722" s="151" t="s">
        <v>60</v>
      </c>
      <c r="M722" s="152" t="n">
        <v>3151</v>
      </c>
    </row>
    <row r="723" customFormat="false" ht="14.15" hidden="false" customHeight="false" outlineLevel="0" collapsed="false">
      <c r="A723" s="139" t="n">
        <v>39925</v>
      </c>
      <c r="B723" s="140" t="s">
        <v>4271</v>
      </c>
      <c r="C723" s="140" t="n">
        <v>2020</v>
      </c>
      <c r="D723" s="141" t="n">
        <v>43967</v>
      </c>
      <c r="E723" s="66" t="s">
        <v>4272</v>
      </c>
      <c r="F723" s="142" t="s">
        <v>191</v>
      </c>
      <c r="G723" s="66" t="s">
        <v>441</v>
      </c>
      <c r="H723" s="142" t="s">
        <v>192</v>
      </c>
      <c r="I723" s="141" t="n">
        <v>45937</v>
      </c>
      <c r="J723" s="66" t="n">
        <v>10</v>
      </c>
      <c r="K723" s="188" t="s">
        <v>49</v>
      </c>
      <c r="L723" s="142" t="s">
        <v>58</v>
      </c>
      <c r="M723" s="145" t="n">
        <v>1970</v>
      </c>
    </row>
    <row r="724" customFormat="false" ht="14.15" hidden="false" customHeight="false" outlineLevel="0" collapsed="false">
      <c r="A724" s="148" t="n">
        <v>40025</v>
      </c>
      <c r="B724" s="149" t="s">
        <v>4273</v>
      </c>
      <c r="C724" s="149" t="n">
        <v>2020</v>
      </c>
      <c r="D724" s="150" t="n">
        <v>44179</v>
      </c>
      <c r="E724" s="68" t="s">
        <v>4274</v>
      </c>
      <c r="F724" s="151" t="s">
        <v>1357</v>
      </c>
      <c r="G724" s="68" t="s">
        <v>441</v>
      </c>
      <c r="H724" s="151" t="s">
        <v>139</v>
      </c>
      <c r="I724" s="150" t="n">
        <v>45937</v>
      </c>
      <c r="J724" s="68" t="n">
        <v>10</v>
      </c>
      <c r="K724" s="143" t="s">
        <v>48</v>
      </c>
      <c r="L724" s="151" t="s">
        <v>58</v>
      </c>
      <c r="M724" s="152" t="n">
        <v>1758</v>
      </c>
    </row>
    <row r="725" customFormat="false" ht="14.15" hidden="false" customHeight="false" outlineLevel="0" collapsed="false">
      <c r="A725" s="139" t="n">
        <v>40125</v>
      </c>
      <c r="B725" s="140" t="s">
        <v>4275</v>
      </c>
      <c r="C725" s="140" t="n">
        <v>2019</v>
      </c>
      <c r="D725" s="141" t="n">
        <v>43591</v>
      </c>
      <c r="E725" s="66" t="s">
        <v>4276</v>
      </c>
      <c r="F725" s="142" t="s">
        <v>4277</v>
      </c>
      <c r="G725" s="66" t="s">
        <v>441</v>
      </c>
      <c r="H725" s="142" t="s">
        <v>471</v>
      </c>
      <c r="I725" s="141" t="n">
        <v>45938</v>
      </c>
      <c r="J725" s="66" t="n">
        <v>10</v>
      </c>
      <c r="K725" s="188" t="s">
        <v>49</v>
      </c>
      <c r="L725" s="142" t="s">
        <v>60</v>
      </c>
      <c r="M725" s="145" t="n">
        <v>2347</v>
      </c>
    </row>
    <row r="726" customFormat="false" ht="14.15" hidden="false" customHeight="false" outlineLevel="0" collapsed="false">
      <c r="A726" s="148" t="n">
        <v>40225</v>
      </c>
      <c r="B726" s="149" t="s">
        <v>4278</v>
      </c>
      <c r="C726" s="149" t="n">
        <v>2021</v>
      </c>
      <c r="D726" s="150" t="n">
        <v>44250</v>
      </c>
      <c r="E726" s="68" t="s">
        <v>4279</v>
      </c>
      <c r="F726" s="151" t="s">
        <v>459</v>
      </c>
      <c r="G726" s="68" t="s">
        <v>441</v>
      </c>
      <c r="H726" s="151" t="s">
        <v>402</v>
      </c>
      <c r="I726" s="150" t="n">
        <v>45938</v>
      </c>
      <c r="J726" s="68" t="n">
        <v>10</v>
      </c>
      <c r="K726" s="196" t="s">
        <v>44</v>
      </c>
      <c r="L726" s="151" t="s">
        <v>60</v>
      </c>
      <c r="M726" s="152" t="n">
        <v>1688</v>
      </c>
    </row>
    <row r="727" customFormat="false" ht="14.15" hidden="false" customHeight="false" outlineLevel="0" collapsed="false">
      <c r="A727" s="139" t="n">
        <v>40325</v>
      </c>
      <c r="B727" s="140" t="s">
        <v>4280</v>
      </c>
      <c r="C727" s="140" t="n">
        <v>2018</v>
      </c>
      <c r="D727" s="141" t="n">
        <v>43423</v>
      </c>
      <c r="E727" s="66" t="s">
        <v>4281</v>
      </c>
      <c r="F727" s="142" t="s">
        <v>4282</v>
      </c>
      <c r="G727" s="66" t="s">
        <v>441</v>
      </c>
      <c r="H727" s="142" t="s">
        <v>192</v>
      </c>
      <c r="I727" s="141" t="n">
        <v>45938</v>
      </c>
      <c r="J727" s="66" t="n">
        <v>10</v>
      </c>
      <c r="K727" s="188" t="s">
        <v>49</v>
      </c>
      <c r="L727" s="142" t="s">
        <v>60</v>
      </c>
      <c r="M727" s="145" t="n">
        <v>2515</v>
      </c>
    </row>
    <row r="728" customFormat="false" ht="14.15" hidden="false" customHeight="false" outlineLevel="0" collapsed="false">
      <c r="A728" s="148" t="n">
        <v>40425</v>
      </c>
      <c r="B728" s="149" t="s">
        <v>4283</v>
      </c>
      <c r="C728" s="149" t="n">
        <v>2017</v>
      </c>
      <c r="D728" s="150" t="n">
        <v>42919</v>
      </c>
      <c r="E728" s="68" t="s">
        <v>4284</v>
      </c>
      <c r="F728" s="151" t="s">
        <v>3865</v>
      </c>
      <c r="G728" s="68" t="s">
        <v>441</v>
      </c>
      <c r="H728" s="151" t="s">
        <v>267</v>
      </c>
      <c r="I728" s="150" t="n">
        <v>45938</v>
      </c>
      <c r="J728" s="68" t="n">
        <v>10</v>
      </c>
      <c r="K728" s="188" t="s">
        <v>49</v>
      </c>
      <c r="L728" s="151" t="s">
        <v>60</v>
      </c>
      <c r="M728" s="152" t="n">
        <v>3019</v>
      </c>
    </row>
    <row r="729" customFormat="false" ht="14.15" hidden="false" customHeight="false" outlineLevel="0" collapsed="false">
      <c r="A729" s="139" t="n">
        <v>40525</v>
      </c>
      <c r="B729" s="140" t="s">
        <v>4285</v>
      </c>
      <c r="C729" s="140" t="n">
        <v>2021</v>
      </c>
      <c r="D729" s="141" t="n">
        <v>44553</v>
      </c>
      <c r="E729" s="66" t="s">
        <v>4286</v>
      </c>
      <c r="F729" s="142" t="s">
        <v>4287</v>
      </c>
      <c r="G729" s="66" t="s">
        <v>441</v>
      </c>
      <c r="H729" s="142" t="s">
        <v>3056</v>
      </c>
      <c r="I729" s="141" t="n">
        <v>45938</v>
      </c>
      <c r="J729" s="66" t="n">
        <v>10</v>
      </c>
      <c r="K729" s="196" t="s">
        <v>44</v>
      </c>
      <c r="L729" s="142" t="s">
        <v>2848</v>
      </c>
      <c r="M729" s="145" t="n">
        <v>1385</v>
      </c>
    </row>
    <row r="730" customFormat="false" ht="14.15" hidden="false" customHeight="false" outlineLevel="0" collapsed="false">
      <c r="A730" s="148" t="n">
        <v>40625</v>
      </c>
      <c r="B730" s="149" t="s">
        <v>4288</v>
      </c>
      <c r="C730" s="149" t="n">
        <v>2017</v>
      </c>
      <c r="D730" s="150" t="n">
        <v>43017</v>
      </c>
      <c r="E730" s="68" t="s">
        <v>4289</v>
      </c>
      <c r="F730" s="151" t="s">
        <v>338</v>
      </c>
      <c r="G730" s="68" t="s">
        <v>441</v>
      </c>
      <c r="H730" s="151" t="s">
        <v>267</v>
      </c>
      <c r="I730" s="150" t="n">
        <v>45938</v>
      </c>
      <c r="J730" s="68" t="n">
        <v>10</v>
      </c>
      <c r="K730" s="143" t="s">
        <v>48</v>
      </c>
      <c r="L730" s="151" t="s">
        <v>58</v>
      </c>
      <c r="M730" s="152" t="n">
        <v>2921</v>
      </c>
    </row>
    <row r="731" customFormat="false" ht="14.15" hidden="false" customHeight="false" outlineLevel="0" collapsed="false">
      <c r="A731" s="139" t="n">
        <v>40725</v>
      </c>
      <c r="B731" s="140" t="s">
        <v>4290</v>
      </c>
      <c r="C731" s="140" t="n">
        <v>2014</v>
      </c>
      <c r="D731" s="141" t="n">
        <v>42003</v>
      </c>
      <c r="E731" s="66" t="s">
        <v>4291</v>
      </c>
      <c r="F731" s="142" t="s">
        <v>365</v>
      </c>
      <c r="G731" s="66" t="s">
        <v>441</v>
      </c>
      <c r="H731" s="142" t="s">
        <v>267</v>
      </c>
      <c r="I731" s="141" t="n">
        <v>45938</v>
      </c>
      <c r="J731" s="66" t="n">
        <v>10</v>
      </c>
      <c r="K731" s="143" t="s">
        <v>48</v>
      </c>
      <c r="L731" s="142" t="s">
        <v>60</v>
      </c>
      <c r="M731" s="145" t="n">
        <v>3935</v>
      </c>
    </row>
    <row r="732" customFormat="false" ht="14.15" hidden="false" customHeight="false" outlineLevel="0" collapsed="false">
      <c r="A732" s="148" t="n">
        <v>40825</v>
      </c>
      <c r="B732" s="149" t="s">
        <v>4292</v>
      </c>
      <c r="C732" s="149" t="n">
        <v>2020</v>
      </c>
      <c r="D732" s="150" t="n">
        <v>44092</v>
      </c>
      <c r="E732" s="68" t="s">
        <v>4293</v>
      </c>
      <c r="F732" s="151" t="s">
        <v>777</v>
      </c>
      <c r="G732" s="68" t="s">
        <v>441</v>
      </c>
      <c r="H732" s="151" t="s">
        <v>4294</v>
      </c>
      <c r="I732" s="150" t="n">
        <v>45938</v>
      </c>
      <c r="J732" s="68" t="n">
        <v>10</v>
      </c>
      <c r="K732" s="188" t="s">
        <v>49</v>
      </c>
      <c r="L732" s="151" t="s">
        <v>58</v>
      </c>
      <c r="M732" s="152" t="n">
        <v>1846</v>
      </c>
    </row>
    <row r="733" customFormat="false" ht="14.15" hidden="false" customHeight="false" outlineLevel="0" collapsed="false">
      <c r="A733" s="139" t="n">
        <v>40925</v>
      </c>
      <c r="B733" s="140" t="s">
        <v>4295</v>
      </c>
      <c r="C733" s="140" t="n">
        <v>2020</v>
      </c>
      <c r="D733" s="141" t="n">
        <v>44159</v>
      </c>
      <c r="E733" s="66" t="s">
        <v>4296</v>
      </c>
      <c r="F733" s="142" t="s">
        <v>207</v>
      </c>
      <c r="G733" s="66" t="s">
        <v>441</v>
      </c>
      <c r="H733" s="142" t="s">
        <v>1538</v>
      </c>
      <c r="I733" s="141" t="n">
        <v>45938</v>
      </c>
      <c r="J733" s="66" t="n">
        <v>10</v>
      </c>
      <c r="K733" s="188" t="s">
        <v>49</v>
      </c>
      <c r="L733" s="142" t="s">
        <v>58</v>
      </c>
      <c r="M733" s="145" t="n">
        <v>1779</v>
      </c>
    </row>
    <row r="734" customFormat="false" ht="14.15" hidden="false" customHeight="false" outlineLevel="0" collapsed="false">
      <c r="A734" s="148" t="n">
        <v>41025</v>
      </c>
      <c r="B734" s="149" t="s">
        <v>4297</v>
      </c>
      <c r="C734" s="149" t="n">
        <v>2021</v>
      </c>
      <c r="D734" s="150" t="n">
        <v>44315</v>
      </c>
      <c r="E734" s="68" t="s">
        <v>4298</v>
      </c>
      <c r="F734" s="151" t="s">
        <v>168</v>
      </c>
      <c r="G734" s="68" t="s">
        <v>441</v>
      </c>
      <c r="H734" s="151" t="s">
        <v>513</v>
      </c>
      <c r="I734" s="150" t="n">
        <v>45938</v>
      </c>
      <c r="J734" s="68" t="n">
        <v>10</v>
      </c>
      <c r="K734" s="196" t="s">
        <v>44</v>
      </c>
      <c r="L734" s="151" t="s">
        <v>60</v>
      </c>
      <c r="M734" s="152" t="n">
        <v>1623</v>
      </c>
    </row>
    <row r="735" customFormat="false" ht="14.15" hidden="false" customHeight="false" outlineLevel="0" collapsed="false">
      <c r="A735" s="139" t="n">
        <v>41125</v>
      </c>
      <c r="B735" s="140" t="s">
        <v>4299</v>
      </c>
      <c r="C735" s="140" t="n">
        <v>2022</v>
      </c>
      <c r="D735" s="141" t="n">
        <v>44634</v>
      </c>
      <c r="E735" s="66" t="s">
        <v>4300</v>
      </c>
      <c r="F735" s="142" t="s">
        <v>207</v>
      </c>
      <c r="G735" s="66" t="s">
        <v>441</v>
      </c>
      <c r="H735" s="142" t="s">
        <v>513</v>
      </c>
      <c r="I735" s="141" t="n">
        <v>45938</v>
      </c>
      <c r="J735" s="66" t="n">
        <v>10</v>
      </c>
      <c r="K735" s="143" t="s">
        <v>48</v>
      </c>
      <c r="L735" s="142" t="s">
        <v>58</v>
      </c>
      <c r="M735" s="145" t="n">
        <v>1304</v>
      </c>
    </row>
    <row r="736" customFormat="false" ht="14.15" hidden="false" customHeight="false" outlineLevel="0" collapsed="false">
      <c r="A736" s="148" t="n">
        <v>41225</v>
      </c>
      <c r="B736" s="149" t="s">
        <v>4301</v>
      </c>
      <c r="C736" s="149" t="n">
        <v>2018</v>
      </c>
      <c r="D736" s="150" t="n">
        <v>43447</v>
      </c>
      <c r="E736" s="68" t="s">
        <v>4302</v>
      </c>
      <c r="F736" s="151" t="s">
        <v>4303</v>
      </c>
      <c r="G736" s="68" t="s">
        <v>441</v>
      </c>
      <c r="H736" s="151" t="s">
        <v>4139</v>
      </c>
      <c r="I736" s="150" t="n">
        <v>45938</v>
      </c>
      <c r="J736" s="68" t="n">
        <v>10</v>
      </c>
      <c r="K736" s="143" t="s">
        <v>48</v>
      </c>
      <c r="L736" s="151" t="s">
        <v>60</v>
      </c>
      <c r="M736" s="152" t="n">
        <v>2491</v>
      </c>
    </row>
    <row r="737" customFormat="false" ht="26.85" hidden="false" customHeight="false" outlineLevel="0" collapsed="false">
      <c r="A737" s="139" t="n">
        <v>41325</v>
      </c>
      <c r="B737" s="140" t="s">
        <v>4304</v>
      </c>
      <c r="C737" s="140" t="n">
        <v>2024</v>
      </c>
      <c r="D737" s="141" t="n">
        <v>45497</v>
      </c>
      <c r="E737" s="66" t="s">
        <v>4305</v>
      </c>
      <c r="F737" s="142" t="s">
        <v>4306</v>
      </c>
      <c r="G737" s="66" t="s">
        <v>125</v>
      </c>
      <c r="H737" s="142" t="s">
        <v>4307</v>
      </c>
      <c r="I737" s="141" t="n">
        <v>45938</v>
      </c>
      <c r="J737" s="66" t="n">
        <v>10</v>
      </c>
      <c r="K737" s="188" t="s">
        <v>49</v>
      </c>
      <c r="L737" s="144" t="s">
        <v>61</v>
      </c>
      <c r="M737" s="145" t="n">
        <v>441</v>
      </c>
    </row>
    <row r="738" customFormat="false" ht="14.15" hidden="false" customHeight="false" outlineLevel="0" collapsed="false">
      <c r="A738" s="148" t="n">
        <v>41425</v>
      </c>
      <c r="B738" s="149" t="s">
        <v>4308</v>
      </c>
      <c r="C738" s="149" t="n">
        <v>2019</v>
      </c>
      <c r="D738" s="150" t="n">
        <v>43573</v>
      </c>
      <c r="E738" s="68" t="s">
        <v>4309</v>
      </c>
      <c r="F738" s="151" t="s">
        <v>3362</v>
      </c>
      <c r="G738" s="68" t="s">
        <v>441</v>
      </c>
      <c r="H738" s="151" t="s">
        <v>109</v>
      </c>
      <c r="I738" s="150" t="n">
        <v>45938</v>
      </c>
      <c r="J738" s="68" t="n">
        <v>10</v>
      </c>
      <c r="K738" s="143" t="s">
        <v>48</v>
      </c>
      <c r="L738" s="151" t="s">
        <v>60</v>
      </c>
      <c r="M738" s="152" t="n">
        <v>2365</v>
      </c>
    </row>
    <row r="739" customFormat="false" ht="14.15" hidden="false" customHeight="false" outlineLevel="0" collapsed="false">
      <c r="A739" s="139" t="n">
        <v>41525</v>
      </c>
      <c r="B739" s="140" t="s">
        <v>4310</v>
      </c>
      <c r="C739" s="140" t="n">
        <v>2021</v>
      </c>
      <c r="D739" s="141" t="n">
        <v>44559</v>
      </c>
      <c r="E739" s="66" t="s">
        <v>4311</v>
      </c>
      <c r="F739" s="142" t="s">
        <v>3868</v>
      </c>
      <c r="G739" s="66" t="s">
        <v>441</v>
      </c>
      <c r="H739" s="142" t="s">
        <v>745</v>
      </c>
      <c r="I739" s="141" t="n">
        <v>45938</v>
      </c>
      <c r="J739" s="66" t="n">
        <v>10</v>
      </c>
      <c r="K739" s="188" t="s">
        <v>49</v>
      </c>
      <c r="L739" s="142" t="s">
        <v>60</v>
      </c>
      <c r="M739" s="145" t="n">
        <v>1379</v>
      </c>
    </row>
    <row r="740" customFormat="false" ht="14.15" hidden="false" customHeight="false" outlineLevel="0" collapsed="false">
      <c r="A740" s="148" t="n">
        <v>41625</v>
      </c>
      <c r="B740" s="149" t="s">
        <v>4312</v>
      </c>
      <c r="C740" s="149" t="n">
        <v>2021</v>
      </c>
      <c r="D740" s="150" t="n">
        <v>44375</v>
      </c>
      <c r="E740" s="68" t="s">
        <v>4313</v>
      </c>
      <c r="F740" s="151" t="s">
        <v>275</v>
      </c>
      <c r="G740" s="68" t="s">
        <v>115</v>
      </c>
      <c r="H740" s="151" t="s">
        <v>589</v>
      </c>
      <c r="I740" s="150" t="n">
        <v>45938</v>
      </c>
      <c r="J740" s="68" t="n">
        <v>10</v>
      </c>
      <c r="K740" s="143" t="s">
        <v>48</v>
      </c>
      <c r="L740" s="151" t="s">
        <v>58</v>
      </c>
      <c r="M740" s="152" t="n">
        <v>1563</v>
      </c>
    </row>
    <row r="741" customFormat="false" ht="14.15" hidden="false" customHeight="false" outlineLevel="0" collapsed="false">
      <c r="A741" s="139" t="n">
        <v>41725</v>
      </c>
      <c r="B741" s="140" t="s">
        <v>4314</v>
      </c>
      <c r="C741" s="140" t="n">
        <v>2020</v>
      </c>
      <c r="D741" s="141" t="n">
        <v>43920</v>
      </c>
      <c r="E741" s="66" t="s">
        <v>4315</v>
      </c>
      <c r="F741" s="142" t="s">
        <v>777</v>
      </c>
      <c r="G741" s="66" t="s">
        <v>441</v>
      </c>
      <c r="H741" s="142" t="s">
        <v>1231</v>
      </c>
      <c r="I741" s="141" t="n">
        <v>45939</v>
      </c>
      <c r="J741" s="66" t="n">
        <v>10</v>
      </c>
      <c r="K741" s="188" t="s">
        <v>49</v>
      </c>
      <c r="L741" s="142" t="s">
        <v>58</v>
      </c>
      <c r="M741" s="145" t="n">
        <v>2019</v>
      </c>
    </row>
    <row r="742" customFormat="false" ht="14.15" hidden="false" customHeight="false" outlineLevel="0" collapsed="false">
      <c r="A742" s="148" t="n">
        <v>41825</v>
      </c>
      <c r="B742" s="149" t="s">
        <v>4316</v>
      </c>
      <c r="C742" s="149" t="n">
        <v>2020</v>
      </c>
      <c r="D742" s="150" t="n">
        <v>44110</v>
      </c>
      <c r="E742" s="68" t="s">
        <v>4317</v>
      </c>
      <c r="F742" s="151" t="s">
        <v>361</v>
      </c>
      <c r="G742" s="68" t="s">
        <v>441</v>
      </c>
      <c r="H742" s="151" t="s">
        <v>1231</v>
      </c>
      <c r="I742" s="150" t="n">
        <v>45966</v>
      </c>
      <c r="J742" s="68" t="n">
        <v>11</v>
      </c>
      <c r="K742" s="188" t="s">
        <v>49</v>
      </c>
      <c r="L742" s="151" t="s">
        <v>58</v>
      </c>
      <c r="M742" s="152" t="n">
        <v>1856</v>
      </c>
    </row>
    <row r="743" customFormat="false" ht="14.15" hidden="false" customHeight="false" outlineLevel="0" collapsed="false">
      <c r="A743" s="139" t="n">
        <v>41925</v>
      </c>
      <c r="B743" s="140" t="s">
        <v>4318</v>
      </c>
      <c r="C743" s="140" t="n">
        <v>2024</v>
      </c>
      <c r="D743" s="141" t="n">
        <v>45386</v>
      </c>
      <c r="E743" s="66" t="s">
        <v>4319</v>
      </c>
      <c r="F743" s="142" t="s">
        <v>902</v>
      </c>
      <c r="G743" s="66" t="s">
        <v>441</v>
      </c>
      <c r="H743" s="142" t="s">
        <v>243</v>
      </c>
      <c r="I743" s="141" t="n">
        <v>45946</v>
      </c>
      <c r="J743" s="66" t="n">
        <v>10</v>
      </c>
      <c r="K743" s="196" t="s">
        <v>44</v>
      </c>
      <c r="L743" s="142" t="s">
        <v>58</v>
      </c>
      <c r="M743" s="145" t="n">
        <v>560</v>
      </c>
    </row>
    <row r="744" customFormat="false" ht="14.15" hidden="false" customHeight="false" outlineLevel="0" collapsed="false">
      <c r="A744" s="148" t="n">
        <v>42025</v>
      </c>
      <c r="B744" s="149" t="s">
        <v>4320</v>
      </c>
      <c r="C744" s="149" t="n">
        <v>2019</v>
      </c>
      <c r="D744" s="150" t="n">
        <v>43797.7048611111</v>
      </c>
      <c r="E744" s="68" t="s">
        <v>4321</v>
      </c>
      <c r="F744" s="151" t="s">
        <v>705</v>
      </c>
      <c r="G744" s="68" t="s">
        <v>441</v>
      </c>
      <c r="H744" s="151" t="s">
        <v>522</v>
      </c>
      <c r="I744" s="150" t="n">
        <v>45946</v>
      </c>
      <c r="J744" s="68" t="n">
        <v>10</v>
      </c>
      <c r="K744" s="143" t="s">
        <v>48</v>
      </c>
      <c r="L744" s="151" t="s">
        <v>58</v>
      </c>
      <c r="M744" s="152" t="n">
        <v>2148.29513888889</v>
      </c>
    </row>
    <row r="745" customFormat="false" ht="14.15" hidden="false" customHeight="false" outlineLevel="0" collapsed="false">
      <c r="A745" s="139" t="n">
        <v>42125</v>
      </c>
      <c r="B745" s="140" t="s">
        <v>4322</v>
      </c>
      <c r="C745" s="140" t="n">
        <v>2019</v>
      </c>
      <c r="D745" s="141" t="n">
        <v>43819</v>
      </c>
      <c r="E745" s="66" t="s">
        <v>4323</v>
      </c>
      <c r="F745" s="142" t="s">
        <v>705</v>
      </c>
      <c r="G745" s="66" t="s">
        <v>441</v>
      </c>
      <c r="H745" s="142" t="s">
        <v>3393</v>
      </c>
      <c r="I745" s="141" t="n">
        <v>45952</v>
      </c>
      <c r="J745" s="66" t="n">
        <v>10</v>
      </c>
      <c r="K745" s="143" t="s">
        <v>48</v>
      </c>
      <c r="L745" s="142" t="s">
        <v>58</v>
      </c>
      <c r="M745" s="145" t="n">
        <v>2133</v>
      </c>
    </row>
    <row r="746" customFormat="false" ht="14.15" hidden="false" customHeight="false" outlineLevel="0" collapsed="false">
      <c r="A746" s="148" t="n">
        <v>42225</v>
      </c>
      <c r="B746" s="149" t="s">
        <v>4324</v>
      </c>
      <c r="C746" s="149" t="n">
        <v>2021</v>
      </c>
      <c r="D746" s="150" t="n">
        <v>44552</v>
      </c>
      <c r="E746" s="68" t="s">
        <v>4325</v>
      </c>
      <c r="F746" s="151" t="s">
        <v>2420</v>
      </c>
      <c r="G746" s="68" t="s">
        <v>115</v>
      </c>
      <c r="H746" s="151" t="s">
        <v>3407</v>
      </c>
      <c r="I746" s="150" t="n">
        <v>45953</v>
      </c>
      <c r="J746" s="68" t="n">
        <v>10</v>
      </c>
      <c r="K746" s="188" t="s">
        <v>49</v>
      </c>
      <c r="L746" s="151" t="s">
        <v>61</v>
      </c>
      <c r="M746" s="152" t="n">
        <v>1401</v>
      </c>
    </row>
    <row r="747" customFormat="false" ht="14.15" hidden="false" customHeight="false" outlineLevel="0" collapsed="false">
      <c r="A747" s="139" t="n">
        <v>42325</v>
      </c>
      <c r="B747" s="140" t="s">
        <v>4326</v>
      </c>
      <c r="C747" s="140" t="n">
        <v>2024</v>
      </c>
      <c r="D747" s="141" t="n">
        <v>45300</v>
      </c>
      <c r="E747" s="66" t="s">
        <v>4327</v>
      </c>
      <c r="F747" s="142" t="s">
        <v>4270</v>
      </c>
      <c r="G747" s="66" t="s">
        <v>441</v>
      </c>
      <c r="H747" s="142" t="s">
        <v>208</v>
      </c>
      <c r="I747" s="141" t="n">
        <v>45968</v>
      </c>
      <c r="J747" s="66" t="n">
        <v>11</v>
      </c>
      <c r="K747" s="143" t="s">
        <v>48</v>
      </c>
      <c r="L747" s="142" t="s">
        <v>58</v>
      </c>
      <c r="M747" s="145" t="n">
        <v>668</v>
      </c>
    </row>
    <row r="748" customFormat="false" ht="14.15" hidden="false" customHeight="false" outlineLevel="0" collapsed="false">
      <c r="A748" s="148" t="n">
        <v>42425</v>
      </c>
      <c r="B748" s="149" t="s">
        <v>4328</v>
      </c>
      <c r="C748" s="149" t="n">
        <v>2019</v>
      </c>
      <c r="D748" s="150" t="n">
        <v>43647</v>
      </c>
      <c r="E748" s="68" t="s">
        <v>4329</v>
      </c>
      <c r="F748" s="151" t="s">
        <v>123</v>
      </c>
      <c r="G748" s="68" t="s">
        <v>144</v>
      </c>
      <c r="H748" s="151" t="s">
        <v>285</v>
      </c>
      <c r="I748" s="150" t="n">
        <v>45960</v>
      </c>
      <c r="J748" s="68" t="n">
        <v>10</v>
      </c>
      <c r="K748" s="169" t="s">
        <v>290</v>
      </c>
      <c r="L748" s="151" t="s">
        <v>60</v>
      </c>
      <c r="M748" s="152" t="n">
        <v>2313</v>
      </c>
    </row>
    <row r="749" customFormat="false" ht="14.15" hidden="false" customHeight="false" outlineLevel="0" collapsed="false">
      <c r="A749" s="139" t="n">
        <v>42525</v>
      </c>
      <c r="B749" s="140" t="s">
        <v>4330</v>
      </c>
      <c r="C749" s="140" t="n">
        <v>2023</v>
      </c>
      <c r="D749" s="141" t="n">
        <v>44942</v>
      </c>
      <c r="E749" s="66" t="s">
        <v>4331</v>
      </c>
      <c r="F749" s="142" t="s">
        <v>4332</v>
      </c>
      <c r="G749" s="66" t="s">
        <v>441</v>
      </c>
      <c r="H749" s="142" t="s">
        <v>4333</v>
      </c>
      <c r="I749" s="141" t="n">
        <v>45972</v>
      </c>
      <c r="J749" s="66" t="n">
        <v>11</v>
      </c>
      <c r="K749" s="143" t="s">
        <v>48</v>
      </c>
      <c r="L749" s="142" t="s">
        <v>58</v>
      </c>
      <c r="M749" s="145" t="n">
        <v>1030</v>
      </c>
    </row>
    <row r="750" customFormat="false" ht="14.15" hidden="false" customHeight="false" outlineLevel="0" collapsed="false">
      <c r="A750" s="148" t="n">
        <v>42625</v>
      </c>
      <c r="B750" s="149" t="s">
        <v>4334</v>
      </c>
      <c r="C750" s="149" t="n">
        <v>2021</v>
      </c>
      <c r="D750" s="150" t="n">
        <v>44224</v>
      </c>
      <c r="E750" s="68" t="s">
        <v>4335</v>
      </c>
      <c r="F750" s="151" t="s">
        <v>4336</v>
      </c>
      <c r="G750" s="68" t="s">
        <v>144</v>
      </c>
      <c r="H750" s="151" t="s">
        <v>513</v>
      </c>
      <c r="I750" s="150" t="n">
        <v>45972</v>
      </c>
      <c r="J750" s="68" t="n">
        <v>11</v>
      </c>
      <c r="K750" s="188" t="s">
        <v>49</v>
      </c>
      <c r="L750" s="151" t="s">
        <v>60</v>
      </c>
      <c r="M750" s="152" t="n">
        <v>1748</v>
      </c>
    </row>
    <row r="751" customFormat="false" ht="14.15" hidden="false" customHeight="false" outlineLevel="0" collapsed="false">
      <c r="A751" s="139" t="n">
        <v>42725</v>
      </c>
      <c r="B751" s="140" t="s">
        <v>4337</v>
      </c>
      <c r="C751" s="140" t="n">
        <v>2023</v>
      </c>
      <c r="D751" s="141" t="n">
        <v>45254</v>
      </c>
      <c r="E751" s="66" t="s">
        <v>4338</v>
      </c>
      <c r="F751" s="142" t="s">
        <v>4339</v>
      </c>
      <c r="G751" s="66" t="s">
        <v>125</v>
      </c>
      <c r="H751" s="142" t="s">
        <v>54</v>
      </c>
      <c r="I751" s="141" t="n">
        <v>45974</v>
      </c>
      <c r="J751" s="66" t="n">
        <v>11</v>
      </c>
      <c r="K751" s="188" t="s">
        <v>49</v>
      </c>
      <c r="L751" s="144" t="s">
        <v>61</v>
      </c>
      <c r="M751" s="145" t="n">
        <v>720</v>
      </c>
    </row>
    <row r="752" customFormat="false" ht="14.15" hidden="false" customHeight="false" outlineLevel="0" collapsed="false">
      <c r="A752" s="148" t="n">
        <v>42825</v>
      </c>
      <c r="B752" s="149" t="s">
        <v>4340</v>
      </c>
      <c r="C752" s="149" t="n">
        <v>2019</v>
      </c>
      <c r="D752" s="150" t="n">
        <v>43496</v>
      </c>
      <c r="E752" s="68" t="s">
        <v>4341</v>
      </c>
      <c r="F752" s="151" t="s">
        <v>3190</v>
      </c>
      <c r="G752" s="68" t="s">
        <v>441</v>
      </c>
      <c r="H752" s="151" t="s">
        <v>109</v>
      </c>
      <c r="I752" s="150" t="n">
        <v>45974</v>
      </c>
      <c r="J752" s="68" t="n">
        <v>11</v>
      </c>
      <c r="K752" s="188" t="s">
        <v>49</v>
      </c>
      <c r="L752" s="151" t="s">
        <v>60</v>
      </c>
      <c r="M752" s="152" t="n">
        <v>2478</v>
      </c>
    </row>
    <row r="753" customFormat="false" ht="14.15" hidden="false" customHeight="false" outlineLevel="0" collapsed="false">
      <c r="A753" s="139" t="n">
        <v>42925</v>
      </c>
      <c r="B753" s="140" t="s">
        <v>4342</v>
      </c>
      <c r="C753" s="140" t="n">
        <v>2015</v>
      </c>
      <c r="D753" s="141" t="n">
        <v>42314</v>
      </c>
      <c r="E753" s="66" t="s">
        <v>4343</v>
      </c>
      <c r="F753" s="142" t="s">
        <v>726</v>
      </c>
      <c r="G753" s="66" t="s">
        <v>441</v>
      </c>
      <c r="H753" s="142" t="s">
        <v>1081</v>
      </c>
      <c r="I753" s="141" t="n">
        <v>45974</v>
      </c>
      <c r="J753" s="66" t="n">
        <v>11</v>
      </c>
      <c r="K753" s="188" t="s">
        <v>49</v>
      </c>
      <c r="L753" s="142" t="s">
        <v>60</v>
      </c>
      <c r="M753" s="145" t="n">
        <v>3660</v>
      </c>
    </row>
    <row r="754" customFormat="false" ht="14.15" hidden="false" customHeight="false" outlineLevel="0" collapsed="false">
      <c r="A754" s="148" t="n">
        <v>43025</v>
      </c>
      <c r="B754" s="149" t="s">
        <v>4344</v>
      </c>
      <c r="C754" s="149" t="n">
        <v>2024</v>
      </c>
      <c r="D754" s="150" t="n">
        <v>45428</v>
      </c>
      <c r="E754" s="68" t="s">
        <v>4345</v>
      </c>
      <c r="F754" s="151" t="s">
        <v>4346</v>
      </c>
      <c r="G754" s="68" t="s">
        <v>130</v>
      </c>
      <c r="H754" s="151" t="s">
        <v>4190</v>
      </c>
      <c r="I754" s="150" t="n">
        <v>45974</v>
      </c>
      <c r="J754" s="68" t="n">
        <v>11</v>
      </c>
      <c r="K754" s="188" t="s">
        <v>49</v>
      </c>
      <c r="L754" s="151" t="s">
        <v>61</v>
      </c>
      <c r="M754" s="152" t="n">
        <v>546</v>
      </c>
    </row>
    <row r="755" customFormat="false" ht="14.15" hidden="false" customHeight="false" outlineLevel="0" collapsed="false">
      <c r="A755" s="139" t="n">
        <v>43125</v>
      </c>
      <c r="B755" s="140" t="s">
        <v>4347</v>
      </c>
      <c r="C755" s="140" t="n">
        <v>2021</v>
      </c>
      <c r="D755" s="141" t="n">
        <v>44560</v>
      </c>
      <c r="E755" s="66" t="s">
        <v>4348</v>
      </c>
      <c r="F755" s="142" t="s">
        <v>4349</v>
      </c>
      <c r="G755" s="66" t="s">
        <v>441</v>
      </c>
      <c r="H755" s="142" t="s">
        <v>471</v>
      </c>
      <c r="I755" s="141" t="n">
        <v>45975</v>
      </c>
      <c r="J755" s="66" t="n">
        <v>11</v>
      </c>
      <c r="K755" s="188" t="s">
        <v>49</v>
      </c>
      <c r="L755" s="142" t="s">
        <v>58</v>
      </c>
      <c r="M755" s="145" t="n">
        <v>1415</v>
      </c>
    </row>
    <row r="756" customFormat="false" ht="14.15" hidden="false" customHeight="false" outlineLevel="0" collapsed="false">
      <c r="A756" s="148" t="n">
        <v>43225</v>
      </c>
      <c r="B756" s="149" t="s">
        <v>4350</v>
      </c>
      <c r="C756" s="149" t="n">
        <v>2019</v>
      </c>
      <c r="D756" s="150" t="n">
        <v>43798</v>
      </c>
      <c r="E756" s="68" t="s">
        <v>4351</v>
      </c>
      <c r="F756" s="151" t="s">
        <v>1916</v>
      </c>
      <c r="G756" s="68" t="s">
        <v>441</v>
      </c>
      <c r="H756" s="151" t="s">
        <v>4352</v>
      </c>
      <c r="I756" s="150" t="n">
        <v>45975</v>
      </c>
      <c r="J756" s="68" t="n">
        <v>11</v>
      </c>
      <c r="K756" s="196" t="s">
        <v>44</v>
      </c>
      <c r="L756" s="151" t="s">
        <v>58</v>
      </c>
      <c r="M756" s="152" t="n">
        <v>2177</v>
      </c>
    </row>
    <row r="757" customFormat="false" ht="14.15" hidden="false" customHeight="false" outlineLevel="0" collapsed="false">
      <c r="A757" s="139" t="n">
        <v>43325</v>
      </c>
      <c r="B757" s="140" t="s">
        <v>4353</v>
      </c>
      <c r="C757" s="140" t="n">
        <v>2020</v>
      </c>
      <c r="D757" s="141" t="n">
        <v>44083</v>
      </c>
      <c r="E757" s="66" t="s">
        <v>4354</v>
      </c>
      <c r="F757" s="142" t="s">
        <v>549</v>
      </c>
      <c r="G757" s="66" t="s">
        <v>441</v>
      </c>
      <c r="H757" s="142" t="s">
        <v>267</v>
      </c>
      <c r="I757" s="141" t="n">
        <v>45975</v>
      </c>
      <c r="J757" s="66" t="n">
        <v>11</v>
      </c>
      <c r="K757" s="143" t="s">
        <v>48</v>
      </c>
      <c r="L757" s="142" t="s">
        <v>58</v>
      </c>
      <c r="M757" s="145" t="n">
        <v>1892</v>
      </c>
    </row>
    <row r="758" customFormat="false" ht="14.15" hidden="false" customHeight="false" outlineLevel="0" collapsed="false">
      <c r="A758" s="148" t="n">
        <v>43425</v>
      </c>
      <c r="B758" s="149" t="s">
        <v>4355</v>
      </c>
      <c r="C758" s="149" t="n">
        <v>2020</v>
      </c>
      <c r="D758" s="150" t="n">
        <v>44078</v>
      </c>
      <c r="E758" s="68" t="s">
        <v>4356</v>
      </c>
      <c r="F758" s="151" t="s">
        <v>4357</v>
      </c>
      <c r="G758" s="68" t="s">
        <v>441</v>
      </c>
      <c r="H758" s="151" t="s">
        <v>4358</v>
      </c>
      <c r="I758" s="150" t="n">
        <v>45975</v>
      </c>
      <c r="J758" s="68" t="n">
        <v>11</v>
      </c>
      <c r="K758" s="188" t="s">
        <v>49</v>
      </c>
      <c r="L758" s="151" t="s">
        <v>60</v>
      </c>
      <c r="M758" s="152" t="n">
        <v>1897</v>
      </c>
    </row>
    <row r="759" customFormat="false" ht="14.15" hidden="false" customHeight="false" outlineLevel="0" collapsed="false">
      <c r="A759" s="139" t="n">
        <v>43525</v>
      </c>
      <c r="B759" s="140" t="s">
        <v>4359</v>
      </c>
      <c r="C759" s="140" t="n">
        <v>2020</v>
      </c>
      <c r="D759" s="141" t="n">
        <v>44112</v>
      </c>
      <c r="E759" s="66" t="s">
        <v>4360</v>
      </c>
      <c r="F759" s="142" t="s">
        <v>207</v>
      </c>
      <c r="G759" s="66" t="s">
        <v>441</v>
      </c>
      <c r="H759" s="142" t="s">
        <v>109</v>
      </c>
      <c r="I759" s="141" t="n">
        <v>45975</v>
      </c>
      <c r="J759" s="66" t="n">
        <v>11</v>
      </c>
      <c r="K759" s="188" t="s">
        <v>49</v>
      </c>
      <c r="L759" s="142" t="s">
        <v>58</v>
      </c>
      <c r="M759" s="145" t="n">
        <v>1863</v>
      </c>
    </row>
    <row r="760" customFormat="false" ht="14.15" hidden="false" customHeight="false" outlineLevel="0" collapsed="false">
      <c r="A760" s="148" t="n">
        <v>43625</v>
      </c>
      <c r="B760" s="149" t="s">
        <v>4361</v>
      </c>
      <c r="C760" s="149" t="n">
        <v>2021</v>
      </c>
      <c r="D760" s="150" t="n">
        <v>44091</v>
      </c>
      <c r="E760" s="68" t="s">
        <v>4362</v>
      </c>
      <c r="F760" s="151" t="s">
        <v>138</v>
      </c>
      <c r="G760" s="68" t="s">
        <v>441</v>
      </c>
      <c r="H760" s="151" t="s">
        <v>513</v>
      </c>
      <c r="I760" s="150" t="n">
        <v>45975</v>
      </c>
      <c r="J760" s="68" t="n">
        <v>11</v>
      </c>
      <c r="K760" s="188" t="s">
        <v>49</v>
      </c>
      <c r="L760" s="151" t="s">
        <v>61</v>
      </c>
      <c r="M760" s="152" t="n">
        <v>1884</v>
      </c>
    </row>
    <row r="761" customFormat="false" ht="14.15" hidden="false" customHeight="false" outlineLevel="0" collapsed="false">
      <c r="A761" s="139" t="n">
        <v>43725</v>
      </c>
      <c r="B761" s="140" t="s">
        <v>4363</v>
      </c>
      <c r="C761" s="140" t="n">
        <v>2020</v>
      </c>
      <c r="D761" s="141" t="n">
        <v>44020</v>
      </c>
      <c r="E761" s="66" t="s">
        <v>4364</v>
      </c>
      <c r="F761" s="142" t="s">
        <v>138</v>
      </c>
      <c r="G761" s="66" t="s">
        <v>441</v>
      </c>
      <c r="H761" s="142" t="s">
        <v>513</v>
      </c>
      <c r="I761" s="141" t="n">
        <v>45975</v>
      </c>
      <c r="J761" s="66" t="n">
        <v>11</v>
      </c>
      <c r="K761" s="188" t="s">
        <v>49</v>
      </c>
      <c r="L761" s="144" t="s">
        <v>61</v>
      </c>
      <c r="M761" s="145" t="n">
        <v>1955</v>
      </c>
    </row>
    <row r="762" customFormat="false" ht="14.15" hidden="false" customHeight="false" outlineLevel="0" collapsed="false">
      <c r="A762" s="148" t="n">
        <v>43825</v>
      </c>
      <c r="B762" s="149" t="s">
        <v>4365</v>
      </c>
      <c r="C762" s="149" t="n">
        <v>2019</v>
      </c>
      <c r="D762" s="150" t="n">
        <v>43504</v>
      </c>
      <c r="E762" s="68" t="s">
        <v>4366</v>
      </c>
      <c r="F762" s="151" t="s">
        <v>3190</v>
      </c>
      <c r="G762" s="68" t="s">
        <v>441</v>
      </c>
      <c r="H762" s="151" t="s">
        <v>109</v>
      </c>
      <c r="I762" s="150" t="n">
        <v>45975</v>
      </c>
      <c r="J762" s="68" t="n">
        <v>11</v>
      </c>
      <c r="K762" s="188" t="s">
        <v>49</v>
      </c>
      <c r="L762" s="151" t="s">
        <v>60</v>
      </c>
      <c r="M762" s="152" t="n">
        <v>2471</v>
      </c>
    </row>
    <row r="763" customFormat="false" ht="14.15" hidden="false" customHeight="false" outlineLevel="0" collapsed="false">
      <c r="A763" s="139" t="n">
        <v>43925</v>
      </c>
      <c r="B763" s="140" t="s">
        <v>4367</v>
      </c>
      <c r="C763" s="140" t="n">
        <v>2021</v>
      </c>
      <c r="D763" s="141" t="n">
        <v>44246</v>
      </c>
      <c r="E763" s="66" t="s">
        <v>4368</v>
      </c>
      <c r="F763" s="142" t="s">
        <v>4369</v>
      </c>
      <c r="G763" s="66" t="s">
        <v>441</v>
      </c>
      <c r="H763" s="142" t="s">
        <v>1231</v>
      </c>
      <c r="I763" s="141" t="n">
        <v>45975</v>
      </c>
      <c r="J763" s="66" t="n">
        <v>11</v>
      </c>
      <c r="K763" s="188" t="s">
        <v>49</v>
      </c>
      <c r="L763" s="142" t="s">
        <v>58</v>
      </c>
      <c r="M763" s="145" t="n">
        <v>1729</v>
      </c>
    </row>
    <row r="764" customFormat="false" ht="14.15" hidden="false" customHeight="false" outlineLevel="0" collapsed="false">
      <c r="A764" s="148" t="n">
        <v>44025</v>
      </c>
      <c r="B764" s="149" t="s">
        <v>4370</v>
      </c>
      <c r="C764" s="149" t="n">
        <v>2023</v>
      </c>
      <c r="D764" s="150" t="n">
        <v>44967</v>
      </c>
      <c r="E764" s="68" t="s">
        <v>4371</v>
      </c>
      <c r="F764" s="151" t="s">
        <v>408</v>
      </c>
      <c r="G764" s="68" t="s">
        <v>441</v>
      </c>
      <c r="H764" s="151" t="s">
        <v>4372</v>
      </c>
      <c r="I764" s="150" t="n">
        <v>45975</v>
      </c>
      <c r="J764" s="68" t="n">
        <v>11</v>
      </c>
      <c r="K764" s="188" t="s">
        <v>49</v>
      </c>
      <c r="L764" s="151" t="s">
        <v>60</v>
      </c>
      <c r="M764" s="152" t="n">
        <v>1008</v>
      </c>
    </row>
    <row r="765" customFormat="false" ht="26.85" hidden="false" customHeight="false" outlineLevel="0" collapsed="false">
      <c r="A765" s="139" t="n">
        <v>44125</v>
      </c>
      <c r="B765" s="140" t="s">
        <v>4373</v>
      </c>
      <c r="C765" s="140" t="n">
        <v>2024</v>
      </c>
      <c r="D765" s="141" t="n">
        <v>45425</v>
      </c>
      <c r="E765" s="66" t="s">
        <v>4374</v>
      </c>
      <c r="F765" s="142" t="s">
        <v>4375</v>
      </c>
      <c r="G765" s="66" t="s">
        <v>125</v>
      </c>
      <c r="H765" s="142" t="s">
        <v>4376</v>
      </c>
      <c r="I765" s="141" t="n">
        <v>45980</v>
      </c>
      <c r="J765" s="66" t="n">
        <v>11</v>
      </c>
      <c r="K765" s="188" t="s">
        <v>49</v>
      </c>
      <c r="L765" s="144" t="s">
        <v>61</v>
      </c>
      <c r="M765" s="145" t="n">
        <v>555</v>
      </c>
    </row>
    <row r="766" customFormat="false" ht="14.15" hidden="false" customHeight="false" outlineLevel="0" collapsed="false">
      <c r="A766" s="148" t="n">
        <v>44225</v>
      </c>
      <c r="B766" s="149" t="s">
        <v>4377</v>
      </c>
      <c r="C766" s="149" t="n">
        <v>2021</v>
      </c>
      <c r="D766" s="150" t="n">
        <v>44308</v>
      </c>
      <c r="E766" s="68" t="s">
        <v>4378</v>
      </c>
      <c r="F766" s="151" t="s">
        <v>537</v>
      </c>
      <c r="G766" s="68" t="s">
        <v>441</v>
      </c>
      <c r="H766" s="151" t="s">
        <v>522</v>
      </c>
      <c r="I766" s="150" t="n">
        <v>45980</v>
      </c>
      <c r="J766" s="68" t="n">
        <v>11</v>
      </c>
      <c r="K766" s="188" t="s">
        <v>49</v>
      </c>
      <c r="L766" s="151" t="s">
        <v>58</v>
      </c>
      <c r="M766" s="152" t="n">
        <v>1672</v>
      </c>
    </row>
    <row r="767" customFormat="false" ht="14.15" hidden="false" customHeight="false" outlineLevel="0" collapsed="false">
      <c r="A767" s="139" t="n">
        <v>44325</v>
      </c>
      <c r="B767" s="140" t="s">
        <v>4379</v>
      </c>
      <c r="C767" s="140" t="n">
        <v>2013</v>
      </c>
      <c r="D767" s="141" t="n">
        <v>44832</v>
      </c>
      <c r="E767" s="66" t="s">
        <v>4380</v>
      </c>
      <c r="F767" s="142" t="s">
        <v>4381</v>
      </c>
      <c r="G767" s="66" t="s">
        <v>441</v>
      </c>
      <c r="H767" s="142" t="s">
        <v>706</v>
      </c>
      <c r="I767" s="141" t="n">
        <v>45986</v>
      </c>
      <c r="J767" s="66" t="n">
        <v>11</v>
      </c>
      <c r="K767" s="163" t="s">
        <v>46</v>
      </c>
      <c r="L767" s="142" t="s">
        <v>60</v>
      </c>
      <c r="M767" s="145" t="n">
        <v>1154</v>
      </c>
    </row>
    <row r="768" customFormat="false" ht="14.15" hidden="false" customHeight="false" outlineLevel="0" collapsed="false">
      <c r="A768" s="148" t="n">
        <v>44425</v>
      </c>
      <c r="B768" s="149" t="s">
        <v>4382</v>
      </c>
      <c r="C768" s="149" t="n">
        <v>2015</v>
      </c>
      <c r="D768" s="150" t="n">
        <v>42340</v>
      </c>
      <c r="E768" s="68" t="s">
        <v>4383</v>
      </c>
      <c r="F768" s="151" t="s">
        <v>4384</v>
      </c>
      <c r="G768" s="68" t="s">
        <v>441</v>
      </c>
      <c r="H768" s="151" t="s">
        <v>3393</v>
      </c>
      <c r="I768" s="150" t="n">
        <v>45986</v>
      </c>
      <c r="J768" s="68" t="n">
        <v>11</v>
      </c>
      <c r="K768" s="143" t="s">
        <v>48</v>
      </c>
      <c r="L768" s="151" t="s">
        <v>58</v>
      </c>
      <c r="M768" s="152" t="n">
        <v>3646</v>
      </c>
    </row>
    <row r="769" customFormat="false" ht="14.15" hidden="false" customHeight="false" outlineLevel="0" collapsed="false">
      <c r="A769" s="139" t="n">
        <v>44525</v>
      </c>
      <c r="B769" s="140" t="s">
        <v>4385</v>
      </c>
      <c r="C769" s="140" t="n">
        <v>2019</v>
      </c>
      <c r="D769" s="141" t="n">
        <v>43496</v>
      </c>
      <c r="E769" s="66" t="s">
        <v>4386</v>
      </c>
      <c r="F769" s="142" t="s">
        <v>699</v>
      </c>
      <c r="G769" s="66" t="s">
        <v>441</v>
      </c>
      <c r="H769" s="142" t="s">
        <v>3393</v>
      </c>
      <c r="I769" s="141" t="n">
        <v>45986</v>
      </c>
      <c r="J769" s="66" t="n">
        <v>11</v>
      </c>
      <c r="K769" s="188" t="s">
        <v>49</v>
      </c>
      <c r="L769" s="142" t="s">
        <v>60</v>
      </c>
      <c r="M769" s="145" t="n">
        <v>2490</v>
      </c>
    </row>
    <row r="770" customFormat="false" ht="14.15" hidden="false" customHeight="false" outlineLevel="0" collapsed="false">
      <c r="A770" s="148" t="n">
        <v>44625</v>
      </c>
      <c r="B770" s="149" t="s">
        <v>4387</v>
      </c>
      <c r="C770" s="149" t="n">
        <v>2019</v>
      </c>
      <c r="D770" s="150" t="n">
        <v>43816</v>
      </c>
      <c r="E770" s="68" t="s">
        <v>4388</v>
      </c>
      <c r="F770" s="151" t="s">
        <v>3844</v>
      </c>
      <c r="G770" s="68" t="s">
        <v>441</v>
      </c>
      <c r="H770" s="151" t="s">
        <v>532</v>
      </c>
      <c r="I770" s="150" t="n">
        <v>45986</v>
      </c>
      <c r="J770" s="68" t="n">
        <v>11</v>
      </c>
      <c r="K770" s="188" t="s">
        <v>49</v>
      </c>
      <c r="L770" s="151" t="s">
        <v>58</v>
      </c>
      <c r="M770" s="152" t="n">
        <v>2170</v>
      </c>
    </row>
    <row r="771" customFormat="false" ht="14.15" hidden="false" customHeight="false" outlineLevel="0" collapsed="false">
      <c r="A771" s="139" t="n">
        <v>44725</v>
      </c>
      <c r="B771" s="140" t="s">
        <v>4389</v>
      </c>
      <c r="C771" s="140" t="n">
        <v>2019</v>
      </c>
      <c r="D771" s="141" t="n">
        <v>43791</v>
      </c>
      <c r="E771" s="66" t="s">
        <v>4390</v>
      </c>
      <c r="F771" s="142" t="s">
        <v>157</v>
      </c>
      <c r="G771" s="66" t="s">
        <v>441</v>
      </c>
      <c r="H771" s="142" t="s">
        <v>532</v>
      </c>
      <c r="I771" s="141" t="n">
        <v>45986</v>
      </c>
      <c r="J771" s="66" t="n">
        <v>11</v>
      </c>
      <c r="K771" s="143" t="s">
        <v>48</v>
      </c>
      <c r="L771" s="142" t="s">
        <v>58</v>
      </c>
      <c r="M771" s="145" t="n">
        <v>2195</v>
      </c>
    </row>
    <row r="772" customFormat="false" ht="26.85" hidden="false" customHeight="false" outlineLevel="0" collapsed="false">
      <c r="A772" s="148" t="n">
        <v>44825</v>
      </c>
      <c r="B772" s="149" t="s">
        <v>4391</v>
      </c>
      <c r="C772" s="149" t="n">
        <v>2023</v>
      </c>
      <c r="D772" s="150" t="n">
        <v>45247</v>
      </c>
      <c r="E772" s="68" t="s">
        <v>4392</v>
      </c>
      <c r="F772" s="151" t="s">
        <v>4393</v>
      </c>
      <c r="G772" s="68" t="s">
        <v>125</v>
      </c>
      <c r="H772" s="151" t="s">
        <v>54</v>
      </c>
      <c r="I772" s="150" t="n">
        <v>45986</v>
      </c>
      <c r="J772" s="68" t="n">
        <v>11</v>
      </c>
      <c r="K772" s="188" t="s">
        <v>49</v>
      </c>
      <c r="L772" s="151" t="s">
        <v>61</v>
      </c>
      <c r="M772" s="152" t="n">
        <v>739</v>
      </c>
    </row>
    <row r="773" customFormat="false" ht="14.15" hidden="false" customHeight="false" outlineLevel="0" collapsed="false">
      <c r="A773" s="139" t="n">
        <v>44925</v>
      </c>
      <c r="B773" s="140" t="s">
        <v>4394</v>
      </c>
      <c r="C773" s="140" t="n">
        <v>2024</v>
      </c>
      <c r="D773" s="141" t="n">
        <v>45517</v>
      </c>
      <c r="E773" s="66" t="s">
        <v>4395</v>
      </c>
      <c r="F773" s="142" t="s">
        <v>4396</v>
      </c>
      <c r="G773" s="66" t="s">
        <v>130</v>
      </c>
      <c r="H773" s="142" t="s">
        <v>3689</v>
      </c>
      <c r="I773" s="141" t="n">
        <v>45986</v>
      </c>
      <c r="J773" s="66" t="n">
        <v>11</v>
      </c>
      <c r="K773" s="188" t="s">
        <v>49</v>
      </c>
      <c r="L773" s="144" t="s">
        <v>61</v>
      </c>
      <c r="M773" s="145" t="n">
        <v>469</v>
      </c>
    </row>
    <row r="774" customFormat="false" ht="14.15" hidden="false" customHeight="false" outlineLevel="0" collapsed="false">
      <c r="A774" s="148" t="n">
        <v>45025</v>
      </c>
      <c r="B774" s="149" t="s">
        <v>4397</v>
      </c>
      <c r="C774" s="149" t="n">
        <v>2024</v>
      </c>
      <c r="D774" s="150" t="n">
        <v>45394</v>
      </c>
      <c r="E774" s="68" t="s">
        <v>4398</v>
      </c>
      <c r="F774" s="151" t="s">
        <v>4399</v>
      </c>
      <c r="G774" s="68" t="s">
        <v>125</v>
      </c>
      <c r="H774" s="151" t="s">
        <v>391</v>
      </c>
      <c r="I774" s="150" t="n">
        <v>45986</v>
      </c>
      <c r="J774" s="68" t="n">
        <v>11</v>
      </c>
      <c r="K774" s="169" t="s">
        <v>290</v>
      </c>
      <c r="L774" s="151" t="s">
        <v>61</v>
      </c>
      <c r="M774" s="152" t="n">
        <v>592</v>
      </c>
    </row>
    <row r="775" customFormat="false" ht="26.85" hidden="false" customHeight="false" outlineLevel="0" collapsed="false">
      <c r="A775" s="139" t="n">
        <v>45125</v>
      </c>
      <c r="B775" s="140" t="s">
        <v>4400</v>
      </c>
      <c r="C775" s="140" t="n">
        <v>2023</v>
      </c>
      <c r="D775" s="141" t="n">
        <v>45262</v>
      </c>
      <c r="E775" s="66" t="s">
        <v>4401</v>
      </c>
      <c r="F775" s="142" t="s">
        <v>4402</v>
      </c>
      <c r="G775" s="66" t="s">
        <v>125</v>
      </c>
      <c r="H775" s="142" t="s">
        <v>267</v>
      </c>
      <c r="I775" s="141" t="n">
        <v>45986</v>
      </c>
      <c r="J775" s="66" t="n">
        <v>11</v>
      </c>
      <c r="K775" s="169" t="s">
        <v>290</v>
      </c>
      <c r="L775" s="144" t="s">
        <v>61</v>
      </c>
      <c r="M775" s="145" t="n">
        <v>724</v>
      </c>
    </row>
    <row r="776" customFormat="false" ht="14.15" hidden="false" customHeight="false" outlineLevel="0" collapsed="false">
      <c r="A776" s="148" t="n">
        <v>45225</v>
      </c>
      <c r="B776" s="149" t="s">
        <v>4403</v>
      </c>
      <c r="C776" s="149" t="n">
        <v>2025</v>
      </c>
      <c r="D776" s="150" t="n">
        <v>45958</v>
      </c>
      <c r="E776" s="68" t="s">
        <v>4404</v>
      </c>
      <c r="F776" s="151" t="s">
        <v>1527</v>
      </c>
      <c r="G776" s="68" t="s">
        <v>144</v>
      </c>
      <c r="H776" s="151" t="s">
        <v>1059</v>
      </c>
      <c r="I776" s="150" t="n">
        <v>45986</v>
      </c>
      <c r="J776" s="68" t="n">
        <v>11</v>
      </c>
      <c r="K776" s="197" t="s">
        <v>43</v>
      </c>
      <c r="L776" s="151" t="s">
        <v>58</v>
      </c>
      <c r="M776" s="152" t="n">
        <v>28</v>
      </c>
    </row>
    <row r="777" customFormat="false" ht="14.15" hidden="false" customHeight="false" outlineLevel="0" collapsed="false">
      <c r="A777" s="139" t="n">
        <v>45325</v>
      </c>
      <c r="B777" s="140" t="s">
        <v>4405</v>
      </c>
      <c r="C777" s="140" t="n">
        <v>2023</v>
      </c>
      <c r="D777" s="141" t="n">
        <v>44936</v>
      </c>
      <c r="E777" s="66" t="s">
        <v>4406</v>
      </c>
      <c r="F777" s="142" t="s">
        <v>4407</v>
      </c>
      <c r="G777" s="66" t="s">
        <v>441</v>
      </c>
      <c r="H777" s="142" t="s">
        <v>471</v>
      </c>
      <c r="I777" s="141" t="n">
        <v>45986</v>
      </c>
      <c r="J777" s="66" t="n">
        <v>11</v>
      </c>
      <c r="K777" s="196" t="s">
        <v>44</v>
      </c>
      <c r="L777" s="142" t="s">
        <v>58</v>
      </c>
      <c r="M777" s="145" t="n">
        <v>1050</v>
      </c>
    </row>
    <row r="778" customFormat="false" ht="14.15" hidden="false" customHeight="false" outlineLevel="0" collapsed="false">
      <c r="A778" s="148" t="n">
        <v>45425</v>
      </c>
      <c r="B778" s="149" t="s">
        <v>4408</v>
      </c>
      <c r="C778" s="149" t="n">
        <v>2018</v>
      </c>
      <c r="D778" s="150" t="n">
        <v>43391</v>
      </c>
      <c r="E778" s="68" t="s">
        <v>4409</v>
      </c>
      <c r="F778" s="151" t="s">
        <v>1025</v>
      </c>
      <c r="G778" s="68" t="s">
        <v>441</v>
      </c>
      <c r="H778" s="151" t="s">
        <v>239</v>
      </c>
      <c r="I778" s="150" t="n">
        <v>45986</v>
      </c>
      <c r="J778" s="68" t="n">
        <v>11</v>
      </c>
      <c r="K778" s="188" t="s">
        <v>49</v>
      </c>
      <c r="L778" s="151" t="s">
        <v>58</v>
      </c>
      <c r="M778" s="152" t="n">
        <v>2595</v>
      </c>
    </row>
    <row r="779" customFormat="false" ht="14.15" hidden="false" customHeight="false" outlineLevel="0" collapsed="false">
      <c r="A779" s="139" t="n">
        <v>45525</v>
      </c>
      <c r="B779" s="140" t="s">
        <v>4410</v>
      </c>
      <c r="C779" s="140" t="n">
        <v>2021</v>
      </c>
      <c r="D779" s="141" t="n">
        <v>44244</v>
      </c>
      <c r="E779" s="66" t="s">
        <v>4411</v>
      </c>
      <c r="F779" s="142" t="s">
        <v>4369</v>
      </c>
      <c r="G779" s="66" t="s">
        <v>441</v>
      </c>
      <c r="H779" s="142" t="s">
        <v>1231</v>
      </c>
      <c r="I779" s="141" t="n">
        <v>45987</v>
      </c>
      <c r="J779" s="66" t="n">
        <v>11</v>
      </c>
      <c r="K779" s="188" t="s">
        <v>49</v>
      </c>
      <c r="L779" s="142" t="s">
        <v>58</v>
      </c>
      <c r="M779" s="145" t="n">
        <v>1743</v>
      </c>
    </row>
    <row r="780" customFormat="false" ht="26.85" hidden="false" customHeight="false" outlineLevel="0" collapsed="false">
      <c r="A780" s="148" t="n">
        <v>45625</v>
      </c>
      <c r="B780" s="149" t="s">
        <v>4412</v>
      </c>
      <c r="C780" s="149" t="n">
        <v>2023</v>
      </c>
      <c r="D780" s="150" t="n">
        <v>45159</v>
      </c>
      <c r="E780" s="68" t="s">
        <v>4413</v>
      </c>
      <c r="F780" s="151" t="s">
        <v>4414</v>
      </c>
      <c r="G780" s="68" t="s">
        <v>125</v>
      </c>
      <c r="H780" s="151" t="s">
        <v>972</v>
      </c>
      <c r="I780" s="150" t="n">
        <v>45987</v>
      </c>
      <c r="J780" s="68" t="n">
        <v>11</v>
      </c>
      <c r="K780" s="188" t="s">
        <v>49</v>
      </c>
      <c r="L780" s="151" t="s">
        <v>61</v>
      </c>
      <c r="M780" s="152" t="n">
        <v>828</v>
      </c>
    </row>
    <row r="781" customFormat="false" ht="14.15" hidden="false" customHeight="false" outlineLevel="0" collapsed="false">
      <c r="A781" s="139" t="n">
        <v>45725</v>
      </c>
      <c r="B781" s="140" t="s">
        <v>4415</v>
      </c>
      <c r="C781" s="140" t="n">
        <v>2018</v>
      </c>
      <c r="D781" s="141" t="n">
        <v>43315</v>
      </c>
      <c r="E781" s="66" t="s">
        <v>4416</v>
      </c>
      <c r="F781" s="142" t="s">
        <v>780</v>
      </c>
      <c r="G781" s="66" t="s">
        <v>441</v>
      </c>
      <c r="H781" s="142" t="s">
        <v>310</v>
      </c>
      <c r="I781" s="141" t="n">
        <v>45987</v>
      </c>
      <c r="J781" s="66" t="n">
        <v>11</v>
      </c>
      <c r="K781" s="188" t="s">
        <v>49</v>
      </c>
      <c r="L781" s="142" t="s">
        <v>60</v>
      </c>
      <c r="M781" s="145" t="n">
        <v>2672</v>
      </c>
    </row>
    <row r="782" customFormat="false" ht="14.15" hidden="false" customHeight="false" outlineLevel="0" collapsed="false">
      <c r="A782" s="148" t="n">
        <v>45825</v>
      </c>
      <c r="B782" s="149" t="s">
        <v>4417</v>
      </c>
      <c r="C782" s="149" t="n">
        <v>2020</v>
      </c>
      <c r="D782" s="150" t="n">
        <v>43977</v>
      </c>
      <c r="E782" s="68" t="s">
        <v>4418</v>
      </c>
      <c r="F782" s="151" t="s">
        <v>4419</v>
      </c>
      <c r="G782" s="68" t="s">
        <v>441</v>
      </c>
      <c r="H782" s="151" t="s">
        <v>4420</v>
      </c>
      <c r="I782" s="150" t="n">
        <v>45987</v>
      </c>
      <c r="J782" s="68" t="n">
        <v>11</v>
      </c>
      <c r="K782" s="188" t="s">
        <v>49</v>
      </c>
      <c r="L782" s="151" t="s">
        <v>58</v>
      </c>
      <c r="M782" s="152" t="n">
        <v>2010</v>
      </c>
    </row>
    <row r="783" customFormat="false" ht="14.15" hidden="false" customHeight="false" outlineLevel="0" collapsed="false">
      <c r="A783" s="139" t="n">
        <v>45925</v>
      </c>
      <c r="B783" s="140" t="s">
        <v>4421</v>
      </c>
      <c r="C783" s="140" t="n">
        <v>2020</v>
      </c>
      <c r="D783" s="141" t="n">
        <v>43920</v>
      </c>
      <c r="E783" s="66" t="s">
        <v>4422</v>
      </c>
      <c r="F783" s="142" t="s">
        <v>705</v>
      </c>
      <c r="G783" s="66" t="s">
        <v>441</v>
      </c>
      <c r="H783" s="142" t="s">
        <v>522</v>
      </c>
      <c r="I783" s="141" t="n">
        <v>45987</v>
      </c>
      <c r="J783" s="66" t="n">
        <v>11</v>
      </c>
      <c r="K783" s="143" t="s">
        <v>48</v>
      </c>
      <c r="L783" s="142" t="s">
        <v>58</v>
      </c>
      <c r="M783" s="145" t="n">
        <v>2067</v>
      </c>
    </row>
    <row r="784" customFormat="false" ht="14.15" hidden="false" customHeight="false" outlineLevel="0" collapsed="false">
      <c r="A784" s="148" t="n">
        <v>46025</v>
      </c>
      <c r="B784" s="149" t="s">
        <v>4423</v>
      </c>
      <c r="C784" s="149" t="n">
        <v>2020</v>
      </c>
      <c r="D784" s="150" t="n">
        <v>43859</v>
      </c>
      <c r="E784" s="68" t="s">
        <v>4424</v>
      </c>
      <c r="F784" s="151" t="s">
        <v>705</v>
      </c>
      <c r="G784" s="68" t="s">
        <v>441</v>
      </c>
      <c r="H784" s="151" t="s">
        <v>522</v>
      </c>
      <c r="I784" s="150" t="n">
        <v>45987</v>
      </c>
      <c r="J784" s="68" t="n">
        <v>11</v>
      </c>
      <c r="K784" s="143" t="s">
        <v>48</v>
      </c>
      <c r="L784" s="151" t="s">
        <v>58</v>
      </c>
      <c r="M784" s="152" t="n">
        <v>2128</v>
      </c>
    </row>
    <row r="785" customFormat="false" ht="14.15" hidden="false" customHeight="false" outlineLevel="0" collapsed="false">
      <c r="A785" s="139" t="n">
        <v>46125</v>
      </c>
      <c r="B785" s="140" t="s">
        <v>4425</v>
      </c>
      <c r="C785" s="140" t="n">
        <v>2024</v>
      </c>
      <c r="D785" s="141" t="n">
        <v>45532</v>
      </c>
      <c r="E785" s="66" t="s">
        <v>4426</v>
      </c>
      <c r="F785" s="142" t="s">
        <v>4427</v>
      </c>
      <c r="G785" s="66" t="s">
        <v>125</v>
      </c>
      <c r="H785" s="142" t="s">
        <v>3506</v>
      </c>
      <c r="I785" s="141" t="n">
        <v>45987</v>
      </c>
      <c r="J785" s="66" t="n">
        <v>11</v>
      </c>
      <c r="K785" s="169" t="s">
        <v>290</v>
      </c>
      <c r="L785" s="144" t="s">
        <v>61</v>
      </c>
      <c r="M785" s="145" t="n">
        <v>455</v>
      </c>
    </row>
    <row r="786" customFormat="false" ht="26.85" hidden="false" customHeight="false" outlineLevel="0" collapsed="false">
      <c r="A786" s="148" t="n">
        <v>46225</v>
      </c>
      <c r="B786" s="149" t="s">
        <v>4428</v>
      </c>
      <c r="C786" s="149" t="n">
        <v>2024</v>
      </c>
      <c r="D786" s="150" t="n">
        <v>45568</v>
      </c>
      <c r="E786" s="68" t="s">
        <v>4429</v>
      </c>
      <c r="F786" s="151" t="s">
        <v>4430</v>
      </c>
      <c r="G786" s="68" t="s">
        <v>125</v>
      </c>
      <c r="H786" s="151" t="s">
        <v>4431</v>
      </c>
      <c r="I786" s="150" t="n">
        <v>45987</v>
      </c>
      <c r="J786" s="68" t="n">
        <v>11</v>
      </c>
      <c r="K786" s="188" t="s">
        <v>49</v>
      </c>
      <c r="L786" s="151" t="s">
        <v>61</v>
      </c>
      <c r="M786" s="152" t="n">
        <v>419</v>
      </c>
    </row>
    <row r="787" customFormat="false" ht="14.15" hidden="false" customHeight="false" outlineLevel="0" collapsed="false">
      <c r="A787" s="139" t="n">
        <v>46325</v>
      </c>
      <c r="B787" s="140" t="s">
        <v>4432</v>
      </c>
      <c r="C787" s="140" t="n">
        <v>2018</v>
      </c>
      <c r="D787" s="141" t="n">
        <v>43433</v>
      </c>
      <c r="E787" s="66" t="s">
        <v>4433</v>
      </c>
      <c r="F787" s="142" t="s">
        <v>4434</v>
      </c>
      <c r="G787" s="66" t="s">
        <v>441</v>
      </c>
      <c r="H787" s="142" t="s">
        <v>192</v>
      </c>
      <c r="I787" s="141" t="n">
        <v>45988</v>
      </c>
      <c r="J787" s="66" t="n">
        <v>11</v>
      </c>
      <c r="K787" s="188" t="s">
        <v>49</v>
      </c>
      <c r="L787" s="142" t="s">
        <v>60</v>
      </c>
      <c r="M787" s="145" t="n">
        <v>2555</v>
      </c>
    </row>
    <row r="788" customFormat="false" ht="14.15" hidden="false" customHeight="false" outlineLevel="0" collapsed="false">
      <c r="A788" s="148" t="n">
        <v>46425</v>
      </c>
      <c r="B788" s="149" t="s">
        <v>4435</v>
      </c>
      <c r="C788" s="149" t="n">
        <v>2008</v>
      </c>
      <c r="D788" s="150" t="n">
        <v>39455</v>
      </c>
      <c r="E788" s="68" t="s">
        <v>4436</v>
      </c>
      <c r="F788" s="151" t="s">
        <v>4437</v>
      </c>
      <c r="G788" s="68" t="s">
        <v>144</v>
      </c>
      <c r="H788" s="151" t="s">
        <v>4438</v>
      </c>
      <c r="I788" s="150" t="n">
        <v>45988</v>
      </c>
      <c r="J788" s="68" t="n">
        <v>11</v>
      </c>
      <c r="K788" s="163" t="s">
        <v>46</v>
      </c>
      <c r="L788" s="151" t="s">
        <v>58</v>
      </c>
      <c r="M788" s="152" t="n">
        <v>6533</v>
      </c>
    </row>
    <row r="789" customFormat="false" ht="14.15" hidden="false" customHeight="false" outlineLevel="0" collapsed="false">
      <c r="A789" s="139" t="n">
        <v>46525</v>
      </c>
      <c r="B789" s="140" t="s">
        <v>4439</v>
      </c>
      <c r="C789" s="140" t="n">
        <v>2020</v>
      </c>
      <c r="D789" s="141" t="n">
        <v>43893</v>
      </c>
      <c r="E789" s="66" t="s">
        <v>4440</v>
      </c>
      <c r="F789" s="142" t="s">
        <v>446</v>
      </c>
      <c r="G789" s="66" t="s">
        <v>441</v>
      </c>
      <c r="H789" s="142" t="s">
        <v>3268</v>
      </c>
      <c r="I789" s="141" t="n">
        <v>45988</v>
      </c>
      <c r="J789" s="66" t="n">
        <v>11</v>
      </c>
      <c r="K789" s="188" t="s">
        <v>49</v>
      </c>
      <c r="L789" s="142" t="s">
        <v>60</v>
      </c>
      <c r="M789" s="145" t="n">
        <v>2095</v>
      </c>
    </row>
    <row r="790" customFormat="false" ht="14.15" hidden="false" customHeight="false" outlineLevel="0" collapsed="false">
      <c r="A790" s="148" t="n">
        <v>46625</v>
      </c>
      <c r="B790" s="149" t="s">
        <v>4441</v>
      </c>
      <c r="C790" s="149" t="n">
        <v>2022</v>
      </c>
      <c r="D790" s="150" t="n">
        <v>44615</v>
      </c>
      <c r="E790" s="68" t="s">
        <v>4442</v>
      </c>
      <c r="F790" s="151" t="s">
        <v>4100</v>
      </c>
      <c r="G790" s="68" t="s">
        <v>441</v>
      </c>
      <c r="H790" s="151" t="s">
        <v>409</v>
      </c>
      <c r="I790" s="150" t="n">
        <v>45989</v>
      </c>
      <c r="J790" s="68" t="n">
        <v>11</v>
      </c>
      <c r="K790" s="188" t="s">
        <v>49</v>
      </c>
      <c r="L790" s="151" t="s">
        <v>60</v>
      </c>
      <c r="M790" s="152" t="n">
        <v>1374</v>
      </c>
    </row>
    <row r="791" customFormat="false" ht="14.15" hidden="false" customHeight="false" outlineLevel="0" collapsed="false">
      <c r="A791" s="139" t="n">
        <v>46725</v>
      </c>
      <c r="B791" s="140" t="s">
        <v>4443</v>
      </c>
      <c r="C791" s="140" t="n">
        <v>2019</v>
      </c>
      <c r="D791" s="141" t="n">
        <v>43725</v>
      </c>
      <c r="E791" s="66" t="s">
        <v>4444</v>
      </c>
      <c r="F791" s="142" t="s">
        <v>823</v>
      </c>
      <c r="G791" s="66" t="s">
        <v>441</v>
      </c>
      <c r="H791" s="142" t="s">
        <v>1434</v>
      </c>
      <c r="I791" s="141" t="n">
        <v>45989</v>
      </c>
      <c r="J791" s="66" t="n">
        <v>11</v>
      </c>
      <c r="K791" s="188" t="s">
        <v>49</v>
      </c>
      <c r="L791" s="142" t="s">
        <v>60</v>
      </c>
      <c r="M791" s="145" t="n">
        <v>2264</v>
      </c>
    </row>
    <row r="792" customFormat="false" ht="14.15" hidden="false" customHeight="false" outlineLevel="0" collapsed="false">
      <c r="A792" s="148" t="n">
        <v>46825</v>
      </c>
      <c r="B792" s="149" t="s">
        <v>4445</v>
      </c>
      <c r="C792" s="149" t="n">
        <v>2021</v>
      </c>
      <c r="D792" s="150" t="n">
        <v>44462</v>
      </c>
      <c r="E792" s="68" t="s">
        <v>4446</v>
      </c>
      <c r="F792" s="151" t="s">
        <v>436</v>
      </c>
      <c r="G792" s="68" t="s">
        <v>441</v>
      </c>
      <c r="H792" s="151" t="s">
        <v>2506</v>
      </c>
      <c r="I792" s="150" t="n">
        <v>45989</v>
      </c>
      <c r="J792" s="68" t="n">
        <v>11</v>
      </c>
      <c r="K792" s="188" t="s">
        <v>49</v>
      </c>
      <c r="L792" s="151" t="s">
        <v>58</v>
      </c>
      <c r="M792" s="152" t="n">
        <v>1527</v>
      </c>
    </row>
    <row r="793" customFormat="false" ht="14.15" hidden="false" customHeight="false" outlineLevel="0" collapsed="false">
      <c r="A793" s="410" t="n">
        <v>46925</v>
      </c>
      <c r="B793" s="198" t="s">
        <v>4447</v>
      </c>
      <c r="C793" s="198" t="n">
        <v>2019</v>
      </c>
      <c r="D793" s="199" t="n">
        <v>43607</v>
      </c>
      <c r="E793" s="236" t="s">
        <v>4448</v>
      </c>
      <c r="F793" s="142" t="s">
        <v>379</v>
      </c>
      <c r="G793" s="66" t="s">
        <v>441</v>
      </c>
      <c r="H793" s="142" t="s">
        <v>513</v>
      </c>
      <c r="I793" s="141" t="n">
        <v>46007</v>
      </c>
      <c r="J793" s="66" t="n">
        <v>12</v>
      </c>
      <c r="K793" s="188" t="s">
        <v>49</v>
      </c>
      <c r="L793" s="142" t="s">
        <v>58</v>
      </c>
      <c r="M793" s="145" t="n">
        <v>2400</v>
      </c>
    </row>
    <row r="794" customFormat="false" ht="14.15" hidden="false" customHeight="false" outlineLevel="0" collapsed="false">
      <c r="A794" s="148" t="n">
        <v>47025</v>
      </c>
      <c r="B794" s="149" t="s">
        <v>4449</v>
      </c>
      <c r="C794" s="149" t="n">
        <v>2024</v>
      </c>
      <c r="D794" s="150" t="n">
        <v>45538</v>
      </c>
      <c r="E794" s="68" t="s">
        <v>4450</v>
      </c>
      <c r="F794" s="151" t="s">
        <v>401</v>
      </c>
      <c r="G794" s="68" t="s">
        <v>441</v>
      </c>
      <c r="H794" s="151" t="s">
        <v>1231</v>
      </c>
      <c r="I794" s="150" t="n">
        <v>46007</v>
      </c>
      <c r="J794" s="68" t="n">
        <v>12</v>
      </c>
      <c r="K794" s="188" t="s">
        <v>49</v>
      </c>
      <c r="L794" s="151" t="s">
        <v>58</v>
      </c>
      <c r="M794" s="152" t="n">
        <v>469</v>
      </c>
    </row>
    <row r="795" customFormat="false" ht="14.15" hidden="false" customHeight="false" outlineLevel="0" collapsed="false">
      <c r="A795" s="139" t="n">
        <v>47125</v>
      </c>
      <c r="B795" s="140" t="s">
        <v>4451</v>
      </c>
      <c r="C795" s="140" t="n">
        <v>2022</v>
      </c>
      <c r="D795" s="141" t="n">
        <v>44866</v>
      </c>
      <c r="E795" s="66" t="s">
        <v>4452</v>
      </c>
      <c r="F795" s="142" t="s">
        <v>1025</v>
      </c>
      <c r="G795" s="66" t="s">
        <v>441</v>
      </c>
      <c r="H795" s="142" t="s">
        <v>250</v>
      </c>
      <c r="I795" s="141" t="n">
        <v>46007</v>
      </c>
      <c r="J795" s="66" t="n">
        <v>12</v>
      </c>
      <c r="K795" s="143" t="s">
        <v>48</v>
      </c>
      <c r="L795" s="142" t="s">
        <v>58</v>
      </c>
      <c r="M795" s="145" t="n">
        <v>1141</v>
      </c>
    </row>
    <row r="796" customFormat="false" ht="14.15" hidden="false" customHeight="false" outlineLevel="0" collapsed="false">
      <c r="A796" s="148" t="n">
        <v>47225</v>
      </c>
      <c r="B796" s="149" t="s">
        <v>4453</v>
      </c>
      <c r="C796" s="149" t="n">
        <v>2020</v>
      </c>
      <c r="D796" s="150" t="n">
        <v>44151</v>
      </c>
      <c r="E796" s="68" t="s">
        <v>4454</v>
      </c>
      <c r="F796" s="151" t="s">
        <v>689</v>
      </c>
      <c r="G796" s="68" t="s">
        <v>441</v>
      </c>
      <c r="H796" s="151" t="s">
        <v>109</v>
      </c>
      <c r="I796" s="150" t="n">
        <v>46007</v>
      </c>
      <c r="J796" s="68" t="n">
        <v>12</v>
      </c>
      <c r="K796" s="188" t="s">
        <v>49</v>
      </c>
      <c r="L796" s="151" t="s">
        <v>60</v>
      </c>
      <c r="M796" s="152" t="n">
        <v>1856</v>
      </c>
    </row>
    <row r="797" customFormat="false" ht="14.15" hidden="false" customHeight="false" outlineLevel="0" collapsed="false">
      <c r="A797" s="139" t="n">
        <v>47325</v>
      </c>
      <c r="B797" s="140" t="s">
        <v>4455</v>
      </c>
      <c r="C797" s="140" t="n">
        <v>2023</v>
      </c>
      <c r="D797" s="141" t="n">
        <v>45016</v>
      </c>
      <c r="E797" s="66" t="s">
        <v>4456</v>
      </c>
      <c r="F797" s="142" t="s">
        <v>3190</v>
      </c>
      <c r="G797" s="66" t="s">
        <v>441</v>
      </c>
      <c r="H797" s="142" t="s">
        <v>4294</v>
      </c>
      <c r="I797" s="141" t="n">
        <v>46007</v>
      </c>
      <c r="J797" s="66" t="n">
        <v>12</v>
      </c>
      <c r="K797" s="188" t="s">
        <v>49</v>
      </c>
      <c r="L797" s="142" t="s">
        <v>60</v>
      </c>
      <c r="M797" s="145" t="n">
        <v>991</v>
      </c>
    </row>
    <row r="798" customFormat="false" ht="14.15" hidden="false" customHeight="false" outlineLevel="0" collapsed="false">
      <c r="A798" s="148" t="n">
        <v>47425</v>
      </c>
      <c r="B798" s="149" t="s">
        <v>4457</v>
      </c>
      <c r="C798" s="149" t="n">
        <v>2015</v>
      </c>
      <c r="D798" s="150" t="n">
        <v>42054</v>
      </c>
      <c r="E798" s="68" t="s">
        <v>4458</v>
      </c>
      <c r="F798" s="151" t="s">
        <v>138</v>
      </c>
      <c r="G798" s="68" t="s">
        <v>441</v>
      </c>
      <c r="H798" s="151" t="s">
        <v>109</v>
      </c>
      <c r="I798" s="150" t="n">
        <v>46007</v>
      </c>
      <c r="J798" s="68" t="n">
        <v>12</v>
      </c>
      <c r="K798" s="188" t="s">
        <v>49</v>
      </c>
      <c r="L798" s="151" t="s">
        <v>61</v>
      </c>
      <c r="M798" s="152" t="n">
        <v>3953</v>
      </c>
    </row>
    <row r="799" customFormat="false" ht="14.15" hidden="false" customHeight="false" outlineLevel="0" collapsed="false">
      <c r="A799" s="139" t="n">
        <v>47525</v>
      </c>
      <c r="B799" s="140" t="s">
        <v>4459</v>
      </c>
      <c r="C799" s="140" t="n">
        <v>2019</v>
      </c>
      <c r="D799" s="141" t="n">
        <v>43487</v>
      </c>
      <c r="E799" s="66" t="s">
        <v>4460</v>
      </c>
      <c r="F799" s="142" t="s">
        <v>699</v>
      </c>
      <c r="G799" s="66" t="s">
        <v>441</v>
      </c>
      <c r="H799" s="142" t="s">
        <v>817</v>
      </c>
      <c r="I799" s="141" t="n">
        <v>46007</v>
      </c>
      <c r="J799" s="66" t="n">
        <v>12</v>
      </c>
      <c r="K799" s="188" t="s">
        <v>49</v>
      </c>
      <c r="L799" s="142" t="s">
        <v>60</v>
      </c>
      <c r="M799" s="145" t="n">
        <v>2520</v>
      </c>
    </row>
    <row r="800" customFormat="false" ht="14.15" hidden="false" customHeight="false" outlineLevel="0" collapsed="false">
      <c r="A800" s="148" t="n">
        <v>47625</v>
      </c>
      <c r="B800" s="149" t="s">
        <v>4461</v>
      </c>
      <c r="C800" s="149" t="n">
        <v>2019</v>
      </c>
      <c r="D800" s="150" t="n">
        <v>43488</v>
      </c>
      <c r="E800" s="68" t="s">
        <v>4462</v>
      </c>
      <c r="F800" s="151" t="s">
        <v>4463</v>
      </c>
      <c r="G800" s="68" t="s">
        <v>441</v>
      </c>
      <c r="H800" s="151" t="s">
        <v>817</v>
      </c>
      <c r="I800" s="150" t="n">
        <v>46007</v>
      </c>
      <c r="J800" s="68" t="n">
        <v>12</v>
      </c>
      <c r="K800" s="188" t="s">
        <v>49</v>
      </c>
      <c r="L800" s="151" t="s">
        <v>60</v>
      </c>
      <c r="M800" s="152" t="n">
        <v>2519</v>
      </c>
    </row>
    <row r="801" customFormat="false" ht="14.15" hidden="false" customHeight="false" outlineLevel="0" collapsed="false">
      <c r="A801" s="139" t="n">
        <v>47725</v>
      </c>
      <c r="B801" s="140" t="s">
        <v>4464</v>
      </c>
      <c r="C801" s="140" t="n">
        <v>2020</v>
      </c>
      <c r="D801" s="141" t="n">
        <v>44021</v>
      </c>
      <c r="E801" s="66" t="s">
        <v>4465</v>
      </c>
      <c r="F801" s="142" t="s">
        <v>449</v>
      </c>
      <c r="G801" s="66" t="s">
        <v>441</v>
      </c>
      <c r="H801" s="142" t="s">
        <v>706</v>
      </c>
      <c r="I801" s="141" t="n">
        <v>46007</v>
      </c>
      <c r="J801" s="66" t="n">
        <v>12</v>
      </c>
      <c r="K801" s="143" t="s">
        <v>48</v>
      </c>
      <c r="L801" s="142" t="s">
        <v>58</v>
      </c>
      <c r="M801" s="145" t="n">
        <v>1986</v>
      </c>
    </row>
    <row r="802" customFormat="false" ht="14.15" hidden="false" customHeight="false" outlineLevel="0" collapsed="false">
      <c r="A802" s="148" t="n">
        <v>47825</v>
      </c>
      <c r="B802" s="149" t="s">
        <v>4466</v>
      </c>
      <c r="C802" s="149" t="n">
        <v>2016</v>
      </c>
      <c r="D802" s="150" t="n">
        <v>42656</v>
      </c>
      <c r="E802" s="68" t="s">
        <v>4467</v>
      </c>
      <c r="F802" s="151" t="s">
        <v>1987</v>
      </c>
      <c r="G802" s="68" t="s">
        <v>441</v>
      </c>
      <c r="H802" s="151" t="s">
        <v>250</v>
      </c>
      <c r="I802" s="150" t="n">
        <v>46007</v>
      </c>
      <c r="J802" s="68" t="n">
        <v>12</v>
      </c>
      <c r="K802" s="143" t="s">
        <v>48</v>
      </c>
      <c r="L802" s="151" t="s">
        <v>58</v>
      </c>
      <c r="M802" s="152" t="n">
        <v>3351</v>
      </c>
    </row>
    <row r="803" customFormat="false" ht="14.15" hidden="false" customHeight="false" outlineLevel="0" collapsed="false">
      <c r="A803" s="139" t="n">
        <v>47925</v>
      </c>
      <c r="B803" s="140" t="s">
        <v>4468</v>
      </c>
      <c r="C803" s="140" t="n">
        <v>2018</v>
      </c>
      <c r="D803" s="141" t="n">
        <v>43129</v>
      </c>
      <c r="E803" s="66" t="s">
        <v>4469</v>
      </c>
      <c r="F803" s="142" t="s">
        <v>699</v>
      </c>
      <c r="G803" s="66" t="s">
        <v>441</v>
      </c>
      <c r="H803" s="142" t="s">
        <v>4470</v>
      </c>
      <c r="I803" s="141" t="n">
        <v>46007</v>
      </c>
      <c r="J803" s="66" t="n">
        <v>12</v>
      </c>
      <c r="K803" s="188" t="s">
        <v>49</v>
      </c>
      <c r="L803" s="142" t="s">
        <v>60</v>
      </c>
      <c r="M803" s="145" t="n">
        <v>2878</v>
      </c>
    </row>
    <row r="804" customFormat="false" ht="14.15" hidden="false" customHeight="false" outlineLevel="0" collapsed="false">
      <c r="A804" s="148" t="n">
        <v>48025</v>
      </c>
      <c r="B804" s="149" t="s">
        <v>4471</v>
      </c>
      <c r="C804" s="149" t="n">
        <v>2023</v>
      </c>
      <c r="D804" s="150" t="n">
        <v>45230</v>
      </c>
      <c r="E804" s="68" t="s">
        <v>4472</v>
      </c>
      <c r="F804" s="151" t="s">
        <v>4473</v>
      </c>
      <c r="G804" s="68" t="s">
        <v>125</v>
      </c>
      <c r="H804" s="151" t="s">
        <v>254</v>
      </c>
      <c r="I804" s="150" t="n">
        <v>46007</v>
      </c>
      <c r="J804" s="68" t="n">
        <v>12</v>
      </c>
      <c r="K804" s="188" t="s">
        <v>49</v>
      </c>
      <c r="L804" s="151" t="s">
        <v>61</v>
      </c>
      <c r="M804" s="152" t="n">
        <v>777</v>
      </c>
    </row>
    <row r="805" customFormat="false" ht="14.15" hidden="false" customHeight="false" outlineLevel="0" collapsed="false">
      <c r="A805" s="139" t="n">
        <v>48125</v>
      </c>
      <c r="B805" s="140" t="s">
        <v>4474</v>
      </c>
      <c r="C805" s="140" t="n">
        <v>2024</v>
      </c>
      <c r="D805" s="141" t="n">
        <v>45434</v>
      </c>
      <c r="E805" s="66" t="s">
        <v>4475</v>
      </c>
      <c r="F805" s="142" t="s">
        <v>199</v>
      </c>
      <c r="G805" s="66" t="s">
        <v>130</v>
      </c>
      <c r="H805" s="142" t="s">
        <v>4476</v>
      </c>
      <c r="I805" s="141" t="n">
        <v>46007</v>
      </c>
      <c r="J805" s="66" t="n">
        <v>12</v>
      </c>
      <c r="K805" s="188" t="s">
        <v>49</v>
      </c>
      <c r="L805" s="144" t="s">
        <v>61</v>
      </c>
      <c r="M805" s="145" t="n">
        <v>573</v>
      </c>
    </row>
    <row r="806" customFormat="false" ht="14.15" hidden="false" customHeight="false" outlineLevel="0" collapsed="false">
      <c r="A806" s="148" t="n">
        <v>48225</v>
      </c>
      <c r="B806" s="149" t="s">
        <v>4477</v>
      </c>
      <c r="C806" s="149" t="n">
        <v>2021</v>
      </c>
      <c r="D806" s="150" t="n">
        <v>44491</v>
      </c>
      <c r="E806" s="68" t="s">
        <v>4478</v>
      </c>
      <c r="F806" s="151" t="s">
        <v>908</v>
      </c>
      <c r="G806" s="68" t="s">
        <v>441</v>
      </c>
      <c r="H806" s="151" t="s">
        <v>3240</v>
      </c>
      <c r="I806" s="150" t="n">
        <v>46009</v>
      </c>
      <c r="J806" s="68" t="n">
        <v>12</v>
      </c>
      <c r="K806" s="143" t="s">
        <v>48</v>
      </c>
      <c r="L806" s="151" t="s">
        <v>58</v>
      </c>
      <c r="M806" s="152" t="n">
        <v>1518</v>
      </c>
    </row>
    <row r="807" customFormat="false" ht="14.15" hidden="false" customHeight="false" outlineLevel="0" collapsed="false">
      <c r="A807" s="139" t="n">
        <v>48325</v>
      </c>
      <c r="B807" s="140" t="s">
        <v>4479</v>
      </c>
      <c r="C807" s="140" t="n">
        <v>2021</v>
      </c>
      <c r="D807" s="141" t="n">
        <v>44435</v>
      </c>
      <c r="E807" s="66" t="s">
        <v>4480</v>
      </c>
      <c r="F807" s="142" t="s">
        <v>537</v>
      </c>
      <c r="G807" s="66" t="s">
        <v>441</v>
      </c>
      <c r="H807" s="142" t="s">
        <v>4481</v>
      </c>
      <c r="I807" s="141" t="n">
        <v>46009</v>
      </c>
      <c r="J807" s="66" t="n">
        <v>12</v>
      </c>
      <c r="K807" s="188" t="s">
        <v>49</v>
      </c>
      <c r="L807" s="142" t="s">
        <v>58</v>
      </c>
      <c r="M807" s="145" t="n">
        <v>1574</v>
      </c>
    </row>
    <row r="808" customFormat="false" ht="14.15" hidden="false" customHeight="false" outlineLevel="0" collapsed="false">
      <c r="A808" s="148" t="n">
        <v>48425</v>
      </c>
      <c r="B808" s="149" t="s">
        <v>4482</v>
      </c>
      <c r="C808" s="149" t="n">
        <v>2021</v>
      </c>
      <c r="D808" s="150" t="n">
        <v>44403</v>
      </c>
      <c r="E808" s="68" t="s">
        <v>4483</v>
      </c>
      <c r="F808" s="151" t="s">
        <v>382</v>
      </c>
      <c r="G808" s="68" t="s">
        <v>441</v>
      </c>
      <c r="H808" s="151" t="s">
        <v>3240</v>
      </c>
      <c r="I808" s="150" t="n">
        <v>46009</v>
      </c>
      <c r="J808" s="68" t="n">
        <v>12</v>
      </c>
      <c r="K808" s="188" t="s">
        <v>49</v>
      </c>
      <c r="L808" s="151" t="s">
        <v>60</v>
      </c>
      <c r="M808" s="152" t="n">
        <v>1606</v>
      </c>
    </row>
    <row r="809" customFormat="false" ht="14.15" hidden="false" customHeight="false" outlineLevel="0" collapsed="false">
      <c r="A809" s="139" t="n">
        <v>48525</v>
      </c>
      <c r="B809" s="140" t="s">
        <v>4484</v>
      </c>
      <c r="C809" s="140" t="n">
        <v>2025</v>
      </c>
      <c r="D809" s="141" t="n">
        <v>45723</v>
      </c>
      <c r="E809" s="66" t="s">
        <v>4485</v>
      </c>
      <c r="F809" s="142" t="s">
        <v>288</v>
      </c>
      <c r="G809" s="66" t="s">
        <v>130</v>
      </c>
      <c r="H809" s="142" t="s">
        <v>4486</v>
      </c>
      <c r="I809" s="141" t="n">
        <v>46009</v>
      </c>
      <c r="J809" s="66" t="n">
        <v>12</v>
      </c>
      <c r="K809" s="169" t="s">
        <v>290</v>
      </c>
      <c r="L809" s="144" t="s">
        <v>61</v>
      </c>
      <c r="M809" s="145" t="n">
        <v>286</v>
      </c>
    </row>
    <row r="810" customFormat="false" ht="14.15" hidden="false" customHeight="false" outlineLevel="0" collapsed="false">
      <c r="A810" s="148" t="n">
        <v>48625</v>
      </c>
      <c r="B810" s="149" t="s">
        <v>4487</v>
      </c>
      <c r="C810" s="149" t="n">
        <v>2021</v>
      </c>
      <c r="D810" s="150" t="n">
        <v>44435</v>
      </c>
      <c r="E810" s="68" t="s">
        <v>4488</v>
      </c>
      <c r="F810" s="151" t="s">
        <v>769</v>
      </c>
      <c r="G810" s="68" t="s">
        <v>441</v>
      </c>
      <c r="H810" s="151" t="s">
        <v>3240</v>
      </c>
      <c r="I810" s="150" t="n">
        <v>46009</v>
      </c>
      <c r="J810" s="68" t="n">
        <v>12</v>
      </c>
      <c r="K810" s="188" t="s">
        <v>49</v>
      </c>
      <c r="L810" s="151" t="s">
        <v>60</v>
      </c>
      <c r="M810" s="152" t="n">
        <v>1574</v>
      </c>
    </row>
    <row r="811" customFormat="false" ht="14.15" hidden="false" customHeight="false" outlineLevel="0" collapsed="false">
      <c r="A811" s="139" t="n">
        <v>48725</v>
      </c>
      <c r="B811" s="140" t="s">
        <v>4489</v>
      </c>
      <c r="C811" s="140" t="n">
        <v>2019</v>
      </c>
      <c r="D811" s="141" t="n">
        <v>43677</v>
      </c>
      <c r="E811" s="66" t="s">
        <v>4490</v>
      </c>
      <c r="F811" s="142" t="s">
        <v>4491</v>
      </c>
      <c r="G811" s="66" t="s">
        <v>441</v>
      </c>
      <c r="H811" s="142" t="s">
        <v>522</v>
      </c>
      <c r="I811" s="141" t="n">
        <v>46009</v>
      </c>
      <c r="J811" s="66" t="n">
        <v>12</v>
      </c>
      <c r="K811" s="163" t="s">
        <v>46</v>
      </c>
      <c r="L811" s="142" t="s">
        <v>60</v>
      </c>
      <c r="M811" s="145" t="n">
        <v>2332</v>
      </c>
    </row>
    <row r="812" customFormat="false" ht="14.15" hidden="false" customHeight="false" outlineLevel="0" collapsed="false">
      <c r="A812" s="148" t="n">
        <v>48825</v>
      </c>
      <c r="B812" s="149" t="s">
        <v>4492</v>
      </c>
      <c r="C812" s="149" t="n">
        <v>2019</v>
      </c>
      <c r="D812" s="150" t="n">
        <v>43819</v>
      </c>
      <c r="E812" s="68" t="s">
        <v>4493</v>
      </c>
      <c r="F812" s="151" t="s">
        <v>705</v>
      </c>
      <c r="G812" s="68" t="s">
        <v>441</v>
      </c>
      <c r="H812" s="151" t="s">
        <v>2388</v>
      </c>
      <c r="I812" s="150" t="n">
        <v>46009</v>
      </c>
      <c r="J812" s="68" t="n">
        <v>12</v>
      </c>
      <c r="K812" s="143" t="s">
        <v>48</v>
      </c>
      <c r="L812" s="151" t="s">
        <v>58</v>
      </c>
      <c r="M812" s="152" t="n">
        <v>2190</v>
      </c>
    </row>
    <row r="813" customFormat="false" ht="14.15" hidden="false" customHeight="false" outlineLevel="0" collapsed="false">
      <c r="A813" s="139" t="n">
        <v>48925</v>
      </c>
      <c r="B813" s="140" t="s">
        <v>4494</v>
      </c>
      <c r="C813" s="140" t="n">
        <v>2020</v>
      </c>
      <c r="D813" s="141" t="n">
        <v>44152</v>
      </c>
      <c r="E813" s="66" t="s">
        <v>4495</v>
      </c>
      <c r="F813" s="142" t="s">
        <v>689</v>
      </c>
      <c r="G813" s="66" t="s">
        <v>441</v>
      </c>
      <c r="H813" s="142" t="s">
        <v>109</v>
      </c>
      <c r="I813" s="141" t="n">
        <v>46009</v>
      </c>
      <c r="J813" s="66" t="n">
        <v>12</v>
      </c>
      <c r="K813" s="188" t="s">
        <v>49</v>
      </c>
      <c r="L813" s="142" t="s">
        <v>60</v>
      </c>
      <c r="M813" s="145" t="n">
        <v>1857</v>
      </c>
    </row>
    <row r="814" customFormat="false" ht="14.15" hidden="false" customHeight="false" outlineLevel="0" collapsed="false">
      <c r="A814" s="148" t="n">
        <v>49025</v>
      </c>
      <c r="B814" s="149" t="s">
        <v>4496</v>
      </c>
      <c r="C814" s="149" t="n">
        <v>2019</v>
      </c>
      <c r="D814" s="150" t="n">
        <v>43746</v>
      </c>
      <c r="E814" s="68" t="s">
        <v>4497</v>
      </c>
      <c r="F814" s="151" t="s">
        <v>4498</v>
      </c>
      <c r="G814" s="68" t="s">
        <v>441</v>
      </c>
      <c r="H814" s="151" t="s">
        <v>4499</v>
      </c>
      <c r="I814" s="150" t="n">
        <v>46009</v>
      </c>
      <c r="J814" s="68" t="n">
        <v>12</v>
      </c>
      <c r="K814" s="188" t="s">
        <v>49</v>
      </c>
      <c r="L814" s="151" t="s">
        <v>60</v>
      </c>
      <c r="M814" s="152" t="n">
        <v>2263</v>
      </c>
    </row>
    <row r="815" customFormat="false" ht="14.15" hidden="false" customHeight="false" outlineLevel="0" collapsed="false">
      <c r="A815" s="139" t="n">
        <v>49125</v>
      </c>
      <c r="B815" s="140" t="s">
        <v>4500</v>
      </c>
      <c r="C815" s="140" t="n">
        <v>2019</v>
      </c>
      <c r="D815" s="141" t="n">
        <v>43732</v>
      </c>
      <c r="E815" s="66" t="s">
        <v>4501</v>
      </c>
      <c r="F815" s="142" t="s">
        <v>4502</v>
      </c>
      <c r="G815" s="66" t="s">
        <v>441</v>
      </c>
      <c r="H815" s="142" t="s">
        <v>243</v>
      </c>
      <c r="I815" s="141" t="n">
        <v>46009</v>
      </c>
      <c r="J815" s="66" t="n">
        <v>12</v>
      </c>
      <c r="K815" s="163" t="s">
        <v>46</v>
      </c>
      <c r="L815" s="142" t="s">
        <v>58</v>
      </c>
      <c r="M815" s="145" t="n">
        <v>2277</v>
      </c>
    </row>
    <row r="816" customFormat="false" ht="14.15" hidden="false" customHeight="false" outlineLevel="0" collapsed="false">
      <c r="A816" s="148" t="n">
        <v>49225</v>
      </c>
      <c r="B816" s="149" t="s">
        <v>4503</v>
      </c>
      <c r="C816" s="149" t="n">
        <v>2018</v>
      </c>
      <c r="D816" s="150" t="n">
        <v>43461</v>
      </c>
      <c r="E816" s="68" t="s">
        <v>4504</v>
      </c>
      <c r="F816" s="151" t="s">
        <v>4505</v>
      </c>
      <c r="G816" s="68" t="s">
        <v>441</v>
      </c>
      <c r="H816" s="151" t="s">
        <v>243</v>
      </c>
      <c r="I816" s="150" t="n">
        <v>46009</v>
      </c>
      <c r="J816" s="68" t="n">
        <v>12</v>
      </c>
      <c r="K816" s="143" t="s">
        <v>48</v>
      </c>
      <c r="L816" s="151" t="s">
        <v>58</v>
      </c>
      <c r="M816" s="152" t="n">
        <v>2548</v>
      </c>
    </row>
    <row r="817" customFormat="false" ht="14.15" hidden="false" customHeight="false" outlineLevel="0" collapsed="false">
      <c r="A817" s="139" t="n">
        <v>49325</v>
      </c>
      <c r="B817" s="140" t="s">
        <v>4506</v>
      </c>
      <c r="C817" s="140" t="n">
        <v>2015</v>
      </c>
      <c r="D817" s="141" t="n">
        <v>42335</v>
      </c>
      <c r="E817" s="66" t="s">
        <v>4507</v>
      </c>
      <c r="F817" s="142" t="s">
        <v>1097</v>
      </c>
      <c r="G817" s="66" t="s">
        <v>441</v>
      </c>
      <c r="H817" s="142" t="s">
        <v>693</v>
      </c>
      <c r="I817" s="141" t="n">
        <v>46009</v>
      </c>
      <c r="J817" s="66" t="n">
        <v>12</v>
      </c>
      <c r="K817" s="143" t="s">
        <v>48</v>
      </c>
      <c r="L817" s="142" t="s">
        <v>60</v>
      </c>
      <c r="M817" s="145" t="n">
        <v>3674</v>
      </c>
    </row>
    <row r="818" customFormat="false" ht="14.15" hidden="false" customHeight="false" outlineLevel="0" collapsed="false">
      <c r="A818" s="148" t="n">
        <v>49425</v>
      </c>
      <c r="B818" s="149" t="s">
        <v>4508</v>
      </c>
      <c r="C818" s="149" t="n">
        <v>2022</v>
      </c>
      <c r="D818" s="150" t="n">
        <v>44845</v>
      </c>
      <c r="E818" s="68" t="s">
        <v>4509</v>
      </c>
      <c r="F818" s="151" t="s">
        <v>467</v>
      </c>
      <c r="G818" s="68" t="s">
        <v>441</v>
      </c>
      <c r="H818" s="151" t="s">
        <v>4510</v>
      </c>
      <c r="I818" s="150" t="n">
        <v>46009</v>
      </c>
      <c r="J818" s="68" t="n">
        <v>12</v>
      </c>
      <c r="K818" s="188" t="s">
        <v>49</v>
      </c>
      <c r="L818" s="151" t="s">
        <v>60</v>
      </c>
      <c r="M818" s="152" t="n">
        <v>1164</v>
      </c>
    </row>
    <row r="819" customFormat="false" ht="14.15" hidden="false" customHeight="false" outlineLevel="0" collapsed="false">
      <c r="A819" s="139" t="n">
        <v>49525</v>
      </c>
      <c r="B819" s="140" t="s">
        <v>4511</v>
      </c>
      <c r="C819" s="140" t="n">
        <v>2019</v>
      </c>
      <c r="D819" s="141" t="n">
        <v>43658</v>
      </c>
      <c r="E819" s="66" t="s">
        <v>4512</v>
      </c>
      <c r="F819" s="142" t="s">
        <v>1262</v>
      </c>
      <c r="G819" s="66" t="s">
        <v>441</v>
      </c>
      <c r="H819" s="142" t="s">
        <v>227</v>
      </c>
      <c r="I819" s="141" t="n">
        <v>46009</v>
      </c>
      <c r="J819" s="66" t="n">
        <v>12</v>
      </c>
      <c r="K819" s="188" t="s">
        <v>49</v>
      </c>
      <c r="L819" s="142" t="s">
        <v>60</v>
      </c>
      <c r="M819" s="145" t="n">
        <v>2351</v>
      </c>
    </row>
    <row r="820" customFormat="false" ht="14.15" hidden="false" customHeight="false" outlineLevel="0" collapsed="false">
      <c r="A820" s="148" t="n">
        <v>49625</v>
      </c>
      <c r="B820" s="149" t="s">
        <v>4513</v>
      </c>
      <c r="C820" s="149" t="n">
        <v>2020</v>
      </c>
      <c r="D820" s="150" t="n">
        <v>44042</v>
      </c>
      <c r="E820" s="68" t="s">
        <v>4514</v>
      </c>
      <c r="F820" s="151" t="s">
        <v>477</v>
      </c>
      <c r="G820" s="68" t="s">
        <v>441</v>
      </c>
      <c r="H820" s="151" t="s">
        <v>239</v>
      </c>
      <c r="I820" s="150" t="n">
        <v>46009</v>
      </c>
      <c r="J820" s="68" t="n">
        <v>12</v>
      </c>
      <c r="K820" s="143" t="s">
        <v>48</v>
      </c>
      <c r="L820" s="151" t="s">
        <v>58</v>
      </c>
      <c r="M820" s="152" t="n">
        <v>1967</v>
      </c>
    </row>
    <row r="821" customFormat="false" ht="14.15" hidden="false" customHeight="false" outlineLevel="0" collapsed="false">
      <c r="A821" s="139" t="n">
        <v>49725</v>
      </c>
      <c r="B821" s="140" t="s">
        <v>4515</v>
      </c>
      <c r="C821" s="140" t="n">
        <v>2020</v>
      </c>
      <c r="D821" s="141" t="n">
        <v>44187</v>
      </c>
      <c r="E821" s="66" t="s">
        <v>4516</v>
      </c>
      <c r="F821" s="142" t="s">
        <v>1068</v>
      </c>
      <c r="G821" s="66" t="s">
        <v>441</v>
      </c>
      <c r="H821" s="142" t="s">
        <v>909</v>
      </c>
      <c r="I821" s="141" t="n">
        <v>46009</v>
      </c>
      <c r="J821" s="66" t="n">
        <v>12</v>
      </c>
      <c r="K821" s="169" t="s">
        <v>290</v>
      </c>
      <c r="L821" s="142" t="s">
        <v>60</v>
      </c>
      <c r="M821" s="145" t="n">
        <v>1822</v>
      </c>
    </row>
    <row r="822" customFormat="false" ht="14.15" hidden="false" customHeight="false" outlineLevel="0" collapsed="false">
      <c r="A822" s="148" t="n">
        <v>49825</v>
      </c>
      <c r="B822" s="149" t="s">
        <v>4517</v>
      </c>
      <c r="C822" s="149" t="n">
        <v>2019</v>
      </c>
      <c r="D822" s="150" t="n">
        <v>43593</v>
      </c>
      <c r="E822" s="68" t="s">
        <v>4518</v>
      </c>
      <c r="F822" s="151" t="s">
        <v>4519</v>
      </c>
      <c r="G822" s="68" t="s">
        <v>144</v>
      </c>
      <c r="H822" s="151" t="s">
        <v>254</v>
      </c>
      <c r="I822" s="150" t="n">
        <v>46009</v>
      </c>
      <c r="J822" s="68" t="n">
        <v>12</v>
      </c>
      <c r="K822" s="188" t="s">
        <v>49</v>
      </c>
      <c r="L822" s="151" t="s">
        <v>58</v>
      </c>
      <c r="M822" s="152" t="n">
        <v>2416</v>
      </c>
    </row>
    <row r="823" customFormat="false" ht="14.15" hidden="false" customHeight="false" outlineLevel="0" collapsed="false">
      <c r="A823" s="139" t="n">
        <v>49925</v>
      </c>
      <c r="B823" s="140" t="s">
        <v>4520</v>
      </c>
      <c r="C823" s="140" t="n">
        <v>2020</v>
      </c>
      <c r="D823" s="141" t="n">
        <v>44126</v>
      </c>
      <c r="E823" s="66" t="s">
        <v>4521</v>
      </c>
      <c r="F823" s="142" t="s">
        <v>449</v>
      </c>
      <c r="G823" s="66" t="s">
        <v>441</v>
      </c>
      <c r="H823" s="142" t="s">
        <v>239</v>
      </c>
      <c r="I823" s="141" t="n">
        <v>46009</v>
      </c>
      <c r="J823" s="66" t="n">
        <v>12</v>
      </c>
      <c r="K823" s="143" t="s">
        <v>48</v>
      </c>
      <c r="L823" s="142" t="s">
        <v>58</v>
      </c>
      <c r="M823" s="145" t="n">
        <v>1883</v>
      </c>
    </row>
    <row r="824" customFormat="false" ht="14.15" hidden="false" customHeight="false" outlineLevel="0" collapsed="false">
      <c r="A824" s="148" t="n">
        <v>50025</v>
      </c>
      <c r="B824" s="149" t="s">
        <v>4522</v>
      </c>
      <c r="C824" s="149" t="n">
        <v>2021</v>
      </c>
      <c r="D824" s="150" t="n">
        <v>44544</v>
      </c>
      <c r="E824" s="68" t="s">
        <v>4523</v>
      </c>
      <c r="F824" s="151" t="s">
        <v>4524</v>
      </c>
      <c r="G824" s="68" t="s">
        <v>144</v>
      </c>
      <c r="H824" s="151" t="s">
        <v>254</v>
      </c>
      <c r="I824" s="150" t="n">
        <v>46009</v>
      </c>
      <c r="J824" s="68" t="n">
        <v>12</v>
      </c>
      <c r="K824" s="143" t="s">
        <v>48</v>
      </c>
      <c r="L824" s="151" t="s">
        <v>58</v>
      </c>
      <c r="M824" s="152" t="n">
        <v>1465</v>
      </c>
    </row>
    <row r="825" customFormat="false" ht="26.85" hidden="false" customHeight="false" outlineLevel="0" collapsed="false">
      <c r="A825" s="139" t="n">
        <v>50125</v>
      </c>
      <c r="B825" s="140" t="s">
        <v>4525</v>
      </c>
      <c r="C825" s="140" t="n">
        <v>2025</v>
      </c>
      <c r="D825" s="141" t="n">
        <v>45713</v>
      </c>
      <c r="E825" s="66" t="s">
        <v>4526</v>
      </c>
      <c r="F825" s="142" t="s">
        <v>4527</v>
      </c>
      <c r="G825" s="66" t="s">
        <v>130</v>
      </c>
      <c r="H825" s="142" t="s">
        <v>208</v>
      </c>
      <c r="I825" s="141" t="n">
        <v>46009</v>
      </c>
      <c r="J825" s="66" t="n">
        <v>12</v>
      </c>
      <c r="K825" s="188" t="s">
        <v>49</v>
      </c>
      <c r="L825" s="144" t="s">
        <v>61</v>
      </c>
      <c r="M825" s="145" t="n">
        <v>296</v>
      </c>
    </row>
    <row r="826" customFormat="false" ht="14.15" hidden="false" customHeight="false" outlineLevel="0" collapsed="false">
      <c r="A826" s="148" t="n">
        <v>50225</v>
      </c>
      <c r="B826" s="149" t="s">
        <v>4528</v>
      </c>
      <c r="C826" s="149" t="n">
        <v>2018</v>
      </c>
      <c r="D826" s="150" t="n">
        <v>43392</v>
      </c>
      <c r="E826" s="68" t="s">
        <v>4529</v>
      </c>
      <c r="F826" s="151" t="s">
        <v>1316</v>
      </c>
      <c r="G826" s="68" t="s">
        <v>441</v>
      </c>
      <c r="H826" s="151" t="s">
        <v>192</v>
      </c>
      <c r="I826" s="150" t="n">
        <v>46009</v>
      </c>
      <c r="J826" s="68" t="n">
        <v>12</v>
      </c>
      <c r="K826" s="188" t="s">
        <v>49</v>
      </c>
      <c r="L826" s="151" t="s">
        <v>58</v>
      </c>
      <c r="M826" s="152" t="n">
        <v>2617</v>
      </c>
    </row>
    <row r="827" customFormat="false" ht="14.15" hidden="false" customHeight="false" outlineLevel="0" collapsed="false">
      <c r="A827" s="139" t="n">
        <v>50325</v>
      </c>
      <c r="B827" s="140" t="s">
        <v>4530</v>
      </c>
      <c r="C827" s="140" t="n">
        <v>2018</v>
      </c>
      <c r="D827" s="141" t="n">
        <v>43425</v>
      </c>
      <c r="E827" s="66" t="s">
        <v>4531</v>
      </c>
      <c r="F827" s="142" t="s">
        <v>123</v>
      </c>
      <c r="G827" s="66" t="s">
        <v>441</v>
      </c>
      <c r="H827" s="142" t="s">
        <v>184</v>
      </c>
      <c r="I827" s="141" t="n">
        <v>46009</v>
      </c>
      <c r="J827" s="66" t="n">
        <v>12</v>
      </c>
      <c r="K827" s="188" t="s">
        <v>49</v>
      </c>
      <c r="L827" s="142" t="s">
        <v>60</v>
      </c>
      <c r="M827" s="145" t="n">
        <v>2584</v>
      </c>
    </row>
    <row r="828" customFormat="false" ht="14.15" hidden="false" customHeight="false" outlineLevel="0" collapsed="false">
      <c r="A828" s="148" t="n">
        <v>50425</v>
      </c>
      <c r="B828" s="149" t="s">
        <v>4532</v>
      </c>
      <c r="C828" s="149" t="n">
        <v>2019</v>
      </c>
      <c r="D828" s="150" t="n">
        <v>43741</v>
      </c>
      <c r="E828" s="68" t="s">
        <v>4533</v>
      </c>
      <c r="F828" s="151" t="s">
        <v>138</v>
      </c>
      <c r="G828" s="68" t="s">
        <v>441</v>
      </c>
      <c r="H828" s="151" t="s">
        <v>109</v>
      </c>
      <c r="I828" s="150" t="n">
        <v>46009</v>
      </c>
      <c r="J828" s="68" t="n">
        <v>12</v>
      </c>
      <c r="K828" s="188" t="s">
        <v>49</v>
      </c>
      <c r="L828" s="151" t="s">
        <v>61</v>
      </c>
      <c r="M828" s="152" t="n">
        <v>2268</v>
      </c>
    </row>
    <row r="829" customFormat="false" ht="14.15" hidden="false" customHeight="false" outlineLevel="0" collapsed="false">
      <c r="A829" s="139" t="n">
        <v>50525</v>
      </c>
      <c r="B829" s="140" t="s">
        <v>4534</v>
      </c>
      <c r="C829" s="140" t="n">
        <v>2021</v>
      </c>
      <c r="D829" s="141" t="n">
        <v>44461</v>
      </c>
      <c r="E829" s="66" t="s">
        <v>4535</v>
      </c>
      <c r="F829" s="142" t="s">
        <v>790</v>
      </c>
      <c r="G829" s="66" t="s">
        <v>441</v>
      </c>
      <c r="H829" s="142" t="s">
        <v>1059</v>
      </c>
      <c r="I829" s="141" t="n">
        <v>46009</v>
      </c>
      <c r="J829" s="66" t="n">
        <v>12</v>
      </c>
      <c r="K829" s="188" t="s">
        <v>49</v>
      </c>
      <c r="L829" s="142" t="s">
        <v>58</v>
      </c>
      <c r="M829" s="145" t="n">
        <v>1548</v>
      </c>
    </row>
    <row r="830" customFormat="false" ht="14.15" hidden="false" customHeight="false" outlineLevel="0" collapsed="false">
      <c r="A830" s="148" t="n">
        <v>50625</v>
      </c>
      <c r="B830" s="149" t="s">
        <v>4536</v>
      </c>
      <c r="C830" s="149" t="n">
        <v>2020</v>
      </c>
      <c r="D830" s="150" t="n">
        <v>44026</v>
      </c>
      <c r="E830" s="68" t="s">
        <v>4537</v>
      </c>
      <c r="F830" s="151" t="s">
        <v>4538</v>
      </c>
      <c r="G830" s="68" t="s">
        <v>441</v>
      </c>
      <c r="H830" s="151" t="s">
        <v>706</v>
      </c>
      <c r="I830" s="150" t="n">
        <v>46013</v>
      </c>
      <c r="J830" s="68" t="n">
        <v>12</v>
      </c>
      <c r="K830" s="143" t="s">
        <v>48</v>
      </c>
      <c r="L830" s="151" t="s">
        <v>58</v>
      </c>
      <c r="M830" s="152" t="n">
        <v>1987</v>
      </c>
    </row>
    <row r="831" customFormat="false" ht="14.15" hidden="false" customHeight="false" outlineLevel="0" collapsed="false">
      <c r="A831" s="139" t="n">
        <v>50725</v>
      </c>
      <c r="B831" s="140" t="s">
        <v>4539</v>
      </c>
      <c r="C831" s="140" t="n">
        <v>2020</v>
      </c>
      <c r="D831" s="141" t="n">
        <v>44106</v>
      </c>
      <c r="E831" s="66" t="s">
        <v>4540</v>
      </c>
      <c r="F831" s="142" t="s">
        <v>891</v>
      </c>
      <c r="G831" s="66" t="s">
        <v>441</v>
      </c>
      <c r="H831" s="142" t="s">
        <v>109</v>
      </c>
      <c r="I831" s="141" t="n">
        <v>46013</v>
      </c>
      <c r="J831" s="66" t="n">
        <v>12</v>
      </c>
      <c r="K831" s="188" t="s">
        <v>49</v>
      </c>
      <c r="L831" s="144" t="s">
        <v>61</v>
      </c>
      <c r="M831" s="145" t="n">
        <v>1907</v>
      </c>
    </row>
    <row r="832" customFormat="false" ht="14.15" hidden="false" customHeight="false" outlineLevel="0" collapsed="false">
      <c r="A832" s="148" t="n">
        <v>50825</v>
      </c>
      <c r="B832" s="149" t="s">
        <v>4541</v>
      </c>
      <c r="C832" s="149" t="n">
        <v>2020</v>
      </c>
      <c r="D832" s="150" t="n">
        <v>44110</v>
      </c>
      <c r="E832" s="68" t="s">
        <v>4542</v>
      </c>
      <c r="F832" s="151" t="s">
        <v>138</v>
      </c>
      <c r="G832" s="68" t="s">
        <v>441</v>
      </c>
      <c r="H832" s="151" t="s">
        <v>109</v>
      </c>
      <c r="I832" s="150" t="n">
        <v>46013</v>
      </c>
      <c r="J832" s="68" t="n">
        <v>12</v>
      </c>
      <c r="K832" s="188" t="s">
        <v>49</v>
      </c>
      <c r="L832" s="151" t="s">
        <v>61</v>
      </c>
      <c r="M832" s="152" t="n">
        <v>1903</v>
      </c>
    </row>
    <row r="833" customFormat="false" ht="14.15" hidden="false" customHeight="false" outlineLevel="0" collapsed="false">
      <c r="A833" s="139" t="n">
        <v>50925</v>
      </c>
      <c r="B833" s="140" t="s">
        <v>4543</v>
      </c>
      <c r="C833" s="140" t="n">
        <v>2016</v>
      </c>
      <c r="D833" s="141" t="n">
        <v>42733</v>
      </c>
      <c r="E833" s="66" t="s">
        <v>4544</v>
      </c>
      <c r="F833" s="142" t="s">
        <v>787</v>
      </c>
      <c r="G833" s="66" t="s">
        <v>441</v>
      </c>
      <c r="H833" s="142" t="s">
        <v>706</v>
      </c>
      <c r="I833" s="141" t="n">
        <v>46013</v>
      </c>
      <c r="J833" s="66" t="n">
        <v>12</v>
      </c>
      <c r="K833" s="143" t="s">
        <v>48</v>
      </c>
      <c r="L833" s="142" t="s">
        <v>60</v>
      </c>
      <c r="M833" s="145" t="n">
        <v>3280</v>
      </c>
    </row>
    <row r="834" customFormat="false" ht="14.15" hidden="false" customHeight="false" outlineLevel="0" collapsed="false">
      <c r="A834" s="148" t="n">
        <v>51025</v>
      </c>
      <c r="B834" s="149" t="s">
        <v>4545</v>
      </c>
      <c r="C834" s="149" t="n">
        <v>2016</v>
      </c>
      <c r="D834" s="150" t="n">
        <v>42730</v>
      </c>
      <c r="E834" s="68" t="s">
        <v>4546</v>
      </c>
      <c r="F834" s="151" t="s">
        <v>787</v>
      </c>
      <c r="G834" s="68" t="s">
        <v>441</v>
      </c>
      <c r="H834" s="151" t="s">
        <v>817</v>
      </c>
      <c r="I834" s="150" t="n">
        <v>46013</v>
      </c>
      <c r="J834" s="68" t="n">
        <v>12</v>
      </c>
      <c r="K834" s="143" t="s">
        <v>48</v>
      </c>
      <c r="L834" s="151" t="s">
        <v>60</v>
      </c>
      <c r="M834" s="152" t="n">
        <v>3283</v>
      </c>
    </row>
    <row r="835" customFormat="false" ht="14.15" hidden="false" customHeight="false" outlineLevel="0" collapsed="false">
      <c r="A835" s="139" t="n">
        <v>51125</v>
      </c>
      <c r="B835" s="140" t="s">
        <v>4547</v>
      </c>
      <c r="C835" s="140" t="n">
        <v>2019</v>
      </c>
      <c r="D835" s="141" t="n">
        <v>43711</v>
      </c>
      <c r="E835" s="66" t="s">
        <v>4548</v>
      </c>
      <c r="F835" s="142" t="s">
        <v>123</v>
      </c>
      <c r="G835" s="66" t="s">
        <v>441</v>
      </c>
      <c r="H835" s="142" t="s">
        <v>706</v>
      </c>
      <c r="I835" s="141" t="n">
        <v>46013</v>
      </c>
      <c r="J835" s="66" t="n">
        <v>12</v>
      </c>
      <c r="K835" s="188" t="s">
        <v>49</v>
      </c>
      <c r="L835" s="142" t="s">
        <v>60</v>
      </c>
      <c r="M835" s="145" t="n">
        <v>2302</v>
      </c>
    </row>
    <row r="836" customFormat="false" ht="26.85" hidden="false" customHeight="false" outlineLevel="0" collapsed="false">
      <c r="A836" s="148" t="n">
        <v>51225</v>
      </c>
      <c r="B836" s="149" t="s">
        <v>4549</v>
      </c>
      <c r="C836" s="149" t="n">
        <v>2025</v>
      </c>
      <c r="D836" s="150" t="n">
        <v>45694</v>
      </c>
      <c r="E836" s="68" t="s">
        <v>4550</v>
      </c>
      <c r="F836" s="151" t="s">
        <v>148</v>
      </c>
      <c r="G836" s="68" t="s">
        <v>125</v>
      </c>
      <c r="H836" s="151" t="s">
        <v>4551</v>
      </c>
      <c r="I836" s="150" t="n">
        <v>46013</v>
      </c>
      <c r="J836" s="68" t="n">
        <v>12</v>
      </c>
      <c r="K836" s="188" t="s">
        <v>49</v>
      </c>
      <c r="L836" s="151" t="s">
        <v>61</v>
      </c>
      <c r="M836" s="152" t="n">
        <v>319</v>
      </c>
    </row>
    <row r="837" customFormat="false" ht="14.15" hidden="false" customHeight="false" outlineLevel="0" collapsed="false">
      <c r="A837" s="139" t="n">
        <v>51325</v>
      </c>
      <c r="B837" s="140" t="s">
        <v>4552</v>
      </c>
      <c r="C837" s="140" t="n">
        <v>2023</v>
      </c>
      <c r="D837" s="141" t="n">
        <v>44988</v>
      </c>
      <c r="E837" s="66" t="s">
        <v>4553</v>
      </c>
      <c r="F837" s="142" t="s">
        <v>555</v>
      </c>
      <c r="G837" s="66" t="s">
        <v>441</v>
      </c>
      <c r="H837" s="142" t="s">
        <v>4554</v>
      </c>
      <c r="I837" s="141" t="n">
        <v>46013</v>
      </c>
      <c r="J837" s="66" t="n">
        <v>12</v>
      </c>
      <c r="K837" s="188" t="s">
        <v>49</v>
      </c>
      <c r="L837" s="142" t="s">
        <v>58</v>
      </c>
      <c r="M837" s="145" t="n">
        <v>1025</v>
      </c>
    </row>
    <row r="838" customFormat="false" ht="14.15" hidden="false" customHeight="false" outlineLevel="0" collapsed="false">
      <c r="A838" s="148" t="n">
        <v>51425</v>
      </c>
      <c r="B838" s="149" t="s">
        <v>4555</v>
      </c>
      <c r="C838" s="149" t="n">
        <v>2021</v>
      </c>
      <c r="D838" s="150" t="n">
        <v>44469</v>
      </c>
      <c r="E838" s="68" t="s">
        <v>4556</v>
      </c>
      <c r="F838" s="151" t="s">
        <v>2425</v>
      </c>
      <c r="G838" s="68" t="s">
        <v>115</v>
      </c>
      <c r="H838" s="151" t="s">
        <v>589</v>
      </c>
      <c r="I838" s="150" t="n">
        <v>46013</v>
      </c>
      <c r="J838" s="68" t="n">
        <v>12</v>
      </c>
      <c r="K838" s="143" t="s">
        <v>48</v>
      </c>
      <c r="L838" s="151" t="s">
        <v>58</v>
      </c>
      <c r="M838" s="152" t="n">
        <v>1544</v>
      </c>
    </row>
    <row r="839" customFormat="false" ht="14.15" hidden="false" customHeight="false" outlineLevel="0" collapsed="false">
      <c r="A839" s="139" t="n">
        <v>51525</v>
      </c>
      <c r="B839" s="140" t="s">
        <v>4557</v>
      </c>
      <c r="C839" s="140" t="n">
        <v>2021</v>
      </c>
      <c r="D839" s="141" t="n">
        <v>44250</v>
      </c>
      <c r="E839" s="66" t="s">
        <v>4558</v>
      </c>
      <c r="F839" s="142" t="s">
        <v>705</v>
      </c>
      <c r="G839" s="66" t="s">
        <v>441</v>
      </c>
      <c r="H839" s="142" t="s">
        <v>706</v>
      </c>
      <c r="I839" s="141" t="n">
        <v>46013</v>
      </c>
      <c r="J839" s="66" t="n">
        <v>12</v>
      </c>
      <c r="K839" s="143" t="s">
        <v>48</v>
      </c>
      <c r="L839" s="142" t="s">
        <v>58</v>
      </c>
      <c r="M839" s="145" t="n">
        <v>1763</v>
      </c>
    </row>
    <row r="840" customFormat="false" ht="14.15" hidden="false" customHeight="false" outlineLevel="0" collapsed="false">
      <c r="A840" s="148" t="n">
        <v>51625</v>
      </c>
      <c r="B840" s="149" t="s">
        <v>4559</v>
      </c>
      <c r="C840" s="149" t="n">
        <v>2019</v>
      </c>
      <c r="D840" s="150" t="n">
        <v>43703</v>
      </c>
      <c r="E840" s="68" t="s">
        <v>4560</v>
      </c>
      <c r="F840" s="151" t="s">
        <v>157</v>
      </c>
      <c r="G840" s="68" t="s">
        <v>441</v>
      </c>
      <c r="H840" s="151" t="s">
        <v>706</v>
      </c>
      <c r="I840" s="150" t="n">
        <v>46013</v>
      </c>
      <c r="J840" s="68" t="n">
        <v>12</v>
      </c>
      <c r="K840" s="143" t="s">
        <v>48</v>
      </c>
      <c r="L840" s="151" t="s">
        <v>58</v>
      </c>
      <c r="M840" s="152" t="n">
        <v>2310</v>
      </c>
    </row>
    <row r="841" customFormat="false" ht="14.15" hidden="false" customHeight="false" outlineLevel="0" collapsed="false">
      <c r="A841" s="139" t="n">
        <v>51725</v>
      </c>
      <c r="B841" s="140" t="s">
        <v>4561</v>
      </c>
      <c r="C841" s="140" t="n">
        <v>2020</v>
      </c>
      <c r="D841" s="141" t="n">
        <v>44188</v>
      </c>
      <c r="E841" s="66" t="s">
        <v>4562</v>
      </c>
      <c r="F841" s="142" t="s">
        <v>1783</v>
      </c>
      <c r="G841" s="66" t="s">
        <v>441</v>
      </c>
      <c r="H841" s="142" t="s">
        <v>1059</v>
      </c>
      <c r="I841" s="141" t="n">
        <v>46013</v>
      </c>
      <c r="J841" s="66" t="n">
        <v>12</v>
      </c>
      <c r="K841" s="197" t="s">
        <v>43</v>
      </c>
      <c r="L841" s="142" t="s">
        <v>58</v>
      </c>
      <c r="M841" s="145" t="n">
        <v>1825</v>
      </c>
    </row>
    <row r="842" customFormat="false" ht="14.15" hidden="false" customHeight="false" outlineLevel="0" collapsed="false">
      <c r="A842" s="148" t="n">
        <v>51825</v>
      </c>
      <c r="B842" s="149" t="s">
        <v>4563</v>
      </c>
      <c r="C842" s="149" t="n">
        <v>2021</v>
      </c>
      <c r="D842" s="150" t="n">
        <v>44560</v>
      </c>
      <c r="E842" s="68" t="s">
        <v>4564</v>
      </c>
      <c r="F842" s="151" t="s">
        <v>1017</v>
      </c>
      <c r="G842" s="68" t="s">
        <v>441</v>
      </c>
      <c r="H842" s="151" t="s">
        <v>460</v>
      </c>
      <c r="I842" s="150" t="n">
        <v>46013</v>
      </c>
      <c r="J842" s="68" t="n">
        <v>12</v>
      </c>
      <c r="K842" s="143" t="s">
        <v>48</v>
      </c>
      <c r="L842" s="151" t="s">
        <v>58</v>
      </c>
      <c r="M842" s="152" t="n">
        <v>1453</v>
      </c>
    </row>
    <row r="843" customFormat="false" ht="14.15" hidden="false" customHeight="false" outlineLevel="0" collapsed="false">
      <c r="A843" s="139" t="n">
        <v>51925</v>
      </c>
      <c r="B843" s="140" t="s">
        <v>4565</v>
      </c>
      <c r="C843" s="140" t="n">
        <v>2019</v>
      </c>
      <c r="D843" s="141" t="n">
        <v>43563</v>
      </c>
      <c r="E843" s="66" t="s">
        <v>4566</v>
      </c>
      <c r="F843" s="142" t="s">
        <v>1324</v>
      </c>
      <c r="G843" s="66" t="s">
        <v>441</v>
      </c>
      <c r="H843" s="142" t="s">
        <v>706</v>
      </c>
      <c r="I843" s="141" t="n">
        <v>46013</v>
      </c>
      <c r="J843" s="66" t="n">
        <v>12</v>
      </c>
      <c r="K843" s="188" t="s">
        <v>49</v>
      </c>
      <c r="L843" s="142" t="s">
        <v>60</v>
      </c>
      <c r="M843" s="145" t="n">
        <v>2450</v>
      </c>
    </row>
    <row r="844" customFormat="false" ht="14.15" hidden="false" customHeight="false" outlineLevel="0" collapsed="false">
      <c r="A844" s="148" t="n">
        <v>52025</v>
      </c>
      <c r="B844" s="149" t="s">
        <v>4567</v>
      </c>
      <c r="C844" s="149" t="n">
        <v>2019</v>
      </c>
      <c r="D844" s="150" t="n">
        <v>43564</v>
      </c>
      <c r="E844" s="68" t="s">
        <v>4568</v>
      </c>
      <c r="F844" s="151" t="s">
        <v>1324</v>
      </c>
      <c r="G844" s="68" t="s">
        <v>441</v>
      </c>
      <c r="H844" s="151" t="s">
        <v>109</v>
      </c>
      <c r="I844" s="150" t="n">
        <v>46013</v>
      </c>
      <c r="J844" s="68" t="n">
        <v>12</v>
      </c>
      <c r="K844" s="188" t="s">
        <v>49</v>
      </c>
      <c r="L844" s="151" t="s">
        <v>60</v>
      </c>
      <c r="M844" s="152" t="n">
        <v>2449</v>
      </c>
    </row>
    <row r="845" customFormat="false" ht="14.15" hidden="false" customHeight="false" outlineLevel="0" collapsed="false">
      <c r="A845" s="139" t="n">
        <v>52125</v>
      </c>
      <c r="B845" s="140" t="s">
        <v>4569</v>
      </c>
      <c r="C845" s="140" t="n">
        <v>2020</v>
      </c>
      <c r="D845" s="141" t="n">
        <v>44158</v>
      </c>
      <c r="E845" s="66" t="s">
        <v>4570</v>
      </c>
      <c r="F845" s="142" t="s">
        <v>1783</v>
      </c>
      <c r="G845" s="66" t="s">
        <v>441</v>
      </c>
      <c r="H845" s="142" t="s">
        <v>109</v>
      </c>
      <c r="I845" s="141" t="n">
        <v>46013</v>
      </c>
      <c r="J845" s="66" t="n">
        <v>12</v>
      </c>
      <c r="K845" s="143" t="s">
        <v>48</v>
      </c>
      <c r="L845" s="142" t="s">
        <v>60</v>
      </c>
      <c r="M845" s="145" t="n">
        <v>1855</v>
      </c>
    </row>
    <row r="846" customFormat="false" ht="14.15" hidden="false" customHeight="false" outlineLevel="0" collapsed="false">
      <c r="A846" s="148" t="n">
        <v>52225</v>
      </c>
      <c r="B846" s="149" t="s">
        <v>4571</v>
      </c>
      <c r="C846" s="149" t="n">
        <v>2022</v>
      </c>
      <c r="D846" s="150" t="n">
        <v>44585</v>
      </c>
      <c r="E846" s="68" t="s">
        <v>4572</v>
      </c>
      <c r="F846" s="151" t="s">
        <v>4573</v>
      </c>
      <c r="G846" s="68" t="s">
        <v>441</v>
      </c>
      <c r="H846" s="151" t="s">
        <v>285</v>
      </c>
      <c r="I846" s="150" t="n">
        <v>46013</v>
      </c>
      <c r="J846" s="68" t="n">
        <v>12</v>
      </c>
      <c r="K846" s="143" t="s">
        <v>48</v>
      </c>
      <c r="L846" s="151" t="s">
        <v>60</v>
      </c>
      <c r="M846" s="152" t="n">
        <v>1428</v>
      </c>
    </row>
    <row r="847" customFormat="false" ht="14.15" hidden="false" customHeight="false" outlineLevel="0" collapsed="false">
      <c r="A847" s="139" t="n">
        <v>52325</v>
      </c>
      <c r="B847" s="140" t="s">
        <v>4574</v>
      </c>
      <c r="C847" s="140" t="n">
        <v>2019</v>
      </c>
      <c r="D847" s="141" t="n">
        <v>43714</v>
      </c>
      <c r="E847" s="66" t="s">
        <v>4575</v>
      </c>
      <c r="F847" s="142" t="s">
        <v>238</v>
      </c>
      <c r="G847" s="66" t="s">
        <v>441</v>
      </c>
      <c r="H847" s="142" t="s">
        <v>4576</v>
      </c>
      <c r="I847" s="141" t="n">
        <v>46013</v>
      </c>
      <c r="J847" s="66" t="n">
        <v>12</v>
      </c>
      <c r="K847" s="188" t="s">
        <v>49</v>
      </c>
      <c r="L847" s="142" t="s">
        <v>60</v>
      </c>
      <c r="M847" s="145" t="n">
        <v>2299</v>
      </c>
    </row>
    <row r="848" customFormat="false" ht="14.15" hidden="false" customHeight="false" outlineLevel="0" collapsed="false">
      <c r="A848" s="148" t="n">
        <v>52425</v>
      </c>
      <c r="B848" s="149" t="s">
        <v>4577</v>
      </c>
      <c r="C848" s="149" t="n">
        <v>2020</v>
      </c>
      <c r="D848" s="150" t="n">
        <v>44140</v>
      </c>
      <c r="E848" s="68" t="s">
        <v>4578</v>
      </c>
      <c r="F848" s="151" t="s">
        <v>164</v>
      </c>
      <c r="G848" s="68" t="s">
        <v>441</v>
      </c>
      <c r="H848" s="151" t="s">
        <v>672</v>
      </c>
      <c r="I848" s="150" t="n">
        <v>46013</v>
      </c>
      <c r="J848" s="68" t="n">
        <v>12</v>
      </c>
      <c r="K848" s="188" t="s">
        <v>48</v>
      </c>
      <c r="L848" s="151" t="s">
        <v>58</v>
      </c>
      <c r="M848" s="152" t="n">
        <v>1873</v>
      </c>
    </row>
    <row r="849" customFormat="false" ht="14.15" hidden="false" customHeight="false" outlineLevel="0" collapsed="false">
      <c r="A849" s="139" t="n">
        <v>52525</v>
      </c>
      <c r="B849" s="140" t="s">
        <v>4579</v>
      </c>
      <c r="C849" s="140" t="n">
        <v>2021</v>
      </c>
      <c r="D849" s="141" t="n">
        <v>44552</v>
      </c>
      <c r="E849" s="66" t="s">
        <v>4580</v>
      </c>
      <c r="F849" s="142" t="s">
        <v>4581</v>
      </c>
      <c r="G849" s="66" t="s">
        <v>441</v>
      </c>
      <c r="H849" s="142" t="s">
        <v>589</v>
      </c>
      <c r="I849" s="141" t="n">
        <v>46013</v>
      </c>
      <c r="J849" s="66" t="n">
        <v>12</v>
      </c>
      <c r="K849" s="143" t="s">
        <v>48</v>
      </c>
      <c r="L849" s="142" t="s">
        <v>60</v>
      </c>
      <c r="M849" s="145" t="n">
        <v>1461</v>
      </c>
    </row>
    <row r="850" customFormat="false" ht="14.15" hidden="false" customHeight="false" outlineLevel="0" collapsed="false">
      <c r="A850" s="148" t="n">
        <v>52625</v>
      </c>
      <c r="B850" s="149" t="s">
        <v>4582</v>
      </c>
      <c r="C850" s="149" t="n">
        <v>2021</v>
      </c>
      <c r="D850" s="150" t="n">
        <v>44442</v>
      </c>
      <c r="E850" s="68" t="s">
        <v>4583</v>
      </c>
      <c r="F850" s="151" t="s">
        <v>4584</v>
      </c>
      <c r="G850" s="68" t="s">
        <v>441</v>
      </c>
      <c r="H850" s="151" t="s">
        <v>119</v>
      </c>
      <c r="I850" s="150" t="n">
        <v>46013</v>
      </c>
      <c r="J850" s="68" t="n">
        <v>12</v>
      </c>
      <c r="K850" s="188" t="s">
        <v>48</v>
      </c>
      <c r="L850" s="151" t="s">
        <v>58</v>
      </c>
      <c r="M850" s="152" t="n">
        <v>1571</v>
      </c>
    </row>
    <row r="851" customFormat="false" ht="14.15" hidden="false" customHeight="false" outlineLevel="0" collapsed="false">
      <c r="A851" s="139" t="n">
        <v>52725</v>
      </c>
      <c r="B851" s="140" t="s">
        <v>4585</v>
      </c>
      <c r="C851" s="140" t="n">
        <v>2019</v>
      </c>
      <c r="D851" s="141" t="n">
        <v>43697</v>
      </c>
      <c r="E851" s="66" t="s">
        <v>4586</v>
      </c>
      <c r="F851" s="142" t="s">
        <v>238</v>
      </c>
      <c r="G851" s="66" t="s">
        <v>441</v>
      </c>
      <c r="H851" s="142" t="s">
        <v>471</v>
      </c>
      <c r="I851" s="141" t="n">
        <v>46013</v>
      </c>
      <c r="J851" s="66" t="n">
        <v>12</v>
      </c>
      <c r="K851" s="188" t="s">
        <v>49</v>
      </c>
      <c r="L851" s="142" t="s">
        <v>60</v>
      </c>
      <c r="M851" s="145" t="n">
        <v>2316</v>
      </c>
    </row>
    <row r="852" customFormat="false" ht="14.15" hidden="false" customHeight="false" outlineLevel="0" collapsed="false">
      <c r="A852" s="148" t="n">
        <v>52825</v>
      </c>
      <c r="B852" s="149" t="s">
        <v>4587</v>
      </c>
      <c r="C852" s="149" t="n">
        <v>2025</v>
      </c>
      <c r="D852" s="150" t="n">
        <v>45723</v>
      </c>
      <c r="E852" s="68" t="s">
        <v>4588</v>
      </c>
      <c r="F852" s="151" t="s">
        <v>376</v>
      </c>
      <c r="G852" s="68" t="s">
        <v>130</v>
      </c>
      <c r="H852" s="151" t="s">
        <v>4589</v>
      </c>
      <c r="I852" s="150" t="n">
        <v>46013</v>
      </c>
      <c r="J852" s="68" t="n">
        <v>12</v>
      </c>
      <c r="K852" s="188" t="s">
        <v>49</v>
      </c>
      <c r="L852" s="151" t="s">
        <v>61</v>
      </c>
      <c r="M852" s="152" t="n">
        <v>290</v>
      </c>
    </row>
    <row r="853" customFormat="false" ht="14.15" hidden="false" customHeight="false" outlineLevel="0" collapsed="false">
      <c r="A853" s="139" t="n">
        <v>52925</v>
      </c>
      <c r="B853" s="140" t="s">
        <v>4590</v>
      </c>
      <c r="C853" s="140" t="n">
        <v>2020</v>
      </c>
      <c r="D853" s="141" t="n">
        <v>44183</v>
      </c>
      <c r="E853" s="66" t="s">
        <v>4591</v>
      </c>
      <c r="F853" s="142" t="s">
        <v>4592</v>
      </c>
      <c r="G853" s="66" t="s">
        <v>441</v>
      </c>
      <c r="H853" s="142" t="s">
        <v>4593</v>
      </c>
      <c r="I853" s="141" t="n">
        <v>46013</v>
      </c>
      <c r="J853" s="66" t="n">
        <v>12</v>
      </c>
      <c r="K853" s="169" t="s">
        <v>290</v>
      </c>
      <c r="L853" s="142" t="s">
        <v>58</v>
      </c>
      <c r="M853" s="145" t="n">
        <v>1830</v>
      </c>
    </row>
    <row r="854" customFormat="false" ht="14.15" hidden="false" customHeight="false" outlineLevel="0" collapsed="false">
      <c r="A854" s="148" t="n">
        <v>53025</v>
      </c>
      <c r="B854" s="149" t="s">
        <v>4594</v>
      </c>
      <c r="C854" s="149" t="n">
        <v>2021</v>
      </c>
      <c r="D854" s="150" t="n">
        <v>44410</v>
      </c>
      <c r="E854" s="68" t="s">
        <v>4595</v>
      </c>
      <c r="F854" s="151" t="s">
        <v>4596</v>
      </c>
      <c r="G854" s="68" t="s">
        <v>441</v>
      </c>
      <c r="H854" s="151" t="s">
        <v>522</v>
      </c>
      <c r="I854" s="150" t="n">
        <v>46013</v>
      </c>
      <c r="J854" s="68" t="n">
        <v>12</v>
      </c>
      <c r="K854" s="188" t="s">
        <v>49</v>
      </c>
      <c r="L854" s="151" t="s">
        <v>60</v>
      </c>
      <c r="M854" s="152" t="n">
        <v>1603</v>
      </c>
    </row>
    <row r="855" customFormat="false" ht="14.15" hidden="false" customHeight="false" outlineLevel="0" collapsed="false">
      <c r="A855" s="139" t="n">
        <v>53125</v>
      </c>
      <c r="B855" s="140" t="s">
        <v>4597</v>
      </c>
      <c r="C855" s="140" t="n">
        <v>2021</v>
      </c>
      <c r="D855" s="141" t="n">
        <v>44466</v>
      </c>
      <c r="E855" s="66" t="s">
        <v>4598</v>
      </c>
      <c r="F855" s="142" t="s">
        <v>3204</v>
      </c>
      <c r="G855" s="66" t="s">
        <v>441</v>
      </c>
      <c r="H855" s="142" t="s">
        <v>3240</v>
      </c>
      <c r="I855" s="141" t="n">
        <v>46013</v>
      </c>
      <c r="J855" s="66" t="n">
        <v>12</v>
      </c>
      <c r="K855" s="143" t="s">
        <v>48</v>
      </c>
      <c r="L855" s="142" t="s">
        <v>58</v>
      </c>
      <c r="M855" s="145" t="n">
        <v>1547</v>
      </c>
    </row>
    <row r="856" customFormat="false" ht="14.15" hidden="false" customHeight="false" outlineLevel="0" collapsed="false">
      <c r="A856" s="148" t="n">
        <v>53225</v>
      </c>
      <c r="B856" s="149" t="s">
        <v>4599</v>
      </c>
      <c r="C856" s="149" t="n">
        <v>2020</v>
      </c>
      <c r="D856" s="150" t="n">
        <v>44068</v>
      </c>
      <c r="E856" s="68" t="s">
        <v>4600</v>
      </c>
      <c r="F856" s="151" t="s">
        <v>4601</v>
      </c>
      <c r="G856" s="68" t="s">
        <v>441</v>
      </c>
      <c r="H856" s="151" t="s">
        <v>243</v>
      </c>
      <c r="I856" s="150" t="n">
        <v>46013</v>
      </c>
      <c r="J856" s="68" t="n">
        <v>12</v>
      </c>
      <c r="K856" s="188" t="s">
        <v>49</v>
      </c>
      <c r="L856" s="151" t="s">
        <v>60</v>
      </c>
      <c r="M856" s="152" t="n">
        <v>1945</v>
      </c>
    </row>
    <row r="857" customFormat="false" ht="14.15" hidden="false" customHeight="false" outlineLevel="0" collapsed="false">
      <c r="A857" s="139" t="n">
        <v>53325</v>
      </c>
      <c r="B857" s="140" t="s">
        <v>4602</v>
      </c>
      <c r="C857" s="140" t="n">
        <v>2022</v>
      </c>
      <c r="D857" s="141" t="n">
        <v>44839</v>
      </c>
      <c r="E857" s="66" t="s">
        <v>4603</v>
      </c>
      <c r="F857" s="142" t="s">
        <v>1025</v>
      </c>
      <c r="G857" s="66" t="s">
        <v>441</v>
      </c>
      <c r="H857" s="142" t="s">
        <v>196</v>
      </c>
      <c r="I857" s="141" t="n">
        <v>46013</v>
      </c>
      <c r="J857" s="66" t="n">
        <v>12</v>
      </c>
      <c r="K857" s="143" t="s">
        <v>48</v>
      </c>
      <c r="L857" s="142" t="s">
        <v>58</v>
      </c>
      <c r="M857" s="145" t="n">
        <v>1174</v>
      </c>
    </row>
    <row r="858" customFormat="false" ht="14.15" hidden="false" customHeight="false" outlineLevel="0" collapsed="false">
      <c r="A858" s="148" t="n">
        <v>53425</v>
      </c>
      <c r="B858" s="149" t="s">
        <v>4604</v>
      </c>
      <c r="C858" s="149" t="n">
        <v>2015</v>
      </c>
      <c r="D858" s="150" t="n">
        <v>42633</v>
      </c>
      <c r="E858" s="68" t="s">
        <v>4605</v>
      </c>
      <c r="F858" s="151" t="s">
        <v>1097</v>
      </c>
      <c r="G858" s="68" t="s">
        <v>441</v>
      </c>
      <c r="H858" s="151" t="s">
        <v>693</v>
      </c>
      <c r="I858" s="150" t="n">
        <v>46013</v>
      </c>
      <c r="J858" s="68" t="n">
        <v>12</v>
      </c>
      <c r="K858" s="188" t="s">
        <v>48</v>
      </c>
      <c r="L858" s="151" t="s">
        <v>60</v>
      </c>
      <c r="M858" s="152" t="n">
        <v>3380</v>
      </c>
    </row>
    <row r="859" customFormat="false" ht="14.15" hidden="false" customHeight="false" outlineLevel="0" collapsed="false">
      <c r="A859" s="139" t="n">
        <v>53525</v>
      </c>
      <c r="B859" s="140" t="s">
        <v>4606</v>
      </c>
      <c r="C859" s="140" t="n">
        <v>2022</v>
      </c>
      <c r="D859" s="141" t="n">
        <v>44832</v>
      </c>
      <c r="E859" s="66" t="s">
        <v>4607</v>
      </c>
      <c r="F859" s="142" t="s">
        <v>2913</v>
      </c>
      <c r="G859" s="66" t="s">
        <v>441</v>
      </c>
      <c r="H859" s="142" t="s">
        <v>460</v>
      </c>
      <c r="I859" s="141" t="n">
        <v>46013</v>
      </c>
      <c r="J859" s="66" t="n">
        <v>12</v>
      </c>
      <c r="K859" s="188" t="s">
        <v>49</v>
      </c>
      <c r="L859" s="142" t="s">
        <v>60</v>
      </c>
      <c r="M859" s="145" t="n">
        <v>1181</v>
      </c>
    </row>
    <row r="860" customFormat="false" ht="14.15" hidden="false" customHeight="false" outlineLevel="0" collapsed="false">
      <c r="A860" s="148" t="n">
        <v>53625</v>
      </c>
      <c r="B860" s="149" t="s">
        <v>4608</v>
      </c>
      <c r="C860" s="149" t="n">
        <v>2021</v>
      </c>
      <c r="D860" s="150" t="n">
        <v>44230</v>
      </c>
      <c r="E860" s="68" t="s">
        <v>4609</v>
      </c>
      <c r="F860" s="151" t="s">
        <v>128</v>
      </c>
      <c r="G860" s="68" t="s">
        <v>441</v>
      </c>
      <c r="H860" s="151" t="s">
        <v>310</v>
      </c>
      <c r="I860" s="150" t="n">
        <v>46013</v>
      </c>
      <c r="J860" s="68" t="n">
        <v>12</v>
      </c>
      <c r="K860" s="188" t="s">
        <v>49</v>
      </c>
      <c r="L860" s="151" t="s">
        <v>58</v>
      </c>
      <c r="M860" s="152" t="n">
        <v>1783</v>
      </c>
    </row>
    <row r="861" customFormat="false" ht="14.15" hidden="false" customHeight="false" outlineLevel="0" collapsed="false">
      <c r="A861" s="139" t="n">
        <v>53725</v>
      </c>
      <c r="B861" s="140" t="s">
        <v>4610</v>
      </c>
      <c r="C861" s="140" t="n">
        <v>2019</v>
      </c>
      <c r="D861" s="141" t="n">
        <v>43560</v>
      </c>
      <c r="E861" s="66" t="s">
        <v>4611</v>
      </c>
      <c r="F861" s="142" t="s">
        <v>242</v>
      </c>
      <c r="G861" s="66" t="s">
        <v>441</v>
      </c>
      <c r="H861" s="142" t="s">
        <v>1084</v>
      </c>
      <c r="I861" s="141" t="n">
        <v>46013</v>
      </c>
      <c r="J861" s="66" t="n">
        <v>12</v>
      </c>
      <c r="K861" s="188" t="s">
        <v>49</v>
      </c>
      <c r="L861" s="142" t="s">
        <v>58</v>
      </c>
      <c r="M861" s="145" t="n">
        <v>2453</v>
      </c>
    </row>
    <row r="862" customFormat="false" ht="14.15" hidden="false" customHeight="false" outlineLevel="0" collapsed="false">
      <c r="A862" s="148" t="n">
        <v>53825</v>
      </c>
      <c r="B862" s="149" t="s">
        <v>4612</v>
      </c>
      <c r="C862" s="149" t="n">
        <v>2017</v>
      </c>
      <c r="D862" s="150" t="n">
        <v>43073</v>
      </c>
      <c r="E862" s="68" t="s">
        <v>4613</v>
      </c>
      <c r="F862" s="151" t="s">
        <v>128</v>
      </c>
      <c r="G862" s="68" t="s">
        <v>441</v>
      </c>
      <c r="H862" s="151" t="s">
        <v>184</v>
      </c>
      <c r="I862" s="150" t="n">
        <v>46013</v>
      </c>
      <c r="J862" s="68" t="n">
        <v>12</v>
      </c>
      <c r="K862" s="188" t="s">
        <v>49</v>
      </c>
      <c r="L862" s="151" t="s">
        <v>60</v>
      </c>
      <c r="M862" s="152" t="n">
        <v>2940</v>
      </c>
    </row>
    <row r="863" customFormat="false" ht="14.15" hidden="false" customHeight="false" outlineLevel="0" collapsed="false">
      <c r="A863" s="139" t="n">
        <v>53925</v>
      </c>
      <c r="B863" s="140" t="s">
        <v>4614</v>
      </c>
      <c r="C863" s="140" t="n">
        <v>2018</v>
      </c>
      <c r="D863" s="141" t="n">
        <v>43430</v>
      </c>
      <c r="E863" s="66" t="s">
        <v>4615</v>
      </c>
      <c r="F863" s="142" t="s">
        <v>1987</v>
      </c>
      <c r="G863" s="66" t="s">
        <v>441</v>
      </c>
      <c r="H863" s="142" t="s">
        <v>184</v>
      </c>
      <c r="I863" s="141" t="n">
        <v>46013</v>
      </c>
      <c r="J863" s="66" t="n">
        <v>12</v>
      </c>
      <c r="K863" s="188" t="s">
        <v>48</v>
      </c>
      <c r="L863" s="142" t="s">
        <v>58</v>
      </c>
      <c r="M863" s="145" t="n">
        <v>2583</v>
      </c>
    </row>
    <row r="864" customFormat="false" ht="14.15" hidden="false" customHeight="false" outlineLevel="0" collapsed="false">
      <c r="A864" s="148" t="n">
        <v>54025</v>
      </c>
      <c r="B864" s="149" t="s">
        <v>4616</v>
      </c>
      <c r="C864" s="149" t="n">
        <v>2018</v>
      </c>
      <c r="D864" s="150" t="n">
        <v>43388</v>
      </c>
      <c r="E864" s="68" t="s">
        <v>4617</v>
      </c>
      <c r="F864" s="151" t="s">
        <v>4491</v>
      </c>
      <c r="G864" s="68" t="s">
        <v>441</v>
      </c>
      <c r="H864" s="151" t="s">
        <v>1084</v>
      </c>
      <c r="I864" s="150" t="n">
        <v>46013</v>
      </c>
      <c r="J864" s="68" t="n">
        <v>12</v>
      </c>
      <c r="K864" s="163" t="s">
        <v>46</v>
      </c>
      <c r="L864" s="151" t="s">
        <v>60</v>
      </c>
      <c r="M864" s="152" t="n">
        <v>2625</v>
      </c>
    </row>
    <row r="865" customFormat="false" ht="14.15" hidden="false" customHeight="false" outlineLevel="0" collapsed="false">
      <c r="A865" s="139" t="n">
        <v>54125</v>
      </c>
      <c r="B865" s="140" t="s">
        <v>4618</v>
      </c>
      <c r="C865" s="140" t="n">
        <v>2020</v>
      </c>
      <c r="D865" s="141" t="n">
        <v>43889</v>
      </c>
      <c r="E865" s="66" t="s">
        <v>4619</v>
      </c>
      <c r="F865" s="142" t="s">
        <v>4620</v>
      </c>
      <c r="G865" s="66" t="s">
        <v>441</v>
      </c>
      <c r="H865" s="142" t="s">
        <v>184</v>
      </c>
      <c r="I865" s="141" t="n">
        <v>46013</v>
      </c>
      <c r="J865" s="66" t="n">
        <v>12</v>
      </c>
      <c r="K865" s="188" t="s">
        <v>49</v>
      </c>
      <c r="L865" s="144" t="s">
        <v>61</v>
      </c>
      <c r="M865" s="145" t="n">
        <v>2124</v>
      </c>
    </row>
    <row r="866" customFormat="false" ht="14.15" hidden="false" customHeight="false" outlineLevel="0" collapsed="false">
      <c r="A866" s="148" t="n">
        <v>54225</v>
      </c>
      <c r="B866" s="149" t="s">
        <v>4621</v>
      </c>
      <c r="C866" s="149" t="n">
        <v>2023</v>
      </c>
      <c r="D866" s="150" t="n">
        <v>45266</v>
      </c>
      <c r="E866" s="68" t="s">
        <v>4622</v>
      </c>
      <c r="F866" s="151" t="s">
        <v>4623</v>
      </c>
      <c r="G866" s="68" t="s">
        <v>441</v>
      </c>
      <c r="H866" s="151" t="s">
        <v>358</v>
      </c>
      <c r="I866" s="150" t="n">
        <v>46013</v>
      </c>
      <c r="J866" s="68" t="n">
        <v>12</v>
      </c>
      <c r="K866" s="188" t="s">
        <v>49</v>
      </c>
      <c r="L866" s="151" t="s">
        <v>58</v>
      </c>
      <c r="M866" s="152" t="n">
        <v>747</v>
      </c>
    </row>
    <row r="867" customFormat="false" ht="14.15" hidden="false" customHeight="false" outlineLevel="0" collapsed="false">
      <c r="A867" s="139" t="n">
        <v>54325</v>
      </c>
      <c r="B867" s="140" t="s">
        <v>4624</v>
      </c>
      <c r="C867" s="140" t="n">
        <v>2017</v>
      </c>
      <c r="D867" s="141" t="n">
        <v>43042</v>
      </c>
      <c r="E867" s="66" t="s">
        <v>4625</v>
      </c>
      <c r="F867" s="142" t="s">
        <v>138</v>
      </c>
      <c r="G867" s="66" t="s">
        <v>441</v>
      </c>
      <c r="H867" s="142" t="s">
        <v>109</v>
      </c>
      <c r="I867" s="141" t="n">
        <v>46013</v>
      </c>
      <c r="J867" s="66" t="n">
        <v>12</v>
      </c>
      <c r="K867" s="188" t="s">
        <v>49</v>
      </c>
      <c r="L867" s="144" t="s">
        <v>61</v>
      </c>
      <c r="M867" s="145" t="n">
        <v>2971</v>
      </c>
    </row>
    <row r="868" customFormat="false" ht="14.15" hidden="false" customHeight="false" outlineLevel="0" collapsed="false">
      <c r="A868" s="148" t="n">
        <v>54425</v>
      </c>
      <c r="B868" s="149" t="s">
        <v>4626</v>
      </c>
      <c r="C868" s="149" t="n">
        <v>2019</v>
      </c>
      <c r="D868" s="150" t="n">
        <v>43503</v>
      </c>
      <c r="E868" s="68" t="s">
        <v>4627</v>
      </c>
      <c r="F868" s="151" t="s">
        <v>3190</v>
      </c>
      <c r="G868" s="68" t="s">
        <v>441</v>
      </c>
      <c r="H868" s="151" t="s">
        <v>109</v>
      </c>
      <c r="I868" s="150" t="n">
        <v>46013</v>
      </c>
      <c r="J868" s="68" t="n">
        <v>12</v>
      </c>
      <c r="K868" s="188" t="s">
        <v>49</v>
      </c>
      <c r="L868" s="151" t="s">
        <v>60</v>
      </c>
      <c r="M868" s="152" t="n">
        <v>2510</v>
      </c>
    </row>
    <row r="869" customFormat="false" ht="14.15" hidden="false" customHeight="false" outlineLevel="0" collapsed="false">
      <c r="A869" s="139" t="n">
        <v>54525</v>
      </c>
      <c r="B869" s="140" t="s">
        <v>4628</v>
      </c>
      <c r="C869" s="140" t="n">
        <v>2019</v>
      </c>
      <c r="D869" s="141" t="n">
        <v>43634</v>
      </c>
      <c r="E869" s="66" t="s">
        <v>4629</v>
      </c>
      <c r="F869" s="142" t="s">
        <v>4519</v>
      </c>
      <c r="G869" s="66" t="s">
        <v>441</v>
      </c>
      <c r="H869" s="142" t="s">
        <v>254</v>
      </c>
      <c r="I869" s="141" t="n">
        <v>46013</v>
      </c>
      <c r="J869" s="66" t="n">
        <v>12</v>
      </c>
      <c r="K869" s="188" t="s">
        <v>49</v>
      </c>
      <c r="L869" s="142" t="s">
        <v>58</v>
      </c>
      <c r="M869" s="145" t="n">
        <v>2379</v>
      </c>
    </row>
    <row r="870" customFormat="false" ht="14.15" hidden="false" customHeight="false" outlineLevel="0" collapsed="false">
      <c r="A870" s="148" t="n">
        <v>54625</v>
      </c>
      <c r="B870" s="149" t="s">
        <v>4630</v>
      </c>
      <c r="C870" s="149" t="n">
        <v>2018</v>
      </c>
      <c r="D870" s="150" t="n">
        <v>43167</v>
      </c>
      <c r="E870" s="68" t="s">
        <v>4631</v>
      </c>
      <c r="F870" s="151" t="s">
        <v>4632</v>
      </c>
      <c r="G870" s="68" t="s">
        <v>441</v>
      </c>
      <c r="H870" s="151" t="s">
        <v>3056</v>
      </c>
      <c r="I870" s="150" t="n">
        <v>46013</v>
      </c>
      <c r="J870" s="68" t="n">
        <v>12</v>
      </c>
      <c r="K870" s="188" t="s">
        <v>48</v>
      </c>
      <c r="L870" s="151" t="s">
        <v>60</v>
      </c>
      <c r="M870" s="152" t="n">
        <v>2846</v>
      </c>
    </row>
    <row r="871" customFormat="false" ht="14.15" hidden="false" customHeight="false" outlineLevel="0" collapsed="false">
      <c r="A871" s="139" t="n">
        <v>54725</v>
      </c>
      <c r="B871" s="140" t="s">
        <v>4633</v>
      </c>
      <c r="C871" s="140" t="n">
        <v>2021</v>
      </c>
      <c r="D871" s="141" t="n">
        <v>44285</v>
      </c>
      <c r="E871" s="66" t="s">
        <v>4634</v>
      </c>
      <c r="F871" s="142" t="s">
        <v>3204</v>
      </c>
      <c r="G871" s="66" t="s">
        <v>441</v>
      </c>
      <c r="H871" s="142" t="s">
        <v>139</v>
      </c>
      <c r="I871" s="141" t="n">
        <v>46013</v>
      </c>
      <c r="J871" s="66" t="n">
        <v>12</v>
      </c>
      <c r="K871" s="188" t="s">
        <v>49</v>
      </c>
      <c r="L871" s="142" t="s">
        <v>58</v>
      </c>
      <c r="M871" s="145" t="n">
        <v>1728</v>
      </c>
    </row>
    <row r="872" customFormat="false" ht="26.85" hidden="false" customHeight="false" outlineLevel="0" collapsed="false">
      <c r="A872" s="148" t="n">
        <v>54825</v>
      </c>
      <c r="B872" s="149" t="s">
        <v>4635</v>
      </c>
      <c r="C872" s="149" t="n">
        <v>2019</v>
      </c>
      <c r="D872" s="150" t="n">
        <v>43812</v>
      </c>
      <c r="E872" s="68" t="s">
        <v>4636</v>
      </c>
      <c r="F872" s="151" t="s">
        <v>4637</v>
      </c>
      <c r="G872" s="68" t="s">
        <v>441</v>
      </c>
      <c r="H872" s="151" t="s">
        <v>4638</v>
      </c>
      <c r="I872" s="150" t="n">
        <v>46013</v>
      </c>
      <c r="J872" s="68" t="n">
        <v>12</v>
      </c>
      <c r="K872" s="188" t="s">
        <v>49</v>
      </c>
      <c r="L872" s="151" t="s">
        <v>58</v>
      </c>
      <c r="M872" s="152" t="n">
        <v>2201</v>
      </c>
    </row>
    <row r="873" customFormat="false" ht="14.15" hidden="false" customHeight="false" outlineLevel="0" collapsed="false">
      <c r="A873" s="139" t="n">
        <v>54925</v>
      </c>
      <c r="B873" s="140" t="s">
        <v>4639</v>
      </c>
      <c r="C873" s="140" t="n">
        <v>2019</v>
      </c>
      <c r="D873" s="141" t="n">
        <v>43711</v>
      </c>
      <c r="E873" s="66" t="s">
        <v>4640</v>
      </c>
      <c r="F873" s="142" t="s">
        <v>1135</v>
      </c>
      <c r="G873" s="66" t="s">
        <v>441</v>
      </c>
      <c r="H873" s="142" t="s">
        <v>109</v>
      </c>
      <c r="I873" s="141" t="n">
        <v>46013</v>
      </c>
      <c r="J873" s="66" t="n">
        <v>12</v>
      </c>
      <c r="K873" s="188" t="s">
        <v>49</v>
      </c>
      <c r="L873" s="142" t="s">
        <v>60</v>
      </c>
      <c r="M873" s="145" t="n">
        <v>2302</v>
      </c>
    </row>
    <row r="874" customFormat="false" ht="14.15" hidden="false" customHeight="false" outlineLevel="0" collapsed="false">
      <c r="A874" s="148" t="n">
        <v>55025</v>
      </c>
      <c r="B874" s="149" t="s">
        <v>4641</v>
      </c>
      <c r="C874" s="149" t="n">
        <v>2019</v>
      </c>
      <c r="D874" s="150" t="n">
        <v>43710</v>
      </c>
      <c r="E874" s="68" t="s">
        <v>4642</v>
      </c>
      <c r="F874" s="151" t="s">
        <v>123</v>
      </c>
      <c r="G874" s="68" t="s">
        <v>441</v>
      </c>
      <c r="H874" s="151" t="s">
        <v>109</v>
      </c>
      <c r="I874" s="150" t="n">
        <v>46013</v>
      </c>
      <c r="J874" s="68" t="n">
        <v>12</v>
      </c>
      <c r="K874" s="188" t="s">
        <v>49</v>
      </c>
      <c r="L874" s="151" t="s">
        <v>60</v>
      </c>
      <c r="M874" s="152" t="n">
        <v>2303</v>
      </c>
    </row>
    <row r="875" customFormat="false" ht="14.15" hidden="false" customHeight="false" outlineLevel="0" collapsed="false">
      <c r="A875" s="139" t="n">
        <v>55125</v>
      </c>
      <c r="B875" s="140" t="s">
        <v>4643</v>
      </c>
      <c r="C875" s="140" t="n">
        <v>2020</v>
      </c>
      <c r="D875" s="141" t="n">
        <v>44021</v>
      </c>
      <c r="E875" s="66" t="s">
        <v>4644</v>
      </c>
      <c r="F875" s="142" t="s">
        <v>4645</v>
      </c>
      <c r="G875" s="66" t="s">
        <v>441</v>
      </c>
      <c r="H875" s="142" t="s">
        <v>4646</v>
      </c>
      <c r="I875" s="141" t="n">
        <v>46013</v>
      </c>
      <c r="J875" s="66" t="n">
        <v>12</v>
      </c>
      <c r="K875" s="188" t="s">
        <v>49</v>
      </c>
      <c r="L875" s="142" t="s">
        <v>60</v>
      </c>
      <c r="M875" s="145" t="n">
        <v>1992</v>
      </c>
    </row>
    <row r="876" customFormat="false" ht="14.15" hidden="false" customHeight="false" outlineLevel="0" collapsed="false">
      <c r="A876" s="148" t="n">
        <v>55225</v>
      </c>
      <c r="B876" s="149" t="s">
        <v>4647</v>
      </c>
      <c r="C876" s="149" t="n">
        <v>2020</v>
      </c>
      <c r="D876" s="150" t="n">
        <v>44022</v>
      </c>
      <c r="E876" s="68" t="s">
        <v>4648</v>
      </c>
      <c r="F876" s="151" t="s">
        <v>449</v>
      </c>
      <c r="G876" s="68" t="s">
        <v>441</v>
      </c>
      <c r="H876" s="151" t="s">
        <v>109</v>
      </c>
      <c r="I876" s="150" t="n">
        <v>46013</v>
      </c>
      <c r="J876" s="68" t="n">
        <v>12</v>
      </c>
      <c r="K876" s="188" t="s">
        <v>48</v>
      </c>
      <c r="L876" s="151" t="s">
        <v>58</v>
      </c>
      <c r="M876" s="152" t="n">
        <v>1991</v>
      </c>
    </row>
    <row r="877" customFormat="false" ht="14.15" hidden="false" customHeight="false" outlineLevel="0" collapsed="false">
      <c r="A877" s="139" t="n">
        <v>55325</v>
      </c>
      <c r="B877" s="140" t="s">
        <v>4649</v>
      </c>
      <c r="C877" s="140" t="n">
        <v>2020</v>
      </c>
      <c r="D877" s="141" t="n">
        <v>44026</v>
      </c>
      <c r="E877" s="66" t="s">
        <v>4650</v>
      </c>
      <c r="F877" s="142" t="s">
        <v>449</v>
      </c>
      <c r="G877" s="66" t="s">
        <v>441</v>
      </c>
      <c r="H877" s="142" t="s">
        <v>817</v>
      </c>
      <c r="I877" s="141" t="n">
        <v>46013</v>
      </c>
      <c r="J877" s="66" t="n">
        <v>12</v>
      </c>
      <c r="K877" s="188" t="s">
        <v>48</v>
      </c>
      <c r="L877" s="142" t="s">
        <v>58</v>
      </c>
      <c r="M877" s="145" t="n">
        <v>1987</v>
      </c>
    </row>
    <row r="878" customFormat="false" ht="64.9" hidden="false" customHeight="false" outlineLevel="0" collapsed="false">
      <c r="A878" s="148" t="n">
        <v>55425</v>
      </c>
      <c r="B878" s="149" t="s">
        <v>4651</v>
      </c>
      <c r="C878" s="149" t="n">
        <v>2025</v>
      </c>
      <c r="D878" s="150" t="n">
        <v>45713</v>
      </c>
      <c r="E878" s="68" t="s">
        <v>4652</v>
      </c>
      <c r="F878" s="151" t="s">
        <v>4653</v>
      </c>
      <c r="G878" s="68" t="s">
        <v>130</v>
      </c>
      <c r="H878" s="151" t="s">
        <v>665</v>
      </c>
      <c r="I878" s="150" t="n">
        <v>46013</v>
      </c>
      <c r="J878" s="68" t="n">
        <v>12</v>
      </c>
      <c r="K878" s="188" t="s">
        <v>49</v>
      </c>
      <c r="L878" s="151" t="s">
        <v>61</v>
      </c>
      <c r="M878" s="152" t="n">
        <v>300</v>
      </c>
    </row>
    <row r="879" customFormat="false" ht="26.85" hidden="false" customHeight="false" outlineLevel="0" collapsed="false">
      <c r="A879" s="139" t="n">
        <v>55525</v>
      </c>
      <c r="B879" s="140" t="s">
        <v>4654</v>
      </c>
      <c r="C879" s="140" t="n">
        <v>2022</v>
      </c>
      <c r="D879" s="141" t="n">
        <v>44784</v>
      </c>
      <c r="E879" s="66" t="s">
        <v>4655</v>
      </c>
      <c r="F879" s="142" t="s">
        <v>4656</v>
      </c>
      <c r="G879" s="66" t="s">
        <v>441</v>
      </c>
      <c r="H879" s="142" t="s">
        <v>4657</v>
      </c>
      <c r="I879" s="141" t="n">
        <v>46013</v>
      </c>
      <c r="J879" s="66" t="n">
        <v>12</v>
      </c>
      <c r="K879" s="196" t="s">
        <v>44</v>
      </c>
      <c r="L879" s="142" t="s">
        <v>58</v>
      </c>
      <c r="M879" s="145" t="n">
        <v>1229</v>
      </c>
    </row>
    <row r="880" customFormat="false" ht="14.15" hidden="false" customHeight="false" outlineLevel="0" collapsed="false">
      <c r="A880" s="148" t="n">
        <v>55625</v>
      </c>
      <c r="B880" s="149" t="s">
        <v>4658</v>
      </c>
      <c r="C880" s="149" t="n">
        <v>2021</v>
      </c>
      <c r="D880" s="150" t="n">
        <v>44559</v>
      </c>
      <c r="E880" s="68" t="s">
        <v>4659</v>
      </c>
      <c r="F880" s="151" t="s">
        <v>720</v>
      </c>
      <c r="G880" s="68" t="s">
        <v>441</v>
      </c>
      <c r="H880" s="151" t="s">
        <v>1059</v>
      </c>
      <c r="I880" s="150" t="n">
        <v>46013</v>
      </c>
      <c r="J880" s="68" t="n">
        <v>12</v>
      </c>
      <c r="K880" s="188" t="s">
        <v>49</v>
      </c>
      <c r="L880" s="151" t="s">
        <v>58</v>
      </c>
      <c r="M880" s="152" t="n">
        <v>1454</v>
      </c>
    </row>
    <row r="881" customFormat="false" ht="14.15" hidden="false" customHeight="false" outlineLevel="0" collapsed="false">
      <c r="A881" s="139" t="n">
        <v>55725</v>
      </c>
      <c r="B881" s="140" t="s">
        <v>4660</v>
      </c>
      <c r="C881" s="140" t="n">
        <v>2020</v>
      </c>
      <c r="D881" s="141" t="n">
        <v>44089</v>
      </c>
      <c r="E881" s="66" t="s">
        <v>4661</v>
      </c>
      <c r="F881" s="142" t="s">
        <v>720</v>
      </c>
      <c r="G881" s="66" t="s">
        <v>441</v>
      </c>
      <c r="H881" s="142" t="s">
        <v>1059</v>
      </c>
      <c r="I881" s="141" t="n">
        <v>46014</v>
      </c>
      <c r="J881" s="66" t="n">
        <v>12</v>
      </c>
      <c r="K881" s="188" t="s">
        <v>49</v>
      </c>
      <c r="L881" s="142" t="s">
        <v>58</v>
      </c>
      <c r="M881" s="145" t="n">
        <v>1925</v>
      </c>
    </row>
    <row r="882" customFormat="false" ht="14.15" hidden="false" customHeight="false" outlineLevel="0" collapsed="false">
      <c r="A882" s="148" t="n">
        <v>55825</v>
      </c>
      <c r="B882" s="149" t="s">
        <v>4662</v>
      </c>
      <c r="C882" s="149" t="n">
        <v>2019</v>
      </c>
      <c r="D882" s="150" t="n">
        <v>43573</v>
      </c>
      <c r="E882" s="68" t="s">
        <v>4663</v>
      </c>
      <c r="F882" s="151" t="s">
        <v>699</v>
      </c>
      <c r="G882" s="68" t="s">
        <v>441</v>
      </c>
      <c r="H882" s="151" t="s">
        <v>706</v>
      </c>
      <c r="I882" s="150" t="n">
        <v>46014</v>
      </c>
      <c r="J882" s="68" t="n">
        <v>12</v>
      </c>
      <c r="K882" s="188" t="s">
        <v>48</v>
      </c>
      <c r="L882" s="151" t="s">
        <v>60</v>
      </c>
      <c r="M882" s="152" t="n">
        <v>2441</v>
      </c>
    </row>
    <row r="883" customFormat="false" ht="14.15" hidden="false" customHeight="false" outlineLevel="0" collapsed="false">
      <c r="A883" s="139" t="n">
        <v>55925</v>
      </c>
      <c r="B883" s="140" t="s">
        <v>4664</v>
      </c>
      <c r="C883" s="140" t="n">
        <v>2020</v>
      </c>
      <c r="D883" s="141" t="n">
        <v>43913</v>
      </c>
      <c r="E883" s="66" t="s">
        <v>4665</v>
      </c>
      <c r="F883" s="142" t="s">
        <v>467</v>
      </c>
      <c r="G883" s="66" t="s">
        <v>441</v>
      </c>
      <c r="H883" s="142" t="s">
        <v>109</v>
      </c>
      <c r="I883" s="141" t="n">
        <v>46014</v>
      </c>
      <c r="J883" s="66" t="n">
        <v>12</v>
      </c>
      <c r="K883" s="188" t="s">
        <v>49</v>
      </c>
      <c r="L883" s="144" t="s">
        <v>61</v>
      </c>
      <c r="M883" s="145" t="n">
        <v>2101</v>
      </c>
    </row>
    <row r="884" customFormat="false" ht="14.15" hidden="false" customHeight="false" outlineLevel="0" collapsed="false">
      <c r="A884" s="148" t="n">
        <v>56025</v>
      </c>
      <c r="B884" s="149" t="s">
        <v>4666</v>
      </c>
      <c r="C884" s="149" t="n">
        <v>2020</v>
      </c>
      <c r="D884" s="150" t="n">
        <v>43902</v>
      </c>
      <c r="E884" s="68" t="s">
        <v>4667</v>
      </c>
      <c r="F884" s="151" t="s">
        <v>467</v>
      </c>
      <c r="G884" s="68" t="s">
        <v>441</v>
      </c>
      <c r="H884" s="151" t="s">
        <v>4668</v>
      </c>
      <c r="I884" s="150" t="n">
        <v>46014</v>
      </c>
      <c r="J884" s="68" t="n">
        <v>12</v>
      </c>
      <c r="K884" s="188" t="s">
        <v>49</v>
      </c>
      <c r="L884" s="151" t="s">
        <v>61</v>
      </c>
      <c r="M884" s="152" t="n">
        <v>2112</v>
      </c>
    </row>
    <row r="885" customFormat="false" ht="14.15" hidden="false" customHeight="false" outlineLevel="0" collapsed="false">
      <c r="A885" s="139" t="n">
        <v>56125</v>
      </c>
      <c r="B885" s="140" t="s">
        <v>4669</v>
      </c>
      <c r="C885" s="140" t="n">
        <v>2018</v>
      </c>
      <c r="D885" s="141" t="n">
        <v>43367</v>
      </c>
      <c r="E885" s="66" t="s">
        <v>4670</v>
      </c>
      <c r="F885" s="142" t="s">
        <v>128</v>
      </c>
      <c r="G885" s="66" t="s">
        <v>441</v>
      </c>
      <c r="H885" s="142" t="s">
        <v>192</v>
      </c>
      <c r="I885" s="141" t="n">
        <v>46014</v>
      </c>
      <c r="J885" s="66" t="n">
        <v>12</v>
      </c>
      <c r="K885" s="188" t="s">
        <v>49</v>
      </c>
      <c r="L885" s="142" t="s">
        <v>60</v>
      </c>
      <c r="M885" s="145" t="n">
        <v>2647</v>
      </c>
    </row>
    <row r="886" customFormat="false" ht="14.15" hidden="false" customHeight="false" outlineLevel="0" collapsed="false">
      <c r="A886" s="148" t="n">
        <v>56225</v>
      </c>
      <c r="B886" s="149" t="s">
        <v>4671</v>
      </c>
      <c r="C886" s="149" t="n">
        <v>2018</v>
      </c>
      <c r="D886" s="150" t="n">
        <v>43409</v>
      </c>
      <c r="E886" s="68" t="s">
        <v>4672</v>
      </c>
      <c r="F886" s="151" t="s">
        <v>207</v>
      </c>
      <c r="G886" s="68" t="s">
        <v>441</v>
      </c>
      <c r="H886" s="151" t="s">
        <v>383</v>
      </c>
      <c r="I886" s="150" t="n">
        <v>46014</v>
      </c>
      <c r="J886" s="68" t="n">
        <v>12</v>
      </c>
      <c r="K886" s="188" t="s">
        <v>49</v>
      </c>
      <c r="L886" s="151" t="s">
        <v>58</v>
      </c>
      <c r="M886" s="152" t="n">
        <v>2605</v>
      </c>
    </row>
    <row r="887" customFormat="false" ht="14.15" hidden="false" customHeight="false" outlineLevel="0" collapsed="false">
      <c r="A887" s="139" t="n">
        <v>56325</v>
      </c>
      <c r="B887" s="140" t="s">
        <v>4673</v>
      </c>
      <c r="C887" s="140" t="n">
        <v>2020</v>
      </c>
      <c r="D887" s="141" t="n">
        <v>43857</v>
      </c>
      <c r="E887" s="66" t="s">
        <v>4674</v>
      </c>
      <c r="F887" s="142" t="s">
        <v>4675</v>
      </c>
      <c r="G887" s="66" t="s">
        <v>441</v>
      </c>
      <c r="H887" s="142" t="s">
        <v>4676</v>
      </c>
      <c r="I887" s="141" t="n">
        <v>46014</v>
      </c>
      <c r="J887" s="66" t="n">
        <v>12</v>
      </c>
      <c r="K887" s="188" t="s">
        <v>49</v>
      </c>
      <c r="L887" s="142" t="s">
        <v>60</v>
      </c>
      <c r="M887" s="145" t="n">
        <v>2157</v>
      </c>
    </row>
    <row r="888" customFormat="false" ht="14.15" hidden="false" customHeight="false" outlineLevel="0" collapsed="false">
      <c r="A888" s="148" t="n">
        <v>56425</v>
      </c>
      <c r="B888" s="149" t="s">
        <v>4677</v>
      </c>
      <c r="C888" s="149" t="n">
        <v>2019</v>
      </c>
      <c r="D888" s="150" t="n">
        <v>43780</v>
      </c>
      <c r="E888" s="68" t="s">
        <v>4678</v>
      </c>
      <c r="F888" s="151" t="s">
        <v>4679</v>
      </c>
      <c r="G888" s="68" t="s">
        <v>441</v>
      </c>
      <c r="H888" s="151" t="s">
        <v>4676</v>
      </c>
      <c r="I888" s="150" t="n">
        <v>46014</v>
      </c>
      <c r="J888" s="68" t="n">
        <v>12</v>
      </c>
      <c r="K888" s="188" t="s">
        <v>48</v>
      </c>
      <c r="L888" s="151" t="s">
        <v>60</v>
      </c>
      <c r="M888" s="152" t="n">
        <v>2234</v>
      </c>
    </row>
    <row r="889" customFormat="false" ht="14.15" hidden="false" customHeight="false" outlineLevel="0" collapsed="false">
      <c r="A889" s="139" t="n">
        <v>56525</v>
      </c>
      <c r="B889" s="140" t="s">
        <v>4680</v>
      </c>
      <c r="C889" s="140" t="n">
        <v>2019</v>
      </c>
      <c r="D889" s="141" t="n">
        <v>43819</v>
      </c>
      <c r="E889" s="66" t="s">
        <v>4681</v>
      </c>
      <c r="F889" s="142" t="s">
        <v>123</v>
      </c>
      <c r="G889" s="66" t="s">
        <v>441</v>
      </c>
      <c r="H889" s="142" t="s">
        <v>243</v>
      </c>
      <c r="I889" s="141" t="n">
        <v>46014</v>
      </c>
      <c r="J889" s="66" t="n">
        <v>12</v>
      </c>
      <c r="K889" s="188" t="s">
        <v>48</v>
      </c>
      <c r="L889" s="142" t="s">
        <v>60</v>
      </c>
      <c r="M889" s="145" t="n">
        <v>2195</v>
      </c>
    </row>
    <row r="890" customFormat="false" ht="14.15" hidden="false" customHeight="false" outlineLevel="0" collapsed="false">
      <c r="A890" s="148" t="n">
        <v>56625</v>
      </c>
      <c r="B890" s="149" t="s">
        <v>4682</v>
      </c>
      <c r="C890" s="149" t="n">
        <v>2018</v>
      </c>
      <c r="D890" s="150" t="n">
        <v>43250</v>
      </c>
      <c r="E890" s="68" t="s">
        <v>4683</v>
      </c>
      <c r="F890" s="151" t="s">
        <v>128</v>
      </c>
      <c r="G890" s="68" t="s">
        <v>441</v>
      </c>
      <c r="H890" s="151" t="s">
        <v>366</v>
      </c>
      <c r="I890" s="150" t="n">
        <v>46014</v>
      </c>
      <c r="J890" s="68" t="n">
        <v>12</v>
      </c>
      <c r="K890" s="188" t="s">
        <v>49</v>
      </c>
      <c r="L890" s="151" t="s">
        <v>60</v>
      </c>
      <c r="M890" s="152" t="n">
        <v>2764</v>
      </c>
    </row>
    <row r="891" customFormat="false" ht="14.15" hidden="false" customHeight="false" outlineLevel="0" collapsed="false">
      <c r="A891" s="139" t="n">
        <v>56725</v>
      </c>
      <c r="B891" s="140" t="s">
        <v>4684</v>
      </c>
      <c r="C891" s="140" t="n">
        <v>2018</v>
      </c>
      <c r="D891" s="141" t="n">
        <v>43453</v>
      </c>
      <c r="E891" s="66" t="s">
        <v>4685</v>
      </c>
      <c r="F891" s="142" t="s">
        <v>790</v>
      </c>
      <c r="G891" s="66" t="s">
        <v>441</v>
      </c>
      <c r="H891" s="142" t="s">
        <v>1059</v>
      </c>
      <c r="I891" s="141" t="n">
        <v>46014</v>
      </c>
      <c r="J891" s="66" t="n">
        <v>12</v>
      </c>
      <c r="K891" s="188" t="s">
        <v>49</v>
      </c>
      <c r="L891" s="142" t="s">
        <v>58</v>
      </c>
      <c r="M891" s="145" t="n">
        <v>2561</v>
      </c>
    </row>
    <row r="892" customFormat="false" ht="14.15" hidden="false" customHeight="false" outlineLevel="0" collapsed="false">
      <c r="A892" s="148" t="n">
        <v>56825</v>
      </c>
      <c r="B892" s="149" t="s">
        <v>4686</v>
      </c>
      <c r="C892" s="149" t="n">
        <v>2023</v>
      </c>
      <c r="D892" s="150" t="n">
        <v>45002</v>
      </c>
      <c r="E892" s="68" t="s">
        <v>4687</v>
      </c>
      <c r="F892" s="151" t="s">
        <v>723</v>
      </c>
      <c r="G892" s="68" t="s">
        <v>441</v>
      </c>
      <c r="H892" s="151" t="s">
        <v>544</v>
      </c>
      <c r="I892" s="150" t="n">
        <v>46014</v>
      </c>
      <c r="J892" s="68" t="n">
        <v>12</v>
      </c>
      <c r="K892" s="196" t="s">
        <v>44</v>
      </c>
      <c r="L892" s="151" t="s">
        <v>60</v>
      </c>
      <c r="M892" s="152" t="n">
        <v>1012</v>
      </c>
    </row>
    <row r="893" customFormat="false" ht="14.15" hidden="false" customHeight="false" outlineLevel="0" collapsed="false">
      <c r="A893" s="139" t="n">
        <v>56925</v>
      </c>
      <c r="B893" s="140" t="s">
        <v>4688</v>
      </c>
      <c r="C893" s="140" t="n">
        <v>2020</v>
      </c>
      <c r="D893" s="141" t="n">
        <v>44160</v>
      </c>
      <c r="E893" s="66" t="s">
        <v>4689</v>
      </c>
      <c r="F893" s="142" t="s">
        <v>477</v>
      </c>
      <c r="G893" s="66" t="s">
        <v>441</v>
      </c>
      <c r="H893" s="142" t="s">
        <v>4690</v>
      </c>
      <c r="I893" s="141" t="n">
        <v>46014</v>
      </c>
      <c r="J893" s="66" t="n">
        <v>12</v>
      </c>
      <c r="K893" s="188" t="s">
        <v>48</v>
      </c>
      <c r="L893" s="142" t="s">
        <v>58</v>
      </c>
      <c r="M893" s="145" t="n">
        <v>1854</v>
      </c>
    </row>
    <row r="894" customFormat="false" ht="14.15" hidden="false" customHeight="false" outlineLevel="0" collapsed="false">
      <c r="A894" s="148" t="n">
        <v>57025</v>
      </c>
      <c r="B894" s="149" t="s">
        <v>4691</v>
      </c>
      <c r="C894" s="149" t="n">
        <v>2020</v>
      </c>
      <c r="D894" s="150" t="n">
        <v>44151</v>
      </c>
      <c r="E894" s="68" t="s">
        <v>4692</v>
      </c>
      <c r="F894" s="151" t="s">
        <v>569</v>
      </c>
      <c r="G894" s="68" t="s">
        <v>441</v>
      </c>
      <c r="H894" s="151" t="s">
        <v>184</v>
      </c>
      <c r="I894" s="150" t="n">
        <v>46014</v>
      </c>
      <c r="J894" s="68" t="n">
        <v>12</v>
      </c>
      <c r="K894" s="188" t="s">
        <v>49</v>
      </c>
      <c r="L894" s="151" t="s">
        <v>58</v>
      </c>
      <c r="M894" s="152" t="n">
        <v>1863</v>
      </c>
    </row>
    <row r="895" customFormat="false" ht="14.15" hidden="false" customHeight="false" outlineLevel="0" collapsed="false">
      <c r="A895" s="139" t="n">
        <v>57125</v>
      </c>
      <c r="B895" s="140" t="s">
        <v>4693</v>
      </c>
      <c r="C895" s="140" t="n">
        <v>2024</v>
      </c>
      <c r="D895" s="141" t="n">
        <v>45656</v>
      </c>
      <c r="E895" s="66" t="s">
        <v>4694</v>
      </c>
      <c r="F895" s="142" t="s">
        <v>4000</v>
      </c>
      <c r="G895" s="66" t="s">
        <v>125</v>
      </c>
      <c r="H895" s="142" t="s">
        <v>54</v>
      </c>
      <c r="I895" s="141" t="n">
        <v>46014</v>
      </c>
      <c r="J895" s="66" t="n">
        <v>12</v>
      </c>
      <c r="K895" s="169" t="s">
        <v>290</v>
      </c>
      <c r="L895" s="144" t="s">
        <v>61</v>
      </c>
      <c r="M895" s="145" t="n">
        <v>358</v>
      </c>
    </row>
    <row r="896" customFormat="false" ht="26.85" hidden="false" customHeight="false" outlineLevel="0" collapsed="false">
      <c r="A896" s="148" t="n">
        <v>57225</v>
      </c>
      <c r="B896" s="149" t="s">
        <v>4695</v>
      </c>
      <c r="C896" s="149" t="n">
        <v>2024</v>
      </c>
      <c r="D896" s="150" t="n">
        <v>45656</v>
      </c>
      <c r="E896" s="68" t="s">
        <v>4696</v>
      </c>
      <c r="F896" s="151" t="s">
        <v>4697</v>
      </c>
      <c r="G896" s="68" t="s">
        <v>125</v>
      </c>
      <c r="H896" s="151" t="s">
        <v>4698</v>
      </c>
      <c r="I896" s="150" t="n">
        <v>46014</v>
      </c>
      <c r="J896" s="68" t="n">
        <v>12</v>
      </c>
      <c r="K896" s="169" t="s">
        <v>290</v>
      </c>
      <c r="L896" s="151" t="s">
        <v>61</v>
      </c>
      <c r="M896" s="152" t="n">
        <v>358</v>
      </c>
    </row>
    <row r="897" customFormat="false" ht="14.15" hidden="false" customHeight="false" outlineLevel="0" collapsed="false">
      <c r="A897" s="139" t="n">
        <v>57325</v>
      </c>
      <c r="B897" s="140" t="s">
        <v>4699</v>
      </c>
      <c r="C897" s="140" t="n">
        <v>2024</v>
      </c>
      <c r="D897" s="141" t="n">
        <v>45643</v>
      </c>
      <c r="E897" s="66" t="s">
        <v>4700</v>
      </c>
      <c r="F897" s="142" t="s">
        <v>609</v>
      </c>
      <c r="G897" s="66" t="s">
        <v>125</v>
      </c>
      <c r="H897" s="142" t="s">
        <v>4701</v>
      </c>
      <c r="I897" s="141" t="n">
        <v>46014</v>
      </c>
      <c r="J897" s="66" t="n">
        <v>12</v>
      </c>
      <c r="K897" s="188" t="s">
        <v>49</v>
      </c>
      <c r="L897" s="144" t="s">
        <v>61</v>
      </c>
      <c r="M897" s="145" t="n">
        <v>371</v>
      </c>
    </row>
    <row r="898" customFormat="false" ht="14.15" hidden="false" customHeight="false" outlineLevel="0" collapsed="false">
      <c r="A898" s="148" t="n">
        <v>57425</v>
      </c>
      <c r="B898" s="149" t="s">
        <v>4702</v>
      </c>
      <c r="C898" s="149" t="n">
        <v>2024</v>
      </c>
      <c r="D898" s="150" t="n">
        <v>45636</v>
      </c>
      <c r="E898" s="68" t="s">
        <v>4703</v>
      </c>
      <c r="F898" s="151" t="s">
        <v>4704</v>
      </c>
      <c r="G898" s="68" t="s">
        <v>125</v>
      </c>
      <c r="H898" s="151" t="s">
        <v>4007</v>
      </c>
      <c r="I898" s="150" t="n">
        <v>46014</v>
      </c>
      <c r="J898" s="68" t="n">
        <v>12</v>
      </c>
      <c r="K898" s="188" t="s">
        <v>49</v>
      </c>
      <c r="L898" s="151" t="s">
        <v>61</v>
      </c>
      <c r="M898" s="152" t="n">
        <v>378</v>
      </c>
    </row>
    <row r="899" customFormat="false" ht="26.85" hidden="false" customHeight="false" outlineLevel="0" collapsed="false">
      <c r="A899" s="139" t="n">
        <v>57525</v>
      </c>
      <c r="B899" s="140" t="s">
        <v>4705</v>
      </c>
      <c r="C899" s="140" t="n">
        <v>2024</v>
      </c>
      <c r="D899" s="141" t="n">
        <v>45429</v>
      </c>
      <c r="E899" s="66" t="s">
        <v>4706</v>
      </c>
      <c r="F899" s="142" t="s">
        <v>4707</v>
      </c>
      <c r="G899" s="66" t="s">
        <v>130</v>
      </c>
      <c r="H899" s="142" t="s">
        <v>4708</v>
      </c>
      <c r="I899" s="141" t="n">
        <v>46014</v>
      </c>
      <c r="J899" s="66" t="n">
        <v>12</v>
      </c>
      <c r="K899" s="188" t="s">
        <v>49</v>
      </c>
      <c r="L899" s="144" t="s">
        <v>61</v>
      </c>
      <c r="M899" s="145" t="n">
        <v>585</v>
      </c>
    </row>
    <row r="900" customFormat="false" ht="14.15" hidden="false" customHeight="false" outlineLevel="0" collapsed="false">
      <c r="A900" s="148" t="n">
        <v>57625</v>
      </c>
      <c r="B900" s="149" t="s">
        <v>4709</v>
      </c>
      <c r="C900" s="149" t="n">
        <v>2019</v>
      </c>
      <c r="D900" s="150" t="n">
        <v>43500</v>
      </c>
      <c r="E900" s="68" t="s">
        <v>4710</v>
      </c>
      <c r="F900" s="151" t="s">
        <v>3190</v>
      </c>
      <c r="G900" s="68" t="s">
        <v>441</v>
      </c>
      <c r="H900" s="151" t="s">
        <v>109</v>
      </c>
      <c r="I900" s="150" t="n">
        <v>46014</v>
      </c>
      <c r="J900" s="68" t="n">
        <v>12</v>
      </c>
      <c r="K900" s="188" t="s">
        <v>48</v>
      </c>
      <c r="L900" s="151" t="s">
        <v>58</v>
      </c>
      <c r="M900" s="152" t="n">
        <v>2514</v>
      </c>
    </row>
    <row r="901" customFormat="false" ht="26.85" hidden="false" customHeight="false" outlineLevel="0" collapsed="false">
      <c r="A901" s="139" t="n">
        <v>57725</v>
      </c>
      <c r="B901" s="140" t="s">
        <v>4711</v>
      </c>
      <c r="C901" s="140" t="n">
        <v>2021</v>
      </c>
      <c r="D901" s="141" t="n">
        <v>44456</v>
      </c>
      <c r="E901" s="66" t="s">
        <v>4712</v>
      </c>
      <c r="F901" s="142" t="s">
        <v>4713</v>
      </c>
      <c r="G901" s="66" t="s">
        <v>441</v>
      </c>
      <c r="H901" s="142" t="s">
        <v>570</v>
      </c>
      <c r="I901" s="141" t="n">
        <v>46014</v>
      </c>
      <c r="J901" s="66" t="n">
        <v>12</v>
      </c>
      <c r="K901" s="188" t="s">
        <v>49</v>
      </c>
      <c r="L901" s="142" t="s">
        <v>60</v>
      </c>
      <c r="M901" s="145" t="n">
        <v>1558</v>
      </c>
    </row>
    <row r="902" customFormat="false" ht="14.15" hidden="false" customHeight="false" outlineLevel="0" collapsed="false">
      <c r="A902" s="148" t="n">
        <v>57825</v>
      </c>
      <c r="B902" s="149" t="s">
        <v>4714</v>
      </c>
      <c r="C902" s="149" t="n">
        <v>2019</v>
      </c>
      <c r="D902" s="150" t="n">
        <v>43643</v>
      </c>
      <c r="E902" s="68" t="s">
        <v>4715</v>
      </c>
      <c r="F902" s="151" t="s">
        <v>712</v>
      </c>
      <c r="G902" s="68" t="s">
        <v>441</v>
      </c>
      <c r="H902" s="151" t="s">
        <v>1081</v>
      </c>
      <c r="I902" s="150" t="n">
        <v>46014</v>
      </c>
      <c r="J902" s="68" t="n">
        <v>12</v>
      </c>
      <c r="K902" s="188" t="s">
        <v>48</v>
      </c>
      <c r="L902" s="151" t="s">
        <v>60</v>
      </c>
      <c r="M902" s="152" t="n">
        <v>2371</v>
      </c>
    </row>
    <row r="903" customFormat="false" ht="14.15" hidden="false" customHeight="false" outlineLevel="0" collapsed="false">
      <c r="A903" s="139" t="n">
        <v>57925</v>
      </c>
      <c r="B903" s="140" t="s">
        <v>4716</v>
      </c>
      <c r="C903" s="140" t="n">
        <v>2020</v>
      </c>
      <c r="D903" s="141" t="n">
        <v>43976</v>
      </c>
      <c r="E903" s="66" t="s">
        <v>4717</v>
      </c>
      <c r="F903" s="142" t="s">
        <v>705</v>
      </c>
      <c r="G903" s="66" t="s">
        <v>441</v>
      </c>
      <c r="H903" s="142" t="s">
        <v>1571</v>
      </c>
      <c r="I903" s="141" t="n">
        <v>46014</v>
      </c>
      <c r="J903" s="66" t="n">
        <v>12</v>
      </c>
      <c r="K903" s="188" t="s">
        <v>48</v>
      </c>
      <c r="L903" s="142" t="s">
        <v>58</v>
      </c>
      <c r="M903" s="145" t="n">
        <v>2038</v>
      </c>
    </row>
    <row r="904" customFormat="false" ht="14.15" hidden="false" customHeight="false" outlineLevel="0" collapsed="false">
      <c r="A904" s="148" t="n">
        <v>58025</v>
      </c>
      <c r="B904" s="149" t="s">
        <v>4718</v>
      </c>
      <c r="C904" s="149" t="n">
        <v>2019</v>
      </c>
      <c r="D904" s="150" t="n">
        <v>43801</v>
      </c>
      <c r="E904" s="68" t="s">
        <v>4719</v>
      </c>
      <c r="F904" s="151" t="s">
        <v>512</v>
      </c>
      <c r="G904" s="68" t="s">
        <v>441</v>
      </c>
      <c r="H904" s="151" t="s">
        <v>4720</v>
      </c>
      <c r="I904" s="150" t="n">
        <v>46014</v>
      </c>
      <c r="J904" s="68" t="n">
        <v>12</v>
      </c>
      <c r="K904" s="188" t="s">
        <v>49</v>
      </c>
      <c r="L904" s="151" t="s">
        <v>60</v>
      </c>
      <c r="M904" s="152" t="n">
        <v>2213</v>
      </c>
    </row>
    <row r="905" customFormat="false" ht="14.15" hidden="false" customHeight="false" outlineLevel="0" collapsed="false">
      <c r="A905" s="139" t="n">
        <v>58125</v>
      </c>
      <c r="B905" s="140" t="s">
        <v>4721</v>
      </c>
      <c r="C905" s="140" t="n">
        <v>2019</v>
      </c>
      <c r="D905" s="141" t="n">
        <v>43614</v>
      </c>
      <c r="E905" s="66" t="s">
        <v>4722</v>
      </c>
      <c r="F905" s="142" t="s">
        <v>1025</v>
      </c>
      <c r="G905" s="66" t="s">
        <v>441</v>
      </c>
      <c r="H905" s="142" t="s">
        <v>570</v>
      </c>
      <c r="I905" s="141" t="n">
        <v>46014</v>
      </c>
      <c r="J905" s="66" t="n">
        <v>12</v>
      </c>
      <c r="K905" s="188" t="s">
        <v>49</v>
      </c>
      <c r="L905" s="142" t="s">
        <v>58</v>
      </c>
      <c r="M905" s="145" t="n">
        <v>2400</v>
      </c>
    </row>
    <row r="906" customFormat="false" ht="14.15" hidden="false" customHeight="false" outlineLevel="0" collapsed="false">
      <c r="A906" s="148" t="n">
        <v>58225</v>
      </c>
      <c r="B906" s="149" t="s">
        <v>4723</v>
      </c>
      <c r="C906" s="149" t="n">
        <v>2019</v>
      </c>
      <c r="D906" s="150" t="n">
        <v>43616</v>
      </c>
      <c r="E906" s="68" t="s">
        <v>4724</v>
      </c>
      <c r="F906" s="151" t="s">
        <v>1025</v>
      </c>
      <c r="G906" s="68" t="s">
        <v>441</v>
      </c>
      <c r="H906" s="151" t="s">
        <v>948</v>
      </c>
      <c r="I906" s="150" t="n">
        <v>46014</v>
      </c>
      <c r="J906" s="68" t="n">
        <v>12</v>
      </c>
      <c r="K906" s="188" t="s">
        <v>49</v>
      </c>
      <c r="L906" s="151" t="s">
        <v>58</v>
      </c>
      <c r="M906" s="152" t="n">
        <v>2398</v>
      </c>
    </row>
    <row r="907" customFormat="false" ht="64.9" hidden="false" customHeight="false" outlineLevel="0" collapsed="false">
      <c r="A907" s="139" t="n">
        <v>58325</v>
      </c>
      <c r="B907" s="140" t="s">
        <v>4725</v>
      </c>
      <c r="C907" s="140" t="n">
        <v>2025</v>
      </c>
      <c r="D907" s="141" t="n">
        <v>45796</v>
      </c>
      <c r="E907" s="66" t="s">
        <v>4726</v>
      </c>
      <c r="F907" s="142" t="s">
        <v>4727</v>
      </c>
      <c r="G907" s="66" t="s">
        <v>130</v>
      </c>
      <c r="H907" s="142" t="s">
        <v>4728</v>
      </c>
      <c r="I907" s="141" t="n">
        <v>46014</v>
      </c>
      <c r="J907" s="66" t="n">
        <v>12</v>
      </c>
      <c r="K907" s="188" t="s">
        <v>49</v>
      </c>
      <c r="L907" s="144" t="s">
        <v>61</v>
      </c>
      <c r="M907" s="145" t="n">
        <v>218</v>
      </c>
    </row>
    <row r="908" customFormat="false" ht="64.9" hidden="false" customHeight="false" outlineLevel="0" collapsed="false">
      <c r="A908" s="148" t="n">
        <v>58425</v>
      </c>
      <c r="B908" s="149" t="s">
        <v>4729</v>
      </c>
      <c r="C908" s="149" t="n">
        <v>2025</v>
      </c>
      <c r="D908" s="150" t="n">
        <v>45784</v>
      </c>
      <c r="E908" s="68" t="s">
        <v>4730</v>
      </c>
      <c r="F908" s="151" t="s">
        <v>4731</v>
      </c>
      <c r="G908" s="68" t="s">
        <v>130</v>
      </c>
      <c r="H908" s="151" t="s">
        <v>4728</v>
      </c>
      <c r="I908" s="150" t="n">
        <v>46014</v>
      </c>
      <c r="J908" s="68" t="n">
        <v>12</v>
      </c>
      <c r="K908" s="188" t="s">
        <v>49</v>
      </c>
      <c r="L908" s="151" t="s">
        <v>61</v>
      </c>
      <c r="M908" s="152" t="n">
        <v>230</v>
      </c>
    </row>
    <row r="909" customFormat="false" ht="14.15" hidden="false" customHeight="false" outlineLevel="0" collapsed="false">
      <c r="A909" s="139" t="n">
        <v>58525</v>
      </c>
      <c r="B909" s="140" t="s">
        <v>4732</v>
      </c>
      <c r="C909" s="140" t="n">
        <v>2020</v>
      </c>
      <c r="D909" s="141" t="n">
        <v>44074</v>
      </c>
      <c r="E909" s="66" t="s">
        <v>4733</v>
      </c>
      <c r="F909" s="142" t="s">
        <v>4734</v>
      </c>
      <c r="G909" s="66" t="s">
        <v>441</v>
      </c>
      <c r="H909" s="142" t="s">
        <v>1072</v>
      </c>
      <c r="I909" s="141" t="n">
        <v>46014</v>
      </c>
      <c r="J909" s="66" t="n">
        <v>12</v>
      </c>
      <c r="K909" s="188" t="s">
        <v>49</v>
      </c>
      <c r="L909" s="142" t="s">
        <v>58</v>
      </c>
      <c r="M909" s="145" t="n">
        <v>1940</v>
      </c>
    </row>
    <row r="910" customFormat="false" ht="14.15" hidden="false" customHeight="false" outlineLevel="0" collapsed="false">
      <c r="A910" s="148" t="n">
        <v>58625</v>
      </c>
      <c r="B910" s="149" t="s">
        <v>4735</v>
      </c>
      <c r="C910" s="149" t="n">
        <v>2019</v>
      </c>
      <c r="D910" s="150" t="n">
        <v>43819</v>
      </c>
      <c r="E910" s="68" t="s">
        <v>4736</v>
      </c>
      <c r="F910" s="151" t="s">
        <v>157</v>
      </c>
      <c r="G910" s="68" t="s">
        <v>441</v>
      </c>
      <c r="H910" s="151" t="s">
        <v>532</v>
      </c>
      <c r="I910" s="150" t="n">
        <v>46014</v>
      </c>
      <c r="J910" s="68" t="n">
        <v>12</v>
      </c>
      <c r="K910" s="188" t="s">
        <v>48</v>
      </c>
      <c r="L910" s="151" t="s">
        <v>58</v>
      </c>
      <c r="M910" s="152" t="n">
        <v>2195</v>
      </c>
    </row>
    <row r="911" customFormat="false" ht="14.15" hidden="false" customHeight="false" outlineLevel="0" collapsed="false">
      <c r="A911" s="139" t="n">
        <v>58725</v>
      </c>
      <c r="B911" s="140" t="s">
        <v>4737</v>
      </c>
      <c r="C911" s="140" t="n">
        <v>2020</v>
      </c>
      <c r="D911" s="141" t="n">
        <v>44175</v>
      </c>
      <c r="E911" s="66" t="s">
        <v>4738</v>
      </c>
      <c r="F911" s="142" t="s">
        <v>4739</v>
      </c>
      <c r="G911" s="66" t="s">
        <v>144</v>
      </c>
      <c r="H911" s="142" t="s">
        <v>119</v>
      </c>
      <c r="I911" s="141" t="n">
        <v>46015</v>
      </c>
      <c r="J911" s="66" t="n">
        <v>12</v>
      </c>
      <c r="K911" s="188" t="s">
        <v>49</v>
      </c>
      <c r="L911" s="142" t="s">
        <v>60</v>
      </c>
      <c r="M911" s="145" t="n">
        <v>1840</v>
      </c>
    </row>
    <row r="912" customFormat="false" ht="14.15" hidden="false" customHeight="false" outlineLevel="0" collapsed="false">
      <c r="A912" s="148" t="n">
        <v>58825</v>
      </c>
      <c r="B912" s="149" t="s">
        <v>4740</v>
      </c>
      <c r="C912" s="149" t="n">
        <v>2022</v>
      </c>
      <c r="D912" s="150" t="n">
        <v>44588</v>
      </c>
      <c r="E912" s="68" t="s">
        <v>4741</v>
      </c>
      <c r="F912" s="151" t="s">
        <v>4742</v>
      </c>
      <c r="G912" s="68" t="s">
        <v>144</v>
      </c>
      <c r="H912" s="151" t="s">
        <v>4743</v>
      </c>
      <c r="I912" s="150" t="n">
        <v>46015</v>
      </c>
      <c r="J912" s="68" t="n">
        <v>12</v>
      </c>
      <c r="K912" s="188" t="s">
        <v>49</v>
      </c>
      <c r="L912" s="151" t="s">
        <v>60</v>
      </c>
      <c r="M912" s="152" t="n">
        <v>1427</v>
      </c>
    </row>
    <row r="913" customFormat="false" ht="14.15" hidden="false" customHeight="false" outlineLevel="0" collapsed="false">
      <c r="A913" s="139" t="n">
        <v>58925</v>
      </c>
      <c r="B913" s="140" t="s">
        <v>4744</v>
      </c>
      <c r="C913" s="140" t="n">
        <v>2022</v>
      </c>
      <c r="D913" s="141" t="n">
        <v>44861</v>
      </c>
      <c r="E913" s="66" t="s">
        <v>4745</v>
      </c>
      <c r="F913" s="142" t="s">
        <v>4746</v>
      </c>
      <c r="G913" s="66" t="s">
        <v>4747</v>
      </c>
      <c r="H913" s="142" t="s">
        <v>4748</v>
      </c>
      <c r="I913" s="141" t="n">
        <v>46015</v>
      </c>
      <c r="J913" s="66" t="n">
        <v>12</v>
      </c>
      <c r="K913" s="188" t="s">
        <v>48</v>
      </c>
      <c r="L913" s="144" t="s">
        <v>61</v>
      </c>
      <c r="M913" s="145" t="n">
        <v>1154</v>
      </c>
    </row>
  </sheetData>
  <autoFilter ref="A1:M913"/>
  <mergeCells count="64">
    <mergeCell ref="O2:P2"/>
    <mergeCell ref="P30:R30"/>
    <mergeCell ref="P31:R31"/>
    <mergeCell ref="P32:R32"/>
    <mergeCell ref="P33:R33"/>
    <mergeCell ref="P34:R34"/>
    <mergeCell ref="P35:R35"/>
    <mergeCell ref="P36:R36"/>
    <mergeCell ref="P37:R37"/>
    <mergeCell ref="P38:R38"/>
    <mergeCell ref="P39:R39"/>
    <mergeCell ref="P40:R40"/>
    <mergeCell ref="P41:R41"/>
    <mergeCell ref="P42:R42"/>
    <mergeCell ref="P43:R43"/>
    <mergeCell ref="P44:R44"/>
    <mergeCell ref="P45:R45"/>
    <mergeCell ref="P46:R46"/>
    <mergeCell ref="P47:R47"/>
    <mergeCell ref="P48:R48"/>
    <mergeCell ref="O50:S51"/>
    <mergeCell ref="P52:R52"/>
    <mergeCell ref="P53:R53"/>
    <mergeCell ref="P54:R54"/>
    <mergeCell ref="P55:R55"/>
    <mergeCell ref="P56:R56"/>
    <mergeCell ref="P57:R57"/>
    <mergeCell ref="P58:R58"/>
    <mergeCell ref="P59:R59"/>
    <mergeCell ref="P60:R60"/>
    <mergeCell ref="P61:R61"/>
    <mergeCell ref="P62:R62"/>
    <mergeCell ref="P63:R63"/>
    <mergeCell ref="P64:R64"/>
    <mergeCell ref="P65:R65"/>
    <mergeCell ref="O67:T68"/>
    <mergeCell ref="O69:R69"/>
    <mergeCell ref="O70:R70"/>
    <mergeCell ref="O71:R71"/>
    <mergeCell ref="O72:R72"/>
    <mergeCell ref="O73:R73"/>
    <mergeCell ref="O74:R74"/>
    <mergeCell ref="O75:R75"/>
    <mergeCell ref="O76:R76"/>
    <mergeCell ref="O77:R77"/>
    <mergeCell ref="O78:R78"/>
    <mergeCell ref="O79:R79"/>
    <mergeCell ref="O80:R80"/>
    <mergeCell ref="O81:R81"/>
    <mergeCell ref="O82:R82"/>
    <mergeCell ref="O88:R88"/>
    <mergeCell ref="O89:R89"/>
    <mergeCell ref="O90:R90"/>
    <mergeCell ref="O91:R91"/>
    <mergeCell ref="P97:R97"/>
    <mergeCell ref="P98:R98"/>
    <mergeCell ref="P99:R99"/>
    <mergeCell ref="P100:R100"/>
    <mergeCell ref="P101:R101"/>
    <mergeCell ref="P102:R102"/>
    <mergeCell ref="P103:R103"/>
    <mergeCell ref="P104:R104"/>
    <mergeCell ref="P105:R105"/>
    <mergeCell ref="P106:R106"/>
  </mergeCells>
  <conditionalFormatting sqref="I166:I188">
    <cfRule type="timePeriod" priority="2" timePeriod="today" dxfId="72"/>
  </conditionalFormatting>
  <conditionalFormatting sqref="I164">
    <cfRule type="timePeriod" priority="3" timePeriod="today" dxfId="73"/>
  </conditionalFormatting>
  <conditionalFormatting sqref="I112:I122">
    <cfRule type="timePeriod" priority="4" timePeriod="today" dxfId="74"/>
  </conditionalFormatting>
  <conditionalFormatting sqref="I110">
    <cfRule type="timePeriod" priority="5" timePeriod="today" dxfId="75"/>
  </conditionalFormatting>
  <conditionalFormatting sqref="I162">
    <cfRule type="timePeriod" priority="6" timePeriod="today" dxfId="76"/>
  </conditionalFormatting>
  <conditionalFormatting sqref="I42:I86">
    <cfRule type="timePeriod" priority="7" timePeriod="today" dxfId="77"/>
  </conditionalFormatting>
  <conditionalFormatting sqref="I40">
    <cfRule type="timePeriod" priority="8" timePeriod="today" dxfId="78"/>
  </conditionalFormatting>
  <conditionalFormatting sqref="I2:I16 I18 I20 I22 I24 I26 I28 I30 I32 I34 I36 I38 I88 I90 I92 I94 I96 I98 I100 I102 I104 I106 I108 I124 I126 I128 I130 I132 I134 I136 I138 I140 I142 I144 I146 I148 I150 I152 I154 I156 I158 I160">
    <cfRule type="timePeriod" priority="9" timePeriod="today" dxfId="79"/>
  </conditionalFormatting>
  <conditionalFormatting sqref="I190 I192:I194 I196 I198 I200">
    <cfRule type="timePeriod" priority="10" timePeriod="today" dxfId="80"/>
  </conditionalFormatting>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T66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M73" activePane="bottomRight" state="frozen"/>
      <selection pane="topLeft" activeCell="A1" activeCellId="0" sqref="A1"/>
      <selection pane="topRight" activeCell="M1" activeCellId="0" sqref="M1"/>
      <selection pane="bottomLeft" activeCell="A73" activeCellId="0" sqref="A73"/>
      <selection pane="bottomRight" activeCell="O78" activeCellId="0" sqref="O78"/>
    </sheetView>
  </sheetViews>
  <sheetFormatPr defaultColWidth="14.2890625" defaultRowHeight="12.75" customHeight="false" zeroHeight="false" outlineLevelRow="0" outlineLevelCol="0"/>
  <cols>
    <col collapsed="false" customWidth="true" hidden="false" outlineLevel="0" max="1" min="1" style="0" width="20"/>
    <col collapsed="false" customWidth="true" hidden="false" outlineLevel="0" max="2" min="2" style="0" width="27.43"/>
    <col collapsed="false" customWidth="true" hidden="false" outlineLevel="0" max="4" min="3" style="0" width="24.85"/>
    <col collapsed="false" customWidth="true" hidden="false" outlineLevel="0" max="5" min="5" style="0" width="47.71"/>
    <col collapsed="false" customWidth="true" hidden="false" outlineLevel="0" max="6" min="6" style="0" width="79.43"/>
    <col collapsed="false" customWidth="true" hidden="false" outlineLevel="0" max="7" min="7" style="0" width="15.42"/>
    <col collapsed="false" customWidth="true" hidden="false" outlineLevel="0" max="8" min="8" style="0" width="22.29"/>
    <col collapsed="false" customWidth="true" hidden="false" outlineLevel="0" max="9" min="9" style="0" width="22.42"/>
    <col collapsed="false" customWidth="true" hidden="false" outlineLevel="0" max="10" min="10" style="0" width="14.71"/>
    <col collapsed="false" customWidth="true" hidden="false" outlineLevel="0" max="11" min="11" style="0" width="82.42"/>
    <col collapsed="false" customWidth="true" hidden="false" outlineLevel="0" max="12" min="12" style="0" width="76.14"/>
    <col collapsed="false" customWidth="true" hidden="false" outlineLevel="0" max="13" min="13" style="0" width="57.85"/>
    <col collapsed="false" customWidth="true" hidden="false" outlineLevel="0" max="14" min="14" style="0" width="7.71"/>
    <col collapsed="false" customWidth="true" hidden="false" outlineLevel="0" max="15" min="15" style="0" width="27.14"/>
    <col collapsed="false" customWidth="true" hidden="false" outlineLevel="0" max="16" min="16" style="0" width="9.85"/>
    <col collapsed="false" customWidth="true" hidden="false" outlineLevel="0" max="17" min="17" style="0" width="3.42"/>
    <col collapsed="false" customWidth="true" hidden="false" outlineLevel="0" max="18" min="18" style="0" width="39"/>
    <col collapsed="false" customWidth="true" hidden="false" outlineLevel="0" max="19" min="19" style="0" width="62.85"/>
    <col collapsed="false" customWidth="true" hidden="false" outlineLevel="0" max="20" min="20" style="0" width="13.71"/>
    <col collapsed="false" customWidth="true" hidden="false" outlineLevel="0" max="21" min="21" style="0" width="18.14"/>
    <col collapsed="false" customWidth="true" hidden="true" outlineLevel="0" max="26" min="22" style="0" width="8.71"/>
  </cols>
  <sheetData>
    <row r="1" customFormat="false" ht="12.75" hidden="false" customHeight="true" outlineLevel="0" collapsed="false">
      <c r="A1" s="276" t="s">
        <v>92</v>
      </c>
      <c r="B1" s="277" t="s">
        <v>93</v>
      </c>
      <c r="C1" s="277" t="s">
        <v>89</v>
      </c>
      <c r="D1" s="278" t="s">
        <v>94</v>
      </c>
      <c r="E1" s="277" t="s">
        <v>95</v>
      </c>
      <c r="F1" s="277" t="s">
        <v>96</v>
      </c>
      <c r="G1" s="277" t="s">
        <v>97</v>
      </c>
      <c r="H1" s="277" t="s">
        <v>98</v>
      </c>
      <c r="I1" s="278" t="s">
        <v>99</v>
      </c>
      <c r="J1" s="277" t="s">
        <v>100</v>
      </c>
      <c r="K1" s="277" t="s">
        <v>101</v>
      </c>
      <c r="L1" s="277" t="s">
        <v>102</v>
      </c>
      <c r="M1" s="279" t="s">
        <v>103</v>
      </c>
      <c r="N1" s="146"/>
      <c r="O1" s="146"/>
      <c r="P1" s="146"/>
      <c r="Q1" s="146"/>
      <c r="R1" s="146"/>
      <c r="S1" s="146"/>
    </row>
    <row r="2" customFormat="false" ht="15" hidden="false" customHeight="true" outlineLevel="0" collapsed="false">
      <c r="A2" s="203" t="s">
        <v>4749</v>
      </c>
      <c r="B2" s="193" t="s">
        <v>4750</v>
      </c>
      <c r="C2" s="193" t="n">
        <v>2021</v>
      </c>
      <c r="D2" s="204" t="n">
        <v>44512</v>
      </c>
      <c r="E2" s="205" t="s">
        <v>4751</v>
      </c>
      <c r="F2" s="206" t="s">
        <v>798</v>
      </c>
      <c r="G2" s="206" t="s">
        <v>1174</v>
      </c>
      <c r="H2" s="205" t="s">
        <v>4752</v>
      </c>
      <c r="I2" s="218" t="n">
        <v>45307</v>
      </c>
      <c r="J2" s="206" t="n">
        <v>1</v>
      </c>
      <c r="K2" s="206" t="s">
        <v>53</v>
      </c>
      <c r="L2" s="206" t="s">
        <v>1175</v>
      </c>
      <c r="M2" s="208" t="n">
        <f aca="false">I2-D2</f>
        <v>795</v>
      </c>
      <c r="N2" s="146"/>
      <c r="O2" s="280" t="s">
        <v>2140</v>
      </c>
      <c r="P2" s="280"/>
      <c r="Q2" s="146"/>
      <c r="R2" s="146"/>
      <c r="S2" s="146"/>
    </row>
    <row r="3" customFormat="false" ht="15" hidden="false" customHeight="true" outlineLevel="0" collapsed="false">
      <c r="A3" s="210" t="s">
        <v>4753</v>
      </c>
      <c r="B3" s="211" t="s">
        <v>4754</v>
      </c>
      <c r="C3" s="211" t="n">
        <v>2015</v>
      </c>
      <c r="D3" s="212" t="n">
        <v>42249</v>
      </c>
      <c r="E3" s="213" t="s">
        <v>4755</v>
      </c>
      <c r="F3" s="213" t="s">
        <v>4756</v>
      </c>
      <c r="G3" s="214" t="s">
        <v>1174</v>
      </c>
      <c r="H3" s="214" t="s">
        <v>522</v>
      </c>
      <c r="I3" s="215" t="n">
        <v>45315</v>
      </c>
      <c r="J3" s="213" t="n">
        <v>1</v>
      </c>
      <c r="K3" s="213" t="s">
        <v>53</v>
      </c>
      <c r="L3" s="213" t="s">
        <v>1181</v>
      </c>
      <c r="M3" s="213" t="n">
        <f aca="false">I3-D3</f>
        <v>3066</v>
      </c>
      <c r="N3" s="146"/>
      <c r="O3" s="281" t="s">
        <v>1474</v>
      </c>
      <c r="P3" s="281" t="n">
        <f aca="false">COUNTIF(G:G,O3)</f>
        <v>0</v>
      </c>
      <c r="Q3" s="146"/>
      <c r="R3" s="146"/>
      <c r="S3" s="146"/>
    </row>
    <row r="4" customFormat="false" ht="15" hidden="false" customHeight="true" outlineLevel="0" collapsed="false">
      <c r="A4" s="203" t="s">
        <v>4757</v>
      </c>
      <c r="B4" s="193" t="s">
        <v>4758</v>
      </c>
      <c r="C4" s="193" t="n">
        <v>2018</v>
      </c>
      <c r="D4" s="204" t="n">
        <v>43448</v>
      </c>
      <c r="E4" s="205" t="s">
        <v>4759</v>
      </c>
      <c r="F4" s="206" t="s">
        <v>138</v>
      </c>
      <c r="G4" s="206" t="s">
        <v>1174</v>
      </c>
      <c r="H4" s="205" t="s">
        <v>1258</v>
      </c>
      <c r="I4" s="218" t="n">
        <v>45315</v>
      </c>
      <c r="J4" s="206" t="n">
        <v>1</v>
      </c>
      <c r="K4" s="206" t="s">
        <v>53</v>
      </c>
      <c r="L4" s="206" t="s">
        <v>1175</v>
      </c>
      <c r="M4" s="208" t="n">
        <f aca="false">I4-D4</f>
        <v>1867</v>
      </c>
      <c r="N4" s="153"/>
      <c r="O4" s="282" t="s">
        <v>1188</v>
      </c>
      <c r="P4" s="282" t="n">
        <f aca="false">COUNTIF(G:G,O4)</f>
        <v>3</v>
      </c>
      <c r="Q4" s="153"/>
      <c r="R4" s="153"/>
      <c r="S4" s="153"/>
    </row>
    <row r="5" customFormat="false" ht="15" hidden="false" customHeight="true" outlineLevel="0" collapsed="false">
      <c r="A5" s="210" t="s">
        <v>4760</v>
      </c>
      <c r="B5" s="211" t="s">
        <v>4761</v>
      </c>
      <c r="C5" s="211" t="n">
        <v>2016</v>
      </c>
      <c r="D5" s="212" t="n">
        <v>42584</v>
      </c>
      <c r="E5" s="213" t="s">
        <v>4762</v>
      </c>
      <c r="F5" s="213" t="s">
        <v>823</v>
      </c>
      <c r="G5" s="214" t="s">
        <v>1174</v>
      </c>
      <c r="H5" s="214" t="s">
        <v>2677</v>
      </c>
      <c r="I5" s="215" t="n">
        <v>45315</v>
      </c>
      <c r="J5" s="213" t="n">
        <v>1</v>
      </c>
      <c r="K5" s="213" t="s">
        <v>53</v>
      </c>
      <c r="L5" s="213" t="s">
        <v>1181</v>
      </c>
      <c r="M5" s="213" t="n">
        <f aca="false">I5-D5</f>
        <v>2731</v>
      </c>
      <c r="N5" s="153"/>
      <c r="O5" s="283" t="s">
        <v>1174</v>
      </c>
      <c r="P5" s="283" t="n">
        <f aca="false">COUNTIF(G:G,O5)</f>
        <v>195</v>
      </c>
      <c r="Q5" s="153"/>
      <c r="R5" s="153"/>
      <c r="S5" s="153"/>
    </row>
    <row r="6" customFormat="false" ht="15" hidden="false" customHeight="true" outlineLevel="0" collapsed="false">
      <c r="A6" s="203" t="s">
        <v>4763</v>
      </c>
      <c r="B6" s="193" t="s">
        <v>4764</v>
      </c>
      <c r="C6" s="193" t="n">
        <v>2021</v>
      </c>
      <c r="D6" s="204" t="n">
        <v>44517</v>
      </c>
      <c r="E6" s="205" t="s">
        <v>4765</v>
      </c>
      <c r="F6" s="206" t="s">
        <v>467</v>
      </c>
      <c r="G6" s="206" t="s">
        <v>1174</v>
      </c>
      <c r="H6" s="205" t="s">
        <v>208</v>
      </c>
      <c r="I6" s="218" t="n">
        <v>45322</v>
      </c>
      <c r="J6" s="206" t="n">
        <v>1</v>
      </c>
      <c r="K6" s="206" t="s">
        <v>53</v>
      </c>
      <c r="L6" s="206" t="s">
        <v>1175</v>
      </c>
      <c r="M6" s="208" t="n">
        <f aca="false">I6-D6</f>
        <v>805</v>
      </c>
      <c r="N6" s="153"/>
      <c r="O6" s="282" t="s">
        <v>8</v>
      </c>
      <c r="P6" s="282" t="n">
        <f aca="false">COUNTIF(G:G,O6)</f>
        <v>1</v>
      </c>
      <c r="Q6" s="153"/>
      <c r="R6" s="153"/>
      <c r="S6" s="153"/>
    </row>
    <row r="7" customFormat="false" ht="15" hidden="false" customHeight="true" outlineLevel="0" collapsed="false">
      <c r="A7" s="210" t="s">
        <v>4766</v>
      </c>
      <c r="B7" s="211" t="s">
        <v>4767</v>
      </c>
      <c r="C7" s="211" t="n">
        <v>2021</v>
      </c>
      <c r="D7" s="212" t="n">
        <v>44224</v>
      </c>
      <c r="E7" s="213" t="s">
        <v>4768</v>
      </c>
      <c r="F7" s="213" t="s">
        <v>449</v>
      </c>
      <c r="G7" s="214" t="s">
        <v>1174</v>
      </c>
      <c r="H7" s="214" t="s">
        <v>4769</v>
      </c>
      <c r="I7" s="215" t="n">
        <v>45322</v>
      </c>
      <c r="J7" s="213" t="n">
        <v>1</v>
      </c>
      <c r="K7" s="213" t="s">
        <v>53</v>
      </c>
      <c r="L7" s="213" t="s">
        <v>1181</v>
      </c>
      <c r="M7" s="213" t="n">
        <f aca="false">I7-D7</f>
        <v>1098</v>
      </c>
      <c r="N7" s="153"/>
      <c r="O7" s="283" t="s">
        <v>144</v>
      </c>
      <c r="P7" s="283" t="n">
        <f aca="false">COUNTIF(G:G,O7)</f>
        <v>19</v>
      </c>
      <c r="Q7" s="153"/>
      <c r="R7" s="153"/>
      <c r="S7" s="153"/>
    </row>
    <row r="8" customFormat="false" ht="15" hidden="false" customHeight="true" outlineLevel="0" collapsed="false">
      <c r="A8" s="203" t="s">
        <v>4770</v>
      </c>
      <c r="B8" s="193" t="s">
        <v>4771</v>
      </c>
      <c r="C8" s="193" t="n">
        <v>2021</v>
      </c>
      <c r="D8" s="204" t="n">
        <v>44222</v>
      </c>
      <c r="E8" s="205" t="s">
        <v>4772</v>
      </c>
      <c r="F8" s="206" t="s">
        <v>1373</v>
      </c>
      <c r="G8" s="206" t="s">
        <v>1174</v>
      </c>
      <c r="H8" s="205" t="s">
        <v>4769</v>
      </c>
      <c r="I8" s="218" t="n">
        <v>45322</v>
      </c>
      <c r="J8" s="206" t="n">
        <v>1</v>
      </c>
      <c r="K8" s="206" t="s">
        <v>53</v>
      </c>
      <c r="L8" s="206" t="s">
        <v>1175</v>
      </c>
      <c r="M8" s="208" t="n">
        <f aca="false">I8-D8</f>
        <v>1100</v>
      </c>
      <c r="N8" s="153"/>
      <c r="O8" s="282" t="s">
        <v>115</v>
      </c>
      <c r="P8" s="282" t="n">
        <f aca="false">COUNTIF(G:G,O8)</f>
        <v>12</v>
      </c>
      <c r="Q8" s="153"/>
      <c r="R8" s="153"/>
      <c r="S8" s="153"/>
    </row>
    <row r="9" customFormat="false" ht="15" hidden="false" customHeight="true" outlineLevel="0" collapsed="false">
      <c r="A9" s="210" t="s">
        <v>4773</v>
      </c>
      <c r="B9" s="211" t="s">
        <v>4774</v>
      </c>
      <c r="C9" s="211" t="n">
        <v>2018</v>
      </c>
      <c r="D9" s="212" t="n">
        <v>43294</v>
      </c>
      <c r="E9" s="213" t="s">
        <v>4775</v>
      </c>
      <c r="F9" s="213" t="s">
        <v>1490</v>
      </c>
      <c r="G9" s="214" t="s">
        <v>1174</v>
      </c>
      <c r="H9" s="214" t="s">
        <v>254</v>
      </c>
      <c r="I9" s="215" t="n">
        <v>45323</v>
      </c>
      <c r="J9" s="213" t="n">
        <v>2</v>
      </c>
      <c r="K9" s="213" t="s">
        <v>53</v>
      </c>
      <c r="L9" s="213" t="s">
        <v>1181</v>
      </c>
      <c r="M9" s="213" t="n">
        <f aca="false">I9-D9</f>
        <v>2029</v>
      </c>
      <c r="N9" s="153"/>
      <c r="O9" s="283" t="s">
        <v>441</v>
      </c>
      <c r="P9" s="283" t="n">
        <f aca="false">COUNTIF(G:G,O9)</f>
        <v>327</v>
      </c>
      <c r="Q9" s="153"/>
      <c r="R9" s="153"/>
      <c r="S9" s="153"/>
    </row>
    <row r="10" customFormat="false" ht="15" hidden="false" customHeight="true" outlineLevel="0" collapsed="false">
      <c r="A10" s="203" t="s">
        <v>4776</v>
      </c>
      <c r="B10" s="193" t="s">
        <v>4777</v>
      </c>
      <c r="C10" s="193" t="n">
        <v>2019</v>
      </c>
      <c r="D10" s="204" t="n">
        <v>43777</v>
      </c>
      <c r="E10" s="205" t="s">
        <v>4778</v>
      </c>
      <c r="F10" s="206" t="s">
        <v>798</v>
      </c>
      <c r="G10" s="206" t="s">
        <v>1174</v>
      </c>
      <c r="H10" s="205" t="s">
        <v>1567</v>
      </c>
      <c r="I10" s="218" t="n">
        <v>45357</v>
      </c>
      <c r="J10" s="206" t="n">
        <v>3</v>
      </c>
      <c r="K10" s="206" t="s">
        <v>53</v>
      </c>
      <c r="L10" s="206" t="s">
        <v>1175</v>
      </c>
      <c r="M10" s="208" t="n">
        <f aca="false">I10-D10</f>
        <v>1580</v>
      </c>
      <c r="N10" s="153"/>
      <c r="O10" s="282" t="s">
        <v>125</v>
      </c>
      <c r="P10" s="282" t="n">
        <f aca="false">COUNTIF(G:G,O10)</f>
        <v>52</v>
      </c>
      <c r="Q10" s="153"/>
      <c r="R10" s="153"/>
      <c r="S10" s="153"/>
    </row>
    <row r="11" customFormat="false" ht="15" hidden="false" customHeight="true" outlineLevel="0" collapsed="false">
      <c r="A11" s="210" t="s">
        <v>4779</v>
      </c>
      <c r="B11" s="211" t="s">
        <v>4780</v>
      </c>
      <c r="C11" s="211" t="n">
        <v>2018</v>
      </c>
      <c r="D11" s="212" t="n">
        <v>43165</v>
      </c>
      <c r="E11" s="213" t="s">
        <v>4781</v>
      </c>
      <c r="F11" s="213" t="s">
        <v>1277</v>
      </c>
      <c r="G11" s="214" t="s">
        <v>1174</v>
      </c>
      <c r="H11" s="214" t="s">
        <v>1258</v>
      </c>
      <c r="I11" s="215" t="n">
        <v>45357</v>
      </c>
      <c r="J11" s="213" t="n">
        <v>3</v>
      </c>
      <c r="K11" s="213" t="s">
        <v>53</v>
      </c>
      <c r="L11" s="213" t="s">
        <v>1181</v>
      </c>
      <c r="M11" s="213" t="n">
        <f aca="false">I11-D11</f>
        <v>2192</v>
      </c>
      <c r="N11" s="153"/>
      <c r="O11" s="284" t="s">
        <v>130</v>
      </c>
      <c r="P11" s="284" t="n">
        <f aca="false">COUNTIF(G:G,O11)</f>
        <v>54</v>
      </c>
      <c r="Q11" s="153"/>
      <c r="R11" s="153"/>
      <c r="S11" s="153"/>
    </row>
    <row r="12" customFormat="false" ht="15" hidden="false" customHeight="true" outlineLevel="0" collapsed="false">
      <c r="A12" s="203" t="s">
        <v>4782</v>
      </c>
      <c r="B12" s="193" t="s">
        <v>4783</v>
      </c>
      <c r="C12" s="193" t="n">
        <v>2022</v>
      </c>
      <c r="D12" s="204" t="n">
        <v>44785</v>
      </c>
      <c r="E12" s="205" t="s">
        <v>4784</v>
      </c>
      <c r="F12" s="206" t="s">
        <v>823</v>
      </c>
      <c r="G12" s="206" t="s">
        <v>1174</v>
      </c>
      <c r="H12" s="205" t="s">
        <v>522</v>
      </c>
      <c r="I12" s="218" t="n">
        <v>45359</v>
      </c>
      <c r="J12" s="206" t="n">
        <v>3</v>
      </c>
      <c r="K12" s="206" t="s">
        <v>53</v>
      </c>
      <c r="L12" s="213" t="s">
        <v>1181</v>
      </c>
      <c r="M12" s="208" t="n">
        <f aca="false">I12-D12</f>
        <v>574</v>
      </c>
      <c r="N12" s="153"/>
      <c r="O12" s="285" t="s">
        <v>140</v>
      </c>
      <c r="P12" s="286" t="n">
        <f aca="false">SUM(P3:P11)</f>
        <v>663</v>
      </c>
      <c r="Q12" s="153"/>
      <c r="R12" s="153"/>
      <c r="S12" s="153"/>
    </row>
    <row r="13" customFormat="false" ht="15" hidden="false" customHeight="true" outlineLevel="0" collapsed="false">
      <c r="A13" s="210" t="s">
        <v>4785</v>
      </c>
      <c r="B13" s="211" t="s">
        <v>4786</v>
      </c>
      <c r="C13" s="211" t="n">
        <v>2023</v>
      </c>
      <c r="D13" s="212" t="n">
        <v>44993</v>
      </c>
      <c r="E13" s="213" t="s">
        <v>4787</v>
      </c>
      <c r="F13" s="213" t="s">
        <v>1827</v>
      </c>
      <c r="G13" s="214" t="s">
        <v>1174</v>
      </c>
      <c r="H13" s="214" t="s">
        <v>532</v>
      </c>
      <c r="I13" s="215" t="n">
        <v>45357</v>
      </c>
      <c r="J13" s="213" t="n">
        <v>3</v>
      </c>
      <c r="K13" s="213" t="s">
        <v>53</v>
      </c>
      <c r="L13" s="206" t="s">
        <v>1175</v>
      </c>
      <c r="M13" s="213" t="n">
        <f aca="false">I13-D13</f>
        <v>364</v>
      </c>
      <c r="N13" s="160"/>
      <c r="O13" s="153"/>
      <c r="P13" s="153"/>
      <c r="Q13" s="153"/>
      <c r="R13" s="287"/>
      <c r="S13" s="287"/>
    </row>
    <row r="14" customFormat="false" ht="15" hidden="false" customHeight="true" outlineLevel="0" collapsed="false">
      <c r="A14" s="203" t="s">
        <v>4788</v>
      </c>
      <c r="B14" s="193" t="s">
        <v>4789</v>
      </c>
      <c r="C14" s="193" t="n">
        <v>2015</v>
      </c>
      <c r="D14" s="204" t="n">
        <v>42066</v>
      </c>
      <c r="E14" s="205" t="s">
        <v>4790</v>
      </c>
      <c r="F14" s="206" t="s">
        <v>689</v>
      </c>
      <c r="G14" s="206" t="s">
        <v>1174</v>
      </c>
      <c r="H14" s="205" t="s">
        <v>223</v>
      </c>
      <c r="I14" s="218" t="n">
        <v>45364</v>
      </c>
      <c r="J14" s="206" t="n">
        <v>3</v>
      </c>
      <c r="K14" s="206" t="s">
        <v>53</v>
      </c>
      <c r="L14" s="206" t="s">
        <v>1175</v>
      </c>
      <c r="M14" s="208" t="n">
        <f aca="false">I14-D14</f>
        <v>3298</v>
      </c>
      <c r="N14" s="160"/>
      <c r="O14" s="411" t="s">
        <v>151</v>
      </c>
      <c r="P14" s="411"/>
      <c r="Q14" s="411"/>
      <c r="R14" s="411"/>
      <c r="S14" s="411"/>
    </row>
    <row r="15" customFormat="false" ht="15" hidden="false" customHeight="true" outlineLevel="0" collapsed="false">
      <c r="A15" s="210" t="s">
        <v>4791</v>
      </c>
      <c r="B15" s="211" t="s">
        <v>4792</v>
      </c>
      <c r="C15" s="211" t="n">
        <v>2021</v>
      </c>
      <c r="D15" s="212" t="n">
        <v>44439</v>
      </c>
      <c r="E15" s="213" t="s">
        <v>4793</v>
      </c>
      <c r="F15" s="213" t="s">
        <v>902</v>
      </c>
      <c r="G15" s="214" t="s">
        <v>1174</v>
      </c>
      <c r="H15" s="214" t="s">
        <v>243</v>
      </c>
      <c r="I15" s="215" t="n">
        <v>45366</v>
      </c>
      <c r="J15" s="213" t="n">
        <v>3</v>
      </c>
      <c r="K15" s="213" t="s">
        <v>53</v>
      </c>
      <c r="L15" s="213" t="s">
        <v>1181</v>
      </c>
      <c r="M15" s="213" t="n">
        <f aca="false">I15-D15</f>
        <v>927</v>
      </c>
      <c r="N15" s="153"/>
      <c r="O15" s="411"/>
      <c r="P15" s="411"/>
      <c r="Q15" s="411"/>
      <c r="R15" s="411"/>
      <c r="S15" s="411"/>
    </row>
    <row r="16" customFormat="false" ht="15" hidden="false" customHeight="true" outlineLevel="0" collapsed="false">
      <c r="A16" s="203" t="s">
        <v>4794</v>
      </c>
      <c r="B16" s="193" t="s">
        <v>4795</v>
      </c>
      <c r="C16" s="193" t="n">
        <v>2018</v>
      </c>
      <c r="D16" s="204" t="n">
        <v>43292</v>
      </c>
      <c r="E16" s="205" t="s">
        <v>4796</v>
      </c>
      <c r="F16" s="206" t="s">
        <v>1324</v>
      </c>
      <c r="G16" s="206" t="s">
        <v>1174</v>
      </c>
      <c r="H16" s="205" t="s">
        <v>1258</v>
      </c>
      <c r="I16" s="218" t="n">
        <v>45373</v>
      </c>
      <c r="J16" s="206" t="n">
        <v>3</v>
      </c>
      <c r="K16" s="206" t="s">
        <v>53</v>
      </c>
      <c r="L16" s="206" t="s">
        <v>1175</v>
      </c>
      <c r="M16" s="208" t="n">
        <f aca="false">I16-D16</f>
        <v>2081</v>
      </c>
      <c r="N16" s="153"/>
      <c r="O16" s="412" t="s">
        <v>2194</v>
      </c>
      <c r="P16" s="412"/>
      <c r="Q16" s="412"/>
      <c r="R16" s="412"/>
      <c r="S16" s="412"/>
    </row>
    <row r="17" customFormat="false" ht="15" hidden="false" customHeight="true" outlineLevel="0" collapsed="false">
      <c r="A17" s="210" t="s">
        <v>4797</v>
      </c>
      <c r="B17" s="211" t="s">
        <v>4798</v>
      </c>
      <c r="C17" s="211" t="n">
        <v>2018</v>
      </c>
      <c r="D17" s="212" t="n">
        <v>43210</v>
      </c>
      <c r="E17" s="213" t="s">
        <v>4799</v>
      </c>
      <c r="F17" s="213" t="s">
        <v>1324</v>
      </c>
      <c r="G17" s="214" t="s">
        <v>1174</v>
      </c>
      <c r="H17" s="214" t="s">
        <v>192</v>
      </c>
      <c r="I17" s="221" t="n">
        <v>45373</v>
      </c>
      <c r="J17" s="213" t="n">
        <v>3</v>
      </c>
      <c r="K17" s="213" t="s">
        <v>53</v>
      </c>
      <c r="L17" s="206" t="s">
        <v>1175</v>
      </c>
      <c r="M17" s="213" t="n">
        <f aca="false">I17-D17</f>
        <v>2163</v>
      </c>
      <c r="N17" s="153"/>
      <c r="O17" s="413" t="s">
        <v>2198</v>
      </c>
      <c r="P17" s="413"/>
      <c r="Q17" s="413"/>
      <c r="R17" s="413"/>
      <c r="S17" s="413"/>
    </row>
    <row r="18" customFormat="false" ht="15" hidden="false" customHeight="true" outlineLevel="0" collapsed="false">
      <c r="A18" s="203" t="s">
        <v>4800</v>
      </c>
      <c r="B18" s="193" t="s">
        <v>4801</v>
      </c>
      <c r="C18" s="193" t="n">
        <v>2015</v>
      </c>
      <c r="D18" s="204" t="n">
        <v>42338</v>
      </c>
      <c r="E18" s="205" t="s">
        <v>4802</v>
      </c>
      <c r="F18" s="206" t="s">
        <v>798</v>
      </c>
      <c r="G18" s="206" t="s">
        <v>1174</v>
      </c>
      <c r="H18" s="205" t="s">
        <v>192</v>
      </c>
      <c r="I18" s="218" t="n">
        <v>45373</v>
      </c>
      <c r="J18" s="206" t="n">
        <v>3</v>
      </c>
      <c r="K18" s="206" t="s">
        <v>53</v>
      </c>
      <c r="L18" s="206" t="s">
        <v>1175</v>
      </c>
      <c r="M18" s="206" t="n">
        <f aca="false">I18-D18</f>
        <v>3035</v>
      </c>
      <c r="N18" s="153"/>
      <c r="O18" s="414" t="s">
        <v>2203</v>
      </c>
      <c r="P18" s="414"/>
      <c r="Q18" s="414"/>
      <c r="R18" s="414"/>
      <c r="S18" s="414"/>
    </row>
    <row r="19" customFormat="false" ht="15" hidden="false" customHeight="true" outlineLevel="0" collapsed="false">
      <c r="A19" s="210" t="s">
        <v>4803</v>
      </c>
      <c r="B19" s="211" t="s">
        <v>4804</v>
      </c>
      <c r="C19" s="211" t="n">
        <v>2019</v>
      </c>
      <c r="D19" s="212" t="n">
        <v>43521</v>
      </c>
      <c r="E19" s="213" t="s">
        <v>4805</v>
      </c>
      <c r="F19" s="213" t="s">
        <v>157</v>
      </c>
      <c r="G19" s="214" t="s">
        <v>1174</v>
      </c>
      <c r="H19" s="214" t="s">
        <v>522</v>
      </c>
      <c r="I19" s="221" t="n">
        <v>45373</v>
      </c>
      <c r="J19" s="213" t="n">
        <v>3</v>
      </c>
      <c r="K19" s="213" t="s">
        <v>53</v>
      </c>
      <c r="L19" s="213" t="s">
        <v>1181</v>
      </c>
      <c r="M19" s="213" t="n">
        <f aca="false">I19-D19</f>
        <v>1852</v>
      </c>
      <c r="N19" s="153"/>
      <c r="O19" s="413" t="s">
        <v>2207</v>
      </c>
      <c r="P19" s="413"/>
      <c r="Q19" s="413"/>
      <c r="R19" s="413"/>
      <c r="S19" s="413"/>
    </row>
    <row r="20" customFormat="false" ht="15" hidden="false" customHeight="true" outlineLevel="0" collapsed="false">
      <c r="A20" s="203" t="s">
        <v>4806</v>
      </c>
      <c r="B20" s="193" t="s">
        <v>4807</v>
      </c>
      <c r="C20" s="193" t="n">
        <v>2022</v>
      </c>
      <c r="D20" s="204" t="n">
        <v>44757</v>
      </c>
      <c r="E20" s="205" t="s">
        <v>4808</v>
      </c>
      <c r="F20" s="206" t="s">
        <v>459</v>
      </c>
      <c r="G20" s="206" t="s">
        <v>1174</v>
      </c>
      <c r="H20" s="205" t="s">
        <v>243</v>
      </c>
      <c r="I20" s="218" t="n">
        <v>45373</v>
      </c>
      <c r="J20" s="206" t="n">
        <v>3</v>
      </c>
      <c r="K20" s="206" t="s">
        <v>53</v>
      </c>
      <c r="L20" s="213" t="s">
        <v>1181</v>
      </c>
      <c r="M20" s="206" t="n">
        <f aca="false">I20-D20</f>
        <v>616</v>
      </c>
      <c r="N20" s="153"/>
      <c r="O20" s="414" t="s">
        <v>2211</v>
      </c>
      <c r="P20" s="414"/>
      <c r="Q20" s="414"/>
      <c r="R20" s="414"/>
      <c r="S20" s="414"/>
    </row>
    <row r="21" customFormat="false" ht="15" hidden="false" customHeight="true" outlineLevel="0" collapsed="false">
      <c r="A21" s="210" t="s">
        <v>4809</v>
      </c>
      <c r="B21" s="211" t="s">
        <v>4810</v>
      </c>
      <c r="C21" s="211" t="n">
        <v>2020</v>
      </c>
      <c r="D21" s="212" t="n">
        <v>43916</v>
      </c>
      <c r="E21" s="213" t="s">
        <v>4811</v>
      </c>
      <c r="F21" s="213" t="s">
        <v>157</v>
      </c>
      <c r="G21" s="214" t="s">
        <v>1174</v>
      </c>
      <c r="H21" s="214" t="s">
        <v>522</v>
      </c>
      <c r="I21" s="221" t="n">
        <v>45373</v>
      </c>
      <c r="J21" s="213" t="n">
        <v>3</v>
      </c>
      <c r="K21" s="213" t="s">
        <v>53</v>
      </c>
      <c r="L21" s="213" t="s">
        <v>1181</v>
      </c>
      <c r="M21" s="213" t="n">
        <f aca="false">I21-D21</f>
        <v>1457</v>
      </c>
      <c r="N21" s="153"/>
      <c r="O21" s="413" t="s">
        <v>2215</v>
      </c>
      <c r="P21" s="413"/>
      <c r="Q21" s="413"/>
      <c r="R21" s="413"/>
      <c r="S21" s="413"/>
    </row>
    <row r="22" customFormat="false" ht="15" hidden="false" customHeight="true" outlineLevel="0" collapsed="false">
      <c r="A22" s="203" t="s">
        <v>4812</v>
      </c>
      <c r="B22" s="193" t="s">
        <v>4813</v>
      </c>
      <c r="C22" s="193" t="n">
        <v>2023</v>
      </c>
      <c r="D22" s="204" t="n">
        <v>44945</v>
      </c>
      <c r="E22" s="205" t="s">
        <v>4814</v>
      </c>
      <c r="F22" s="206" t="s">
        <v>4815</v>
      </c>
      <c r="G22" s="206" t="s">
        <v>1174</v>
      </c>
      <c r="H22" s="205" t="s">
        <v>544</v>
      </c>
      <c r="I22" s="218" t="n">
        <v>45373</v>
      </c>
      <c r="J22" s="206" t="n">
        <v>3</v>
      </c>
      <c r="K22" s="206" t="s">
        <v>53</v>
      </c>
      <c r="L22" s="213" t="s">
        <v>1181</v>
      </c>
      <c r="M22" s="206" t="n">
        <f aca="false">I22-D22</f>
        <v>428</v>
      </c>
      <c r="N22" s="153"/>
      <c r="O22" s="414" t="s">
        <v>2220</v>
      </c>
      <c r="P22" s="414"/>
      <c r="Q22" s="414"/>
      <c r="R22" s="414"/>
      <c r="S22" s="414"/>
    </row>
    <row r="23" customFormat="false" ht="15" hidden="false" customHeight="true" outlineLevel="0" collapsed="false">
      <c r="A23" s="210" t="s">
        <v>4816</v>
      </c>
      <c r="B23" s="211" t="s">
        <v>4817</v>
      </c>
      <c r="C23" s="211" t="n">
        <v>2023</v>
      </c>
      <c r="D23" s="212" t="n">
        <v>45197</v>
      </c>
      <c r="E23" s="213" t="s">
        <v>4818</v>
      </c>
      <c r="F23" s="213" t="s">
        <v>4819</v>
      </c>
      <c r="G23" s="214" t="s">
        <v>1174</v>
      </c>
      <c r="H23" s="214" t="s">
        <v>522</v>
      </c>
      <c r="I23" s="221" t="n">
        <v>45377</v>
      </c>
      <c r="J23" s="213" t="n">
        <v>3</v>
      </c>
      <c r="K23" s="213" t="s">
        <v>53</v>
      </c>
      <c r="L23" s="206" t="s">
        <v>1175</v>
      </c>
      <c r="M23" s="213" t="n">
        <f aca="false">I23-D23</f>
        <v>180</v>
      </c>
      <c r="N23" s="153"/>
      <c r="O23" s="413" t="s">
        <v>2225</v>
      </c>
      <c r="P23" s="413"/>
      <c r="Q23" s="413"/>
      <c r="R23" s="413"/>
      <c r="S23" s="413"/>
    </row>
    <row r="24" customFormat="false" ht="15" hidden="false" customHeight="true" outlineLevel="0" collapsed="false">
      <c r="A24" s="203" t="s">
        <v>4820</v>
      </c>
      <c r="B24" s="193" t="s">
        <v>4821</v>
      </c>
      <c r="C24" s="193" t="n">
        <v>2022</v>
      </c>
      <c r="D24" s="204" t="n">
        <v>44575</v>
      </c>
      <c r="E24" s="205" t="s">
        <v>4822</v>
      </c>
      <c r="F24" s="206" t="s">
        <v>459</v>
      </c>
      <c r="G24" s="206" t="s">
        <v>1174</v>
      </c>
      <c r="H24" s="205" t="s">
        <v>208</v>
      </c>
      <c r="I24" s="218" t="n">
        <v>45377</v>
      </c>
      <c r="J24" s="206" t="n">
        <v>3</v>
      </c>
      <c r="K24" s="206" t="s">
        <v>53</v>
      </c>
      <c r="L24" s="213" t="s">
        <v>1181</v>
      </c>
      <c r="M24" s="206" t="n">
        <f aca="false">I24-D24</f>
        <v>802</v>
      </c>
      <c r="N24" s="153"/>
      <c r="O24" s="415" t="s">
        <v>2229</v>
      </c>
      <c r="P24" s="415"/>
      <c r="Q24" s="415"/>
      <c r="R24" s="415"/>
      <c r="S24" s="415"/>
    </row>
    <row r="25" customFormat="false" ht="15" hidden="false" customHeight="true" outlineLevel="0" collapsed="false">
      <c r="A25" s="210" t="s">
        <v>4823</v>
      </c>
      <c r="B25" s="211" t="s">
        <v>4824</v>
      </c>
      <c r="C25" s="211" t="n">
        <v>2022</v>
      </c>
      <c r="D25" s="212" t="n">
        <v>44629</v>
      </c>
      <c r="E25" s="213" t="s">
        <v>4825</v>
      </c>
      <c r="F25" s="213" t="s">
        <v>1490</v>
      </c>
      <c r="G25" s="214" t="s">
        <v>1174</v>
      </c>
      <c r="H25" s="214" t="s">
        <v>522</v>
      </c>
      <c r="I25" s="221" t="n">
        <v>45378</v>
      </c>
      <c r="J25" s="213" t="n">
        <v>3</v>
      </c>
      <c r="K25" s="213" t="s">
        <v>53</v>
      </c>
      <c r="L25" s="213" t="s">
        <v>1181</v>
      </c>
      <c r="M25" s="213" t="n">
        <f aca="false">I25-D25</f>
        <v>749</v>
      </c>
      <c r="N25" s="153"/>
      <c r="O25" s="153"/>
      <c r="P25" s="153"/>
      <c r="Q25" s="153"/>
      <c r="R25" s="153"/>
      <c r="S25" s="153"/>
    </row>
    <row r="26" customFormat="false" ht="15" hidden="false" customHeight="true" outlineLevel="0" collapsed="false">
      <c r="A26" s="203" t="s">
        <v>4826</v>
      </c>
      <c r="B26" s="193" t="s">
        <v>4827</v>
      </c>
      <c r="C26" s="193" t="n">
        <v>2020</v>
      </c>
      <c r="D26" s="204" t="n">
        <v>44133</v>
      </c>
      <c r="E26" s="205" t="s">
        <v>4828</v>
      </c>
      <c r="F26" s="206" t="s">
        <v>1827</v>
      </c>
      <c r="G26" s="206" t="s">
        <v>1174</v>
      </c>
      <c r="H26" s="205" t="s">
        <v>706</v>
      </c>
      <c r="I26" s="218" t="n">
        <v>45378</v>
      </c>
      <c r="J26" s="206" t="n">
        <v>3</v>
      </c>
      <c r="K26" s="206" t="s">
        <v>53</v>
      </c>
      <c r="L26" s="206" t="s">
        <v>1175</v>
      </c>
      <c r="M26" s="206" t="n">
        <f aca="false">I26-D26</f>
        <v>1245</v>
      </c>
      <c r="N26" s="153"/>
      <c r="O26" s="326" t="s">
        <v>185</v>
      </c>
      <c r="P26" s="326"/>
      <c r="Q26" s="326"/>
      <c r="R26" s="326"/>
      <c r="S26" s="326"/>
    </row>
    <row r="27" customFormat="false" ht="15" hidden="false" customHeight="true" outlineLevel="0" collapsed="false">
      <c r="A27" s="210" t="s">
        <v>4829</v>
      </c>
      <c r="B27" s="211" t="s">
        <v>4830</v>
      </c>
      <c r="C27" s="211" t="n">
        <v>2023</v>
      </c>
      <c r="D27" s="212" t="n">
        <v>44987</v>
      </c>
      <c r="E27" s="213" t="s">
        <v>4831</v>
      </c>
      <c r="F27" s="213" t="s">
        <v>1068</v>
      </c>
      <c r="G27" s="214" t="s">
        <v>1174</v>
      </c>
      <c r="H27" s="214" t="s">
        <v>350</v>
      </c>
      <c r="I27" s="221" t="n">
        <v>45379</v>
      </c>
      <c r="J27" s="213" t="n">
        <v>3</v>
      </c>
      <c r="K27" s="213" t="s">
        <v>53</v>
      </c>
      <c r="L27" s="206" t="s">
        <v>1175</v>
      </c>
      <c r="M27" s="213" t="n">
        <f aca="false">I27-D27</f>
        <v>392</v>
      </c>
      <c r="N27" s="153"/>
      <c r="O27" s="326"/>
      <c r="P27" s="326"/>
      <c r="Q27" s="326"/>
      <c r="R27" s="326"/>
      <c r="S27" s="326"/>
    </row>
    <row r="28" customFormat="false" ht="15" hidden="false" customHeight="true" outlineLevel="0" collapsed="false">
      <c r="A28" s="203" t="s">
        <v>4832</v>
      </c>
      <c r="B28" s="193" t="s">
        <v>4833</v>
      </c>
      <c r="C28" s="193" t="n">
        <v>2023</v>
      </c>
      <c r="D28" s="204" t="n">
        <v>45194</v>
      </c>
      <c r="E28" s="205" t="s">
        <v>4834</v>
      </c>
      <c r="F28" s="206" t="s">
        <v>2003</v>
      </c>
      <c r="G28" s="206" t="s">
        <v>1174</v>
      </c>
      <c r="H28" s="205" t="s">
        <v>522</v>
      </c>
      <c r="I28" s="218" t="n">
        <v>45384</v>
      </c>
      <c r="J28" s="206" t="n">
        <v>3</v>
      </c>
      <c r="K28" s="206" t="s">
        <v>53</v>
      </c>
      <c r="L28" s="213" t="s">
        <v>1181</v>
      </c>
      <c r="M28" s="206" t="n">
        <f aca="false">I28-D28</f>
        <v>190</v>
      </c>
      <c r="N28" s="153"/>
      <c r="O28" s="309" t="s">
        <v>39</v>
      </c>
      <c r="P28" s="416" t="s">
        <v>40</v>
      </c>
      <c r="Q28" s="416"/>
      <c r="R28" s="416"/>
      <c r="S28" s="313" t="s">
        <v>41</v>
      </c>
    </row>
    <row r="29" customFormat="false" ht="15" hidden="false" customHeight="true" outlineLevel="0" collapsed="false">
      <c r="A29" s="210" t="s">
        <v>4835</v>
      </c>
      <c r="B29" s="211" t="s">
        <v>4836</v>
      </c>
      <c r="C29" s="211" t="n">
        <v>2021</v>
      </c>
      <c r="D29" s="212" t="n">
        <v>44315</v>
      </c>
      <c r="E29" s="213" t="s">
        <v>4837</v>
      </c>
      <c r="F29" s="213" t="s">
        <v>1635</v>
      </c>
      <c r="G29" s="214" t="s">
        <v>1174</v>
      </c>
      <c r="H29" s="214" t="s">
        <v>1231</v>
      </c>
      <c r="I29" s="221" t="n">
        <v>45412</v>
      </c>
      <c r="J29" s="213" t="n">
        <v>4</v>
      </c>
      <c r="K29" s="213" t="s">
        <v>53</v>
      </c>
      <c r="L29" s="206" t="s">
        <v>1175</v>
      </c>
      <c r="M29" s="213" t="n">
        <f aca="false">I29-D29</f>
        <v>1097</v>
      </c>
      <c r="N29" s="153"/>
      <c r="O29" s="283" t="n">
        <v>2008</v>
      </c>
      <c r="P29" s="314" t="n">
        <f aca="false">COUNTIF(C:C,O29)</f>
        <v>0</v>
      </c>
      <c r="Q29" s="314"/>
      <c r="R29" s="314"/>
      <c r="S29" s="315" t="n">
        <f aca="false">(P29/P46)</f>
        <v>0</v>
      </c>
    </row>
    <row r="30" customFormat="false" ht="15" hidden="false" customHeight="true" outlineLevel="0" collapsed="false">
      <c r="A30" s="203" t="s">
        <v>4838</v>
      </c>
      <c r="B30" s="193" t="s">
        <v>4839</v>
      </c>
      <c r="C30" s="193" t="n">
        <v>2022</v>
      </c>
      <c r="D30" s="204" t="n">
        <v>44819</v>
      </c>
      <c r="E30" s="205" t="s">
        <v>4840</v>
      </c>
      <c r="F30" s="206" t="s">
        <v>1635</v>
      </c>
      <c r="G30" s="206" t="s">
        <v>1174</v>
      </c>
      <c r="H30" s="205" t="s">
        <v>570</v>
      </c>
      <c r="I30" s="218" t="n">
        <v>45412</v>
      </c>
      <c r="J30" s="206" t="n">
        <v>4</v>
      </c>
      <c r="K30" s="206" t="s">
        <v>53</v>
      </c>
      <c r="L30" s="206" t="s">
        <v>1175</v>
      </c>
      <c r="M30" s="206" t="n">
        <f aca="false">I30-D30</f>
        <v>593</v>
      </c>
      <c r="N30" s="153"/>
      <c r="O30" s="282" t="n">
        <v>2009</v>
      </c>
      <c r="P30" s="282" t="n">
        <f aca="false">COUNTIF(C:C,O30)</f>
        <v>0</v>
      </c>
      <c r="Q30" s="282"/>
      <c r="R30" s="282"/>
      <c r="S30" s="316" t="n">
        <f aca="false">(P30/P46)</f>
        <v>0</v>
      </c>
    </row>
    <row r="31" customFormat="false" ht="15" hidden="false" customHeight="true" outlineLevel="0" collapsed="false">
      <c r="A31" s="210" t="s">
        <v>4841</v>
      </c>
      <c r="B31" s="211" t="s">
        <v>4842</v>
      </c>
      <c r="C31" s="211" t="n">
        <v>2023</v>
      </c>
      <c r="D31" s="212" t="n">
        <v>45121</v>
      </c>
      <c r="E31" s="213" t="s">
        <v>4843</v>
      </c>
      <c r="F31" s="213" t="s">
        <v>1068</v>
      </c>
      <c r="G31" s="214" t="s">
        <v>1174</v>
      </c>
      <c r="H31" s="214" t="s">
        <v>1223</v>
      </c>
      <c r="I31" s="221" t="n">
        <v>45412</v>
      </c>
      <c r="J31" s="213" t="n">
        <v>4</v>
      </c>
      <c r="K31" s="213" t="s">
        <v>53</v>
      </c>
      <c r="L31" s="206" t="s">
        <v>1175</v>
      </c>
      <c r="M31" s="213" t="n">
        <f aca="false">I31-D31</f>
        <v>291</v>
      </c>
      <c r="N31" s="153"/>
      <c r="O31" s="283" t="n">
        <v>2010</v>
      </c>
      <c r="P31" s="283" t="n">
        <f aca="false">COUNTIF(C:C,O31)</f>
        <v>1</v>
      </c>
      <c r="Q31" s="283"/>
      <c r="R31" s="283"/>
      <c r="S31" s="315" t="n">
        <f aca="false">(P31/P46)</f>
        <v>0.00150829562594268</v>
      </c>
    </row>
    <row r="32" customFormat="false" ht="15" hidden="false" customHeight="true" outlineLevel="0" collapsed="false">
      <c r="A32" s="203" t="s">
        <v>4844</v>
      </c>
      <c r="B32" s="193" t="s">
        <v>4845</v>
      </c>
      <c r="C32" s="193" t="n">
        <v>2017</v>
      </c>
      <c r="D32" s="222" t="n">
        <v>45005</v>
      </c>
      <c r="E32" s="205" t="s">
        <v>4846</v>
      </c>
      <c r="F32" s="206" t="s">
        <v>1097</v>
      </c>
      <c r="G32" s="206" t="s">
        <v>1174</v>
      </c>
      <c r="H32" s="205" t="s">
        <v>544</v>
      </c>
      <c r="I32" s="218" t="n">
        <v>45412</v>
      </c>
      <c r="J32" s="206" t="n">
        <v>4</v>
      </c>
      <c r="K32" s="206" t="s">
        <v>53</v>
      </c>
      <c r="L32" s="206" t="s">
        <v>1175</v>
      </c>
      <c r="M32" s="206" t="n">
        <f aca="false">I32-D32</f>
        <v>407</v>
      </c>
      <c r="N32" s="153"/>
      <c r="O32" s="282" t="n">
        <v>2011</v>
      </c>
      <c r="P32" s="282" t="n">
        <f aca="false">COUNTIF(C:C,O32)</f>
        <v>2</v>
      </c>
      <c r="Q32" s="282"/>
      <c r="R32" s="282"/>
      <c r="S32" s="316" t="n">
        <f aca="false">(P32/P46)</f>
        <v>0.00301659125188537</v>
      </c>
    </row>
    <row r="33" customFormat="false" ht="15" hidden="false" customHeight="true" outlineLevel="0" collapsed="false">
      <c r="A33" s="210" t="s">
        <v>4847</v>
      </c>
      <c r="B33" s="211" t="s">
        <v>4848</v>
      </c>
      <c r="C33" s="211" t="n">
        <v>2018</v>
      </c>
      <c r="D33" s="215" t="n">
        <v>43431</v>
      </c>
      <c r="E33" s="213" t="s">
        <v>4849</v>
      </c>
      <c r="F33" s="213" t="s">
        <v>793</v>
      </c>
      <c r="G33" s="214" t="s">
        <v>1174</v>
      </c>
      <c r="H33" s="214" t="s">
        <v>4850</v>
      </c>
      <c r="I33" s="221" t="n">
        <v>45414</v>
      </c>
      <c r="J33" s="213" t="n">
        <v>5</v>
      </c>
      <c r="K33" s="213" t="s">
        <v>53</v>
      </c>
      <c r="L33" s="213" t="s">
        <v>1181</v>
      </c>
      <c r="M33" s="213" t="n">
        <f aca="false">I33-D33</f>
        <v>1983</v>
      </c>
      <c r="N33" s="153"/>
      <c r="O33" s="283" t="n">
        <v>2012</v>
      </c>
      <c r="P33" s="283" t="n">
        <f aca="false">COUNTIF(C:C,O33)</f>
        <v>8</v>
      </c>
      <c r="Q33" s="283"/>
      <c r="R33" s="283"/>
      <c r="S33" s="315" t="n">
        <f aca="false">(P33/P46)</f>
        <v>0.0120663650075415</v>
      </c>
    </row>
    <row r="34" customFormat="false" ht="15" hidden="false" customHeight="true" outlineLevel="0" collapsed="false">
      <c r="A34" s="203" t="s">
        <v>4851</v>
      </c>
      <c r="B34" s="193" t="s">
        <v>4852</v>
      </c>
      <c r="C34" s="193" t="n">
        <v>2023</v>
      </c>
      <c r="D34" s="218" t="n">
        <v>44930</v>
      </c>
      <c r="E34" s="205" t="s">
        <v>4853</v>
      </c>
      <c r="F34" s="206" t="s">
        <v>1068</v>
      </c>
      <c r="G34" s="206" t="s">
        <v>1174</v>
      </c>
      <c r="H34" s="205" t="s">
        <v>4769</v>
      </c>
      <c r="I34" s="218" t="n">
        <v>45414</v>
      </c>
      <c r="J34" s="206" t="n">
        <v>5</v>
      </c>
      <c r="K34" s="206" t="s">
        <v>53</v>
      </c>
      <c r="L34" s="206" t="s">
        <v>1175</v>
      </c>
      <c r="M34" s="206" t="n">
        <f aca="false">I34-D34</f>
        <v>484</v>
      </c>
      <c r="N34" s="153"/>
      <c r="O34" s="282" t="n">
        <v>2013</v>
      </c>
      <c r="P34" s="282" t="n">
        <f aca="false">COUNTIF(C:C,O34)</f>
        <v>6</v>
      </c>
      <c r="Q34" s="282"/>
      <c r="R34" s="282"/>
      <c r="S34" s="316" t="n">
        <f aca="false">(P34/P46)</f>
        <v>0.00904977375565611</v>
      </c>
    </row>
    <row r="35" customFormat="false" ht="15" hidden="false" customHeight="true" outlineLevel="0" collapsed="false">
      <c r="A35" s="210" t="s">
        <v>4854</v>
      </c>
      <c r="B35" s="211" t="s">
        <v>4855</v>
      </c>
      <c r="C35" s="211" t="n">
        <v>2023</v>
      </c>
      <c r="D35" s="215" t="n">
        <v>44932</v>
      </c>
      <c r="E35" s="213" t="s">
        <v>4856</v>
      </c>
      <c r="F35" s="213" t="s">
        <v>1068</v>
      </c>
      <c r="G35" s="214" t="s">
        <v>1174</v>
      </c>
      <c r="H35" s="214" t="s">
        <v>4769</v>
      </c>
      <c r="I35" s="221" t="n">
        <v>45414</v>
      </c>
      <c r="J35" s="213" t="n">
        <v>5</v>
      </c>
      <c r="K35" s="213" t="s">
        <v>53</v>
      </c>
      <c r="L35" s="206" t="s">
        <v>1175</v>
      </c>
      <c r="M35" s="213" t="n">
        <f aca="false">I35-D35</f>
        <v>482</v>
      </c>
      <c r="N35" s="153"/>
      <c r="O35" s="283" t="n">
        <v>2014</v>
      </c>
      <c r="P35" s="283" t="n">
        <f aca="false">COUNTIF(C:C,O35)</f>
        <v>16</v>
      </c>
      <c r="Q35" s="283"/>
      <c r="R35" s="283"/>
      <c r="S35" s="315" t="n">
        <f aca="false">(P35/P46)</f>
        <v>0.024132730015083</v>
      </c>
    </row>
    <row r="36" customFormat="false" ht="15" hidden="false" customHeight="true" outlineLevel="0" collapsed="false">
      <c r="A36" s="203" t="s">
        <v>4857</v>
      </c>
      <c r="B36" s="193" t="s">
        <v>4858</v>
      </c>
      <c r="C36" s="193" t="n">
        <v>2023</v>
      </c>
      <c r="D36" s="218" t="n">
        <v>44946</v>
      </c>
      <c r="E36" s="205" t="s">
        <v>4859</v>
      </c>
      <c r="F36" s="206" t="s">
        <v>1068</v>
      </c>
      <c r="G36" s="206" t="s">
        <v>1174</v>
      </c>
      <c r="H36" s="205" t="s">
        <v>4769</v>
      </c>
      <c r="I36" s="218" t="n">
        <v>45414</v>
      </c>
      <c r="J36" s="206" t="n">
        <v>5</v>
      </c>
      <c r="K36" s="206" t="s">
        <v>53</v>
      </c>
      <c r="L36" s="206" t="s">
        <v>1175</v>
      </c>
      <c r="M36" s="206" t="n">
        <f aca="false">I36-D36</f>
        <v>468</v>
      </c>
      <c r="N36" s="153"/>
      <c r="O36" s="282" t="n">
        <v>2015</v>
      </c>
      <c r="P36" s="282" t="n">
        <f aca="false">COUNTIF(C:C,O36)</f>
        <v>25</v>
      </c>
      <c r="Q36" s="282"/>
      <c r="R36" s="282"/>
      <c r="S36" s="316" t="n">
        <f aca="false">(P36/P46)</f>
        <v>0.0377073906485671</v>
      </c>
    </row>
    <row r="37" customFormat="false" ht="15" hidden="false" customHeight="true" outlineLevel="0" collapsed="false">
      <c r="A37" s="210" t="s">
        <v>4860</v>
      </c>
      <c r="B37" s="211" t="s">
        <v>4861</v>
      </c>
      <c r="C37" s="211" t="n">
        <v>2022</v>
      </c>
      <c r="D37" s="212" t="n">
        <v>44687</v>
      </c>
      <c r="E37" s="213" t="s">
        <v>4862</v>
      </c>
      <c r="F37" s="213" t="s">
        <v>509</v>
      </c>
      <c r="G37" s="214" t="s">
        <v>1174</v>
      </c>
      <c r="H37" s="214" t="s">
        <v>580</v>
      </c>
      <c r="I37" s="221" t="n">
        <v>45414</v>
      </c>
      <c r="J37" s="213" t="n">
        <v>5</v>
      </c>
      <c r="K37" s="213" t="s">
        <v>53</v>
      </c>
      <c r="L37" s="213" t="s">
        <v>1181</v>
      </c>
      <c r="M37" s="213" t="n">
        <f aca="false">I37-D37</f>
        <v>727</v>
      </c>
      <c r="N37" s="153"/>
      <c r="O37" s="283" t="n">
        <v>2016</v>
      </c>
      <c r="P37" s="283" t="n">
        <f aca="false">COUNTIF(C:C,O37)</f>
        <v>33</v>
      </c>
      <c r="Q37" s="283"/>
      <c r="R37" s="283"/>
      <c r="S37" s="315" t="n">
        <f aca="false">(P37/P46)</f>
        <v>0.0497737556561086</v>
      </c>
    </row>
    <row r="38" customFormat="false" ht="15" hidden="false" customHeight="true" outlineLevel="0" collapsed="false">
      <c r="A38" s="203" t="s">
        <v>4863</v>
      </c>
      <c r="B38" s="193" t="s">
        <v>4864</v>
      </c>
      <c r="C38" s="193" t="n">
        <v>2021</v>
      </c>
      <c r="D38" s="207" t="n">
        <v>44469</v>
      </c>
      <c r="E38" s="205" t="s">
        <v>4865</v>
      </c>
      <c r="F38" s="206" t="s">
        <v>1196</v>
      </c>
      <c r="G38" s="206" t="s">
        <v>1174</v>
      </c>
      <c r="H38" s="205" t="s">
        <v>1305</v>
      </c>
      <c r="I38" s="218" t="n">
        <v>45414</v>
      </c>
      <c r="J38" s="206" t="n">
        <v>5</v>
      </c>
      <c r="K38" s="206" t="s">
        <v>53</v>
      </c>
      <c r="L38" s="213" t="s">
        <v>1181</v>
      </c>
      <c r="M38" s="206" t="n">
        <f aca="false">I38-D38</f>
        <v>945</v>
      </c>
      <c r="N38" s="153"/>
      <c r="O38" s="282" t="n">
        <v>2017</v>
      </c>
      <c r="P38" s="282" t="n">
        <f aca="false">COUNTIF(C:C,O38)</f>
        <v>48</v>
      </c>
      <c r="Q38" s="282"/>
      <c r="R38" s="282"/>
      <c r="S38" s="316" t="n">
        <f aca="false">(P38/P46)</f>
        <v>0.0723981900452489</v>
      </c>
    </row>
    <row r="39" customFormat="false" ht="15" hidden="false" customHeight="true" outlineLevel="0" collapsed="false">
      <c r="A39" s="210" t="s">
        <v>4866</v>
      </c>
      <c r="B39" s="211" t="s">
        <v>4867</v>
      </c>
      <c r="C39" s="211" t="n">
        <v>2021</v>
      </c>
      <c r="D39" s="212" t="n">
        <v>44322</v>
      </c>
      <c r="E39" s="213" t="s">
        <v>4868</v>
      </c>
      <c r="F39" s="213" t="s">
        <v>1635</v>
      </c>
      <c r="G39" s="214" t="s">
        <v>1174</v>
      </c>
      <c r="H39" s="214" t="s">
        <v>192</v>
      </c>
      <c r="I39" s="221" t="n">
        <v>45414</v>
      </c>
      <c r="J39" s="213" t="n">
        <v>5</v>
      </c>
      <c r="K39" s="213" t="s">
        <v>53</v>
      </c>
      <c r="L39" s="206" t="s">
        <v>1175</v>
      </c>
      <c r="M39" s="213" t="n">
        <f aca="false">I39-D39</f>
        <v>1092</v>
      </c>
      <c r="N39" s="153"/>
      <c r="O39" s="283" t="n">
        <v>2018</v>
      </c>
      <c r="P39" s="283" t="n">
        <f aca="false">COUNTIF(C:C,O39)</f>
        <v>85</v>
      </c>
      <c r="Q39" s="283"/>
      <c r="R39" s="283"/>
      <c r="S39" s="315" t="n">
        <f aca="false">(P39/P46)</f>
        <v>0.128205128205128</v>
      </c>
    </row>
    <row r="40" customFormat="false" ht="15" hidden="false" customHeight="true" outlineLevel="0" collapsed="false">
      <c r="A40" s="203" t="s">
        <v>4869</v>
      </c>
      <c r="B40" s="193" t="s">
        <v>4870</v>
      </c>
      <c r="C40" s="193" t="n">
        <v>2019</v>
      </c>
      <c r="D40" s="204" t="n">
        <v>43482</v>
      </c>
      <c r="E40" s="205" t="s">
        <v>4871</v>
      </c>
      <c r="F40" s="206" t="s">
        <v>1827</v>
      </c>
      <c r="G40" s="206" t="s">
        <v>1174</v>
      </c>
      <c r="H40" s="205" t="s">
        <v>471</v>
      </c>
      <c r="I40" s="218" t="n">
        <v>45415</v>
      </c>
      <c r="J40" s="206" t="n">
        <v>5</v>
      </c>
      <c r="K40" s="206" t="s">
        <v>53</v>
      </c>
      <c r="L40" s="206" t="s">
        <v>1175</v>
      </c>
      <c r="M40" s="206" t="n">
        <f aca="false">I40-D40</f>
        <v>1933</v>
      </c>
      <c r="N40" s="153"/>
      <c r="O40" s="282" t="n">
        <v>2019</v>
      </c>
      <c r="P40" s="282" t="n">
        <f aca="false">COUNTIF(C:C,O40)</f>
        <v>79</v>
      </c>
      <c r="Q40" s="282"/>
      <c r="R40" s="282"/>
      <c r="S40" s="316" t="n">
        <f aca="false">(P40/P46)</f>
        <v>0.119155354449472</v>
      </c>
    </row>
    <row r="41" customFormat="false" ht="15" hidden="false" customHeight="true" outlineLevel="0" collapsed="false">
      <c r="A41" s="210" t="s">
        <v>4872</v>
      </c>
      <c r="B41" s="211" t="s">
        <v>4873</v>
      </c>
      <c r="C41" s="211" t="n">
        <v>2016</v>
      </c>
      <c r="D41" s="225" t="n">
        <v>42709</v>
      </c>
      <c r="E41" s="213" t="s">
        <v>4874</v>
      </c>
      <c r="F41" s="213" t="s">
        <v>1196</v>
      </c>
      <c r="G41" s="214" t="s">
        <v>1174</v>
      </c>
      <c r="H41" s="214" t="s">
        <v>192</v>
      </c>
      <c r="I41" s="221" t="n">
        <v>45415</v>
      </c>
      <c r="J41" s="213" t="n">
        <v>5</v>
      </c>
      <c r="K41" s="213" t="s">
        <v>53</v>
      </c>
      <c r="L41" s="213" t="s">
        <v>1181</v>
      </c>
      <c r="M41" s="213" t="n">
        <f aca="false">I41-D41</f>
        <v>2706</v>
      </c>
      <c r="N41" s="153"/>
      <c r="O41" s="283" t="n">
        <v>2020</v>
      </c>
      <c r="P41" s="283" t="n">
        <f aca="false">COUNTIF(C:C,O41)</f>
        <v>101</v>
      </c>
      <c r="Q41" s="283"/>
      <c r="R41" s="283"/>
      <c r="S41" s="315" t="n">
        <f aca="false">(P41/P46)</f>
        <v>0.152337858220211</v>
      </c>
    </row>
    <row r="42" customFormat="false" ht="15" hidden="false" customHeight="true" outlineLevel="0" collapsed="false">
      <c r="A42" s="203" t="s">
        <v>4875</v>
      </c>
      <c r="B42" s="193" t="s">
        <v>4876</v>
      </c>
      <c r="C42" s="193" t="n">
        <v>2019</v>
      </c>
      <c r="D42" s="218" t="n">
        <v>43727</v>
      </c>
      <c r="E42" s="205" t="s">
        <v>4877</v>
      </c>
      <c r="F42" s="206" t="s">
        <v>509</v>
      </c>
      <c r="G42" s="206" t="s">
        <v>1174</v>
      </c>
      <c r="H42" s="205" t="s">
        <v>4878</v>
      </c>
      <c r="I42" s="218" t="n">
        <v>45415</v>
      </c>
      <c r="J42" s="206" t="n">
        <v>5</v>
      </c>
      <c r="K42" s="206" t="s">
        <v>53</v>
      </c>
      <c r="L42" s="213" t="s">
        <v>1181</v>
      </c>
      <c r="M42" s="206" t="n">
        <f aca="false">I42-D42</f>
        <v>1688</v>
      </c>
      <c r="N42" s="153"/>
      <c r="O42" s="282" t="n">
        <v>2021</v>
      </c>
      <c r="P42" s="282" t="n">
        <f aca="false">COUNTIF(C:C,O42)</f>
        <v>110</v>
      </c>
      <c r="Q42" s="282"/>
      <c r="R42" s="282"/>
      <c r="S42" s="316" t="n">
        <f aca="false">(P42/P46)</f>
        <v>0.165912518853695</v>
      </c>
    </row>
    <row r="43" customFormat="false" ht="15" hidden="false" customHeight="true" outlineLevel="0" collapsed="false">
      <c r="A43" s="210" t="s">
        <v>4879</v>
      </c>
      <c r="B43" s="211" t="s">
        <v>4880</v>
      </c>
      <c r="C43" s="211" t="n">
        <v>2021</v>
      </c>
      <c r="D43" s="212" t="n">
        <v>44411</v>
      </c>
      <c r="E43" s="213" t="s">
        <v>4881</v>
      </c>
      <c r="F43" s="213" t="s">
        <v>1635</v>
      </c>
      <c r="G43" s="214" t="s">
        <v>1174</v>
      </c>
      <c r="H43" s="214" t="s">
        <v>310</v>
      </c>
      <c r="I43" s="225" t="n">
        <v>45422</v>
      </c>
      <c r="J43" s="213" t="n">
        <v>5</v>
      </c>
      <c r="K43" s="213" t="s">
        <v>53</v>
      </c>
      <c r="L43" s="206" t="s">
        <v>1175</v>
      </c>
      <c r="M43" s="213" t="n">
        <f aca="false">I43-D43</f>
        <v>1011</v>
      </c>
      <c r="N43" s="153"/>
      <c r="O43" s="283" t="n">
        <v>2022</v>
      </c>
      <c r="P43" s="283" t="n">
        <f aca="false">COUNTIF(C:C,O43)</f>
        <v>34</v>
      </c>
      <c r="Q43" s="283"/>
      <c r="R43" s="283"/>
      <c r="S43" s="315" t="n">
        <f aca="false">(P43/P46)</f>
        <v>0.0512820512820513</v>
      </c>
    </row>
    <row r="44" customFormat="false" ht="15" hidden="false" customHeight="true" outlineLevel="0" collapsed="false">
      <c r="A44" s="203" t="s">
        <v>4882</v>
      </c>
      <c r="B44" s="193" t="s">
        <v>4883</v>
      </c>
      <c r="C44" s="193" t="n">
        <v>2015</v>
      </c>
      <c r="D44" s="218" t="n">
        <v>42150</v>
      </c>
      <c r="E44" s="205" t="s">
        <v>4884</v>
      </c>
      <c r="F44" s="206" t="s">
        <v>793</v>
      </c>
      <c r="G44" s="206" t="s">
        <v>1174</v>
      </c>
      <c r="H44" s="205" t="s">
        <v>184</v>
      </c>
      <c r="I44" s="207" t="n">
        <v>45428</v>
      </c>
      <c r="J44" s="206" t="n">
        <v>5</v>
      </c>
      <c r="K44" s="206" t="s">
        <v>53</v>
      </c>
      <c r="L44" s="213" t="s">
        <v>1181</v>
      </c>
      <c r="M44" s="206" t="n">
        <f aca="false">I44-D44</f>
        <v>3278</v>
      </c>
      <c r="N44" s="153"/>
      <c r="O44" s="282" t="n">
        <v>2023</v>
      </c>
      <c r="P44" s="282" t="n">
        <f aca="false">COUNTIF(C:C,O44)</f>
        <v>88</v>
      </c>
      <c r="Q44" s="282"/>
      <c r="R44" s="282"/>
      <c r="S44" s="316" t="n">
        <f aca="false">(P44/P46)</f>
        <v>0.132730015082956</v>
      </c>
    </row>
    <row r="45" customFormat="false" ht="15" hidden="false" customHeight="true" outlineLevel="0" collapsed="false">
      <c r="A45" s="210" t="s">
        <v>4885</v>
      </c>
      <c r="B45" s="211" t="s">
        <v>4886</v>
      </c>
      <c r="C45" s="211" t="n">
        <v>2018</v>
      </c>
      <c r="D45" s="225" t="n">
        <v>43346</v>
      </c>
      <c r="E45" s="213" t="s">
        <v>4887</v>
      </c>
      <c r="F45" s="213" t="s">
        <v>1200</v>
      </c>
      <c r="G45" s="214" t="s">
        <v>1174</v>
      </c>
      <c r="H45" s="214" t="s">
        <v>4850</v>
      </c>
      <c r="I45" s="225" t="n">
        <v>45436</v>
      </c>
      <c r="J45" s="213" t="n">
        <v>5</v>
      </c>
      <c r="K45" s="213" t="s">
        <v>53</v>
      </c>
      <c r="L45" s="213" t="s">
        <v>1181</v>
      </c>
      <c r="M45" s="213" t="n">
        <f aca="false">I45-D45</f>
        <v>2090</v>
      </c>
      <c r="N45" s="153"/>
      <c r="O45" s="417" t="n">
        <v>2024</v>
      </c>
      <c r="P45" s="282" t="n">
        <f aca="false">COUNTIF(C:C,O45)</f>
        <v>27</v>
      </c>
      <c r="Q45" s="282"/>
      <c r="R45" s="282"/>
      <c r="S45" s="316" t="n">
        <f aca="false">(P45/P46)</f>
        <v>0.0407239819004525</v>
      </c>
    </row>
    <row r="46" customFormat="false" ht="15" hidden="false" customHeight="true" outlineLevel="0" collapsed="false">
      <c r="A46" s="203" t="s">
        <v>4888</v>
      </c>
      <c r="B46" s="193" t="s">
        <v>4889</v>
      </c>
      <c r="C46" s="193" t="n">
        <v>2017</v>
      </c>
      <c r="D46" s="204" t="n">
        <v>43095</v>
      </c>
      <c r="E46" s="205" t="s">
        <v>4890</v>
      </c>
      <c r="F46" s="206" t="s">
        <v>1068</v>
      </c>
      <c r="G46" s="206" t="s">
        <v>1174</v>
      </c>
      <c r="H46" s="205" t="s">
        <v>1501</v>
      </c>
      <c r="I46" s="207" t="n">
        <v>45436</v>
      </c>
      <c r="J46" s="206" t="n">
        <v>5</v>
      </c>
      <c r="K46" s="206" t="s">
        <v>53</v>
      </c>
      <c r="L46" s="206" t="s">
        <v>1175</v>
      </c>
      <c r="M46" s="206" t="n">
        <f aca="false">I46-D46</f>
        <v>2341</v>
      </c>
      <c r="N46" s="153"/>
      <c r="O46" s="323" t="s">
        <v>56</v>
      </c>
      <c r="P46" s="418" t="n">
        <f aca="false">SUM(P29:R45)</f>
        <v>663</v>
      </c>
      <c r="Q46" s="418"/>
      <c r="R46" s="418"/>
      <c r="S46" s="325" t="n">
        <f aca="false">SUM(S29:S45)</f>
        <v>1</v>
      </c>
    </row>
    <row r="47" customFormat="false" ht="15" hidden="false" customHeight="true" outlineLevel="0" collapsed="false">
      <c r="A47" s="210" t="s">
        <v>4891</v>
      </c>
      <c r="B47" s="211" t="s">
        <v>4892</v>
      </c>
      <c r="C47" s="211" t="n">
        <v>2022</v>
      </c>
      <c r="D47" s="225" t="n">
        <v>44630</v>
      </c>
      <c r="E47" s="213" t="s">
        <v>4893</v>
      </c>
      <c r="F47" s="213" t="s">
        <v>1200</v>
      </c>
      <c r="G47" s="214" t="s">
        <v>1174</v>
      </c>
      <c r="H47" s="214" t="s">
        <v>184</v>
      </c>
      <c r="I47" s="225" t="n">
        <v>45436</v>
      </c>
      <c r="J47" s="213" t="n">
        <v>5</v>
      </c>
      <c r="K47" s="213" t="s">
        <v>53</v>
      </c>
      <c r="L47" s="213" t="s">
        <v>1181</v>
      </c>
      <c r="M47" s="213" t="n">
        <f aca="false">I47-D47</f>
        <v>806</v>
      </c>
      <c r="N47" s="153"/>
    </row>
    <row r="48" customFormat="false" ht="15" hidden="false" customHeight="true" outlineLevel="0" collapsed="false">
      <c r="A48" s="203" t="s">
        <v>4894</v>
      </c>
      <c r="B48" s="193" t="s">
        <v>4895</v>
      </c>
      <c r="C48" s="193" t="n">
        <v>2018</v>
      </c>
      <c r="D48" s="207" t="n">
        <v>43257</v>
      </c>
      <c r="E48" s="205" t="s">
        <v>4896</v>
      </c>
      <c r="F48" s="206" t="s">
        <v>1338</v>
      </c>
      <c r="G48" s="206" t="s">
        <v>1174</v>
      </c>
      <c r="H48" s="205" t="s">
        <v>192</v>
      </c>
      <c r="I48" s="207" t="n">
        <v>45436</v>
      </c>
      <c r="J48" s="206" t="n">
        <v>5</v>
      </c>
      <c r="K48" s="206" t="s">
        <v>53</v>
      </c>
      <c r="L48" s="206" t="s">
        <v>1339</v>
      </c>
      <c r="M48" s="206" t="n">
        <f aca="false">I48-D48</f>
        <v>2179</v>
      </c>
      <c r="N48" s="153"/>
      <c r="O48" s="326" t="s">
        <v>272</v>
      </c>
      <c r="P48" s="326"/>
      <c r="Q48" s="326"/>
      <c r="R48" s="326"/>
      <c r="S48" s="326"/>
    </row>
    <row r="49" customFormat="false" ht="15" hidden="false" customHeight="true" outlineLevel="0" collapsed="false">
      <c r="A49" s="210" t="s">
        <v>4897</v>
      </c>
      <c r="B49" s="211" t="s">
        <v>4898</v>
      </c>
      <c r="C49" s="211" t="n">
        <v>2017</v>
      </c>
      <c r="D49" s="225" t="n">
        <v>43090</v>
      </c>
      <c r="E49" s="213" t="s">
        <v>4899</v>
      </c>
      <c r="F49" s="213" t="s">
        <v>1068</v>
      </c>
      <c r="G49" s="214" t="s">
        <v>1174</v>
      </c>
      <c r="H49" s="214" t="s">
        <v>4900</v>
      </c>
      <c r="I49" s="225" t="n">
        <v>45440</v>
      </c>
      <c r="J49" s="213" t="n">
        <v>5</v>
      </c>
      <c r="K49" s="213" t="s">
        <v>53</v>
      </c>
      <c r="L49" s="206" t="s">
        <v>1175</v>
      </c>
      <c r="M49" s="213" t="n">
        <f aca="false">I49-D49</f>
        <v>2350</v>
      </c>
      <c r="N49" s="153"/>
      <c r="O49" s="326"/>
      <c r="P49" s="326"/>
      <c r="Q49" s="326"/>
      <c r="R49" s="326"/>
      <c r="S49" s="326"/>
    </row>
    <row r="50" customFormat="false" ht="15" hidden="false" customHeight="true" outlineLevel="0" collapsed="false">
      <c r="A50" s="203" t="s">
        <v>4901</v>
      </c>
      <c r="B50" s="193" t="s">
        <v>4902</v>
      </c>
      <c r="C50" s="193" t="n">
        <v>2014</v>
      </c>
      <c r="D50" s="207" t="n">
        <v>41851</v>
      </c>
      <c r="E50" s="205" t="s">
        <v>4903</v>
      </c>
      <c r="F50" s="206" t="s">
        <v>1200</v>
      </c>
      <c r="G50" s="206" t="s">
        <v>1174</v>
      </c>
      <c r="H50" s="205" t="s">
        <v>223</v>
      </c>
      <c r="I50" s="207" t="n">
        <v>45440</v>
      </c>
      <c r="J50" s="206" t="n">
        <v>5</v>
      </c>
      <c r="K50" s="206" t="s">
        <v>53</v>
      </c>
      <c r="L50" s="213" t="s">
        <v>1181</v>
      </c>
      <c r="M50" s="206" t="n">
        <f aca="false">I50-D50</f>
        <v>3589</v>
      </c>
      <c r="N50" s="153"/>
      <c r="O50" s="309" t="s">
        <v>100</v>
      </c>
      <c r="P50" s="416" t="s">
        <v>40</v>
      </c>
      <c r="Q50" s="416"/>
      <c r="R50" s="416"/>
      <c r="S50" s="313" t="s">
        <v>41</v>
      </c>
    </row>
    <row r="51" customFormat="false" ht="15" hidden="false" customHeight="true" outlineLevel="0" collapsed="false">
      <c r="A51" s="210" t="s">
        <v>4904</v>
      </c>
      <c r="B51" s="211" t="s">
        <v>4905</v>
      </c>
      <c r="C51" s="211" t="n">
        <v>2014</v>
      </c>
      <c r="D51" s="212" t="n">
        <v>41946</v>
      </c>
      <c r="E51" s="213" t="s">
        <v>4906</v>
      </c>
      <c r="F51" s="213" t="s">
        <v>2151</v>
      </c>
      <c r="G51" s="214" t="s">
        <v>1174</v>
      </c>
      <c r="H51" s="214" t="s">
        <v>350</v>
      </c>
      <c r="I51" s="225" t="n">
        <v>45440</v>
      </c>
      <c r="J51" s="213" t="n">
        <v>5</v>
      </c>
      <c r="K51" s="213" t="s">
        <v>53</v>
      </c>
      <c r="L51" s="213" t="s">
        <v>1181</v>
      </c>
      <c r="M51" s="213" t="n">
        <f aca="false">I51-D51</f>
        <v>3494</v>
      </c>
      <c r="N51" s="153"/>
      <c r="O51" s="314" t="s">
        <v>63</v>
      </c>
      <c r="P51" s="314" t="n">
        <f aca="false">COUNTIF(J:J,"1")</f>
        <v>30</v>
      </c>
      <c r="Q51" s="314"/>
      <c r="R51" s="314"/>
      <c r="S51" s="328" t="n">
        <f aca="false">(P51/$P$63)</f>
        <v>0.0452488687782805</v>
      </c>
    </row>
    <row r="52" customFormat="false" ht="15" hidden="false" customHeight="true" outlineLevel="0" collapsed="false">
      <c r="A52" s="203" t="s">
        <v>4907</v>
      </c>
      <c r="B52" s="193" t="s">
        <v>4908</v>
      </c>
      <c r="C52" s="193" t="n">
        <v>2015</v>
      </c>
      <c r="D52" s="207" t="n">
        <v>42118</v>
      </c>
      <c r="E52" s="205" t="s">
        <v>4909</v>
      </c>
      <c r="F52" s="206" t="s">
        <v>823</v>
      </c>
      <c r="G52" s="206" t="s">
        <v>1174</v>
      </c>
      <c r="H52" s="205" t="s">
        <v>1538</v>
      </c>
      <c r="I52" s="207" t="n">
        <v>45440</v>
      </c>
      <c r="J52" s="206" t="n">
        <v>5</v>
      </c>
      <c r="K52" s="206" t="s">
        <v>53</v>
      </c>
      <c r="L52" s="213" t="s">
        <v>1181</v>
      </c>
      <c r="M52" s="206" t="n">
        <f aca="false">I52-D52</f>
        <v>3322</v>
      </c>
      <c r="N52" s="153"/>
      <c r="O52" s="282" t="s">
        <v>64</v>
      </c>
      <c r="P52" s="282" t="n">
        <f aca="false">COUNTIF(J:J,"2")</f>
        <v>20</v>
      </c>
      <c r="Q52" s="282"/>
      <c r="R52" s="282"/>
      <c r="S52" s="329" t="n">
        <f aca="false">(P52/$P$63)</f>
        <v>0.0301659125188537</v>
      </c>
    </row>
    <row r="53" customFormat="false" ht="15" hidden="false" customHeight="true" outlineLevel="0" collapsed="false">
      <c r="A53" s="210" t="s">
        <v>4910</v>
      </c>
      <c r="B53" s="211" t="s">
        <v>4911</v>
      </c>
      <c r="C53" s="211" t="n">
        <v>2023</v>
      </c>
      <c r="D53" s="225" t="n">
        <v>44953</v>
      </c>
      <c r="E53" s="213" t="s">
        <v>4912</v>
      </c>
      <c r="F53" s="213" t="s">
        <v>1200</v>
      </c>
      <c r="G53" s="214" t="s">
        <v>1174</v>
      </c>
      <c r="H53" s="214" t="s">
        <v>243</v>
      </c>
      <c r="I53" s="225" t="n">
        <v>45440</v>
      </c>
      <c r="J53" s="213" t="n">
        <v>5</v>
      </c>
      <c r="K53" s="213" t="s">
        <v>53</v>
      </c>
      <c r="L53" s="213" t="s">
        <v>1181</v>
      </c>
      <c r="M53" s="213" t="n">
        <f aca="false">I53-D53</f>
        <v>487</v>
      </c>
      <c r="N53" s="153"/>
      <c r="O53" s="283" t="s">
        <v>66</v>
      </c>
      <c r="P53" s="283" t="n">
        <f aca="false">COUNTIF(J:J,"3")</f>
        <v>44</v>
      </c>
      <c r="Q53" s="283"/>
      <c r="R53" s="283"/>
      <c r="S53" s="330" t="n">
        <f aca="false">(P53/$P$63)</f>
        <v>0.0663650075414781</v>
      </c>
    </row>
    <row r="54" customFormat="false" ht="15" hidden="false" customHeight="true" outlineLevel="0" collapsed="false">
      <c r="A54" s="203" t="s">
        <v>4913</v>
      </c>
      <c r="B54" s="193" t="s">
        <v>4914</v>
      </c>
      <c r="C54" s="193" t="n">
        <v>2021</v>
      </c>
      <c r="D54" s="207" t="n">
        <v>44284</v>
      </c>
      <c r="E54" s="205" t="s">
        <v>4915</v>
      </c>
      <c r="F54" s="206" t="s">
        <v>1196</v>
      </c>
      <c r="G54" s="206" t="s">
        <v>1174</v>
      </c>
      <c r="H54" s="205" t="s">
        <v>243</v>
      </c>
      <c r="I54" s="207" t="n">
        <v>45440</v>
      </c>
      <c r="J54" s="206" t="n">
        <v>5</v>
      </c>
      <c r="K54" s="206" t="s">
        <v>53</v>
      </c>
      <c r="L54" s="213" t="s">
        <v>1181</v>
      </c>
      <c r="M54" s="206" t="n">
        <f aca="false">I54-D54</f>
        <v>1156</v>
      </c>
      <c r="N54" s="153"/>
      <c r="O54" s="282" t="s">
        <v>67</v>
      </c>
      <c r="P54" s="282" t="n">
        <f aca="false">COUNTIF(J:J,"4")</f>
        <v>17</v>
      </c>
      <c r="Q54" s="282"/>
      <c r="R54" s="282"/>
      <c r="S54" s="329" t="n">
        <f aca="false">(P54/$P$63)</f>
        <v>0.0256410256410256</v>
      </c>
    </row>
    <row r="55" customFormat="false" ht="15" hidden="false" customHeight="true" outlineLevel="0" collapsed="false">
      <c r="A55" s="210" t="s">
        <v>4916</v>
      </c>
      <c r="B55" s="211" t="s">
        <v>4917</v>
      </c>
      <c r="C55" s="211" t="n">
        <v>2017</v>
      </c>
      <c r="D55" s="225" t="n">
        <v>43089</v>
      </c>
      <c r="E55" s="213" t="s">
        <v>4918</v>
      </c>
      <c r="F55" s="213" t="s">
        <v>123</v>
      </c>
      <c r="G55" s="214" t="s">
        <v>1174</v>
      </c>
      <c r="H55" s="214" t="s">
        <v>4919</v>
      </c>
      <c r="I55" s="225" t="n">
        <v>45440</v>
      </c>
      <c r="J55" s="213" t="n">
        <v>5</v>
      </c>
      <c r="K55" s="213" t="s">
        <v>53</v>
      </c>
      <c r="L55" s="213" t="s">
        <v>1181</v>
      </c>
      <c r="M55" s="213" t="n">
        <f aca="false">I55-D55</f>
        <v>2351</v>
      </c>
      <c r="N55" s="153"/>
      <c r="O55" s="283" t="s">
        <v>68</v>
      </c>
      <c r="P55" s="283" t="n">
        <f aca="false">COUNTIF(J:J,"5")</f>
        <v>104</v>
      </c>
      <c r="Q55" s="283"/>
      <c r="R55" s="283"/>
      <c r="S55" s="330" t="n">
        <f aca="false">(P55/$P$63)</f>
        <v>0.156862745098039</v>
      </c>
    </row>
    <row r="56" customFormat="false" ht="15" hidden="false" customHeight="true" outlineLevel="0" collapsed="false">
      <c r="A56" s="331" t="s">
        <v>4920</v>
      </c>
      <c r="B56" s="226" t="s">
        <v>4921</v>
      </c>
      <c r="C56" s="226" t="n">
        <v>2021</v>
      </c>
      <c r="D56" s="204" t="n">
        <v>44522</v>
      </c>
      <c r="E56" s="205" t="s">
        <v>4922</v>
      </c>
      <c r="F56" s="206" t="s">
        <v>1200</v>
      </c>
      <c r="G56" s="206" t="s">
        <v>1174</v>
      </c>
      <c r="H56" s="205" t="s">
        <v>1557</v>
      </c>
      <c r="I56" s="207" t="n">
        <v>45441</v>
      </c>
      <c r="J56" s="206" t="n">
        <v>5</v>
      </c>
      <c r="K56" s="206" t="s">
        <v>53</v>
      </c>
      <c r="L56" s="213" t="s">
        <v>1181</v>
      </c>
      <c r="M56" s="206" t="n">
        <f aca="false">I56-D56</f>
        <v>919</v>
      </c>
      <c r="N56" s="160"/>
      <c r="O56" s="282" t="s">
        <v>70</v>
      </c>
      <c r="P56" s="282" t="n">
        <f aca="false">COUNTIF(J:J,"6")</f>
        <v>0</v>
      </c>
      <c r="Q56" s="282"/>
      <c r="R56" s="282"/>
      <c r="S56" s="329" t="n">
        <f aca="false">(P56/$P$63)</f>
        <v>0</v>
      </c>
    </row>
    <row r="57" customFormat="false" ht="15" hidden="false" customHeight="true" outlineLevel="0" collapsed="false">
      <c r="A57" s="332" t="s">
        <v>4923</v>
      </c>
      <c r="B57" s="227" t="s">
        <v>4924</v>
      </c>
      <c r="C57" s="227" t="n">
        <v>2018</v>
      </c>
      <c r="D57" s="228" t="n">
        <v>43453</v>
      </c>
      <c r="E57" s="213" t="s">
        <v>4925</v>
      </c>
      <c r="F57" s="213" t="s">
        <v>2151</v>
      </c>
      <c r="G57" s="214" t="s">
        <v>1174</v>
      </c>
      <c r="H57" s="214" t="s">
        <v>267</v>
      </c>
      <c r="I57" s="225" t="n">
        <v>45488</v>
      </c>
      <c r="J57" s="213" t="n">
        <v>7</v>
      </c>
      <c r="K57" s="213" t="s">
        <v>53</v>
      </c>
      <c r="L57" s="213" t="s">
        <v>1181</v>
      </c>
      <c r="M57" s="213" t="n">
        <f aca="false">I57-D57</f>
        <v>2035</v>
      </c>
      <c r="N57" s="153"/>
      <c r="O57" s="283" t="s">
        <v>72</v>
      </c>
      <c r="P57" s="283" t="n">
        <f aca="false">COUNTIF(J:J,"7")</f>
        <v>87</v>
      </c>
      <c r="Q57" s="283"/>
      <c r="R57" s="283"/>
      <c r="S57" s="330" t="n">
        <f aca="false">(P57/$P$63)</f>
        <v>0.131221719457014</v>
      </c>
    </row>
    <row r="58" customFormat="false" ht="15" hidden="false" customHeight="true" outlineLevel="0" collapsed="false">
      <c r="A58" s="333" t="s">
        <v>4926</v>
      </c>
      <c r="B58" s="229" t="s">
        <v>4927</v>
      </c>
      <c r="C58" s="229" t="n">
        <v>2016</v>
      </c>
      <c r="D58" s="230" t="n">
        <v>42643</v>
      </c>
      <c r="E58" s="205" t="s">
        <v>4928</v>
      </c>
      <c r="F58" s="206" t="s">
        <v>699</v>
      </c>
      <c r="G58" s="206" t="s">
        <v>1174</v>
      </c>
      <c r="H58" s="205" t="s">
        <v>267</v>
      </c>
      <c r="I58" s="207" t="n">
        <v>45488</v>
      </c>
      <c r="J58" s="206" t="n">
        <v>7</v>
      </c>
      <c r="K58" s="206" t="s">
        <v>53</v>
      </c>
      <c r="L58" s="206" t="s">
        <v>1175</v>
      </c>
      <c r="M58" s="208" t="n">
        <f aca="false">I58-D58</f>
        <v>2845</v>
      </c>
      <c r="N58" s="153"/>
      <c r="O58" s="282" t="s">
        <v>74</v>
      </c>
      <c r="P58" s="282" t="n">
        <f aca="false">COUNTIF(J:J,"8")</f>
        <v>60</v>
      </c>
      <c r="Q58" s="282"/>
      <c r="R58" s="282"/>
      <c r="S58" s="329" t="n">
        <f aca="false">(P58/$P$63)</f>
        <v>0.0904977375565611</v>
      </c>
    </row>
    <row r="59" customFormat="false" ht="15" hidden="false" customHeight="true" outlineLevel="0" collapsed="false">
      <c r="A59" s="332" t="s">
        <v>4929</v>
      </c>
      <c r="B59" s="227" t="s">
        <v>4930</v>
      </c>
      <c r="C59" s="227" t="n">
        <v>2021</v>
      </c>
      <c r="D59" s="334" t="n">
        <v>44268</v>
      </c>
      <c r="E59" s="213" t="s">
        <v>4931</v>
      </c>
      <c r="F59" s="213" t="s">
        <v>1200</v>
      </c>
      <c r="G59" s="214" t="s">
        <v>1174</v>
      </c>
      <c r="H59" s="214" t="s">
        <v>596</v>
      </c>
      <c r="I59" s="225" t="n">
        <v>45488</v>
      </c>
      <c r="J59" s="213" t="n">
        <v>7</v>
      </c>
      <c r="K59" s="213" t="s">
        <v>53</v>
      </c>
      <c r="L59" s="213" t="s">
        <v>1181</v>
      </c>
      <c r="M59" s="213" t="n">
        <f aca="false">I59-D59</f>
        <v>1220</v>
      </c>
      <c r="N59" s="153"/>
      <c r="O59" s="283" t="s">
        <v>76</v>
      </c>
      <c r="P59" s="283" t="n">
        <f aca="false">COUNTIF(J:J,"9")</f>
        <v>70</v>
      </c>
      <c r="Q59" s="283"/>
      <c r="R59" s="283"/>
      <c r="S59" s="330" t="n">
        <f aca="false">(P59/$P$63)</f>
        <v>0.105580693815988</v>
      </c>
    </row>
    <row r="60" customFormat="false" ht="15" hidden="false" customHeight="true" outlineLevel="0" collapsed="false">
      <c r="A60" s="335" t="s">
        <v>4932</v>
      </c>
      <c r="B60" s="233" t="s">
        <v>4933</v>
      </c>
      <c r="C60" s="233" t="n">
        <v>2016</v>
      </c>
      <c r="D60" s="207" t="n">
        <v>42467</v>
      </c>
      <c r="E60" s="205" t="s">
        <v>4934</v>
      </c>
      <c r="F60" s="206" t="s">
        <v>823</v>
      </c>
      <c r="G60" s="206" t="s">
        <v>1174</v>
      </c>
      <c r="H60" s="205" t="s">
        <v>267</v>
      </c>
      <c r="I60" s="207" t="n">
        <v>45488</v>
      </c>
      <c r="J60" s="206" t="n">
        <v>7</v>
      </c>
      <c r="K60" s="206" t="s">
        <v>53</v>
      </c>
      <c r="L60" s="213" t="s">
        <v>1181</v>
      </c>
      <c r="M60" s="206" t="n">
        <f aca="false">I60-D60</f>
        <v>3021</v>
      </c>
      <c r="N60" s="153"/>
      <c r="O60" s="282" t="s">
        <v>78</v>
      </c>
      <c r="P60" s="282" t="n">
        <f aca="false">COUNTIF(J:J,"10")</f>
        <v>83</v>
      </c>
      <c r="Q60" s="282"/>
      <c r="R60" s="282"/>
      <c r="S60" s="329" t="n">
        <f aca="false">(P60/$P$63)</f>
        <v>0.125188536953243</v>
      </c>
    </row>
    <row r="61" customFormat="false" ht="15" hidden="false" customHeight="true" outlineLevel="0" collapsed="false">
      <c r="A61" s="210" t="s">
        <v>4935</v>
      </c>
      <c r="B61" s="211" t="s">
        <v>4936</v>
      </c>
      <c r="C61" s="211" t="n">
        <v>2019</v>
      </c>
      <c r="D61" s="225" t="n">
        <v>43630</v>
      </c>
      <c r="E61" s="213" t="s">
        <v>4937</v>
      </c>
      <c r="F61" s="213" t="s">
        <v>1490</v>
      </c>
      <c r="G61" s="214" t="s">
        <v>1174</v>
      </c>
      <c r="H61" s="214" t="s">
        <v>596</v>
      </c>
      <c r="I61" s="225" t="n">
        <v>45488</v>
      </c>
      <c r="J61" s="213" t="n">
        <v>7</v>
      </c>
      <c r="K61" s="213" t="s">
        <v>53</v>
      </c>
      <c r="L61" s="213" t="s">
        <v>1181</v>
      </c>
      <c r="M61" s="213" t="n">
        <f aca="false">I61-D61</f>
        <v>1858</v>
      </c>
      <c r="N61" s="153"/>
      <c r="O61" s="283" t="s">
        <v>80</v>
      </c>
      <c r="P61" s="283" t="n">
        <f aca="false">COUNTIF(J:J,"11")</f>
        <v>48</v>
      </c>
      <c r="Q61" s="283"/>
      <c r="R61" s="283"/>
      <c r="S61" s="330" t="n">
        <f aca="false">(P61/$P$63)</f>
        <v>0.0723981900452489</v>
      </c>
    </row>
    <row r="62" customFormat="false" ht="15" hidden="false" customHeight="true" outlineLevel="0" collapsed="false">
      <c r="A62" s="203" t="s">
        <v>4938</v>
      </c>
      <c r="B62" s="193" t="s">
        <v>4939</v>
      </c>
      <c r="C62" s="193" t="n">
        <v>2018</v>
      </c>
      <c r="D62" s="207" t="n">
        <v>43188</v>
      </c>
      <c r="E62" s="205" t="s">
        <v>4940</v>
      </c>
      <c r="F62" s="206" t="s">
        <v>509</v>
      </c>
      <c r="G62" s="206" t="s">
        <v>1174</v>
      </c>
      <c r="H62" s="205" t="s">
        <v>522</v>
      </c>
      <c r="I62" s="207" t="n">
        <v>45488</v>
      </c>
      <c r="J62" s="206" t="n">
        <v>7</v>
      </c>
      <c r="K62" s="206" t="s">
        <v>53</v>
      </c>
      <c r="L62" s="213" t="s">
        <v>1181</v>
      </c>
      <c r="M62" s="208" t="n">
        <f aca="false">I62-D62</f>
        <v>2300</v>
      </c>
      <c r="N62" s="153"/>
      <c r="O62" s="336" t="s">
        <v>82</v>
      </c>
      <c r="P62" s="336" t="n">
        <f aca="false">COUNTIF(J:J,"12")</f>
        <v>100</v>
      </c>
      <c r="Q62" s="336"/>
      <c r="R62" s="336"/>
      <c r="S62" s="337" t="n">
        <f aca="false">(P62/$P$63)</f>
        <v>0.150829562594268</v>
      </c>
    </row>
    <row r="63" customFormat="false" ht="15" hidden="false" customHeight="true" outlineLevel="0" collapsed="false">
      <c r="A63" s="210" t="s">
        <v>4941</v>
      </c>
      <c r="B63" s="211" t="s">
        <v>4942</v>
      </c>
      <c r="C63" s="211" t="n">
        <v>2021</v>
      </c>
      <c r="D63" s="225" t="n">
        <v>44538</v>
      </c>
      <c r="E63" s="213" t="s">
        <v>4943</v>
      </c>
      <c r="F63" s="213" t="s">
        <v>1200</v>
      </c>
      <c r="G63" s="214" t="s">
        <v>1174</v>
      </c>
      <c r="H63" s="214" t="s">
        <v>1557</v>
      </c>
      <c r="I63" s="225" t="n">
        <v>45488</v>
      </c>
      <c r="J63" s="213" t="n">
        <v>7</v>
      </c>
      <c r="K63" s="213" t="s">
        <v>53</v>
      </c>
      <c r="L63" s="213" t="s">
        <v>1181</v>
      </c>
      <c r="M63" s="213" t="n">
        <f aca="false">I63-D63</f>
        <v>950</v>
      </c>
      <c r="N63" s="153"/>
      <c r="O63" s="323" t="s">
        <v>54</v>
      </c>
      <c r="P63" s="418" t="n">
        <f aca="false">SUM(P51:R62)</f>
        <v>663</v>
      </c>
      <c r="Q63" s="418"/>
      <c r="R63" s="418"/>
      <c r="S63" s="325" t="n">
        <f aca="false">SUM(S51:S62)</f>
        <v>1</v>
      </c>
    </row>
    <row r="64" customFormat="false" ht="15" hidden="false" customHeight="true" outlineLevel="0" collapsed="false">
      <c r="A64" s="203" t="s">
        <v>4944</v>
      </c>
      <c r="B64" s="193" t="s">
        <v>4945</v>
      </c>
      <c r="C64" s="193" t="n">
        <v>2018</v>
      </c>
      <c r="D64" s="207" t="n">
        <v>43363</v>
      </c>
      <c r="E64" s="205" t="s">
        <v>4946</v>
      </c>
      <c r="F64" s="206" t="s">
        <v>1312</v>
      </c>
      <c r="G64" s="206" t="s">
        <v>1174</v>
      </c>
      <c r="H64" s="205" t="s">
        <v>570</v>
      </c>
      <c r="I64" s="207" t="n">
        <v>45488</v>
      </c>
      <c r="J64" s="206" t="n">
        <v>7</v>
      </c>
      <c r="K64" s="206" t="s">
        <v>53</v>
      </c>
      <c r="L64" s="206" t="s">
        <v>1175</v>
      </c>
      <c r="M64" s="206" t="n">
        <f aca="false">I64-D64</f>
        <v>2125</v>
      </c>
      <c r="N64" s="153"/>
      <c r="O64" s="153"/>
      <c r="P64" s="153"/>
      <c r="Q64" s="153"/>
      <c r="R64" s="153"/>
      <c r="S64" s="153"/>
    </row>
    <row r="65" customFormat="false" ht="15" hidden="false" customHeight="true" outlineLevel="0" collapsed="false">
      <c r="A65" s="210" t="s">
        <v>4947</v>
      </c>
      <c r="B65" s="211" t="s">
        <v>4948</v>
      </c>
      <c r="C65" s="211" t="n">
        <v>2021</v>
      </c>
      <c r="D65" s="212" t="n">
        <v>44267</v>
      </c>
      <c r="E65" s="213" t="s">
        <v>4949</v>
      </c>
      <c r="F65" s="213" t="s">
        <v>449</v>
      </c>
      <c r="G65" s="214" t="s">
        <v>1174</v>
      </c>
      <c r="H65" s="214" t="s">
        <v>1258</v>
      </c>
      <c r="I65" s="225" t="n">
        <v>45489</v>
      </c>
      <c r="J65" s="213" t="n">
        <v>7</v>
      </c>
      <c r="K65" s="213" t="s">
        <v>53</v>
      </c>
      <c r="L65" s="213" t="s">
        <v>1181</v>
      </c>
      <c r="M65" s="241" t="n">
        <f aca="false">I65-D65</f>
        <v>1222</v>
      </c>
      <c r="N65" s="160"/>
      <c r="O65" s="339" t="s">
        <v>335</v>
      </c>
      <c r="P65" s="339"/>
      <c r="Q65" s="339"/>
      <c r="R65" s="339"/>
      <c r="S65" s="339"/>
      <c r="T65" s="339"/>
    </row>
    <row r="66" customFormat="false" ht="15" hidden="false" customHeight="true" outlineLevel="0" collapsed="false">
      <c r="A66" s="203" t="s">
        <v>4950</v>
      </c>
      <c r="B66" s="193" t="s">
        <v>4951</v>
      </c>
      <c r="C66" s="193" t="n">
        <v>2016</v>
      </c>
      <c r="D66" s="204" t="n">
        <v>42632</v>
      </c>
      <c r="E66" s="205" t="s">
        <v>4952</v>
      </c>
      <c r="F66" s="206" t="s">
        <v>138</v>
      </c>
      <c r="G66" s="206" t="s">
        <v>1174</v>
      </c>
      <c r="H66" s="205" t="s">
        <v>4900</v>
      </c>
      <c r="I66" s="207" t="n">
        <v>45489</v>
      </c>
      <c r="J66" s="206" t="n">
        <v>7</v>
      </c>
      <c r="K66" s="206" t="s">
        <v>53</v>
      </c>
      <c r="L66" s="206" t="s">
        <v>1175</v>
      </c>
      <c r="M66" s="206" t="n">
        <f aca="false">I66-D66</f>
        <v>2857</v>
      </c>
      <c r="N66" s="153"/>
      <c r="O66" s="339"/>
      <c r="P66" s="339"/>
      <c r="Q66" s="339"/>
      <c r="R66" s="339"/>
      <c r="S66" s="339"/>
      <c r="T66" s="339"/>
    </row>
    <row r="67" customFormat="false" ht="15" hidden="false" customHeight="true" outlineLevel="0" collapsed="false">
      <c r="A67" s="210" t="s">
        <v>4953</v>
      </c>
      <c r="B67" s="211" t="s">
        <v>4954</v>
      </c>
      <c r="C67" s="211" t="n">
        <v>2019</v>
      </c>
      <c r="D67" s="225" t="n">
        <v>43546</v>
      </c>
      <c r="E67" s="213" t="s">
        <v>4955</v>
      </c>
      <c r="F67" s="213" t="s">
        <v>4956</v>
      </c>
      <c r="G67" s="214" t="s">
        <v>1174</v>
      </c>
      <c r="H67" s="214" t="s">
        <v>267</v>
      </c>
      <c r="I67" s="225" t="n">
        <v>45489</v>
      </c>
      <c r="J67" s="213" t="n">
        <v>7</v>
      </c>
      <c r="K67" s="213" t="s">
        <v>53</v>
      </c>
      <c r="L67" s="213" t="s">
        <v>1181</v>
      </c>
      <c r="M67" s="213" t="n">
        <f aca="false">I67-D67</f>
        <v>1943</v>
      </c>
      <c r="N67" s="153"/>
      <c r="O67" s="340" t="s">
        <v>38</v>
      </c>
      <c r="P67" s="340"/>
      <c r="Q67" s="340"/>
      <c r="R67" s="340"/>
      <c r="S67" s="341" t="s">
        <v>343</v>
      </c>
      <c r="T67" s="342" t="s">
        <v>41</v>
      </c>
    </row>
    <row r="68" customFormat="false" ht="15" hidden="false" customHeight="true" outlineLevel="0" collapsed="false">
      <c r="A68" s="203" t="s">
        <v>4957</v>
      </c>
      <c r="B68" s="193" t="s">
        <v>4958</v>
      </c>
      <c r="C68" s="193" t="n">
        <v>2015</v>
      </c>
      <c r="D68" s="204" t="n">
        <v>42027</v>
      </c>
      <c r="E68" s="205" t="s">
        <v>4959</v>
      </c>
      <c r="F68" s="206" t="s">
        <v>823</v>
      </c>
      <c r="G68" s="206" t="s">
        <v>1174</v>
      </c>
      <c r="H68" s="205" t="s">
        <v>1501</v>
      </c>
      <c r="I68" s="207" t="n">
        <v>45492</v>
      </c>
      <c r="J68" s="206" t="n">
        <v>7</v>
      </c>
      <c r="K68" s="206" t="s">
        <v>53</v>
      </c>
      <c r="L68" s="213" t="s">
        <v>1181</v>
      </c>
      <c r="M68" s="206" t="n">
        <f aca="false">I68-D68</f>
        <v>3465</v>
      </c>
      <c r="N68" s="153"/>
      <c r="O68" s="343" t="s">
        <v>42</v>
      </c>
      <c r="P68" s="343"/>
      <c r="Q68" s="343"/>
      <c r="R68" s="343"/>
      <c r="S68" s="343" t="n">
        <f aca="false">COUNTIF(K:K,O68)</f>
        <v>3</v>
      </c>
      <c r="T68" s="344" t="n">
        <f aca="false">(S68/$S$81)</f>
        <v>0.00452488687782806</v>
      </c>
    </row>
    <row r="69" customFormat="false" ht="15" hidden="false" customHeight="true" outlineLevel="0" collapsed="false">
      <c r="A69" s="210" t="s">
        <v>4960</v>
      </c>
      <c r="B69" s="211" t="s">
        <v>4961</v>
      </c>
      <c r="C69" s="211" t="n">
        <v>2021</v>
      </c>
      <c r="D69" s="225" t="n">
        <v>44445</v>
      </c>
      <c r="E69" s="213" t="s">
        <v>4962</v>
      </c>
      <c r="F69" s="213" t="s">
        <v>1200</v>
      </c>
      <c r="G69" s="214" t="s">
        <v>1174</v>
      </c>
      <c r="H69" s="214" t="s">
        <v>192</v>
      </c>
      <c r="I69" s="225" t="n">
        <v>45492</v>
      </c>
      <c r="J69" s="213" t="n">
        <v>7</v>
      </c>
      <c r="K69" s="213" t="s">
        <v>53</v>
      </c>
      <c r="L69" s="213" t="s">
        <v>1181</v>
      </c>
      <c r="M69" s="213" t="n">
        <f aca="false">I69-D69</f>
        <v>1047</v>
      </c>
      <c r="N69" s="153"/>
      <c r="O69" s="345" t="s">
        <v>43</v>
      </c>
      <c r="P69" s="345"/>
      <c r="Q69" s="345"/>
      <c r="R69" s="345"/>
      <c r="S69" s="346" t="n">
        <f aca="false">COUNTIF(K:K,O69)</f>
        <v>3</v>
      </c>
      <c r="T69" s="347" t="n">
        <f aca="false">(S69/$S$81)</f>
        <v>0.00452488687782806</v>
      </c>
    </row>
    <row r="70" customFormat="false" ht="15" hidden="false" customHeight="true" outlineLevel="0" collapsed="false">
      <c r="A70" s="203" t="s">
        <v>4963</v>
      </c>
      <c r="B70" s="193" t="s">
        <v>4964</v>
      </c>
      <c r="C70" s="193" t="n">
        <v>2022</v>
      </c>
      <c r="D70" s="204" t="n">
        <v>44680</v>
      </c>
      <c r="E70" s="205" t="s">
        <v>4965</v>
      </c>
      <c r="F70" s="206" t="s">
        <v>1200</v>
      </c>
      <c r="G70" s="206" t="s">
        <v>1174</v>
      </c>
      <c r="H70" s="205" t="s">
        <v>1501</v>
      </c>
      <c r="I70" s="207" t="n">
        <v>45492</v>
      </c>
      <c r="J70" s="206" t="n">
        <v>7</v>
      </c>
      <c r="K70" s="206" t="s">
        <v>53</v>
      </c>
      <c r="L70" s="213" t="s">
        <v>1181</v>
      </c>
      <c r="M70" s="208" t="n">
        <f aca="false">I70-D70</f>
        <v>812</v>
      </c>
      <c r="N70" s="153"/>
      <c r="O70" s="345" t="s">
        <v>44</v>
      </c>
      <c r="P70" s="345"/>
      <c r="Q70" s="345"/>
      <c r="R70" s="345"/>
      <c r="S70" s="345" t="n">
        <f aca="false">COUNTIF(K:K,O70)</f>
        <v>15</v>
      </c>
      <c r="T70" s="348" t="n">
        <f aca="false">(S70/$S$81)</f>
        <v>0.0226244343891403</v>
      </c>
    </row>
    <row r="71" customFormat="false" ht="15" hidden="false" customHeight="true" outlineLevel="0" collapsed="false">
      <c r="A71" s="210" t="s">
        <v>4966</v>
      </c>
      <c r="B71" s="211" t="s">
        <v>4967</v>
      </c>
      <c r="C71" s="211" t="n">
        <v>2017</v>
      </c>
      <c r="D71" s="225" t="n">
        <v>43025</v>
      </c>
      <c r="E71" s="213" t="s">
        <v>4968</v>
      </c>
      <c r="F71" s="213" t="s">
        <v>138</v>
      </c>
      <c r="G71" s="214" t="s">
        <v>1174</v>
      </c>
      <c r="H71" s="214" t="s">
        <v>1538</v>
      </c>
      <c r="I71" s="225" t="n">
        <v>45492</v>
      </c>
      <c r="J71" s="213" t="n">
        <v>7</v>
      </c>
      <c r="K71" s="213" t="s">
        <v>53</v>
      </c>
      <c r="L71" s="206" t="s">
        <v>1175</v>
      </c>
      <c r="M71" s="213" t="n">
        <f aca="false">I71-D71</f>
        <v>2467</v>
      </c>
      <c r="N71" s="153"/>
      <c r="O71" s="349" t="s">
        <v>45</v>
      </c>
      <c r="P71" s="349"/>
      <c r="Q71" s="349"/>
      <c r="R71" s="349"/>
      <c r="S71" s="349" t="n">
        <f aca="false">COUNTIF(K:K,O71)</f>
        <v>3</v>
      </c>
      <c r="T71" s="350" t="n">
        <f aca="false">(S71/$S$81)</f>
        <v>0.00452488687782806</v>
      </c>
    </row>
    <row r="72" customFormat="false" ht="15" hidden="false" customHeight="true" outlineLevel="0" collapsed="false">
      <c r="A72" s="203" t="s">
        <v>4969</v>
      </c>
      <c r="B72" s="193" t="s">
        <v>4970</v>
      </c>
      <c r="C72" s="193" t="n">
        <v>2017</v>
      </c>
      <c r="D72" s="204" t="n">
        <v>43075</v>
      </c>
      <c r="E72" s="205" t="s">
        <v>4971</v>
      </c>
      <c r="F72" s="206" t="s">
        <v>138</v>
      </c>
      <c r="G72" s="206" t="s">
        <v>1174</v>
      </c>
      <c r="H72" s="205" t="s">
        <v>3056</v>
      </c>
      <c r="I72" s="207" t="n">
        <v>45492</v>
      </c>
      <c r="J72" s="206" t="n">
        <v>7</v>
      </c>
      <c r="K72" s="206" t="s">
        <v>53</v>
      </c>
      <c r="L72" s="206" t="s">
        <v>1175</v>
      </c>
      <c r="M72" s="208" t="n">
        <f aca="false">I72-D72</f>
        <v>2417</v>
      </c>
      <c r="N72" s="153"/>
      <c r="O72" s="349" t="s">
        <v>46</v>
      </c>
      <c r="P72" s="349"/>
      <c r="Q72" s="349"/>
      <c r="R72" s="349"/>
      <c r="S72" s="349" t="n">
        <f aca="false">COUNTIF(K:K,O72)</f>
        <v>18</v>
      </c>
      <c r="T72" s="350" t="n">
        <f aca="false">(S72/$S$81)</f>
        <v>0.0271493212669683</v>
      </c>
    </row>
    <row r="73" customFormat="false" ht="15" hidden="false" customHeight="true" outlineLevel="0" collapsed="false">
      <c r="A73" s="210" t="s">
        <v>4972</v>
      </c>
      <c r="B73" s="211" t="s">
        <v>4973</v>
      </c>
      <c r="C73" s="211" t="n">
        <v>2020</v>
      </c>
      <c r="D73" s="212" t="n">
        <v>43851</v>
      </c>
      <c r="E73" s="213" t="s">
        <v>4974</v>
      </c>
      <c r="F73" s="213" t="s">
        <v>138</v>
      </c>
      <c r="G73" s="214" t="s">
        <v>1174</v>
      </c>
      <c r="H73" s="214" t="s">
        <v>892</v>
      </c>
      <c r="I73" s="225" t="n">
        <v>45492</v>
      </c>
      <c r="J73" s="213" t="n">
        <v>7</v>
      </c>
      <c r="K73" s="213" t="s">
        <v>53</v>
      </c>
      <c r="L73" s="206" t="s">
        <v>1175</v>
      </c>
      <c r="M73" s="213" t="n">
        <f aca="false">I73-D73</f>
        <v>1641</v>
      </c>
      <c r="N73" s="153"/>
      <c r="O73" s="351" t="s">
        <v>47</v>
      </c>
      <c r="P73" s="351"/>
      <c r="Q73" s="351"/>
      <c r="R73" s="351"/>
      <c r="S73" s="351" t="n">
        <f aca="false">COUNTIF(K:K,O73)</f>
        <v>2</v>
      </c>
      <c r="T73" s="352" t="n">
        <f aca="false">(S73/$S$81)</f>
        <v>0.00301659125188537</v>
      </c>
    </row>
    <row r="74" customFormat="false" ht="15" hidden="false" customHeight="true" outlineLevel="0" collapsed="false">
      <c r="A74" s="203" t="s">
        <v>4975</v>
      </c>
      <c r="B74" s="193" t="s">
        <v>4976</v>
      </c>
      <c r="C74" s="193" t="n">
        <v>2017</v>
      </c>
      <c r="D74" s="204" t="n">
        <v>42902</v>
      </c>
      <c r="E74" s="205" t="s">
        <v>4977</v>
      </c>
      <c r="F74" s="206" t="s">
        <v>1200</v>
      </c>
      <c r="G74" s="206" t="s">
        <v>1174</v>
      </c>
      <c r="H74" s="205" t="s">
        <v>184</v>
      </c>
      <c r="I74" s="207" t="n">
        <v>45492</v>
      </c>
      <c r="J74" s="206" t="n">
        <v>7</v>
      </c>
      <c r="K74" s="206" t="s">
        <v>53</v>
      </c>
      <c r="L74" s="213" t="s">
        <v>1181</v>
      </c>
      <c r="M74" s="208" t="n">
        <f aca="false">I74-D74</f>
        <v>2590</v>
      </c>
      <c r="N74" s="153"/>
      <c r="O74" s="351" t="s">
        <v>48</v>
      </c>
      <c r="P74" s="351"/>
      <c r="Q74" s="351"/>
      <c r="R74" s="351"/>
      <c r="S74" s="351" t="n">
        <f aca="false">COUNTIF(K:K,O74)</f>
        <v>100</v>
      </c>
      <c r="T74" s="352" t="n">
        <f aca="false">(S74/$S$81)</f>
        <v>0.150829562594268</v>
      </c>
    </row>
    <row r="75" customFormat="false" ht="15" hidden="false" customHeight="true" outlineLevel="0" collapsed="false">
      <c r="A75" s="210" t="s">
        <v>4978</v>
      </c>
      <c r="B75" s="211" t="s">
        <v>4979</v>
      </c>
      <c r="C75" s="211" t="n">
        <v>2020</v>
      </c>
      <c r="D75" s="212" t="n">
        <v>43853</v>
      </c>
      <c r="E75" s="213" t="s">
        <v>4980</v>
      </c>
      <c r="F75" s="213" t="s">
        <v>2193</v>
      </c>
      <c r="G75" s="214" t="s">
        <v>1174</v>
      </c>
      <c r="H75" s="214" t="s">
        <v>192</v>
      </c>
      <c r="I75" s="225" t="n">
        <v>45492</v>
      </c>
      <c r="J75" s="213" t="n">
        <v>7</v>
      </c>
      <c r="K75" s="213" t="s">
        <v>53</v>
      </c>
      <c r="L75" s="206" t="s">
        <v>1175</v>
      </c>
      <c r="M75" s="213" t="n">
        <f aca="false">I75-D75</f>
        <v>1639</v>
      </c>
      <c r="N75" s="153"/>
      <c r="O75" s="351" t="s">
        <v>49</v>
      </c>
      <c r="P75" s="351"/>
      <c r="Q75" s="351"/>
      <c r="R75" s="351"/>
      <c r="S75" s="351" t="n">
        <f aca="false">COUNTIF(K:K,O75)</f>
        <v>287</v>
      </c>
      <c r="T75" s="352" t="n">
        <f aca="false">(S75/$S$81)</f>
        <v>0.432880844645551</v>
      </c>
    </row>
    <row r="76" customFormat="false" ht="15" hidden="false" customHeight="true" outlineLevel="0" collapsed="false">
      <c r="A76" s="203" t="s">
        <v>4981</v>
      </c>
      <c r="B76" s="193" t="s">
        <v>4982</v>
      </c>
      <c r="C76" s="193" t="n">
        <v>2019</v>
      </c>
      <c r="D76" s="204" t="n">
        <v>43612</v>
      </c>
      <c r="E76" s="205" t="s">
        <v>4983</v>
      </c>
      <c r="F76" s="206" t="s">
        <v>2193</v>
      </c>
      <c r="G76" s="206" t="s">
        <v>1174</v>
      </c>
      <c r="H76" s="205" t="s">
        <v>250</v>
      </c>
      <c r="I76" s="207" t="n">
        <v>45492</v>
      </c>
      <c r="J76" s="206" t="n">
        <v>7</v>
      </c>
      <c r="K76" s="206" t="s">
        <v>53</v>
      </c>
      <c r="L76" s="206" t="s">
        <v>1175</v>
      </c>
      <c r="M76" s="208" t="n">
        <f aca="false">I76-D76</f>
        <v>1880</v>
      </c>
      <c r="N76" s="153"/>
      <c r="O76" s="353" t="s">
        <v>50</v>
      </c>
      <c r="P76" s="353"/>
      <c r="Q76" s="353"/>
      <c r="R76" s="353"/>
      <c r="S76" s="353" t="n">
        <f aca="false">COUNTIF(K:K,O76)</f>
        <v>1</v>
      </c>
      <c r="T76" s="354" t="n">
        <f aca="false">(S76/$S$81)</f>
        <v>0.00150829562594268</v>
      </c>
    </row>
    <row r="77" customFormat="false" ht="15" hidden="false" customHeight="true" outlineLevel="0" collapsed="false">
      <c r="A77" s="210" t="s">
        <v>4984</v>
      </c>
      <c r="B77" s="211" t="s">
        <v>4985</v>
      </c>
      <c r="C77" s="211" t="n">
        <v>2023</v>
      </c>
      <c r="D77" s="212" t="n">
        <v>45197</v>
      </c>
      <c r="E77" s="213" t="s">
        <v>4986</v>
      </c>
      <c r="F77" s="213" t="s">
        <v>780</v>
      </c>
      <c r="G77" s="214" t="s">
        <v>1174</v>
      </c>
      <c r="H77" s="214" t="s">
        <v>522</v>
      </c>
      <c r="I77" s="225" t="n">
        <v>45492</v>
      </c>
      <c r="J77" s="213" t="n">
        <v>7</v>
      </c>
      <c r="K77" s="213" t="s">
        <v>53</v>
      </c>
      <c r="L77" s="206" t="s">
        <v>1175</v>
      </c>
      <c r="M77" s="213" t="n">
        <f aca="false">I77-D77</f>
        <v>295</v>
      </c>
      <c r="N77" s="153"/>
      <c r="O77" s="353" t="s">
        <v>51</v>
      </c>
      <c r="P77" s="353"/>
      <c r="Q77" s="353"/>
      <c r="R77" s="353"/>
      <c r="S77" s="353" t="n">
        <f aca="false">COUNTIF(K:K,O77)</f>
        <v>34</v>
      </c>
      <c r="T77" s="354" t="n">
        <f aca="false">(S77/$S$81)</f>
        <v>0.0512820512820513</v>
      </c>
    </row>
    <row r="78" customFormat="false" ht="15" hidden="false" customHeight="true" outlineLevel="0" collapsed="false">
      <c r="A78" s="203" t="s">
        <v>4987</v>
      </c>
      <c r="B78" s="193" t="s">
        <v>4988</v>
      </c>
      <c r="C78" s="193" t="n">
        <v>2021</v>
      </c>
      <c r="D78" s="204" t="n">
        <v>44497</v>
      </c>
      <c r="E78" s="205" t="s">
        <v>4989</v>
      </c>
      <c r="F78" s="206" t="s">
        <v>2193</v>
      </c>
      <c r="G78" s="206" t="s">
        <v>1174</v>
      </c>
      <c r="H78" s="205" t="s">
        <v>1557</v>
      </c>
      <c r="I78" s="207" t="n">
        <v>45495</v>
      </c>
      <c r="J78" s="206" t="n">
        <v>7</v>
      </c>
      <c r="K78" s="206" t="s">
        <v>53</v>
      </c>
      <c r="L78" s="206" t="s">
        <v>1175</v>
      </c>
      <c r="M78" s="208" t="n">
        <f aca="false">I78-D78</f>
        <v>998</v>
      </c>
      <c r="N78" s="153"/>
      <c r="O78" s="353" t="s">
        <v>2407</v>
      </c>
      <c r="P78" s="353"/>
      <c r="Q78" s="353"/>
      <c r="R78" s="353"/>
      <c r="S78" s="353" t="n">
        <f aca="false">COUNTIF(K:K,O78)</f>
        <v>0</v>
      </c>
      <c r="T78" s="354" t="n">
        <f aca="false">(S78/$S$81)</f>
        <v>0</v>
      </c>
    </row>
    <row r="79" customFormat="false" ht="15" hidden="false" customHeight="true" outlineLevel="0" collapsed="false">
      <c r="A79" s="210" t="s">
        <v>4990</v>
      </c>
      <c r="B79" s="211" t="s">
        <v>4991</v>
      </c>
      <c r="C79" s="211" t="n">
        <v>2022</v>
      </c>
      <c r="D79" s="212" t="n">
        <v>44914</v>
      </c>
      <c r="E79" s="213" t="s">
        <v>4992</v>
      </c>
      <c r="F79" s="213" t="s">
        <v>1827</v>
      </c>
      <c r="G79" s="214" t="s">
        <v>1174</v>
      </c>
      <c r="H79" s="214" t="s">
        <v>1703</v>
      </c>
      <c r="I79" s="215" t="n">
        <v>45499</v>
      </c>
      <c r="J79" s="213" t="n">
        <v>7</v>
      </c>
      <c r="K79" s="213" t="s">
        <v>53</v>
      </c>
      <c r="L79" s="206" t="s">
        <v>1175</v>
      </c>
      <c r="M79" s="213" t="n">
        <f aca="false">I79-D79</f>
        <v>585</v>
      </c>
      <c r="N79" s="153"/>
      <c r="O79" s="356" t="s">
        <v>53</v>
      </c>
      <c r="P79" s="356"/>
      <c r="Q79" s="356"/>
      <c r="R79" s="356"/>
      <c r="S79" s="356" t="n">
        <f aca="false">COUNTIF(K:K,O79)</f>
        <v>195</v>
      </c>
      <c r="T79" s="357" t="n">
        <f aca="false">(S79/$S$81)</f>
        <v>0.294117647058824</v>
      </c>
    </row>
    <row r="80" customFormat="false" ht="15" hidden="false" customHeight="true" outlineLevel="0" collapsed="false">
      <c r="A80" s="203" t="s">
        <v>4993</v>
      </c>
      <c r="B80" s="193" t="s">
        <v>4994</v>
      </c>
      <c r="C80" s="193" t="n">
        <v>2018</v>
      </c>
      <c r="D80" s="204" t="n">
        <v>43431</v>
      </c>
      <c r="E80" s="205" t="s">
        <v>4995</v>
      </c>
      <c r="F80" s="206" t="s">
        <v>1068</v>
      </c>
      <c r="G80" s="206" t="s">
        <v>1174</v>
      </c>
      <c r="H80" s="205" t="s">
        <v>633</v>
      </c>
      <c r="I80" s="218" t="n">
        <v>45499</v>
      </c>
      <c r="J80" s="206" t="n">
        <v>7</v>
      </c>
      <c r="K80" s="206" t="s">
        <v>53</v>
      </c>
      <c r="L80" s="206" t="s">
        <v>1175</v>
      </c>
      <c r="M80" s="208" t="n">
        <f aca="false">I80-D80</f>
        <v>2068</v>
      </c>
      <c r="N80" s="153"/>
      <c r="O80" s="358" t="s">
        <v>1187</v>
      </c>
      <c r="P80" s="358"/>
      <c r="Q80" s="358"/>
      <c r="R80" s="358"/>
      <c r="S80" s="358" t="n">
        <f aca="false">COUNTIF(K:K,O80)</f>
        <v>2</v>
      </c>
      <c r="T80" s="359" t="n">
        <f aca="false">(S80/$S$81)</f>
        <v>0.00301659125188537</v>
      </c>
    </row>
    <row r="81" customFormat="false" ht="15" hidden="false" customHeight="true" outlineLevel="0" collapsed="false">
      <c r="A81" s="210" t="s">
        <v>4996</v>
      </c>
      <c r="B81" s="211" t="s">
        <v>4997</v>
      </c>
      <c r="C81" s="211" t="n">
        <v>2021</v>
      </c>
      <c r="D81" s="212" t="n">
        <v>44342</v>
      </c>
      <c r="E81" s="213" t="s">
        <v>4998</v>
      </c>
      <c r="F81" s="213" t="s">
        <v>1068</v>
      </c>
      <c r="G81" s="214" t="s">
        <v>1174</v>
      </c>
      <c r="H81" s="214" t="s">
        <v>4999</v>
      </c>
      <c r="I81" s="215" t="n">
        <v>45499</v>
      </c>
      <c r="J81" s="213" t="n">
        <v>7</v>
      </c>
      <c r="K81" s="213" t="s">
        <v>53</v>
      </c>
      <c r="L81" s="206" t="s">
        <v>1175</v>
      </c>
      <c r="M81" s="213" t="n">
        <f aca="false">I81-D81</f>
        <v>1157</v>
      </c>
      <c r="N81" s="153"/>
      <c r="O81" s="419" t="s">
        <v>54</v>
      </c>
      <c r="P81" s="419"/>
      <c r="Q81" s="419"/>
      <c r="R81" s="419"/>
      <c r="S81" s="363" t="n">
        <f aca="false">SUM(S68:S80)</f>
        <v>663</v>
      </c>
      <c r="T81" s="364" t="n">
        <f aca="false">(S81/S81)</f>
        <v>1</v>
      </c>
    </row>
    <row r="82" customFormat="false" ht="15" hidden="false" customHeight="true" outlineLevel="0" collapsed="false">
      <c r="A82" s="203" t="s">
        <v>5000</v>
      </c>
      <c r="B82" s="193" t="s">
        <v>5001</v>
      </c>
      <c r="C82" s="193" t="n">
        <v>2022</v>
      </c>
      <c r="D82" s="204" t="n">
        <v>44897</v>
      </c>
      <c r="E82" s="205" t="s">
        <v>5002</v>
      </c>
      <c r="F82" s="206" t="s">
        <v>4437</v>
      </c>
      <c r="G82" s="206" t="s">
        <v>1174</v>
      </c>
      <c r="H82" s="205" t="s">
        <v>471</v>
      </c>
      <c r="I82" s="218" t="n">
        <v>45499</v>
      </c>
      <c r="J82" s="206" t="n">
        <v>7</v>
      </c>
      <c r="K82" s="206" t="s">
        <v>53</v>
      </c>
      <c r="L82" s="213" t="s">
        <v>1181</v>
      </c>
      <c r="M82" s="208" t="n">
        <f aca="false">I82-D82</f>
        <v>602</v>
      </c>
      <c r="N82" s="153"/>
      <c r="O82" s="153"/>
      <c r="P82" s="153"/>
      <c r="Q82" s="153"/>
      <c r="R82" s="153"/>
      <c r="S82" s="153"/>
      <c r="T82" s="153"/>
    </row>
    <row r="83" customFormat="false" ht="15" hidden="false" customHeight="true" outlineLevel="0" collapsed="false">
      <c r="A83" s="210" t="s">
        <v>5003</v>
      </c>
      <c r="B83" s="211" t="s">
        <v>5004</v>
      </c>
      <c r="C83" s="211" t="n">
        <v>2018</v>
      </c>
      <c r="D83" s="212" t="n">
        <v>43182</v>
      </c>
      <c r="E83" s="213" t="s">
        <v>5005</v>
      </c>
      <c r="F83" s="213" t="s">
        <v>823</v>
      </c>
      <c r="G83" s="214" t="s">
        <v>1174</v>
      </c>
      <c r="H83" s="214" t="s">
        <v>1434</v>
      </c>
      <c r="I83" s="215" t="n">
        <v>45499</v>
      </c>
      <c r="J83" s="213" t="n">
        <v>7</v>
      </c>
      <c r="K83" s="213" t="s">
        <v>53</v>
      </c>
      <c r="L83" s="213" t="s">
        <v>1181</v>
      </c>
      <c r="M83" s="213" t="n">
        <f aca="false">I83-D83</f>
        <v>2317</v>
      </c>
      <c r="N83" s="153"/>
      <c r="O83" s="339" t="s">
        <v>102</v>
      </c>
      <c r="P83" s="339"/>
      <c r="Q83" s="339"/>
      <c r="R83" s="339"/>
      <c r="S83" s="339"/>
      <c r="T83" s="339"/>
    </row>
    <row r="84" customFormat="false" ht="15" hidden="false" customHeight="true" outlineLevel="0" collapsed="false">
      <c r="A84" s="203" t="s">
        <v>5006</v>
      </c>
      <c r="B84" s="193" t="s">
        <v>5007</v>
      </c>
      <c r="C84" s="193" t="n">
        <v>2019</v>
      </c>
      <c r="D84" s="204" t="n">
        <v>43753</v>
      </c>
      <c r="E84" s="205" t="s">
        <v>5008</v>
      </c>
      <c r="F84" s="206" t="s">
        <v>123</v>
      </c>
      <c r="G84" s="206" t="s">
        <v>1174</v>
      </c>
      <c r="H84" s="205" t="s">
        <v>235</v>
      </c>
      <c r="I84" s="218" t="n">
        <v>45519</v>
      </c>
      <c r="J84" s="206" t="n">
        <v>8</v>
      </c>
      <c r="K84" s="206" t="s">
        <v>53</v>
      </c>
      <c r="L84" s="213" t="s">
        <v>1181</v>
      </c>
      <c r="M84" s="208" t="n">
        <f aca="false">I84-D84</f>
        <v>1766</v>
      </c>
      <c r="N84" s="153"/>
      <c r="O84" s="339"/>
      <c r="P84" s="339"/>
      <c r="Q84" s="339"/>
      <c r="R84" s="339"/>
      <c r="S84" s="339"/>
      <c r="T84" s="339"/>
    </row>
    <row r="85" customFormat="false" ht="15" hidden="false" customHeight="true" outlineLevel="0" collapsed="false">
      <c r="A85" s="210" t="s">
        <v>5009</v>
      </c>
      <c r="B85" s="211" t="s">
        <v>5010</v>
      </c>
      <c r="C85" s="211" t="n">
        <v>2021</v>
      </c>
      <c r="D85" s="212" t="n">
        <v>44417</v>
      </c>
      <c r="E85" s="213" t="s">
        <v>5011</v>
      </c>
      <c r="F85" s="213" t="s">
        <v>138</v>
      </c>
      <c r="G85" s="214" t="s">
        <v>1174</v>
      </c>
      <c r="H85" s="214" t="s">
        <v>1258</v>
      </c>
      <c r="I85" s="215" t="n">
        <v>45519</v>
      </c>
      <c r="J85" s="213" t="n">
        <v>8</v>
      </c>
      <c r="K85" s="213" t="s">
        <v>53</v>
      </c>
      <c r="L85" s="206" t="s">
        <v>1175</v>
      </c>
      <c r="M85" s="213" t="n">
        <f aca="false">I85-D85</f>
        <v>1102</v>
      </c>
      <c r="N85" s="153"/>
      <c r="O85" s="340" t="s">
        <v>38</v>
      </c>
      <c r="P85" s="340"/>
      <c r="Q85" s="340"/>
      <c r="R85" s="340"/>
      <c r="S85" s="374" t="s">
        <v>343</v>
      </c>
      <c r="T85" s="375" t="s">
        <v>41</v>
      </c>
    </row>
    <row r="86" customFormat="false" ht="15" hidden="false" customHeight="true" outlineLevel="0" collapsed="false">
      <c r="A86" s="203" t="s">
        <v>5012</v>
      </c>
      <c r="B86" s="193" t="s">
        <v>5013</v>
      </c>
      <c r="C86" s="193" t="n">
        <v>2017</v>
      </c>
      <c r="D86" s="204" t="n">
        <v>42971</v>
      </c>
      <c r="E86" s="205" t="s">
        <v>5014</v>
      </c>
      <c r="F86" s="206" t="s">
        <v>138</v>
      </c>
      <c r="G86" s="206" t="s">
        <v>1174</v>
      </c>
      <c r="H86" s="205" t="s">
        <v>522</v>
      </c>
      <c r="I86" s="218" t="n">
        <v>45519</v>
      </c>
      <c r="J86" s="206" t="n">
        <v>8</v>
      </c>
      <c r="K86" s="206" t="s">
        <v>53</v>
      </c>
      <c r="L86" s="206" t="s">
        <v>1175</v>
      </c>
      <c r="M86" s="208" t="n">
        <f aca="false">I86-D86</f>
        <v>2548</v>
      </c>
      <c r="N86" s="153"/>
      <c r="O86" s="376" t="s">
        <v>57</v>
      </c>
      <c r="P86" s="376"/>
      <c r="Q86" s="376"/>
      <c r="R86" s="376"/>
      <c r="S86" s="376" t="n">
        <f aca="false">COUNTIF(L:L,"*"&amp;O86)</f>
        <v>12</v>
      </c>
      <c r="T86" s="377" t="n">
        <f aca="false">(S86/S90)</f>
        <v>0.0180995475113122</v>
      </c>
    </row>
    <row r="87" customFormat="false" ht="15" hidden="false" customHeight="true" outlineLevel="0" collapsed="false">
      <c r="A87" s="210" t="s">
        <v>5015</v>
      </c>
      <c r="B87" s="211" t="s">
        <v>5016</v>
      </c>
      <c r="C87" s="211" t="n">
        <v>2015</v>
      </c>
      <c r="D87" s="212" t="n">
        <v>42139</v>
      </c>
      <c r="E87" s="213" t="s">
        <v>5017</v>
      </c>
      <c r="F87" s="213" t="s">
        <v>2151</v>
      </c>
      <c r="G87" s="214" t="s">
        <v>1174</v>
      </c>
      <c r="H87" s="214" t="s">
        <v>522</v>
      </c>
      <c r="I87" s="221" t="n">
        <v>45526</v>
      </c>
      <c r="J87" s="213" t="n">
        <v>8</v>
      </c>
      <c r="K87" s="213" t="s">
        <v>53</v>
      </c>
      <c r="L87" s="213" t="s">
        <v>1181</v>
      </c>
      <c r="M87" s="213" t="n">
        <f aca="false">I87-D87</f>
        <v>3387</v>
      </c>
      <c r="N87" s="153"/>
      <c r="O87" s="378" t="s">
        <v>58</v>
      </c>
      <c r="P87" s="378"/>
      <c r="Q87" s="378"/>
      <c r="R87" s="378"/>
      <c r="S87" s="378" t="n">
        <f aca="false">COUNTIF(L:L,"*"&amp;O87)</f>
        <v>278</v>
      </c>
      <c r="T87" s="379" t="n">
        <f aca="false">(S87/S90)</f>
        <v>0.419306184012066</v>
      </c>
    </row>
    <row r="88" customFormat="false" ht="15" hidden="false" customHeight="true" outlineLevel="0" collapsed="false">
      <c r="A88" s="203" t="s">
        <v>5018</v>
      </c>
      <c r="B88" s="193" t="s">
        <v>5019</v>
      </c>
      <c r="C88" s="193" t="n">
        <v>2022</v>
      </c>
      <c r="D88" s="204" t="n">
        <v>44649</v>
      </c>
      <c r="E88" s="205" t="s">
        <v>5020</v>
      </c>
      <c r="F88" s="206" t="s">
        <v>5021</v>
      </c>
      <c r="G88" s="206" t="s">
        <v>1174</v>
      </c>
      <c r="H88" s="205" t="s">
        <v>2654</v>
      </c>
      <c r="I88" s="218" t="n">
        <v>45526</v>
      </c>
      <c r="J88" s="206" t="n">
        <v>8</v>
      </c>
      <c r="K88" s="206" t="s">
        <v>53</v>
      </c>
      <c r="L88" s="213" t="s">
        <v>1181</v>
      </c>
      <c r="M88" s="206" t="n">
        <f aca="false">I88-D88</f>
        <v>877</v>
      </c>
      <c r="N88" s="153"/>
      <c r="O88" s="380" t="s">
        <v>60</v>
      </c>
      <c r="P88" s="380"/>
      <c r="Q88" s="380"/>
      <c r="R88" s="380"/>
      <c r="S88" s="380" t="n">
        <f aca="false">COUNTIF(L:L,"*"&amp;O88)</f>
        <v>255</v>
      </c>
      <c r="T88" s="377" t="n">
        <f aca="false">(S88/S90)</f>
        <v>0.384615384615385</v>
      </c>
    </row>
    <row r="89" customFormat="false" ht="15" hidden="false" customHeight="true" outlineLevel="0" collapsed="false">
      <c r="A89" s="210" t="s">
        <v>5022</v>
      </c>
      <c r="B89" s="211" t="s">
        <v>5023</v>
      </c>
      <c r="C89" s="211" t="n">
        <v>2017</v>
      </c>
      <c r="D89" s="212" t="n">
        <v>43007</v>
      </c>
      <c r="E89" s="213" t="s">
        <v>5024</v>
      </c>
      <c r="F89" s="213" t="s">
        <v>207</v>
      </c>
      <c r="G89" s="214" t="s">
        <v>1174</v>
      </c>
      <c r="H89" s="214" t="s">
        <v>522</v>
      </c>
      <c r="I89" s="221" t="n">
        <v>45526</v>
      </c>
      <c r="J89" s="213" t="n">
        <v>8</v>
      </c>
      <c r="K89" s="213" t="s">
        <v>53</v>
      </c>
      <c r="L89" s="213" t="s">
        <v>1181</v>
      </c>
      <c r="M89" s="213" t="n">
        <f aca="false">I89-D89</f>
        <v>2519</v>
      </c>
      <c r="N89" s="153"/>
      <c r="O89" s="378" t="s">
        <v>61</v>
      </c>
      <c r="P89" s="378"/>
      <c r="Q89" s="378"/>
      <c r="R89" s="378"/>
      <c r="S89" s="381" t="n">
        <f aca="false">COUNTIF(L:L,"*"&amp;O89)</f>
        <v>118</v>
      </c>
      <c r="T89" s="379" t="n">
        <f aca="false">(S89/S90)</f>
        <v>0.177978883861237</v>
      </c>
    </row>
    <row r="90" customFormat="false" ht="15" hidden="false" customHeight="true" outlineLevel="0" collapsed="false">
      <c r="A90" s="203" t="s">
        <v>5025</v>
      </c>
      <c r="B90" s="193" t="s">
        <v>5026</v>
      </c>
      <c r="C90" s="193" t="n">
        <v>2020</v>
      </c>
      <c r="D90" s="204" t="n">
        <v>44095</v>
      </c>
      <c r="E90" s="205" t="s">
        <v>5027</v>
      </c>
      <c r="F90" s="206" t="s">
        <v>133</v>
      </c>
      <c r="G90" s="206" t="s">
        <v>1188</v>
      </c>
      <c r="H90" s="205" t="s">
        <v>413</v>
      </c>
      <c r="I90" s="218" t="n">
        <v>45526</v>
      </c>
      <c r="J90" s="206" t="n">
        <v>8</v>
      </c>
      <c r="K90" s="206" t="s">
        <v>1187</v>
      </c>
      <c r="L90" s="206" t="s">
        <v>1175</v>
      </c>
      <c r="M90" s="206" t="n">
        <f aca="false">I90-D90</f>
        <v>1431</v>
      </c>
      <c r="N90" s="153"/>
      <c r="O90" s="420" t="s">
        <v>54</v>
      </c>
      <c r="P90" s="420"/>
      <c r="Q90" s="420"/>
      <c r="R90" s="420"/>
      <c r="S90" s="363" t="n">
        <f aca="false">SUM(S86:S89)</f>
        <v>663</v>
      </c>
      <c r="T90" s="364" t="n">
        <f aca="false">(S90/S90)</f>
        <v>1</v>
      </c>
    </row>
    <row r="91" customFormat="false" ht="15" hidden="false" customHeight="true" outlineLevel="0" collapsed="false">
      <c r="A91" s="210" t="s">
        <v>5028</v>
      </c>
      <c r="B91" s="211" t="s">
        <v>5029</v>
      </c>
      <c r="C91" s="211" t="n">
        <v>2023</v>
      </c>
      <c r="D91" s="212" t="n">
        <v>45077</v>
      </c>
      <c r="E91" s="213" t="s">
        <v>5030</v>
      </c>
      <c r="F91" s="213" t="s">
        <v>1200</v>
      </c>
      <c r="G91" s="214" t="s">
        <v>1174</v>
      </c>
      <c r="H91" s="214" t="s">
        <v>522</v>
      </c>
      <c r="I91" s="221" t="n">
        <v>45530</v>
      </c>
      <c r="J91" s="213" t="n">
        <v>8</v>
      </c>
      <c r="K91" s="213" t="s">
        <v>53</v>
      </c>
      <c r="L91" s="213" t="s">
        <v>1181</v>
      </c>
      <c r="M91" s="213" t="n">
        <f aca="false">I91-D91</f>
        <v>453</v>
      </c>
      <c r="N91" s="153"/>
      <c r="O91" s="153"/>
      <c r="P91" s="153"/>
      <c r="Q91" s="153"/>
      <c r="R91" s="153"/>
      <c r="S91" s="153"/>
      <c r="T91" s="153"/>
    </row>
    <row r="92" customFormat="false" ht="15" hidden="false" customHeight="true" outlineLevel="0" collapsed="false">
      <c r="A92" s="203" t="s">
        <v>5031</v>
      </c>
      <c r="B92" s="193" t="s">
        <v>5032</v>
      </c>
      <c r="C92" s="193" t="n">
        <v>2020</v>
      </c>
      <c r="D92" s="204" t="n">
        <v>44084</v>
      </c>
      <c r="E92" s="205" t="s">
        <v>5033</v>
      </c>
      <c r="F92" s="206" t="s">
        <v>2193</v>
      </c>
      <c r="G92" s="206" t="s">
        <v>1174</v>
      </c>
      <c r="H92" s="205" t="s">
        <v>254</v>
      </c>
      <c r="I92" s="218" t="n">
        <v>45530</v>
      </c>
      <c r="J92" s="206" t="n">
        <v>8</v>
      </c>
      <c r="K92" s="206" t="s">
        <v>53</v>
      </c>
      <c r="L92" s="206" t="s">
        <v>1175</v>
      </c>
      <c r="M92" s="206" t="n">
        <f aca="false">I92-D92</f>
        <v>1446</v>
      </c>
      <c r="N92" s="153"/>
      <c r="O92" s="421" t="s">
        <v>425</v>
      </c>
      <c r="P92" s="421"/>
      <c r="Q92" s="421"/>
      <c r="R92" s="421"/>
      <c r="S92" s="153"/>
      <c r="T92" s="153"/>
    </row>
    <row r="93" customFormat="false" ht="15" hidden="false" customHeight="true" outlineLevel="0" collapsed="false">
      <c r="A93" s="210" t="s">
        <v>5034</v>
      </c>
      <c r="B93" s="211" t="s">
        <v>5035</v>
      </c>
      <c r="C93" s="211" t="n">
        <v>2020</v>
      </c>
      <c r="D93" s="212" t="n">
        <v>43978</v>
      </c>
      <c r="E93" s="213" t="s">
        <v>5036</v>
      </c>
      <c r="F93" s="213" t="s">
        <v>689</v>
      </c>
      <c r="G93" s="214" t="s">
        <v>1174</v>
      </c>
      <c r="H93" s="214" t="s">
        <v>522</v>
      </c>
      <c r="I93" s="221" t="n">
        <v>45531</v>
      </c>
      <c r="J93" s="213" t="n">
        <v>8</v>
      </c>
      <c r="K93" s="213" t="s">
        <v>53</v>
      </c>
      <c r="L93" s="206" t="s">
        <v>1175</v>
      </c>
      <c r="M93" s="213" t="n">
        <f aca="false">I93-D93</f>
        <v>1553</v>
      </c>
      <c r="N93" s="153"/>
      <c r="O93" s="421"/>
      <c r="P93" s="421"/>
      <c r="Q93" s="421"/>
      <c r="R93" s="421"/>
      <c r="S93" s="153"/>
      <c r="T93" s="153"/>
    </row>
    <row r="94" customFormat="false" ht="15" hidden="false" customHeight="true" outlineLevel="0" collapsed="false">
      <c r="A94" s="203" t="s">
        <v>5037</v>
      </c>
      <c r="B94" s="193" t="s">
        <v>5038</v>
      </c>
      <c r="C94" s="193" t="n">
        <v>2023</v>
      </c>
      <c r="D94" s="204" t="n">
        <v>45072</v>
      </c>
      <c r="E94" s="205" t="s">
        <v>5039</v>
      </c>
      <c r="F94" s="206" t="s">
        <v>777</v>
      </c>
      <c r="G94" s="206" t="s">
        <v>1174</v>
      </c>
      <c r="H94" s="205" t="s">
        <v>1557</v>
      </c>
      <c r="I94" s="218" t="n">
        <v>45531</v>
      </c>
      <c r="J94" s="206" t="n">
        <v>8</v>
      </c>
      <c r="K94" s="206" t="s">
        <v>53</v>
      </c>
      <c r="L94" s="206" t="s">
        <v>1175</v>
      </c>
      <c r="M94" s="206" t="n">
        <f aca="false">I94-D94</f>
        <v>459</v>
      </c>
      <c r="N94" s="153"/>
      <c r="O94" s="390" t="s">
        <v>69</v>
      </c>
      <c r="P94" s="422" t="s">
        <v>433</v>
      </c>
      <c r="Q94" s="422"/>
      <c r="R94" s="422"/>
      <c r="S94" s="153"/>
      <c r="T94" s="153"/>
    </row>
    <row r="95" customFormat="false" ht="15" hidden="false" customHeight="true" outlineLevel="0" collapsed="false">
      <c r="A95" s="210" t="s">
        <v>5040</v>
      </c>
      <c r="B95" s="211" t="s">
        <v>5041</v>
      </c>
      <c r="C95" s="211" t="n">
        <v>2019</v>
      </c>
      <c r="D95" s="212" t="n">
        <v>43704</v>
      </c>
      <c r="E95" s="213" t="s">
        <v>5042</v>
      </c>
      <c r="F95" s="213" t="s">
        <v>3865</v>
      </c>
      <c r="G95" s="214" t="s">
        <v>1174</v>
      </c>
      <c r="H95" s="214" t="s">
        <v>1059</v>
      </c>
      <c r="I95" s="221" t="n">
        <v>45531</v>
      </c>
      <c r="J95" s="213" t="n">
        <v>8</v>
      </c>
      <c r="K95" s="213" t="s">
        <v>53</v>
      </c>
      <c r="L95" s="213" t="s">
        <v>1181</v>
      </c>
      <c r="M95" s="213" t="n">
        <f aca="false">I95-D95</f>
        <v>1827</v>
      </c>
      <c r="N95" s="153"/>
      <c r="O95" s="394" t="s">
        <v>1474</v>
      </c>
      <c r="P95" s="394" t="str">
        <f aca="false">IFERROR(AVERAGEIF(G:G,O95,M:M), "Sem dados")</f>
        <v>Sem dados</v>
      </c>
      <c r="Q95" s="394"/>
      <c r="R95" s="394"/>
      <c r="S95" s="153"/>
      <c r="T95" s="153"/>
    </row>
    <row r="96" customFormat="false" ht="15" hidden="false" customHeight="true" outlineLevel="0" collapsed="false">
      <c r="A96" s="203" t="s">
        <v>5043</v>
      </c>
      <c r="B96" s="193" t="s">
        <v>5044</v>
      </c>
      <c r="C96" s="193" t="n">
        <v>2021</v>
      </c>
      <c r="D96" s="204" t="n">
        <v>44377</v>
      </c>
      <c r="E96" s="205" t="s">
        <v>5045</v>
      </c>
      <c r="F96" s="206" t="s">
        <v>3865</v>
      </c>
      <c r="G96" s="206" t="s">
        <v>1174</v>
      </c>
      <c r="H96" s="205" t="s">
        <v>522</v>
      </c>
      <c r="I96" s="218" t="n">
        <v>45531</v>
      </c>
      <c r="J96" s="206" t="n">
        <v>8</v>
      </c>
      <c r="K96" s="206" t="s">
        <v>53</v>
      </c>
      <c r="L96" s="213" t="s">
        <v>1181</v>
      </c>
      <c r="M96" s="206" t="n">
        <f aca="false">I96-D96</f>
        <v>1154</v>
      </c>
      <c r="N96" s="153"/>
      <c r="O96" s="396" t="s">
        <v>1188</v>
      </c>
      <c r="P96" s="423" t="n">
        <f aca="false">IFERROR(AVERAGEIF(G:G,O96,M:M), "Sem dados")</f>
        <v>1358</v>
      </c>
      <c r="Q96" s="423"/>
      <c r="R96" s="423"/>
      <c r="S96" s="153"/>
      <c r="T96" s="153"/>
    </row>
    <row r="97" customFormat="false" ht="15" hidden="false" customHeight="true" outlineLevel="0" collapsed="false">
      <c r="A97" s="210" t="s">
        <v>5046</v>
      </c>
      <c r="B97" s="211" t="s">
        <v>5047</v>
      </c>
      <c r="C97" s="211" t="n">
        <v>2015</v>
      </c>
      <c r="D97" s="212" t="n">
        <v>42046</v>
      </c>
      <c r="E97" s="213" t="s">
        <v>5048</v>
      </c>
      <c r="F97" s="213" t="s">
        <v>3865</v>
      </c>
      <c r="G97" s="214" t="s">
        <v>1174</v>
      </c>
      <c r="H97" s="214" t="s">
        <v>1059</v>
      </c>
      <c r="I97" s="221" t="n">
        <v>45531</v>
      </c>
      <c r="J97" s="213" t="n">
        <v>8</v>
      </c>
      <c r="K97" s="213" t="s">
        <v>53</v>
      </c>
      <c r="L97" s="213" t="s">
        <v>1181</v>
      </c>
      <c r="M97" s="213" t="n">
        <f aca="false">I97-D97</f>
        <v>3485</v>
      </c>
      <c r="N97" s="153"/>
      <c r="O97" s="394" t="s">
        <v>1174</v>
      </c>
      <c r="P97" s="423" t="n">
        <f aca="false">IFERROR(AVERAGEIF(G:G,O97,M:M), "Sem dados")</f>
        <v>1692.43076923077</v>
      </c>
      <c r="Q97" s="423"/>
      <c r="R97" s="423"/>
      <c r="S97" s="153"/>
      <c r="T97" s="153"/>
    </row>
    <row r="98" customFormat="false" ht="15" hidden="false" customHeight="true" outlineLevel="0" collapsed="false">
      <c r="A98" s="203" t="s">
        <v>5049</v>
      </c>
      <c r="B98" s="193" t="s">
        <v>5050</v>
      </c>
      <c r="C98" s="193" t="n">
        <v>2022</v>
      </c>
      <c r="D98" s="204" t="n">
        <v>44852</v>
      </c>
      <c r="E98" s="205" t="s">
        <v>5051</v>
      </c>
      <c r="F98" s="206" t="s">
        <v>3865</v>
      </c>
      <c r="G98" s="206" t="s">
        <v>1174</v>
      </c>
      <c r="H98" s="205" t="s">
        <v>208</v>
      </c>
      <c r="I98" s="218" t="n">
        <v>45531</v>
      </c>
      <c r="J98" s="206" t="n">
        <v>8</v>
      </c>
      <c r="K98" s="206" t="s">
        <v>53</v>
      </c>
      <c r="L98" s="213" t="s">
        <v>1181</v>
      </c>
      <c r="M98" s="206" t="n">
        <f aca="false">I98-D98</f>
        <v>679</v>
      </c>
      <c r="N98" s="153"/>
      <c r="O98" s="396" t="s">
        <v>8</v>
      </c>
      <c r="P98" s="423" t="n">
        <f aca="false">IFERROR(AVERAGEIF(G:G,O98,M:M), "Sem dados")</f>
        <v>1472</v>
      </c>
      <c r="Q98" s="423"/>
      <c r="R98" s="423"/>
      <c r="S98" s="153"/>
    </row>
    <row r="99" customFormat="false" ht="15" hidden="false" customHeight="true" outlineLevel="0" collapsed="false">
      <c r="A99" s="210" t="s">
        <v>5052</v>
      </c>
      <c r="B99" s="211" t="s">
        <v>5053</v>
      </c>
      <c r="C99" s="211" t="n">
        <v>2020</v>
      </c>
      <c r="D99" s="212" t="n">
        <v>44181</v>
      </c>
      <c r="E99" s="213" t="s">
        <v>5054</v>
      </c>
      <c r="F99" s="213" t="s">
        <v>3865</v>
      </c>
      <c r="G99" s="214" t="s">
        <v>1174</v>
      </c>
      <c r="H99" s="214" t="s">
        <v>267</v>
      </c>
      <c r="I99" s="221" t="n">
        <v>45531</v>
      </c>
      <c r="J99" s="213" t="n">
        <v>8</v>
      </c>
      <c r="K99" s="213" t="s">
        <v>53</v>
      </c>
      <c r="L99" s="213" t="s">
        <v>1181</v>
      </c>
      <c r="M99" s="213" t="n">
        <f aca="false">I99-D99</f>
        <v>1350</v>
      </c>
      <c r="N99" s="153"/>
      <c r="O99" s="394" t="s">
        <v>144</v>
      </c>
      <c r="P99" s="423" t="n">
        <f aca="false">IFERROR(AVERAGEIF(G:G,O99,M:M), "Sem dados")</f>
        <v>1595.26315789474</v>
      </c>
      <c r="Q99" s="423"/>
      <c r="R99" s="423"/>
      <c r="S99" s="153"/>
    </row>
    <row r="100" customFormat="false" ht="15" hidden="false" customHeight="true" outlineLevel="0" collapsed="false">
      <c r="A100" s="203" t="s">
        <v>5055</v>
      </c>
      <c r="B100" s="193" t="s">
        <v>5056</v>
      </c>
      <c r="C100" s="193" t="n">
        <v>2020</v>
      </c>
      <c r="D100" s="204" t="n">
        <v>44053</v>
      </c>
      <c r="E100" s="205" t="s">
        <v>5057</v>
      </c>
      <c r="F100" s="206" t="s">
        <v>689</v>
      </c>
      <c r="G100" s="206" t="s">
        <v>1174</v>
      </c>
      <c r="H100" s="205" t="s">
        <v>1231</v>
      </c>
      <c r="I100" s="218" t="n">
        <v>45531</v>
      </c>
      <c r="J100" s="206" t="n">
        <v>8</v>
      </c>
      <c r="K100" s="206" t="s">
        <v>53</v>
      </c>
      <c r="L100" s="206" t="s">
        <v>1175</v>
      </c>
      <c r="M100" s="206" t="n">
        <f aca="false">I100-D100</f>
        <v>1478</v>
      </c>
      <c r="N100" s="153"/>
      <c r="O100" s="396" t="s">
        <v>115</v>
      </c>
      <c r="P100" s="423" t="n">
        <f aca="false">IFERROR(AVERAGEIF(G:G,O100,M:M), "Sem dados")</f>
        <v>1194.25</v>
      </c>
      <c r="Q100" s="423"/>
      <c r="R100" s="423"/>
      <c r="S100" s="153"/>
    </row>
    <row r="101" customFormat="false" ht="15" hidden="false" customHeight="true" outlineLevel="0" collapsed="false">
      <c r="A101" s="210" t="s">
        <v>5058</v>
      </c>
      <c r="B101" s="211" t="s">
        <v>5059</v>
      </c>
      <c r="C101" s="211" t="n">
        <v>2020</v>
      </c>
      <c r="D101" s="212" t="n">
        <v>43923</v>
      </c>
      <c r="E101" s="213" t="s">
        <v>5060</v>
      </c>
      <c r="F101" s="213" t="s">
        <v>689</v>
      </c>
      <c r="G101" s="214" t="s">
        <v>1174</v>
      </c>
      <c r="H101" s="214" t="s">
        <v>192</v>
      </c>
      <c r="I101" s="221" t="n">
        <v>45531</v>
      </c>
      <c r="J101" s="213" t="n">
        <v>8</v>
      </c>
      <c r="K101" s="213" t="s">
        <v>53</v>
      </c>
      <c r="L101" s="206" t="s">
        <v>1175</v>
      </c>
      <c r="M101" s="213" t="n">
        <f aca="false">I101-D101</f>
        <v>1608</v>
      </c>
      <c r="N101" s="153"/>
      <c r="O101" s="394" t="s">
        <v>441</v>
      </c>
      <c r="P101" s="423" t="n">
        <f aca="false">IFERROR(AVERAGEIF(G:G,O101,M:M), "Sem dados")</f>
        <v>2011.68195718654</v>
      </c>
      <c r="Q101" s="423"/>
      <c r="R101" s="423"/>
      <c r="S101" s="153"/>
    </row>
    <row r="102" customFormat="false" ht="15" hidden="false" customHeight="true" outlineLevel="0" collapsed="false">
      <c r="A102" s="203" t="s">
        <v>5061</v>
      </c>
      <c r="B102" s="193" t="s">
        <v>5062</v>
      </c>
      <c r="C102" s="193" t="n">
        <v>2019</v>
      </c>
      <c r="D102" s="222" t="n">
        <v>43686</v>
      </c>
      <c r="E102" s="205" t="s">
        <v>5063</v>
      </c>
      <c r="F102" s="206" t="s">
        <v>689</v>
      </c>
      <c r="G102" s="206" t="s">
        <v>1174</v>
      </c>
      <c r="H102" s="205" t="s">
        <v>267</v>
      </c>
      <c r="I102" s="218" t="n">
        <v>45531</v>
      </c>
      <c r="J102" s="206" t="n">
        <v>8</v>
      </c>
      <c r="K102" s="206" t="s">
        <v>53</v>
      </c>
      <c r="L102" s="206" t="s">
        <v>1175</v>
      </c>
      <c r="M102" s="206" t="n">
        <f aca="false">I102-D102</f>
        <v>1845</v>
      </c>
      <c r="N102" s="153"/>
      <c r="O102" s="396" t="s">
        <v>125</v>
      </c>
      <c r="P102" s="423" t="n">
        <f aca="false">IFERROR(AVERAGEIF(G:G,O102,M:M), "Sem dados")</f>
        <v>510.153846153846</v>
      </c>
      <c r="Q102" s="423"/>
      <c r="R102" s="423"/>
      <c r="S102" s="153"/>
    </row>
    <row r="103" customFormat="false" ht="15" hidden="false" customHeight="true" outlineLevel="0" collapsed="false">
      <c r="A103" s="210" t="s">
        <v>5064</v>
      </c>
      <c r="B103" s="211" t="s">
        <v>5065</v>
      </c>
      <c r="C103" s="211" t="n">
        <v>2019</v>
      </c>
      <c r="D103" s="215" t="n">
        <v>43717</v>
      </c>
      <c r="E103" s="213" t="s">
        <v>5066</v>
      </c>
      <c r="F103" s="213" t="s">
        <v>569</v>
      </c>
      <c r="G103" s="214" t="s">
        <v>1174</v>
      </c>
      <c r="H103" s="214" t="s">
        <v>119</v>
      </c>
      <c r="I103" s="221" t="n">
        <v>45531</v>
      </c>
      <c r="J103" s="213" t="n">
        <v>8</v>
      </c>
      <c r="K103" s="213" t="s">
        <v>53</v>
      </c>
      <c r="L103" s="213" t="s">
        <v>1181</v>
      </c>
      <c r="M103" s="213" t="n">
        <f aca="false">I103-D103</f>
        <v>1814</v>
      </c>
      <c r="N103" s="153"/>
      <c r="O103" s="394" t="s">
        <v>130</v>
      </c>
      <c r="P103" s="423" t="n">
        <f aca="false">IFERROR(AVERAGEIF(G:G,O103,M:M), "Sem dados")</f>
        <v>319.740740740741</v>
      </c>
      <c r="Q103" s="423"/>
      <c r="R103" s="423"/>
      <c r="S103" s="153"/>
    </row>
    <row r="104" customFormat="false" ht="15" hidden="false" customHeight="true" outlineLevel="0" collapsed="false">
      <c r="A104" s="203" t="s">
        <v>5067</v>
      </c>
      <c r="B104" s="193" t="s">
        <v>5068</v>
      </c>
      <c r="C104" s="193" t="n">
        <v>2019</v>
      </c>
      <c r="D104" s="218" t="n">
        <v>43770</v>
      </c>
      <c r="E104" s="205" t="s">
        <v>5069</v>
      </c>
      <c r="F104" s="206" t="s">
        <v>823</v>
      </c>
      <c r="G104" s="206" t="s">
        <v>1174</v>
      </c>
      <c r="H104" s="205" t="s">
        <v>1740</v>
      </c>
      <c r="I104" s="218" t="n">
        <v>45531</v>
      </c>
      <c r="J104" s="206" t="n">
        <v>8</v>
      </c>
      <c r="K104" s="206" t="s">
        <v>53</v>
      </c>
      <c r="L104" s="213" t="s">
        <v>1181</v>
      </c>
      <c r="M104" s="206" t="n">
        <f aca="false">I104-D104</f>
        <v>1761</v>
      </c>
      <c r="N104" s="153"/>
      <c r="O104" s="398" t="s">
        <v>86</v>
      </c>
      <c r="P104" s="399" t="n">
        <f aca="false">AVERAGE(P95:R103)</f>
        <v>1269.19005890083</v>
      </c>
      <c r="Q104" s="399"/>
      <c r="R104" s="399"/>
    </row>
    <row r="105" customFormat="false" ht="15" hidden="false" customHeight="true" outlineLevel="0" collapsed="false">
      <c r="A105" s="210" t="s">
        <v>5070</v>
      </c>
      <c r="B105" s="211" t="s">
        <v>5071</v>
      </c>
      <c r="C105" s="211" t="n">
        <v>2021</v>
      </c>
      <c r="D105" s="215" t="n">
        <v>44284</v>
      </c>
      <c r="E105" s="213" t="s">
        <v>5072</v>
      </c>
      <c r="F105" s="213" t="s">
        <v>1635</v>
      </c>
      <c r="G105" s="214" t="s">
        <v>1174</v>
      </c>
      <c r="H105" s="214" t="s">
        <v>1740</v>
      </c>
      <c r="I105" s="221" t="n">
        <v>45533</v>
      </c>
      <c r="J105" s="213" t="n">
        <v>8</v>
      </c>
      <c r="K105" s="213" t="s">
        <v>53</v>
      </c>
      <c r="L105" s="206" t="s">
        <v>1175</v>
      </c>
      <c r="M105" s="213" t="n">
        <f aca="false">I105-D105</f>
        <v>1249</v>
      </c>
      <c r="N105" s="153"/>
      <c r="O105" s="153"/>
      <c r="P105" s="153"/>
      <c r="Q105" s="153"/>
      <c r="R105" s="153"/>
    </row>
    <row r="106" customFormat="false" ht="15" hidden="false" customHeight="true" outlineLevel="0" collapsed="false">
      <c r="A106" s="203" t="s">
        <v>5073</v>
      </c>
      <c r="B106" s="193" t="s">
        <v>5074</v>
      </c>
      <c r="C106" s="193" t="n">
        <v>2024</v>
      </c>
      <c r="D106" s="218" t="n">
        <v>45392</v>
      </c>
      <c r="E106" s="205" t="s">
        <v>5075</v>
      </c>
      <c r="F106" s="206" t="s">
        <v>689</v>
      </c>
      <c r="G106" s="206" t="s">
        <v>1174</v>
      </c>
      <c r="H106" s="205" t="s">
        <v>208</v>
      </c>
      <c r="I106" s="218" t="n">
        <v>45533</v>
      </c>
      <c r="J106" s="206" t="n">
        <v>8</v>
      </c>
      <c r="K106" s="206" t="s">
        <v>53</v>
      </c>
      <c r="L106" s="206" t="s">
        <v>1175</v>
      </c>
      <c r="M106" s="206" t="n">
        <f aca="false">I106-D106</f>
        <v>141</v>
      </c>
      <c r="N106" s="153"/>
      <c r="O106" s="153"/>
      <c r="P106" s="153"/>
      <c r="Q106" s="153"/>
      <c r="R106" s="153"/>
    </row>
    <row r="107" customFormat="false" ht="15" hidden="false" customHeight="true" outlineLevel="0" collapsed="false">
      <c r="A107" s="210" t="s">
        <v>5076</v>
      </c>
      <c r="B107" s="211" t="s">
        <v>5077</v>
      </c>
      <c r="C107" s="211" t="n">
        <v>2018</v>
      </c>
      <c r="D107" s="212" t="n">
        <v>43285</v>
      </c>
      <c r="E107" s="213" t="s">
        <v>5078</v>
      </c>
      <c r="F107" s="213" t="s">
        <v>379</v>
      </c>
      <c r="G107" s="214" t="s">
        <v>1174</v>
      </c>
      <c r="H107" s="214" t="s">
        <v>1258</v>
      </c>
      <c r="I107" s="221" t="n">
        <v>45534</v>
      </c>
      <c r="J107" s="213" t="n">
        <v>8</v>
      </c>
      <c r="K107" s="213" t="s">
        <v>53</v>
      </c>
      <c r="L107" s="213" t="s">
        <v>1181</v>
      </c>
      <c r="M107" s="213" t="n">
        <f aca="false">I107-D107</f>
        <v>2249</v>
      </c>
      <c r="N107" s="153"/>
      <c r="O107" s="153"/>
      <c r="P107" s="153"/>
      <c r="Q107" s="153"/>
      <c r="R107" s="153"/>
    </row>
    <row r="108" customFormat="false" ht="15" hidden="false" customHeight="true" outlineLevel="0" collapsed="false">
      <c r="A108" s="203" t="s">
        <v>5079</v>
      </c>
      <c r="B108" s="193" t="s">
        <v>5080</v>
      </c>
      <c r="C108" s="193" t="n">
        <v>2019</v>
      </c>
      <c r="D108" s="207" t="n">
        <v>43819</v>
      </c>
      <c r="E108" s="205" t="s">
        <v>5081</v>
      </c>
      <c r="F108" s="206" t="s">
        <v>823</v>
      </c>
      <c r="G108" s="206" t="s">
        <v>1174</v>
      </c>
      <c r="H108" s="205" t="s">
        <v>354</v>
      </c>
      <c r="I108" s="218" t="n">
        <v>45534</v>
      </c>
      <c r="J108" s="206" t="n">
        <v>8</v>
      </c>
      <c r="K108" s="206" t="s">
        <v>53</v>
      </c>
      <c r="L108" s="213" t="s">
        <v>1181</v>
      </c>
      <c r="M108" s="206" t="n">
        <f aca="false">I108-D108</f>
        <v>1715</v>
      </c>
      <c r="N108" s="153"/>
      <c r="O108" s="153"/>
      <c r="P108" s="153"/>
      <c r="Q108" s="153"/>
      <c r="R108" s="153"/>
    </row>
    <row r="109" customFormat="false" ht="15" hidden="false" customHeight="true" outlineLevel="0" collapsed="false">
      <c r="A109" s="210" t="s">
        <v>5082</v>
      </c>
      <c r="B109" s="211" t="s">
        <v>5083</v>
      </c>
      <c r="C109" s="211" t="n">
        <v>2014</v>
      </c>
      <c r="D109" s="212" t="n">
        <v>41729</v>
      </c>
      <c r="E109" s="213" t="s">
        <v>5084</v>
      </c>
      <c r="F109" s="213" t="s">
        <v>168</v>
      </c>
      <c r="G109" s="214" t="s">
        <v>1174</v>
      </c>
      <c r="H109" s="214" t="s">
        <v>706</v>
      </c>
      <c r="I109" s="221" t="n">
        <v>45534</v>
      </c>
      <c r="J109" s="213" t="n">
        <v>8</v>
      </c>
      <c r="K109" s="213" t="s">
        <v>53</v>
      </c>
      <c r="L109" s="213" t="s">
        <v>1181</v>
      </c>
      <c r="M109" s="213" t="n">
        <f aca="false">I109-D109</f>
        <v>3805</v>
      </c>
      <c r="N109" s="153"/>
      <c r="O109" s="153"/>
      <c r="P109" s="153"/>
      <c r="Q109" s="153"/>
      <c r="R109" s="153"/>
    </row>
    <row r="110" customFormat="false" ht="15" hidden="false" customHeight="true" outlineLevel="0" collapsed="false">
      <c r="A110" s="203" t="s">
        <v>5085</v>
      </c>
      <c r="B110" s="193" t="s">
        <v>5086</v>
      </c>
      <c r="C110" s="193" t="n">
        <v>2020</v>
      </c>
      <c r="D110" s="204" t="n">
        <v>44091</v>
      </c>
      <c r="E110" s="205" t="s">
        <v>5087</v>
      </c>
      <c r="F110" s="206" t="s">
        <v>2014</v>
      </c>
      <c r="G110" s="206" t="s">
        <v>1174</v>
      </c>
      <c r="H110" s="205" t="s">
        <v>892</v>
      </c>
      <c r="I110" s="218" t="n">
        <v>45546</v>
      </c>
      <c r="J110" s="206" t="n">
        <v>9</v>
      </c>
      <c r="K110" s="206" t="s">
        <v>53</v>
      </c>
      <c r="L110" s="213" t="s">
        <v>1181</v>
      </c>
      <c r="M110" s="206" t="n">
        <f aca="false">I110-D110</f>
        <v>1455</v>
      </c>
      <c r="N110" s="153"/>
      <c r="O110" s="153"/>
      <c r="P110" s="153"/>
      <c r="Q110" s="153"/>
      <c r="R110" s="153"/>
    </row>
    <row r="111" customFormat="false" ht="15" hidden="false" customHeight="true" outlineLevel="0" collapsed="false">
      <c r="A111" s="210" t="s">
        <v>5088</v>
      </c>
      <c r="B111" s="211" t="s">
        <v>5089</v>
      </c>
      <c r="C111" s="211" t="n">
        <v>2021</v>
      </c>
      <c r="D111" s="225" t="n">
        <v>44295</v>
      </c>
      <c r="E111" s="213" t="s">
        <v>5090</v>
      </c>
      <c r="F111" s="213" t="s">
        <v>2948</v>
      </c>
      <c r="G111" s="214" t="s">
        <v>1174</v>
      </c>
      <c r="H111" s="214" t="s">
        <v>208</v>
      </c>
      <c r="I111" s="221" t="n">
        <v>45546</v>
      </c>
      <c r="J111" s="213" t="n">
        <v>9</v>
      </c>
      <c r="K111" s="213" t="s">
        <v>53</v>
      </c>
      <c r="L111" s="206" t="s">
        <v>1175</v>
      </c>
      <c r="M111" s="213" t="n">
        <f aca="false">I111-D111</f>
        <v>1251</v>
      </c>
      <c r="N111" s="153"/>
      <c r="O111" s="153"/>
      <c r="P111" s="153"/>
      <c r="Q111" s="153"/>
      <c r="R111" s="153"/>
    </row>
    <row r="112" customFormat="false" ht="15" hidden="false" customHeight="true" outlineLevel="0" collapsed="false">
      <c r="A112" s="203" t="s">
        <v>5091</v>
      </c>
      <c r="B112" s="193" t="s">
        <v>5092</v>
      </c>
      <c r="C112" s="193" t="n">
        <v>2018</v>
      </c>
      <c r="D112" s="218" t="n">
        <v>43266</v>
      </c>
      <c r="E112" s="205" t="s">
        <v>5093</v>
      </c>
      <c r="F112" s="206" t="s">
        <v>2948</v>
      </c>
      <c r="G112" s="206" t="s">
        <v>1174</v>
      </c>
      <c r="H112" s="205" t="s">
        <v>1740</v>
      </c>
      <c r="I112" s="256" t="n">
        <v>45546</v>
      </c>
      <c r="J112" s="206" t="n">
        <v>9</v>
      </c>
      <c r="K112" s="206" t="s">
        <v>53</v>
      </c>
      <c r="L112" s="206" t="s">
        <v>1175</v>
      </c>
      <c r="M112" s="206" t="n">
        <f aca="false">I112-D112</f>
        <v>2280</v>
      </c>
      <c r="N112" s="153"/>
      <c r="O112" s="153"/>
      <c r="P112" s="153"/>
      <c r="Q112" s="153"/>
      <c r="R112" s="153"/>
    </row>
    <row r="113" customFormat="false" ht="15" hidden="false" customHeight="true" outlineLevel="0" collapsed="false">
      <c r="A113" s="210" t="s">
        <v>5094</v>
      </c>
      <c r="B113" s="211" t="s">
        <v>5095</v>
      </c>
      <c r="C113" s="211" t="n">
        <v>2020</v>
      </c>
      <c r="D113" s="212" t="n">
        <v>44145</v>
      </c>
      <c r="E113" s="213" t="s">
        <v>5096</v>
      </c>
      <c r="F113" s="213" t="s">
        <v>1025</v>
      </c>
      <c r="G113" s="214" t="s">
        <v>1174</v>
      </c>
      <c r="H113" s="254" t="s">
        <v>223</v>
      </c>
      <c r="I113" s="257" t="n">
        <v>45547</v>
      </c>
      <c r="J113" s="258" t="n">
        <v>9</v>
      </c>
      <c r="K113" s="213" t="s">
        <v>53</v>
      </c>
      <c r="L113" s="213" t="s">
        <v>1181</v>
      </c>
      <c r="M113" s="213" t="n">
        <f aca="false">I113-D113</f>
        <v>1402</v>
      </c>
      <c r="O113" s="153"/>
      <c r="P113" s="153"/>
      <c r="Q113" s="153"/>
      <c r="R113" s="153"/>
    </row>
    <row r="114" customFormat="false" ht="15" hidden="false" customHeight="true" outlineLevel="0" collapsed="false">
      <c r="A114" s="203" t="s">
        <v>5097</v>
      </c>
      <c r="B114" s="193" t="s">
        <v>5098</v>
      </c>
      <c r="C114" s="193" t="n">
        <v>2015</v>
      </c>
      <c r="D114" s="218" t="n">
        <v>42258</v>
      </c>
      <c r="E114" s="205" t="s">
        <v>5099</v>
      </c>
      <c r="F114" s="206" t="s">
        <v>798</v>
      </c>
      <c r="G114" s="206" t="s">
        <v>1174</v>
      </c>
      <c r="H114" s="255" t="s">
        <v>223</v>
      </c>
      <c r="I114" s="400" t="n">
        <v>45547</v>
      </c>
      <c r="J114" s="401" t="n">
        <v>9</v>
      </c>
      <c r="K114" s="206" t="s">
        <v>53</v>
      </c>
      <c r="L114" s="206" t="s">
        <v>1175</v>
      </c>
      <c r="M114" s="206" t="n">
        <f aca="false">I114-D114</f>
        <v>3289</v>
      </c>
    </row>
    <row r="115" customFormat="false" ht="15" hidden="false" customHeight="true" outlineLevel="0" collapsed="false">
      <c r="A115" s="210" t="s">
        <v>5100</v>
      </c>
      <c r="B115" s="211" t="s">
        <v>5101</v>
      </c>
      <c r="C115" s="211" t="n">
        <v>2020</v>
      </c>
      <c r="D115" s="225" t="n">
        <v>44161</v>
      </c>
      <c r="E115" s="213" t="s">
        <v>5102</v>
      </c>
      <c r="F115" s="213" t="s">
        <v>1025</v>
      </c>
      <c r="G115" s="214" t="s">
        <v>1174</v>
      </c>
      <c r="H115" s="214" t="s">
        <v>471</v>
      </c>
      <c r="I115" s="402" t="n">
        <v>45547</v>
      </c>
      <c r="J115" s="213" t="n">
        <v>9</v>
      </c>
      <c r="K115" s="213" t="s">
        <v>53</v>
      </c>
      <c r="L115" s="213" t="s">
        <v>1181</v>
      </c>
      <c r="M115" s="213" t="n">
        <f aca="false">I115-D115</f>
        <v>1386</v>
      </c>
    </row>
    <row r="116" customFormat="false" ht="15" hidden="false" customHeight="true" outlineLevel="0" collapsed="false">
      <c r="A116" s="203" t="s">
        <v>5103</v>
      </c>
      <c r="B116" s="193" t="s">
        <v>5104</v>
      </c>
      <c r="C116" s="193" t="n">
        <v>2021</v>
      </c>
      <c r="D116" s="204" t="n">
        <v>44375</v>
      </c>
      <c r="E116" s="205" t="s">
        <v>5105</v>
      </c>
      <c r="F116" s="206" t="s">
        <v>5106</v>
      </c>
      <c r="G116" s="206" t="s">
        <v>1188</v>
      </c>
      <c r="H116" s="205" t="s">
        <v>1791</v>
      </c>
      <c r="I116" s="207" t="n">
        <v>45547</v>
      </c>
      <c r="J116" s="206" t="n">
        <v>9</v>
      </c>
      <c r="K116" s="206" t="s">
        <v>1187</v>
      </c>
      <c r="L116" s="206" t="s">
        <v>1175</v>
      </c>
      <c r="M116" s="206" t="n">
        <f aca="false">I116-D116</f>
        <v>1172</v>
      </c>
    </row>
    <row r="117" customFormat="false" ht="15" hidden="false" customHeight="true" outlineLevel="0" collapsed="false">
      <c r="A117" s="210" t="s">
        <v>5107</v>
      </c>
      <c r="B117" s="211" t="s">
        <v>5108</v>
      </c>
      <c r="C117" s="211" t="n">
        <v>2019</v>
      </c>
      <c r="D117" s="225" t="n">
        <v>43746</v>
      </c>
      <c r="E117" s="213" t="s">
        <v>5109</v>
      </c>
      <c r="F117" s="213" t="s">
        <v>2948</v>
      </c>
      <c r="G117" s="214" t="s">
        <v>1174</v>
      </c>
      <c r="H117" s="214" t="s">
        <v>1231</v>
      </c>
      <c r="I117" s="225" t="n">
        <v>45547</v>
      </c>
      <c r="J117" s="213" t="n">
        <v>9</v>
      </c>
      <c r="K117" s="213" t="s">
        <v>53</v>
      </c>
      <c r="L117" s="206" t="s">
        <v>1175</v>
      </c>
      <c r="M117" s="213" t="n">
        <f aca="false">I117-D117</f>
        <v>1801</v>
      </c>
    </row>
    <row r="118" customFormat="false" ht="15" hidden="false" customHeight="true" outlineLevel="0" collapsed="false">
      <c r="A118" s="203" t="s">
        <v>5110</v>
      </c>
      <c r="B118" s="193" t="s">
        <v>5111</v>
      </c>
      <c r="C118" s="193" t="n">
        <v>2015</v>
      </c>
      <c r="D118" s="204" t="n">
        <v>42128</v>
      </c>
      <c r="E118" s="205" t="s">
        <v>5112</v>
      </c>
      <c r="F118" s="206" t="s">
        <v>3924</v>
      </c>
      <c r="G118" s="206" t="s">
        <v>1174</v>
      </c>
      <c r="H118" s="205" t="s">
        <v>192</v>
      </c>
      <c r="I118" s="218" t="n">
        <v>45547</v>
      </c>
      <c r="J118" s="206" t="n">
        <v>9</v>
      </c>
      <c r="K118" s="206" t="s">
        <v>53</v>
      </c>
      <c r="L118" s="213" t="s">
        <v>1181</v>
      </c>
      <c r="M118" s="208" t="n">
        <f aca="false">I118-D118</f>
        <v>3419</v>
      </c>
    </row>
    <row r="119" customFormat="false" ht="15" hidden="false" customHeight="true" outlineLevel="0" collapsed="false">
      <c r="A119" s="210" t="s">
        <v>5113</v>
      </c>
      <c r="B119" s="211" t="s">
        <v>5114</v>
      </c>
      <c r="C119" s="211" t="n">
        <v>2018</v>
      </c>
      <c r="D119" s="212" t="n">
        <v>43369</v>
      </c>
      <c r="E119" s="213" t="s">
        <v>5115</v>
      </c>
      <c r="F119" s="213" t="s">
        <v>449</v>
      </c>
      <c r="G119" s="214" t="s">
        <v>1174</v>
      </c>
      <c r="H119" s="214" t="s">
        <v>119</v>
      </c>
      <c r="I119" s="215" t="n">
        <v>45547</v>
      </c>
      <c r="J119" s="213" t="n">
        <v>9</v>
      </c>
      <c r="K119" s="213" t="s">
        <v>53</v>
      </c>
      <c r="L119" s="213" t="s">
        <v>1181</v>
      </c>
      <c r="M119" s="213" t="n">
        <f aca="false">I119-D119</f>
        <v>2178</v>
      </c>
    </row>
    <row r="120" customFormat="false" ht="15" hidden="false" customHeight="true" outlineLevel="0" collapsed="false">
      <c r="A120" s="203" t="s">
        <v>5116</v>
      </c>
      <c r="B120" s="193" t="s">
        <v>5117</v>
      </c>
      <c r="C120" s="193" t="n">
        <v>2018</v>
      </c>
      <c r="D120" s="204" t="n">
        <v>43409</v>
      </c>
      <c r="E120" s="205" t="s">
        <v>5118</v>
      </c>
      <c r="F120" s="206" t="s">
        <v>449</v>
      </c>
      <c r="G120" s="206" t="s">
        <v>1174</v>
      </c>
      <c r="H120" s="205" t="s">
        <v>267</v>
      </c>
      <c r="I120" s="218" t="n">
        <v>45548</v>
      </c>
      <c r="J120" s="206" t="n">
        <v>9</v>
      </c>
      <c r="K120" s="206" t="s">
        <v>53</v>
      </c>
      <c r="L120" s="213" t="s">
        <v>1181</v>
      </c>
      <c r="M120" s="208" t="n">
        <f aca="false">I120-D120</f>
        <v>2139</v>
      </c>
    </row>
    <row r="121" customFormat="false" ht="15" hidden="false" customHeight="true" outlineLevel="0" collapsed="false">
      <c r="A121" s="210" t="s">
        <v>5119</v>
      </c>
      <c r="B121" s="211" t="s">
        <v>5120</v>
      </c>
      <c r="C121" s="211" t="n">
        <v>2020</v>
      </c>
      <c r="D121" s="212" t="n">
        <v>44133</v>
      </c>
      <c r="E121" s="213" t="s">
        <v>5121</v>
      </c>
      <c r="F121" s="213" t="s">
        <v>382</v>
      </c>
      <c r="G121" s="214" t="s">
        <v>1174</v>
      </c>
      <c r="H121" s="214" t="s">
        <v>522</v>
      </c>
      <c r="I121" s="215" t="n">
        <v>45548</v>
      </c>
      <c r="J121" s="213" t="n">
        <v>9</v>
      </c>
      <c r="K121" s="213" t="s">
        <v>53</v>
      </c>
      <c r="L121" s="206" t="s">
        <v>1175</v>
      </c>
      <c r="M121" s="213" t="n">
        <f aca="false">I121-D121</f>
        <v>1415</v>
      </c>
    </row>
    <row r="122" customFormat="false" ht="15" hidden="false" customHeight="true" outlineLevel="0" collapsed="false">
      <c r="A122" s="203" t="s">
        <v>5122</v>
      </c>
      <c r="B122" s="193" t="s">
        <v>5123</v>
      </c>
      <c r="C122" s="193" t="n">
        <v>2022</v>
      </c>
      <c r="D122" s="204" t="n">
        <v>44629</v>
      </c>
      <c r="E122" s="205" t="s">
        <v>5124</v>
      </c>
      <c r="F122" s="206" t="s">
        <v>3656</v>
      </c>
      <c r="G122" s="206" t="s">
        <v>1174</v>
      </c>
      <c r="H122" s="205" t="s">
        <v>522</v>
      </c>
      <c r="I122" s="218" t="n">
        <v>45548</v>
      </c>
      <c r="J122" s="206" t="n">
        <v>9</v>
      </c>
      <c r="K122" s="206" t="s">
        <v>53</v>
      </c>
      <c r="L122" s="206" t="s">
        <v>1175</v>
      </c>
      <c r="M122" s="208" t="n">
        <f aca="false">I122-D122</f>
        <v>919</v>
      </c>
    </row>
    <row r="123" customFormat="false" ht="15" hidden="false" customHeight="true" outlineLevel="0" collapsed="false">
      <c r="A123" s="210" t="s">
        <v>5125</v>
      </c>
      <c r="B123" s="211" t="s">
        <v>5126</v>
      </c>
      <c r="C123" s="211" t="n">
        <v>2022</v>
      </c>
      <c r="D123" s="212" t="n">
        <v>44860</v>
      </c>
      <c r="E123" s="213" t="s">
        <v>5127</v>
      </c>
      <c r="F123" s="213" t="s">
        <v>382</v>
      </c>
      <c r="G123" s="214" t="s">
        <v>1174</v>
      </c>
      <c r="H123" s="214" t="s">
        <v>1059</v>
      </c>
      <c r="I123" s="221" t="n">
        <v>45548</v>
      </c>
      <c r="J123" s="213" t="n">
        <v>9</v>
      </c>
      <c r="K123" s="213" t="s">
        <v>53</v>
      </c>
      <c r="L123" s="206" t="s">
        <v>1175</v>
      </c>
      <c r="M123" s="213" t="n">
        <f aca="false">I123-D123</f>
        <v>688</v>
      </c>
    </row>
    <row r="124" customFormat="false" ht="15" hidden="false" customHeight="true" outlineLevel="0" collapsed="false">
      <c r="A124" s="203" t="s">
        <v>5128</v>
      </c>
      <c r="B124" s="193" t="s">
        <v>5129</v>
      </c>
      <c r="C124" s="193" t="n">
        <v>2021</v>
      </c>
      <c r="D124" s="204" t="n">
        <v>44295</v>
      </c>
      <c r="E124" s="205" t="s">
        <v>5130</v>
      </c>
      <c r="F124" s="206" t="s">
        <v>138</v>
      </c>
      <c r="G124" s="206" t="s">
        <v>1174</v>
      </c>
      <c r="H124" s="205" t="s">
        <v>1571</v>
      </c>
      <c r="I124" s="218" t="n">
        <v>45548</v>
      </c>
      <c r="J124" s="206" t="n">
        <v>9</v>
      </c>
      <c r="K124" s="206" t="s">
        <v>53</v>
      </c>
      <c r="L124" s="206" t="s">
        <v>1175</v>
      </c>
      <c r="M124" s="206" t="n">
        <f aca="false">I124-D124</f>
        <v>1253</v>
      </c>
    </row>
    <row r="125" customFormat="false" ht="15" hidden="false" customHeight="true" outlineLevel="0" collapsed="false">
      <c r="A125" s="210" t="s">
        <v>5131</v>
      </c>
      <c r="B125" s="211" t="s">
        <v>5132</v>
      </c>
      <c r="C125" s="211" t="n">
        <v>2019</v>
      </c>
      <c r="D125" s="212" t="n">
        <v>43798</v>
      </c>
      <c r="E125" s="213" t="s">
        <v>5133</v>
      </c>
      <c r="F125" s="213" t="s">
        <v>1156</v>
      </c>
      <c r="G125" s="214" t="s">
        <v>1174</v>
      </c>
      <c r="H125" s="214" t="s">
        <v>471</v>
      </c>
      <c r="I125" s="221" t="n">
        <v>45548</v>
      </c>
      <c r="J125" s="213" t="n">
        <v>9</v>
      </c>
      <c r="K125" s="213" t="s">
        <v>53</v>
      </c>
      <c r="L125" s="213" t="s">
        <v>1441</v>
      </c>
      <c r="M125" s="213" t="n">
        <f aca="false">I125-D125</f>
        <v>1750</v>
      </c>
    </row>
    <row r="126" customFormat="false" ht="15" hidden="false" customHeight="true" outlineLevel="0" collapsed="false">
      <c r="A126" s="203" t="s">
        <v>5134</v>
      </c>
      <c r="B126" s="193" t="s">
        <v>5135</v>
      </c>
      <c r="C126" s="193" t="n">
        <v>2020</v>
      </c>
      <c r="D126" s="204" t="n">
        <v>44133</v>
      </c>
      <c r="E126" s="205" t="s">
        <v>5136</v>
      </c>
      <c r="F126" s="206" t="s">
        <v>138</v>
      </c>
      <c r="G126" s="206" t="s">
        <v>1174</v>
      </c>
      <c r="H126" s="205" t="s">
        <v>522</v>
      </c>
      <c r="I126" s="218" t="n">
        <v>45560</v>
      </c>
      <c r="J126" s="206" t="n">
        <v>9</v>
      </c>
      <c r="K126" s="206" t="s">
        <v>53</v>
      </c>
      <c r="L126" s="206" t="s">
        <v>1175</v>
      </c>
      <c r="M126" s="206" t="n">
        <f aca="false">I126-D126</f>
        <v>1427</v>
      </c>
    </row>
    <row r="127" customFormat="false" ht="15" hidden="false" customHeight="true" outlineLevel="0" collapsed="false">
      <c r="A127" s="210" t="s">
        <v>5137</v>
      </c>
      <c r="B127" s="211" t="s">
        <v>5138</v>
      </c>
      <c r="C127" s="211" t="n">
        <v>2024</v>
      </c>
      <c r="D127" s="212" t="n">
        <v>45378</v>
      </c>
      <c r="E127" s="213" t="s">
        <v>5139</v>
      </c>
      <c r="F127" s="213" t="s">
        <v>207</v>
      </c>
      <c r="G127" s="214" t="s">
        <v>1174</v>
      </c>
      <c r="H127" s="214" t="s">
        <v>310</v>
      </c>
      <c r="I127" s="221" t="n">
        <v>45583</v>
      </c>
      <c r="J127" s="213" t="n">
        <v>10</v>
      </c>
      <c r="K127" s="213" t="s">
        <v>53</v>
      </c>
      <c r="L127" s="213" t="s">
        <v>1181</v>
      </c>
      <c r="M127" s="213" t="n">
        <f aca="false">I127-D127</f>
        <v>205</v>
      </c>
    </row>
    <row r="128" customFormat="false" ht="15" hidden="false" customHeight="true" outlineLevel="0" collapsed="false">
      <c r="A128" s="203" t="s">
        <v>5140</v>
      </c>
      <c r="B128" s="193" t="s">
        <v>5141</v>
      </c>
      <c r="C128" s="193" t="n">
        <v>2014</v>
      </c>
      <c r="D128" s="204" t="n">
        <v>41961</v>
      </c>
      <c r="E128" s="205" t="s">
        <v>5142</v>
      </c>
      <c r="F128" s="206" t="s">
        <v>823</v>
      </c>
      <c r="G128" s="206" t="s">
        <v>1174</v>
      </c>
      <c r="H128" s="205" t="s">
        <v>706</v>
      </c>
      <c r="I128" s="218" t="n">
        <v>45583</v>
      </c>
      <c r="J128" s="206" t="n">
        <v>10</v>
      </c>
      <c r="K128" s="206" t="s">
        <v>53</v>
      </c>
      <c r="L128" s="213" t="s">
        <v>1181</v>
      </c>
      <c r="M128" s="206" t="n">
        <f aca="false">I128-D128</f>
        <v>3622</v>
      </c>
    </row>
    <row r="129" customFormat="false" ht="15" hidden="false" customHeight="true" outlineLevel="0" collapsed="false">
      <c r="A129" s="210" t="s">
        <v>5143</v>
      </c>
      <c r="B129" s="211" t="s">
        <v>5144</v>
      </c>
      <c r="C129" s="211" t="n">
        <v>2015</v>
      </c>
      <c r="D129" s="212" t="n">
        <v>42032</v>
      </c>
      <c r="E129" s="213" t="s">
        <v>5145</v>
      </c>
      <c r="F129" s="213" t="s">
        <v>793</v>
      </c>
      <c r="G129" s="214" t="s">
        <v>1174</v>
      </c>
      <c r="H129" s="214" t="s">
        <v>267</v>
      </c>
      <c r="I129" s="221" t="n">
        <v>45583</v>
      </c>
      <c r="J129" s="213" t="n">
        <v>10</v>
      </c>
      <c r="K129" s="213" t="s">
        <v>53</v>
      </c>
      <c r="L129" s="213" t="s">
        <v>1181</v>
      </c>
      <c r="M129" s="213" t="n">
        <f aca="false">I129-D129</f>
        <v>3551</v>
      </c>
    </row>
    <row r="130" customFormat="false" ht="15" hidden="false" customHeight="true" outlineLevel="0" collapsed="false">
      <c r="A130" s="203" t="s">
        <v>5146</v>
      </c>
      <c r="B130" s="193" t="s">
        <v>5147</v>
      </c>
      <c r="C130" s="193" t="n">
        <v>2019</v>
      </c>
      <c r="D130" s="204" t="n">
        <v>43507</v>
      </c>
      <c r="E130" s="205" t="s">
        <v>5148</v>
      </c>
      <c r="F130" s="206" t="s">
        <v>1987</v>
      </c>
      <c r="G130" s="206" t="s">
        <v>1174</v>
      </c>
      <c r="H130" s="205" t="s">
        <v>109</v>
      </c>
      <c r="I130" s="218" t="n">
        <v>45583</v>
      </c>
      <c r="J130" s="206" t="n">
        <v>10</v>
      </c>
      <c r="K130" s="206" t="s">
        <v>53</v>
      </c>
      <c r="L130" s="213" t="s">
        <v>1181</v>
      </c>
      <c r="M130" s="206" t="n">
        <f aca="false">I130-D130</f>
        <v>2076</v>
      </c>
    </row>
    <row r="131" customFormat="false" ht="15" hidden="false" customHeight="true" outlineLevel="0" collapsed="false">
      <c r="A131" s="210" t="s">
        <v>5149</v>
      </c>
      <c r="B131" s="211" t="s">
        <v>5150</v>
      </c>
      <c r="C131" s="211" t="n">
        <v>2019</v>
      </c>
      <c r="D131" s="212" t="n">
        <v>43798</v>
      </c>
      <c r="E131" s="213" t="s">
        <v>5151</v>
      </c>
      <c r="F131" s="213" t="s">
        <v>2193</v>
      </c>
      <c r="G131" s="214" t="s">
        <v>1174</v>
      </c>
      <c r="H131" s="214" t="s">
        <v>354</v>
      </c>
      <c r="I131" s="221" t="n">
        <v>45583</v>
      </c>
      <c r="J131" s="213" t="n">
        <v>10</v>
      </c>
      <c r="K131" s="213" t="s">
        <v>53</v>
      </c>
      <c r="L131" s="206" t="s">
        <v>1175</v>
      </c>
      <c r="M131" s="213" t="n">
        <f aca="false">I131-D131</f>
        <v>1785</v>
      </c>
    </row>
    <row r="132" customFormat="false" ht="15" hidden="false" customHeight="true" outlineLevel="0" collapsed="false">
      <c r="A132" s="203" t="s">
        <v>5152</v>
      </c>
      <c r="B132" s="193" t="s">
        <v>5153</v>
      </c>
      <c r="C132" s="193" t="n">
        <v>2019</v>
      </c>
      <c r="D132" s="204" t="n">
        <v>43600</v>
      </c>
      <c r="E132" s="205" t="s">
        <v>5154</v>
      </c>
      <c r="F132" s="206" t="s">
        <v>168</v>
      </c>
      <c r="G132" s="206" t="s">
        <v>1174</v>
      </c>
      <c r="H132" s="205" t="s">
        <v>1258</v>
      </c>
      <c r="I132" s="218" t="n">
        <v>45583</v>
      </c>
      <c r="J132" s="206" t="n">
        <v>10</v>
      </c>
      <c r="K132" s="206" t="s">
        <v>53</v>
      </c>
      <c r="L132" s="213" t="s">
        <v>1181</v>
      </c>
      <c r="M132" s="206" t="n">
        <f aca="false">I132-D132</f>
        <v>1983</v>
      </c>
    </row>
    <row r="133" customFormat="false" ht="15" hidden="false" customHeight="true" outlineLevel="0" collapsed="false">
      <c r="A133" s="210" t="s">
        <v>5155</v>
      </c>
      <c r="B133" s="211" t="s">
        <v>5156</v>
      </c>
      <c r="C133" s="211" t="n">
        <v>2021</v>
      </c>
      <c r="D133" s="212" t="n">
        <v>44355</v>
      </c>
      <c r="E133" s="213" t="s">
        <v>5157</v>
      </c>
      <c r="F133" s="213" t="s">
        <v>4956</v>
      </c>
      <c r="G133" s="214" t="s">
        <v>1174</v>
      </c>
      <c r="H133" s="214" t="s">
        <v>1258</v>
      </c>
      <c r="I133" s="221" t="n">
        <v>45583</v>
      </c>
      <c r="J133" s="213" t="n">
        <v>10</v>
      </c>
      <c r="K133" s="213" t="s">
        <v>53</v>
      </c>
      <c r="L133" s="213" t="s">
        <v>1181</v>
      </c>
      <c r="M133" s="213" t="n">
        <f aca="false">I133-D133</f>
        <v>1228</v>
      </c>
    </row>
    <row r="134" customFormat="false" ht="15" hidden="false" customHeight="true" outlineLevel="0" collapsed="false">
      <c r="A134" s="203" t="s">
        <v>5158</v>
      </c>
      <c r="B134" s="193" t="s">
        <v>5159</v>
      </c>
      <c r="C134" s="193" t="n">
        <v>2021</v>
      </c>
      <c r="D134" s="204" t="n">
        <v>44306</v>
      </c>
      <c r="E134" s="205" t="s">
        <v>5160</v>
      </c>
      <c r="F134" s="206" t="s">
        <v>138</v>
      </c>
      <c r="G134" s="206" t="s">
        <v>1174</v>
      </c>
      <c r="H134" s="205" t="s">
        <v>243</v>
      </c>
      <c r="I134" s="218" t="n">
        <v>45583</v>
      </c>
      <c r="J134" s="206" t="n">
        <v>10</v>
      </c>
      <c r="K134" s="206" t="s">
        <v>53</v>
      </c>
      <c r="L134" s="206" t="s">
        <v>1175</v>
      </c>
      <c r="M134" s="206" t="n">
        <f aca="false">I134-D134</f>
        <v>1277</v>
      </c>
    </row>
    <row r="135" customFormat="false" ht="15" hidden="false" customHeight="true" outlineLevel="0" collapsed="false">
      <c r="A135" s="210" t="s">
        <v>5161</v>
      </c>
      <c r="B135" s="211" t="s">
        <v>5162</v>
      </c>
      <c r="C135" s="211" t="n">
        <v>2021</v>
      </c>
      <c r="D135" s="212" t="n">
        <v>44547</v>
      </c>
      <c r="E135" s="213" t="s">
        <v>5163</v>
      </c>
      <c r="F135" s="213" t="s">
        <v>207</v>
      </c>
      <c r="G135" s="214" t="s">
        <v>1174</v>
      </c>
      <c r="H135" s="214" t="s">
        <v>2677</v>
      </c>
      <c r="I135" s="221" t="n">
        <v>45583</v>
      </c>
      <c r="J135" s="213" t="n">
        <v>10</v>
      </c>
      <c r="K135" s="213" t="s">
        <v>53</v>
      </c>
      <c r="L135" s="213" t="s">
        <v>1181</v>
      </c>
      <c r="M135" s="213" t="n">
        <f aca="false">I135-D135</f>
        <v>1036</v>
      </c>
    </row>
    <row r="136" customFormat="false" ht="15" hidden="false" customHeight="true" outlineLevel="0" collapsed="false">
      <c r="A136" s="203" t="s">
        <v>5164</v>
      </c>
      <c r="B136" s="193" t="s">
        <v>5165</v>
      </c>
      <c r="C136" s="193" t="n">
        <v>2014</v>
      </c>
      <c r="D136" s="204" t="n">
        <v>42003</v>
      </c>
      <c r="E136" s="205" t="s">
        <v>5166</v>
      </c>
      <c r="F136" s="206" t="s">
        <v>2168</v>
      </c>
      <c r="G136" s="206" t="s">
        <v>1174</v>
      </c>
      <c r="H136" s="205" t="s">
        <v>267</v>
      </c>
      <c r="I136" s="218" t="n">
        <v>45583</v>
      </c>
      <c r="J136" s="206" t="n">
        <v>10</v>
      </c>
      <c r="K136" s="206" t="s">
        <v>53</v>
      </c>
      <c r="L136" s="213" t="s">
        <v>1181</v>
      </c>
      <c r="M136" s="208" t="n">
        <f aca="false">I136-D136</f>
        <v>3580</v>
      </c>
    </row>
    <row r="137" customFormat="false" ht="15" hidden="false" customHeight="true" outlineLevel="0" collapsed="false">
      <c r="A137" s="210" t="s">
        <v>5167</v>
      </c>
      <c r="B137" s="211" t="s">
        <v>5168</v>
      </c>
      <c r="C137" s="211" t="n">
        <v>2019</v>
      </c>
      <c r="D137" s="212" t="n">
        <v>43754</v>
      </c>
      <c r="E137" s="213" t="s">
        <v>5169</v>
      </c>
      <c r="F137" s="213" t="s">
        <v>2168</v>
      </c>
      <c r="G137" s="214" t="s">
        <v>1174</v>
      </c>
      <c r="H137" s="214" t="s">
        <v>1740</v>
      </c>
      <c r="I137" s="221" t="n">
        <v>45583</v>
      </c>
      <c r="J137" s="213" t="n">
        <v>10</v>
      </c>
      <c r="K137" s="213" t="s">
        <v>53</v>
      </c>
      <c r="L137" s="213" t="s">
        <v>1181</v>
      </c>
      <c r="M137" s="213" t="n">
        <f aca="false">I137-D137</f>
        <v>1829</v>
      </c>
    </row>
    <row r="138" customFormat="false" ht="15" hidden="false" customHeight="true" outlineLevel="0" collapsed="false">
      <c r="A138" s="203" t="s">
        <v>5170</v>
      </c>
      <c r="B138" s="193" t="s">
        <v>5171</v>
      </c>
      <c r="C138" s="193" t="n">
        <v>2018</v>
      </c>
      <c r="D138" s="204" t="n">
        <v>43185</v>
      </c>
      <c r="E138" s="205" t="s">
        <v>5172</v>
      </c>
      <c r="F138" s="206" t="s">
        <v>2014</v>
      </c>
      <c r="G138" s="206" t="s">
        <v>1174</v>
      </c>
      <c r="H138" s="205" t="s">
        <v>1791</v>
      </c>
      <c r="I138" s="218" t="n">
        <v>45583</v>
      </c>
      <c r="J138" s="206" t="n">
        <v>10</v>
      </c>
      <c r="K138" s="206" t="s">
        <v>53</v>
      </c>
      <c r="L138" s="213" t="s">
        <v>1181</v>
      </c>
      <c r="M138" s="208" t="n">
        <f aca="false">I138-D138</f>
        <v>2398</v>
      </c>
    </row>
    <row r="139" customFormat="false" ht="15" hidden="false" customHeight="true" outlineLevel="0" collapsed="false">
      <c r="A139" s="210" t="s">
        <v>5173</v>
      </c>
      <c r="B139" s="211" t="s">
        <v>5174</v>
      </c>
      <c r="C139" s="211" t="n">
        <v>2014</v>
      </c>
      <c r="D139" s="212" t="n">
        <v>41696</v>
      </c>
      <c r="E139" s="213" t="s">
        <v>5175</v>
      </c>
      <c r="F139" s="213" t="s">
        <v>2014</v>
      </c>
      <c r="G139" s="214" t="s">
        <v>1174</v>
      </c>
      <c r="H139" s="214" t="s">
        <v>1059</v>
      </c>
      <c r="I139" s="221" t="n">
        <v>45583</v>
      </c>
      <c r="J139" s="213" t="n">
        <v>10</v>
      </c>
      <c r="K139" s="213" t="s">
        <v>53</v>
      </c>
      <c r="L139" s="213" t="s">
        <v>1181</v>
      </c>
      <c r="M139" s="213" t="n">
        <f aca="false">I139-D139</f>
        <v>3887</v>
      </c>
    </row>
    <row r="140" customFormat="false" ht="15" hidden="false" customHeight="true" outlineLevel="0" collapsed="false">
      <c r="A140" s="203" t="s">
        <v>5176</v>
      </c>
      <c r="B140" s="193" t="s">
        <v>5177</v>
      </c>
      <c r="C140" s="193" t="n">
        <v>2024</v>
      </c>
      <c r="D140" s="204" t="n">
        <v>45324</v>
      </c>
      <c r="E140" s="205" t="s">
        <v>5178</v>
      </c>
      <c r="F140" s="206" t="s">
        <v>207</v>
      </c>
      <c r="G140" s="206" t="s">
        <v>1174</v>
      </c>
      <c r="H140" s="205" t="s">
        <v>208</v>
      </c>
      <c r="I140" s="218" t="n">
        <v>45590</v>
      </c>
      <c r="J140" s="206" t="n">
        <v>10</v>
      </c>
      <c r="K140" s="206" t="s">
        <v>53</v>
      </c>
      <c r="L140" s="213" t="s">
        <v>1181</v>
      </c>
      <c r="M140" s="206" t="n">
        <f aca="false">I140-D140</f>
        <v>266</v>
      </c>
    </row>
    <row r="141" customFormat="false" ht="15" hidden="false" customHeight="true" outlineLevel="0" collapsed="false">
      <c r="A141" s="210" t="s">
        <v>5179</v>
      </c>
      <c r="B141" s="211" t="s">
        <v>5180</v>
      </c>
      <c r="C141" s="211" t="n">
        <v>2018</v>
      </c>
      <c r="D141" s="212" t="n">
        <v>43334</v>
      </c>
      <c r="E141" s="213" t="s">
        <v>5181</v>
      </c>
      <c r="F141" s="213" t="s">
        <v>191</v>
      </c>
      <c r="G141" s="214" t="s">
        <v>1174</v>
      </c>
      <c r="H141" s="214" t="s">
        <v>223</v>
      </c>
      <c r="I141" s="221" t="n">
        <v>45590</v>
      </c>
      <c r="J141" s="213" t="n">
        <v>10</v>
      </c>
      <c r="K141" s="213" t="s">
        <v>53</v>
      </c>
      <c r="L141" s="213" t="s">
        <v>1181</v>
      </c>
      <c r="M141" s="213" t="n">
        <f aca="false">I141-D141</f>
        <v>2256</v>
      </c>
    </row>
    <row r="142" customFormat="false" ht="15" hidden="false" customHeight="true" outlineLevel="0" collapsed="false">
      <c r="A142" s="203" t="s">
        <v>5182</v>
      </c>
      <c r="B142" s="193" t="s">
        <v>5183</v>
      </c>
      <c r="C142" s="193" t="n">
        <v>2018</v>
      </c>
      <c r="D142" s="204" t="n">
        <v>43440</v>
      </c>
      <c r="E142" s="205" t="s">
        <v>5184</v>
      </c>
      <c r="F142" s="206" t="s">
        <v>207</v>
      </c>
      <c r="G142" s="206" t="s">
        <v>1174</v>
      </c>
      <c r="H142" s="205" t="s">
        <v>693</v>
      </c>
      <c r="I142" s="218" t="n">
        <v>45594</v>
      </c>
      <c r="J142" s="206" t="n">
        <v>10</v>
      </c>
      <c r="K142" s="206" t="s">
        <v>53</v>
      </c>
      <c r="L142" s="213" t="s">
        <v>1181</v>
      </c>
      <c r="M142" s="206" t="n">
        <f aca="false">I142-D142</f>
        <v>2154</v>
      </c>
    </row>
    <row r="143" customFormat="false" ht="15" hidden="false" customHeight="true" outlineLevel="0" collapsed="false">
      <c r="A143" s="210" t="s">
        <v>5185</v>
      </c>
      <c r="B143" s="211" t="s">
        <v>5186</v>
      </c>
      <c r="C143" s="211" t="n">
        <v>2022</v>
      </c>
      <c r="D143" s="212" t="n">
        <v>44869</v>
      </c>
      <c r="E143" s="213" t="s">
        <v>5187</v>
      </c>
      <c r="F143" s="213" t="s">
        <v>207</v>
      </c>
      <c r="G143" s="214" t="s">
        <v>1174</v>
      </c>
      <c r="H143" s="214" t="s">
        <v>1571</v>
      </c>
      <c r="I143" s="221" t="n">
        <v>45594</v>
      </c>
      <c r="J143" s="213" t="n">
        <v>10</v>
      </c>
      <c r="K143" s="213" t="s">
        <v>53</v>
      </c>
      <c r="L143" s="213" t="s">
        <v>1181</v>
      </c>
      <c r="M143" s="213" t="n">
        <f aca="false">I143-D143</f>
        <v>725</v>
      </c>
    </row>
    <row r="144" customFormat="false" ht="15" hidden="false" customHeight="true" outlineLevel="0" collapsed="false">
      <c r="A144" s="203" t="s">
        <v>5188</v>
      </c>
      <c r="B144" s="193" t="s">
        <v>5189</v>
      </c>
      <c r="C144" s="193" t="n">
        <v>2017</v>
      </c>
      <c r="D144" s="204" t="n">
        <v>43095</v>
      </c>
      <c r="E144" s="205" t="s">
        <v>5190</v>
      </c>
      <c r="F144" s="206" t="s">
        <v>207</v>
      </c>
      <c r="G144" s="206" t="s">
        <v>1174</v>
      </c>
      <c r="H144" s="205" t="s">
        <v>1072</v>
      </c>
      <c r="I144" s="218" t="n">
        <v>45594</v>
      </c>
      <c r="J144" s="206" t="n">
        <v>10</v>
      </c>
      <c r="K144" s="206" t="s">
        <v>53</v>
      </c>
      <c r="L144" s="213" t="s">
        <v>1181</v>
      </c>
      <c r="M144" s="206" t="n">
        <f aca="false">I144-D144</f>
        <v>2499</v>
      </c>
    </row>
    <row r="145" customFormat="false" ht="15" hidden="false" customHeight="true" outlineLevel="0" collapsed="false">
      <c r="A145" s="210" t="s">
        <v>5191</v>
      </c>
      <c r="B145" s="211" t="s">
        <v>5192</v>
      </c>
      <c r="C145" s="211" t="n">
        <v>2020</v>
      </c>
      <c r="D145" s="212" t="n">
        <v>44148</v>
      </c>
      <c r="E145" s="213" t="s">
        <v>5193</v>
      </c>
      <c r="F145" s="213" t="s">
        <v>207</v>
      </c>
      <c r="G145" s="214" t="s">
        <v>1174</v>
      </c>
      <c r="H145" s="214" t="s">
        <v>544</v>
      </c>
      <c r="I145" s="221" t="n">
        <v>45594</v>
      </c>
      <c r="J145" s="213" t="n">
        <v>10</v>
      </c>
      <c r="K145" s="213" t="s">
        <v>53</v>
      </c>
      <c r="L145" s="213" t="s">
        <v>1181</v>
      </c>
      <c r="M145" s="213" t="n">
        <f aca="false">I145-D145</f>
        <v>1446</v>
      </c>
    </row>
    <row r="146" customFormat="false" ht="15" hidden="false" customHeight="true" outlineLevel="0" collapsed="false">
      <c r="A146" s="203" t="s">
        <v>5194</v>
      </c>
      <c r="B146" s="193" t="s">
        <v>5195</v>
      </c>
      <c r="C146" s="193" t="n">
        <v>2019</v>
      </c>
      <c r="D146" s="204" t="n">
        <v>43812</v>
      </c>
      <c r="E146" s="205" t="s">
        <v>5196</v>
      </c>
      <c r="F146" s="206" t="s">
        <v>207</v>
      </c>
      <c r="G146" s="206" t="s">
        <v>1174</v>
      </c>
      <c r="H146" s="205" t="s">
        <v>267</v>
      </c>
      <c r="I146" s="218" t="n">
        <v>45594</v>
      </c>
      <c r="J146" s="206" t="n">
        <v>10</v>
      </c>
      <c r="K146" s="206" t="s">
        <v>53</v>
      </c>
      <c r="L146" s="213" t="s">
        <v>1181</v>
      </c>
      <c r="M146" s="206" t="n">
        <f aca="false">I146-D146</f>
        <v>1782</v>
      </c>
    </row>
    <row r="147" customFormat="false" ht="15" hidden="false" customHeight="true" outlineLevel="0" collapsed="false">
      <c r="A147" s="210" t="s">
        <v>5197</v>
      </c>
      <c r="B147" s="211" t="s">
        <v>5198</v>
      </c>
      <c r="C147" s="211" t="n">
        <v>2018</v>
      </c>
      <c r="D147" s="212" t="n">
        <v>43255</v>
      </c>
      <c r="E147" s="213" t="s">
        <v>5199</v>
      </c>
      <c r="F147" s="213" t="s">
        <v>207</v>
      </c>
      <c r="G147" s="214" t="s">
        <v>1174</v>
      </c>
      <c r="H147" s="214" t="s">
        <v>1258</v>
      </c>
      <c r="I147" s="221" t="n">
        <v>45594</v>
      </c>
      <c r="J147" s="213" t="n">
        <v>10</v>
      </c>
      <c r="K147" s="213" t="s">
        <v>53</v>
      </c>
      <c r="L147" s="213" t="s">
        <v>1181</v>
      </c>
      <c r="M147" s="213" t="n">
        <f aca="false">I147-D147</f>
        <v>2339</v>
      </c>
    </row>
    <row r="148" customFormat="false" ht="15" hidden="false" customHeight="true" outlineLevel="0" collapsed="false">
      <c r="A148" s="203" t="s">
        <v>5200</v>
      </c>
      <c r="B148" s="193" t="s">
        <v>5201</v>
      </c>
      <c r="C148" s="193" t="n">
        <v>2018</v>
      </c>
      <c r="D148" s="204" t="n">
        <v>43346</v>
      </c>
      <c r="E148" s="205" t="s">
        <v>5202</v>
      </c>
      <c r="F148" s="206" t="s">
        <v>207</v>
      </c>
      <c r="G148" s="206" t="s">
        <v>1174</v>
      </c>
      <c r="H148" s="205" t="s">
        <v>254</v>
      </c>
      <c r="I148" s="218" t="n">
        <v>45594</v>
      </c>
      <c r="J148" s="206" t="n">
        <v>10</v>
      </c>
      <c r="K148" s="206" t="s">
        <v>53</v>
      </c>
      <c r="L148" s="213" t="s">
        <v>1181</v>
      </c>
      <c r="M148" s="206" t="n">
        <f aca="false">I148-D148</f>
        <v>2248</v>
      </c>
    </row>
    <row r="149" customFormat="false" ht="15" hidden="false" customHeight="true" outlineLevel="0" collapsed="false">
      <c r="A149" s="210" t="s">
        <v>5203</v>
      </c>
      <c r="B149" s="211" t="s">
        <v>5204</v>
      </c>
      <c r="C149" s="211" t="n">
        <v>2021</v>
      </c>
      <c r="D149" s="212" t="n">
        <v>44272</v>
      </c>
      <c r="E149" s="213" t="s">
        <v>5205</v>
      </c>
      <c r="F149" s="213" t="s">
        <v>207</v>
      </c>
      <c r="G149" s="214" t="s">
        <v>1174</v>
      </c>
      <c r="H149" s="214" t="s">
        <v>1258</v>
      </c>
      <c r="I149" s="221" t="n">
        <v>45594</v>
      </c>
      <c r="J149" s="213" t="n">
        <v>10</v>
      </c>
      <c r="K149" s="213" t="s">
        <v>53</v>
      </c>
      <c r="L149" s="213" t="s">
        <v>1181</v>
      </c>
      <c r="M149" s="213" t="n">
        <f aca="false">I149-D149</f>
        <v>1322</v>
      </c>
    </row>
    <row r="150" customFormat="false" ht="15" hidden="false" customHeight="true" outlineLevel="0" collapsed="false">
      <c r="A150" s="203" t="s">
        <v>5206</v>
      </c>
      <c r="B150" s="193" t="s">
        <v>5207</v>
      </c>
      <c r="C150" s="193" t="n">
        <v>2021</v>
      </c>
      <c r="D150" s="204" t="n">
        <v>44414</v>
      </c>
      <c r="E150" s="205" t="s">
        <v>5208</v>
      </c>
      <c r="F150" s="206" t="s">
        <v>207</v>
      </c>
      <c r="G150" s="206" t="s">
        <v>1174</v>
      </c>
      <c r="H150" s="205" t="s">
        <v>192</v>
      </c>
      <c r="I150" s="218" t="n">
        <v>45594</v>
      </c>
      <c r="J150" s="206" t="n">
        <v>10</v>
      </c>
      <c r="K150" s="206" t="s">
        <v>53</v>
      </c>
      <c r="L150" s="213" t="s">
        <v>1181</v>
      </c>
      <c r="M150" s="206" t="n">
        <f aca="false">I150-D150</f>
        <v>1180</v>
      </c>
    </row>
    <row r="151" customFormat="false" ht="15" hidden="false" customHeight="true" outlineLevel="0" collapsed="false">
      <c r="A151" s="210" t="s">
        <v>5209</v>
      </c>
      <c r="B151" s="211" t="s">
        <v>5210</v>
      </c>
      <c r="C151" s="211" t="n">
        <v>2019</v>
      </c>
      <c r="D151" s="212" t="n">
        <v>43710</v>
      </c>
      <c r="E151" s="213" t="s">
        <v>5211</v>
      </c>
      <c r="F151" s="213" t="s">
        <v>3844</v>
      </c>
      <c r="G151" s="214" t="s">
        <v>1174</v>
      </c>
      <c r="H151" s="214" t="s">
        <v>192</v>
      </c>
      <c r="I151" s="221" t="n">
        <v>45594</v>
      </c>
      <c r="J151" s="213" t="n">
        <v>10</v>
      </c>
      <c r="K151" s="213" t="s">
        <v>53</v>
      </c>
      <c r="L151" s="213" t="s">
        <v>1181</v>
      </c>
      <c r="M151" s="213" t="n">
        <f aca="false">I151-D151</f>
        <v>1884</v>
      </c>
    </row>
    <row r="152" customFormat="false" ht="15" hidden="false" customHeight="true" outlineLevel="0" collapsed="false">
      <c r="A152" s="203" t="s">
        <v>5212</v>
      </c>
      <c r="B152" s="193" t="s">
        <v>5213</v>
      </c>
      <c r="C152" s="193" t="n">
        <v>2020</v>
      </c>
      <c r="D152" s="204" t="n">
        <v>44063</v>
      </c>
      <c r="E152" s="205" t="s">
        <v>5214</v>
      </c>
      <c r="F152" s="206" t="s">
        <v>1068</v>
      </c>
      <c r="G152" s="206" t="s">
        <v>1174</v>
      </c>
      <c r="H152" s="205" t="s">
        <v>544</v>
      </c>
      <c r="I152" s="218" t="n">
        <v>45594</v>
      </c>
      <c r="J152" s="206" t="n">
        <v>10</v>
      </c>
      <c r="K152" s="206" t="s">
        <v>53</v>
      </c>
      <c r="L152" s="206" t="s">
        <v>1175</v>
      </c>
      <c r="M152" s="206" t="n">
        <f aca="false">I152-D152</f>
        <v>1531</v>
      </c>
    </row>
    <row r="153" customFormat="false" ht="15" hidden="false" customHeight="true" outlineLevel="0" collapsed="false">
      <c r="A153" s="210" t="s">
        <v>5215</v>
      </c>
      <c r="B153" s="211" t="s">
        <v>5216</v>
      </c>
      <c r="C153" s="211" t="n">
        <v>2020</v>
      </c>
      <c r="D153" s="212" t="n">
        <v>43917</v>
      </c>
      <c r="E153" s="213" t="s">
        <v>5217</v>
      </c>
      <c r="F153" s="213" t="s">
        <v>1068</v>
      </c>
      <c r="G153" s="214" t="s">
        <v>1174</v>
      </c>
      <c r="H153" s="214" t="s">
        <v>1231</v>
      </c>
      <c r="I153" s="221" t="n">
        <v>45594</v>
      </c>
      <c r="J153" s="213" t="n">
        <v>10</v>
      </c>
      <c r="K153" s="213" t="s">
        <v>53</v>
      </c>
      <c r="L153" s="206" t="s">
        <v>1175</v>
      </c>
      <c r="M153" s="213" t="n">
        <f aca="false">I153-D153</f>
        <v>1677</v>
      </c>
    </row>
    <row r="154" customFormat="false" ht="15" hidden="false" customHeight="true" outlineLevel="0" collapsed="false">
      <c r="A154" s="203" t="s">
        <v>5218</v>
      </c>
      <c r="B154" s="193" t="s">
        <v>5219</v>
      </c>
      <c r="C154" s="193" t="n">
        <v>2019</v>
      </c>
      <c r="D154" s="222" t="n">
        <v>43523</v>
      </c>
      <c r="E154" s="205" t="s">
        <v>5220</v>
      </c>
      <c r="F154" s="206" t="s">
        <v>1068</v>
      </c>
      <c r="G154" s="206" t="s">
        <v>1174</v>
      </c>
      <c r="H154" s="205" t="s">
        <v>1072</v>
      </c>
      <c r="I154" s="218" t="n">
        <v>45595</v>
      </c>
      <c r="J154" s="206" t="n">
        <v>10</v>
      </c>
      <c r="K154" s="206" t="s">
        <v>53</v>
      </c>
      <c r="L154" s="206" t="s">
        <v>1175</v>
      </c>
      <c r="M154" s="206" t="n">
        <f aca="false">I154-D154</f>
        <v>2072</v>
      </c>
    </row>
    <row r="155" customFormat="false" ht="15" hidden="false" customHeight="true" outlineLevel="0" collapsed="false">
      <c r="A155" s="210" t="s">
        <v>5221</v>
      </c>
      <c r="B155" s="211" t="s">
        <v>5222</v>
      </c>
      <c r="C155" s="211" t="n">
        <v>2018</v>
      </c>
      <c r="D155" s="215" t="n">
        <v>43291</v>
      </c>
      <c r="E155" s="213" t="s">
        <v>5223</v>
      </c>
      <c r="F155" s="213" t="s">
        <v>191</v>
      </c>
      <c r="G155" s="214" t="s">
        <v>1174</v>
      </c>
      <c r="H155" s="214" t="s">
        <v>254</v>
      </c>
      <c r="I155" s="221" t="n">
        <v>45595</v>
      </c>
      <c r="J155" s="213" t="n">
        <v>10</v>
      </c>
      <c r="K155" s="213" t="s">
        <v>53</v>
      </c>
      <c r="L155" s="213" t="s">
        <v>1181</v>
      </c>
      <c r="M155" s="213" t="n">
        <f aca="false">I155-D155</f>
        <v>2304</v>
      </c>
    </row>
    <row r="156" customFormat="false" ht="15" hidden="false" customHeight="true" outlineLevel="0" collapsed="false">
      <c r="A156" s="203" t="s">
        <v>5224</v>
      </c>
      <c r="B156" s="193" t="s">
        <v>5225</v>
      </c>
      <c r="C156" s="193" t="n">
        <v>2020</v>
      </c>
      <c r="D156" s="218" t="n">
        <v>44147</v>
      </c>
      <c r="E156" s="205" t="s">
        <v>5226</v>
      </c>
      <c r="F156" s="206" t="s">
        <v>2151</v>
      </c>
      <c r="G156" s="206" t="s">
        <v>1174</v>
      </c>
      <c r="H156" s="205" t="s">
        <v>243</v>
      </c>
      <c r="I156" s="218" t="n">
        <v>45595</v>
      </c>
      <c r="J156" s="206" t="n">
        <v>10</v>
      </c>
      <c r="K156" s="206" t="s">
        <v>53</v>
      </c>
      <c r="L156" s="213" t="s">
        <v>1181</v>
      </c>
      <c r="M156" s="206" t="n">
        <f aca="false">I156-D156</f>
        <v>1448</v>
      </c>
    </row>
    <row r="157" customFormat="false" ht="15" hidden="false" customHeight="true" outlineLevel="0" collapsed="false">
      <c r="A157" s="210" t="s">
        <v>5227</v>
      </c>
      <c r="B157" s="211" t="s">
        <v>5228</v>
      </c>
      <c r="C157" s="211" t="n">
        <v>2014</v>
      </c>
      <c r="D157" s="215" t="n">
        <v>41918</v>
      </c>
      <c r="E157" s="213" t="s">
        <v>5229</v>
      </c>
      <c r="F157" s="213" t="s">
        <v>138</v>
      </c>
      <c r="G157" s="214" t="s">
        <v>1174</v>
      </c>
      <c r="H157" s="214" t="s">
        <v>5230</v>
      </c>
      <c r="I157" s="221" t="n">
        <v>45595</v>
      </c>
      <c r="J157" s="213" t="n">
        <v>10</v>
      </c>
      <c r="K157" s="213" t="s">
        <v>53</v>
      </c>
      <c r="L157" s="206" t="s">
        <v>1175</v>
      </c>
      <c r="M157" s="213" t="n">
        <f aca="false">I157-D157</f>
        <v>3677</v>
      </c>
    </row>
    <row r="158" customFormat="false" ht="15" hidden="false" customHeight="true" outlineLevel="0" collapsed="false">
      <c r="A158" s="203" t="s">
        <v>5231</v>
      </c>
      <c r="B158" s="193" t="s">
        <v>5232</v>
      </c>
      <c r="C158" s="193" t="n">
        <v>2018</v>
      </c>
      <c r="D158" s="218" t="n">
        <v>43382</v>
      </c>
      <c r="E158" s="205" t="s">
        <v>5233</v>
      </c>
      <c r="F158" s="206" t="s">
        <v>1068</v>
      </c>
      <c r="G158" s="206" t="s">
        <v>1174</v>
      </c>
      <c r="H158" s="205" t="s">
        <v>267</v>
      </c>
      <c r="I158" s="218" t="n">
        <v>45596</v>
      </c>
      <c r="J158" s="206" t="n">
        <v>10</v>
      </c>
      <c r="K158" s="206" t="s">
        <v>53</v>
      </c>
      <c r="L158" s="206" t="s">
        <v>1175</v>
      </c>
      <c r="M158" s="206" t="n">
        <f aca="false">I158-D158</f>
        <v>2214</v>
      </c>
    </row>
    <row r="159" customFormat="false" ht="15" hidden="false" customHeight="true" outlineLevel="0" collapsed="false">
      <c r="A159" s="210" t="s">
        <v>5234</v>
      </c>
      <c r="B159" s="211" t="s">
        <v>5235</v>
      </c>
      <c r="C159" s="211" t="n">
        <v>2024</v>
      </c>
      <c r="D159" s="212" t="n">
        <v>45314</v>
      </c>
      <c r="E159" s="213" t="s">
        <v>5236</v>
      </c>
      <c r="F159" s="213" t="s">
        <v>1068</v>
      </c>
      <c r="G159" s="214" t="s">
        <v>1174</v>
      </c>
      <c r="H159" s="214" t="s">
        <v>5237</v>
      </c>
      <c r="I159" s="221" t="n">
        <v>45596</v>
      </c>
      <c r="J159" s="213" t="n">
        <v>10</v>
      </c>
      <c r="K159" s="213" t="s">
        <v>53</v>
      </c>
      <c r="L159" s="206" t="s">
        <v>1175</v>
      </c>
      <c r="M159" s="213" t="n">
        <f aca="false">I159-D159</f>
        <v>282</v>
      </c>
    </row>
    <row r="160" customFormat="false" ht="15" hidden="false" customHeight="true" outlineLevel="0" collapsed="false">
      <c r="A160" s="203" t="s">
        <v>5238</v>
      </c>
      <c r="B160" s="193" t="s">
        <v>5239</v>
      </c>
      <c r="C160" s="193" t="n">
        <v>2023</v>
      </c>
      <c r="D160" s="207" t="n">
        <v>45247</v>
      </c>
      <c r="E160" s="205" t="s">
        <v>5240</v>
      </c>
      <c r="F160" s="206" t="s">
        <v>5241</v>
      </c>
      <c r="G160" s="206" t="s">
        <v>1174</v>
      </c>
      <c r="H160" s="205" t="s">
        <v>1501</v>
      </c>
      <c r="I160" s="218" t="n">
        <v>45596</v>
      </c>
      <c r="J160" s="206" t="n">
        <v>10</v>
      </c>
      <c r="K160" s="206" t="s">
        <v>53</v>
      </c>
      <c r="L160" s="206" t="s">
        <v>1175</v>
      </c>
      <c r="M160" s="206" t="n">
        <f aca="false">I160-D160</f>
        <v>349</v>
      </c>
    </row>
    <row r="161" customFormat="false" ht="15" hidden="false" customHeight="true" outlineLevel="0" collapsed="false">
      <c r="A161" s="210" t="s">
        <v>5242</v>
      </c>
      <c r="B161" s="211" t="s">
        <v>5243</v>
      </c>
      <c r="C161" s="211" t="n">
        <v>2021</v>
      </c>
      <c r="D161" s="212" t="n">
        <v>44355</v>
      </c>
      <c r="E161" s="213" t="s">
        <v>5244</v>
      </c>
      <c r="F161" s="213" t="s">
        <v>1028</v>
      </c>
      <c r="G161" s="214" t="s">
        <v>1174</v>
      </c>
      <c r="H161" s="214" t="s">
        <v>471</v>
      </c>
      <c r="I161" s="221" t="n">
        <v>45596</v>
      </c>
      <c r="J161" s="213" t="n">
        <v>10</v>
      </c>
      <c r="K161" s="213" t="s">
        <v>53</v>
      </c>
      <c r="L161" s="206" t="s">
        <v>1175</v>
      </c>
      <c r="M161" s="213" t="n">
        <f aca="false">I161-D161</f>
        <v>1241</v>
      </c>
    </row>
    <row r="162" customFormat="false" ht="15" hidden="false" customHeight="true" outlineLevel="0" collapsed="false">
      <c r="A162" s="203" t="s">
        <v>5245</v>
      </c>
      <c r="B162" s="193" t="s">
        <v>5246</v>
      </c>
      <c r="C162" s="193" t="n">
        <v>2024</v>
      </c>
      <c r="D162" s="204" t="n">
        <v>45387</v>
      </c>
      <c r="E162" s="205" t="s">
        <v>5247</v>
      </c>
      <c r="F162" s="206" t="s">
        <v>207</v>
      </c>
      <c r="G162" s="206" t="s">
        <v>1174</v>
      </c>
      <c r="H162" s="205" t="s">
        <v>522</v>
      </c>
      <c r="I162" s="218" t="n">
        <v>45596</v>
      </c>
      <c r="J162" s="206" t="n">
        <v>10</v>
      </c>
      <c r="K162" s="206" t="s">
        <v>53</v>
      </c>
      <c r="L162" s="213" t="s">
        <v>1181</v>
      </c>
      <c r="M162" s="206" t="n">
        <f aca="false">I162-D162</f>
        <v>209</v>
      </c>
    </row>
    <row r="163" customFormat="false" ht="15" hidden="false" customHeight="true" outlineLevel="0" collapsed="false">
      <c r="A163" s="210" t="s">
        <v>5248</v>
      </c>
      <c r="B163" s="211" t="s">
        <v>5249</v>
      </c>
      <c r="C163" s="211" t="n">
        <v>2020</v>
      </c>
      <c r="D163" s="225" t="n">
        <v>44133</v>
      </c>
      <c r="E163" s="213" t="s">
        <v>5250</v>
      </c>
      <c r="F163" s="213" t="s">
        <v>1068</v>
      </c>
      <c r="G163" s="214" t="s">
        <v>1174</v>
      </c>
      <c r="H163" s="214" t="s">
        <v>354</v>
      </c>
      <c r="I163" s="221" t="n">
        <v>45596</v>
      </c>
      <c r="J163" s="213" t="n">
        <v>10</v>
      </c>
      <c r="K163" s="213" t="s">
        <v>53</v>
      </c>
      <c r="L163" s="206" t="s">
        <v>1175</v>
      </c>
      <c r="M163" s="213" t="n">
        <f aca="false">I163-D163</f>
        <v>1463</v>
      </c>
    </row>
    <row r="164" customFormat="false" ht="15" hidden="false" customHeight="true" outlineLevel="0" collapsed="false">
      <c r="A164" s="203" t="s">
        <v>5251</v>
      </c>
      <c r="B164" s="193" t="s">
        <v>5252</v>
      </c>
      <c r="C164" s="193" t="n">
        <v>2020</v>
      </c>
      <c r="D164" s="218" t="n">
        <v>44140</v>
      </c>
      <c r="E164" s="205" t="s">
        <v>5253</v>
      </c>
      <c r="F164" s="206" t="s">
        <v>1068</v>
      </c>
      <c r="G164" s="206" t="s">
        <v>1174</v>
      </c>
      <c r="H164" s="205" t="s">
        <v>192</v>
      </c>
      <c r="I164" s="218" t="n">
        <v>45596</v>
      </c>
      <c r="J164" s="206" t="n">
        <v>10</v>
      </c>
      <c r="K164" s="206" t="s">
        <v>53</v>
      </c>
      <c r="L164" s="206" t="s">
        <v>1175</v>
      </c>
      <c r="M164" s="206" t="n">
        <f aca="false">I164-D164</f>
        <v>1456</v>
      </c>
    </row>
    <row r="165" customFormat="false" ht="15" hidden="false" customHeight="true" outlineLevel="0" collapsed="false">
      <c r="A165" s="210" t="s">
        <v>5254</v>
      </c>
      <c r="B165" s="211" t="s">
        <v>5255</v>
      </c>
      <c r="C165" s="211" t="n">
        <v>2020</v>
      </c>
      <c r="D165" s="212" t="n">
        <v>43858</v>
      </c>
      <c r="E165" s="213" t="s">
        <v>5256</v>
      </c>
      <c r="F165" s="213" t="s">
        <v>1068</v>
      </c>
      <c r="G165" s="214" t="s">
        <v>1174</v>
      </c>
      <c r="H165" s="214" t="s">
        <v>522</v>
      </c>
      <c r="I165" s="221" t="n">
        <v>45596</v>
      </c>
      <c r="J165" s="213" t="n">
        <v>10</v>
      </c>
      <c r="K165" s="213" t="s">
        <v>53</v>
      </c>
      <c r="L165" s="206" t="s">
        <v>1175</v>
      </c>
      <c r="M165" s="213" t="n">
        <f aca="false">I165-D165</f>
        <v>1738</v>
      </c>
    </row>
    <row r="166" customFormat="false" ht="15" hidden="false" customHeight="true" outlineLevel="0" collapsed="false">
      <c r="A166" s="203" t="s">
        <v>5257</v>
      </c>
      <c r="B166" s="193" t="s">
        <v>5258</v>
      </c>
      <c r="C166" s="193" t="n">
        <v>2023</v>
      </c>
      <c r="D166" s="218" t="n">
        <v>45020</v>
      </c>
      <c r="E166" s="205" t="s">
        <v>5259</v>
      </c>
      <c r="F166" s="206" t="s">
        <v>1068</v>
      </c>
      <c r="G166" s="206" t="s">
        <v>1174</v>
      </c>
      <c r="H166" s="205" t="s">
        <v>522</v>
      </c>
      <c r="I166" s="207" t="n">
        <v>45596</v>
      </c>
      <c r="J166" s="206" t="n">
        <v>10</v>
      </c>
      <c r="K166" s="206" t="s">
        <v>53</v>
      </c>
      <c r="L166" s="206" t="s">
        <v>1175</v>
      </c>
      <c r="M166" s="206" t="n">
        <f aca="false">I166-D166</f>
        <v>576</v>
      </c>
    </row>
    <row r="167" customFormat="false" ht="15" hidden="false" customHeight="true" outlineLevel="0" collapsed="false">
      <c r="A167" s="210" t="s">
        <v>5260</v>
      </c>
      <c r="B167" s="211" t="s">
        <v>5261</v>
      </c>
      <c r="C167" s="211" t="n">
        <v>2019</v>
      </c>
      <c r="D167" s="225" t="n">
        <v>43503</v>
      </c>
      <c r="E167" s="213" t="s">
        <v>5262</v>
      </c>
      <c r="F167" s="213" t="s">
        <v>823</v>
      </c>
      <c r="G167" s="214" t="s">
        <v>1174</v>
      </c>
      <c r="H167" s="214" t="s">
        <v>5263</v>
      </c>
      <c r="I167" s="225" t="n">
        <v>45597</v>
      </c>
      <c r="J167" s="213" t="n">
        <v>11</v>
      </c>
      <c r="K167" s="213" t="s">
        <v>53</v>
      </c>
      <c r="L167" s="213" t="s">
        <v>1181</v>
      </c>
      <c r="M167" s="213" t="n">
        <f aca="false">I167-D167</f>
        <v>2094</v>
      </c>
    </row>
    <row r="168" customFormat="false" ht="15" hidden="false" customHeight="true" outlineLevel="0" collapsed="false">
      <c r="A168" s="203" t="s">
        <v>5264</v>
      </c>
      <c r="B168" s="193" t="s">
        <v>5265</v>
      </c>
      <c r="C168" s="193" t="n">
        <v>2022</v>
      </c>
      <c r="D168" s="204" t="n">
        <v>44897</v>
      </c>
      <c r="E168" s="205" t="s">
        <v>5266</v>
      </c>
      <c r="F168" s="206" t="s">
        <v>207</v>
      </c>
      <c r="G168" s="206" t="s">
        <v>1174</v>
      </c>
      <c r="H168" s="205" t="s">
        <v>532</v>
      </c>
      <c r="I168" s="207" t="n">
        <v>45597</v>
      </c>
      <c r="J168" s="206" t="n">
        <v>11</v>
      </c>
      <c r="K168" s="206" t="s">
        <v>53</v>
      </c>
      <c r="L168" s="213" t="s">
        <v>1181</v>
      </c>
      <c r="M168" s="206" t="n">
        <f aca="false">I168-D168</f>
        <v>700</v>
      </c>
    </row>
    <row r="169" customFormat="false" ht="15" hidden="false" customHeight="true" outlineLevel="0" collapsed="false">
      <c r="A169" s="210" t="s">
        <v>5267</v>
      </c>
      <c r="B169" s="211" t="s">
        <v>5268</v>
      </c>
      <c r="C169" s="211" t="n">
        <v>2019</v>
      </c>
      <c r="D169" s="225" t="n">
        <v>43756</v>
      </c>
      <c r="E169" s="213" t="s">
        <v>5269</v>
      </c>
      <c r="F169" s="213" t="s">
        <v>1373</v>
      </c>
      <c r="G169" s="214" t="s">
        <v>1174</v>
      </c>
      <c r="H169" s="214" t="s">
        <v>1288</v>
      </c>
      <c r="I169" s="225" t="n">
        <v>45597</v>
      </c>
      <c r="J169" s="213" t="n">
        <v>11</v>
      </c>
      <c r="K169" s="213" t="s">
        <v>53</v>
      </c>
      <c r="L169" s="206" t="s">
        <v>1175</v>
      </c>
      <c r="M169" s="213" t="n">
        <f aca="false">I169-D169</f>
        <v>1841</v>
      </c>
    </row>
    <row r="170" customFormat="false" ht="15" hidden="false" customHeight="true" outlineLevel="0" collapsed="false">
      <c r="A170" s="203" t="s">
        <v>5270</v>
      </c>
      <c r="B170" s="193" t="s">
        <v>5271</v>
      </c>
      <c r="C170" s="193" t="n">
        <v>2019</v>
      </c>
      <c r="D170" s="207" t="n">
        <v>43819</v>
      </c>
      <c r="E170" s="205" t="s">
        <v>5272</v>
      </c>
      <c r="F170" s="206" t="s">
        <v>138</v>
      </c>
      <c r="G170" s="206" t="s">
        <v>1174</v>
      </c>
      <c r="H170" s="205" t="s">
        <v>544</v>
      </c>
      <c r="I170" s="207" t="n">
        <v>45597</v>
      </c>
      <c r="J170" s="206" t="n">
        <v>11</v>
      </c>
      <c r="K170" s="206" t="s">
        <v>53</v>
      </c>
      <c r="L170" s="206" t="s">
        <v>1175</v>
      </c>
      <c r="M170" s="206" t="n">
        <f aca="false">I170-D170</f>
        <v>1778</v>
      </c>
    </row>
    <row r="171" customFormat="false" ht="15" hidden="false" customHeight="true" outlineLevel="0" collapsed="false">
      <c r="A171" s="210" t="s">
        <v>5273</v>
      </c>
      <c r="B171" s="211" t="s">
        <v>5274</v>
      </c>
      <c r="C171" s="211" t="n">
        <v>2020</v>
      </c>
      <c r="D171" s="225" t="n">
        <v>44062</v>
      </c>
      <c r="E171" s="213" t="s">
        <v>5275</v>
      </c>
      <c r="F171" s="213" t="s">
        <v>138</v>
      </c>
      <c r="G171" s="214" t="s">
        <v>1174</v>
      </c>
      <c r="H171" s="214" t="s">
        <v>267</v>
      </c>
      <c r="I171" s="225" t="n">
        <v>45597</v>
      </c>
      <c r="J171" s="213" t="n">
        <v>11</v>
      </c>
      <c r="K171" s="213" t="s">
        <v>53</v>
      </c>
      <c r="L171" s="206" t="s">
        <v>1175</v>
      </c>
      <c r="M171" s="213" t="n">
        <f aca="false">I171-D171</f>
        <v>1535</v>
      </c>
    </row>
    <row r="172" customFormat="false" ht="15" hidden="false" customHeight="true" outlineLevel="0" collapsed="false">
      <c r="A172" s="203" t="s">
        <v>5276</v>
      </c>
      <c r="B172" s="193" t="s">
        <v>5277</v>
      </c>
      <c r="C172" s="193" t="n">
        <v>2020</v>
      </c>
      <c r="D172" s="207" t="n">
        <v>43969</v>
      </c>
      <c r="E172" s="205" t="s">
        <v>5278</v>
      </c>
      <c r="F172" s="206" t="s">
        <v>823</v>
      </c>
      <c r="G172" s="206" t="s">
        <v>1174</v>
      </c>
      <c r="H172" s="205" t="s">
        <v>1231</v>
      </c>
      <c r="I172" s="207" t="n">
        <v>45597</v>
      </c>
      <c r="J172" s="206" t="n">
        <v>11</v>
      </c>
      <c r="K172" s="206" t="s">
        <v>53</v>
      </c>
      <c r="L172" s="213" t="s">
        <v>1181</v>
      </c>
      <c r="M172" s="206" t="n">
        <f aca="false">I172-D172</f>
        <v>1628</v>
      </c>
    </row>
    <row r="173" customFormat="false" ht="15" hidden="false" customHeight="true" outlineLevel="0" collapsed="false">
      <c r="A173" s="210" t="s">
        <v>5279</v>
      </c>
      <c r="B173" s="211" t="s">
        <v>5280</v>
      </c>
      <c r="C173" s="211" t="n">
        <v>2017</v>
      </c>
      <c r="D173" s="212" t="n">
        <v>42948</v>
      </c>
      <c r="E173" s="213" t="s">
        <v>5281</v>
      </c>
      <c r="F173" s="213" t="s">
        <v>5282</v>
      </c>
      <c r="G173" s="214" t="s">
        <v>1174</v>
      </c>
      <c r="H173" s="214" t="s">
        <v>596</v>
      </c>
      <c r="I173" s="225" t="n">
        <v>45597</v>
      </c>
      <c r="J173" s="213" t="n">
        <v>11</v>
      </c>
      <c r="K173" s="213" t="s">
        <v>53</v>
      </c>
      <c r="L173" s="213" t="s">
        <v>1181</v>
      </c>
      <c r="M173" s="213" t="n">
        <f aca="false">I173-D173</f>
        <v>2649</v>
      </c>
    </row>
    <row r="174" customFormat="false" ht="12.75" hidden="false" customHeight="true" outlineLevel="0" collapsed="false">
      <c r="A174" s="203" t="s">
        <v>5283</v>
      </c>
      <c r="B174" s="193" t="s">
        <v>5284</v>
      </c>
      <c r="C174" s="193" t="n">
        <v>2019</v>
      </c>
      <c r="D174" s="207" t="n">
        <v>43571</v>
      </c>
      <c r="E174" s="205" t="s">
        <v>5285</v>
      </c>
      <c r="F174" s="206" t="s">
        <v>207</v>
      </c>
      <c r="G174" s="206" t="s">
        <v>1174</v>
      </c>
      <c r="H174" s="205" t="s">
        <v>5263</v>
      </c>
      <c r="I174" s="207" t="n">
        <v>45609</v>
      </c>
      <c r="J174" s="206" t="n">
        <v>11</v>
      </c>
      <c r="K174" s="206" t="s">
        <v>53</v>
      </c>
      <c r="L174" s="213" t="s">
        <v>1181</v>
      </c>
      <c r="M174" s="206" t="n">
        <f aca="false">I174-D174</f>
        <v>2038</v>
      </c>
    </row>
    <row r="175" customFormat="false" ht="12.75" hidden="false" customHeight="true" outlineLevel="0" collapsed="false">
      <c r="A175" s="210" t="s">
        <v>5286</v>
      </c>
      <c r="B175" s="211" t="s">
        <v>5287</v>
      </c>
      <c r="C175" s="211" t="n">
        <v>2018</v>
      </c>
      <c r="D175" s="225" t="n">
        <v>43455</v>
      </c>
      <c r="E175" s="213" t="s">
        <v>5288</v>
      </c>
      <c r="F175" s="213" t="s">
        <v>1312</v>
      </c>
      <c r="G175" s="214" t="s">
        <v>1174</v>
      </c>
      <c r="H175" s="214" t="s">
        <v>267</v>
      </c>
      <c r="I175" s="225" t="n">
        <v>45609</v>
      </c>
      <c r="J175" s="213" t="n">
        <v>11</v>
      </c>
      <c r="K175" s="213" t="s">
        <v>53</v>
      </c>
      <c r="L175" s="206" t="s">
        <v>1175</v>
      </c>
      <c r="M175" s="213" t="n">
        <f aca="false">I175-D175</f>
        <v>2154</v>
      </c>
    </row>
    <row r="176" customFormat="false" ht="12.75" hidden="false" customHeight="true" outlineLevel="0" collapsed="false">
      <c r="A176" s="203" t="s">
        <v>5289</v>
      </c>
      <c r="B176" s="193" t="s">
        <v>5290</v>
      </c>
      <c r="C176" s="193" t="n">
        <v>2023</v>
      </c>
      <c r="D176" s="207" t="n">
        <v>45209</v>
      </c>
      <c r="E176" s="205" t="s">
        <v>5291</v>
      </c>
      <c r="F176" s="206" t="s">
        <v>207</v>
      </c>
      <c r="G176" s="206" t="s">
        <v>1174</v>
      </c>
      <c r="H176" s="205" t="s">
        <v>1223</v>
      </c>
      <c r="I176" s="207" t="n">
        <v>45609</v>
      </c>
      <c r="J176" s="206" t="n">
        <v>11</v>
      </c>
      <c r="K176" s="206" t="s">
        <v>53</v>
      </c>
      <c r="L176" s="213" t="s">
        <v>1181</v>
      </c>
      <c r="M176" s="206" t="n">
        <f aca="false">I176-D176</f>
        <v>400</v>
      </c>
    </row>
    <row r="177" customFormat="false" ht="12.75" hidden="false" customHeight="true" outlineLevel="0" collapsed="false">
      <c r="A177" s="210" t="s">
        <v>5292</v>
      </c>
      <c r="B177" s="211" t="s">
        <v>5293</v>
      </c>
      <c r="C177" s="211" t="n">
        <v>2020</v>
      </c>
      <c r="D177" s="225" t="n">
        <v>44084</v>
      </c>
      <c r="E177" s="213" t="s">
        <v>5294</v>
      </c>
      <c r="F177" s="213" t="s">
        <v>207</v>
      </c>
      <c r="G177" s="214" t="s">
        <v>1174</v>
      </c>
      <c r="H177" s="214" t="s">
        <v>267</v>
      </c>
      <c r="I177" s="225" t="n">
        <v>45609</v>
      </c>
      <c r="J177" s="213" t="n">
        <v>11</v>
      </c>
      <c r="K177" s="213" t="s">
        <v>53</v>
      </c>
      <c r="L177" s="213" t="s">
        <v>1181</v>
      </c>
      <c r="M177" s="213" t="n">
        <f aca="false">I177-D177</f>
        <v>1525</v>
      </c>
    </row>
    <row r="178" customFormat="false" ht="12.75" hidden="false" customHeight="true" outlineLevel="0" collapsed="false">
      <c r="A178" s="203" t="s">
        <v>5295</v>
      </c>
      <c r="B178" s="193" t="s">
        <v>5296</v>
      </c>
      <c r="C178" s="193" t="n">
        <v>2017</v>
      </c>
      <c r="D178" s="259" t="n">
        <v>43042</v>
      </c>
      <c r="E178" s="205" t="s">
        <v>5297</v>
      </c>
      <c r="F178" s="206" t="s">
        <v>207</v>
      </c>
      <c r="G178" s="206" t="s">
        <v>1174</v>
      </c>
      <c r="H178" s="205" t="s">
        <v>263</v>
      </c>
      <c r="I178" s="207" t="n">
        <v>45609</v>
      </c>
      <c r="J178" s="206" t="n">
        <v>11</v>
      </c>
      <c r="K178" s="206" t="s">
        <v>53</v>
      </c>
      <c r="L178" s="213" t="s">
        <v>1181</v>
      </c>
      <c r="M178" s="206" t="n">
        <f aca="false">I178-D178</f>
        <v>2567</v>
      </c>
    </row>
    <row r="179" customFormat="false" ht="15" hidden="false" customHeight="true" outlineLevel="0" collapsed="false">
      <c r="A179" s="210" t="s">
        <v>5298</v>
      </c>
      <c r="B179" s="211" t="s">
        <v>5299</v>
      </c>
      <c r="C179" s="211" t="n">
        <v>2015</v>
      </c>
      <c r="D179" s="260" t="n">
        <v>42326</v>
      </c>
      <c r="E179" s="213" t="s">
        <v>5300</v>
      </c>
      <c r="F179" s="213" t="s">
        <v>1312</v>
      </c>
      <c r="G179" s="214" t="s">
        <v>1174</v>
      </c>
      <c r="H179" s="214" t="s">
        <v>354</v>
      </c>
      <c r="I179" s="225" t="n">
        <v>45609</v>
      </c>
      <c r="J179" s="213" t="n">
        <v>11</v>
      </c>
      <c r="K179" s="213" t="s">
        <v>53</v>
      </c>
      <c r="L179" s="206" t="s">
        <v>1175</v>
      </c>
      <c r="M179" s="213" t="n">
        <f aca="false">I179-D179</f>
        <v>3283</v>
      </c>
    </row>
    <row r="180" customFormat="false" ht="15" hidden="false" customHeight="true" outlineLevel="0" collapsed="false">
      <c r="A180" s="203" t="s">
        <v>5301</v>
      </c>
      <c r="B180" s="193" t="s">
        <v>5302</v>
      </c>
      <c r="C180" s="193" t="n">
        <v>2020</v>
      </c>
      <c r="D180" s="207" t="n">
        <v>43888</v>
      </c>
      <c r="E180" s="205" t="s">
        <v>5303</v>
      </c>
      <c r="F180" s="206" t="s">
        <v>207</v>
      </c>
      <c r="G180" s="206" t="s">
        <v>1174</v>
      </c>
      <c r="H180" s="205" t="s">
        <v>354</v>
      </c>
      <c r="I180" s="207" t="n">
        <v>45609</v>
      </c>
      <c r="J180" s="206" t="n">
        <v>11</v>
      </c>
      <c r="K180" s="206" t="s">
        <v>53</v>
      </c>
      <c r="L180" s="213" t="s">
        <v>1181</v>
      </c>
      <c r="M180" s="206" t="n">
        <f aca="false">I180-D180</f>
        <v>1721</v>
      </c>
    </row>
    <row r="181" customFormat="false" ht="12.75" hidden="false" customHeight="true" outlineLevel="0" collapsed="false">
      <c r="A181" s="210" t="s">
        <v>5304</v>
      </c>
      <c r="B181" s="211" t="s">
        <v>5305</v>
      </c>
      <c r="C181" s="211" t="n">
        <v>2022</v>
      </c>
      <c r="D181" s="260" t="n">
        <v>44741</v>
      </c>
      <c r="E181" s="213" t="s">
        <v>5306</v>
      </c>
      <c r="F181" s="213" t="s">
        <v>207</v>
      </c>
      <c r="G181" s="214" t="s">
        <v>1174</v>
      </c>
      <c r="H181" s="214" t="s">
        <v>1059</v>
      </c>
      <c r="I181" s="225" t="n">
        <v>45610</v>
      </c>
      <c r="J181" s="213" t="n">
        <v>11</v>
      </c>
      <c r="K181" s="213" t="s">
        <v>53</v>
      </c>
      <c r="L181" s="213" t="s">
        <v>1181</v>
      </c>
      <c r="M181" s="213" t="n">
        <f aca="false">I181-D181</f>
        <v>869</v>
      </c>
    </row>
    <row r="182" customFormat="false" ht="12.75" hidden="false" customHeight="true" outlineLevel="0" collapsed="false">
      <c r="A182" s="203" t="s">
        <v>5307</v>
      </c>
      <c r="B182" s="193" t="s">
        <v>5308</v>
      </c>
      <c r="C182" s="193" t="n">
        <v>2016</v>
      </c>
      <c r="D182" s="259" t="n">
        <v>42612</v>
      </c>
      <c r="E182" s="205" t="s">
        <v>5309</v>
      </c>
      <c r="F182" s="206" t="s">
        <v>207</v>
      </c>
      <c r="G182" s="206" t="s">
        <v>1174</v>
      </c>
      <c r="H182" s="205" t="s">
        <v>192</v>
      </c>
      <c r="I182" s="207" t="n">
        <v>45610</v>
      </c>
      <c r="J182" s="206" t="n">
        <v>11</v>
      </c>
      <c r="K182" s="206" t="s">
        <v>53</v>
      </c>
      <c r="L182" s="213" t="s">
        <v>1181</v>
      </c>
      <c r="M182" s="206" t="n">
        <f aca="false">I182-D182</f>
        <v>2998</v>
      </c>
    </row>
    <row r="183" customFormat="false" ht="12.75" hidden="false" customHeight="true" outlineLevel="0" collapsed="false">
      <c r="A183" s="210" t="s">
        <v>5310</v>
      </c>
      <c r="B183" s="211" t="s">
        <v>5311</v>
      </c>
      <c r="C183" s="211" t="n">
        <v>2021</v>
      </c>
      <c r="D183" s="260" t="n">
        <v>44547</v>
      </c>
      <c r="E183" s="213" t="s">
        <v>5312</v>
      </c>
      <c r="F183" s="213" t="s">
        <v>333</v>
      </c>
      <c r="G183" s="214" t="s">
        <v>1174</v>
      </c>
      <c r="H183" s="214" t="s">
        <v>471</v>
      </c>
      <c r="I183" s="225" t="n">
        <v>45610</v>
      </c>
      <c r="J183" s="213" t="n">
        <v>11</v>
      </c>
      <c r="K183" s="213" t="s">
        <v>53</v>
      </c>
      <c r="L183" s="206" t="s">
        <v>1175</v>
      </c>
      <c r="M183" s="213" t="n">
        <f aca="false">I183-D183</f>
        <v>1063</v>
      </c>
    </row>
    <row r="184" customFormat="false" ht="12.75" hidden="false" customHeight="true" outlineLevel="0" collapsed="false">
      <c r="A184" s="203" t="s">
        <v>5313</v>
      </c>
      <c r="B184" s="193" t="s">
        <v>5314</v>
      </c>
      <c r="C184" s="193" t="n">
        <v>2018</v>
      </c>
      <c r="D184" s="259" t="n">
        <v>43360</v>
      </c>
      <c r="E184" s="205" t="s">
        <v>5315</v>
      </c>
      <c r="F184" s="206" t="s">
        <v>449</v>
      </c>
      <c r="G184" s="206" t="s">
        <v>1174</v>
      </c>
      <c r="H184" s="205" t="s">
        <v>1244</v>
      </c>
      <c r="I184" s="207" t="n">
        <v>45610</v>
      </c>
      <c r="J184" s="206" t="n">
        <v>11</v>
      </c>
      <c r="K184" s="206" t="s">
        <v>53</v>
      </c>
      <c r="L184" s="213" t="s">
        <v>1181</v>
      </c>
      <c r="M184" s="206" t="n">
        <f aca="false">I184-D184</f>
        <v>2250</v>
      </c>
    </row>
    <row r="185" customFormat="false" ht="12.75" hidden="false" customHeight="true" outlineLevel="0" collapsed="false">
      <c r="A185" s="210" t="s">
        <v>5316</v>
      </c>
      <c r="B185" s="211" t="s">
        <v>5317</v>
      </c>
      <c r="C185" s="211" t="n">
        <v>2024</v>
      </c>
      <c r="D185" s="260" t="n">
        <v>45429</v>
      </c>
      <c r="E185" s="213" t="s">
        <v>5318</v>
      </c>
      <c r="F185" s="213" t="s">
        <v>823</v>
      </c>
      <c r="G185" s="214" t="s">
        <v>1174</v>
      </c>
      <c r="H185" s="214" t="s">
        <v>1223</v>
      </c>
      <c r="I185" s="225" t="n">
        <v>45610</v>
      </c>
      <c r="J185" s="213" t="n">
        <v>11</v>
      </c>
      <c r="K185" s="213" t="s">
        <v>53</v>
      </c>
      <c r="L185" s="213" t="s">
        <v>1181</v>
      </c>
      <c r="M185" s="213" t="n">
        <f aca="false">I185-D185</f>
        <v>181</v>
      </c>
    </row>
    <row r="186" customFormat="false" ht="12.75" hidden="false" customHeight="true" outlineLevel="0" collapsed="false">
      <c r="A186" s="203" t="s">
        <v>5319</v>
      </c>
      <c r="B186" s="193" t="s">
        <v>5320</v>
      </c>
      <c r="C186" s="193" t="n">
        <v>2020</v>
      </c>
      <c r="D186" s="259" t="n">
        <v>44018</v>
      </c>
      <c r="E186" s="205" t="s">
        <v>5321</v>
      </c>
      <c r="F186" s="206" t="s">
        <v>1357</v>
      </c>
      <c r="G186" s="206" t="s">
        <v>1174</v>
      </c>
      <c r="H186" s="205" t="s">
        <v>1258</v>
      </c>
      <c r="I186" s="207" t="n">
        <v>45610</v>
      </c>
      <c r="J186" s="206" t="n">
        <v>11</v>
      </c>
      <c r="K186" s="206" t="s">
        <v>53</v>
      </c>
      <c r="L186" s="206" t="s">
        <v>1175</v>
      </c>
      <c r="M186" s="206" t="n">
        <f aca="false">I186-D186</f>
        <v>1592</v>
      </c>
    </row>
    <row r="187" customFormat="false" ht="15.75" hidden="false" customHeight="true" outlineLevel="0" collapsed="false">
      <c r="A187" s="210" t="s">
        <v>5322</v>
      </c>
      <c r="B187" s="211" t="s">
        <v>5323</v>
      </c>
      <c r="C187" s="211" t="n">
        <v>2019</v>
      </c>
      <c r="D187" s="260" t="n">
        <v>43798</v>
      </c>
      <c r="E187" s="213" t="s">
        <v>5324</v>
      </c>
      <c r="F187" s="213" t="s">
        <v>1200</v>
      </c>
      <c r="G187" s="214" t="s">
        <v>1174</v>
      </c>
      <c r="H187" s="214" t="s">
        <v>354</v>
      </c>
      <c r="I187" s="225" t="n">
        <v>45610</v>
      </c>
      <c r="J187" s="213" t="n">
        <v>11</v>
      </c>
      <c r="K187" s="213" t="s">
        <v>53</v>
      </c>
      <c r="L187" s="213" t="s">
        <v>1181</v>
      </c>
      <c r="M187" s="213" t="n">
        <f aca="false">I187-D187</f>
        <v>1812</v>
      </c>
    </row>
    <row r="188" customFormat="false" ht="12.75" hidden="false" customHeight="true" outlineLevel="0" collapsed="false">
      <c r="A188" s="203" t="s">
        <v>5325</v>
      </c>
      <c r="B188" s="193" t="s">
        <v>5326</v>
      </c>
      <c r="C188" s="193" t="n">
        <v>2014</v>
      </c>
      <c r="D188" s="259" t="n">
        <v>41974</v>
      </c>
      <c r="E188" s="205" t="s">
        <v>5327</v>
      </c>
      <c r="F188" s="206" t="s">
        <v>2202</v>
      </c>
      <c r="G188" s="206" t="s">
        <v>1174</v>
      </c>
      <c r="H188" s="205" t="s">
        <v>184</v>
      </c>
      <c r="I188" s="207" t="n">
        <v>45610</v>
      </c>
      <c r="J188" s="206" t="n">
        <v>11</v>
      </c>
      <c r="K188" s="206" t="s">
        <v>53</v>
      </c>
      <c r="L188" s="213" t="s">
        <v>1181</v>
      </c>
      <c r="M188" s="206" t="n">
        <f aca="false">I188-D188</f>
        <v>3636</v>
      </c>
    </row>
    <row r="189" customFormat="false" ht="12.75" hidden="false" customHeight="true" outlineLevel="0" collapsed="false">
      <c r="A189" s="210" t="s">
        <v>5328</v>
      </c>
      <c r="B189" s="211" t="s">
        <v>5329</v>
      </c>
      <c r="C189" s="211" t="n">
        <v>2019</v>
      </c>
      <c r="D189" s="260" t="n">
        <v>43818</v>
      </c>
      <c r="E189" s="213" t="s">
        <v>5330</v>
      </c>
      <c r="F189" s="213" t="s">
        <v>477</v>
      </c>
      <c r="G189" s="214" t="s">
        <v>1174</v>
      </c>
      <c r="H189" s="214" t="s">
        <v>471</v>
      </c>
      <c r="I189" s="221" t="n">
        <v>45638</v>
      </c>
      <c r="J189" s="213" t="n">
        <v>12</v>
      </c>
      <c r="K189" s="213" t="s">
        <v>53</v>
      </c>
      <c r="L189" s="213" t="s">
        <v>1181</v>
      </c>
      <c r="M189" s="213" t="n">
        <f aca="false">I189-D189</f>
        <v>1820</v>
      </c>
    </row>
    <row r="190" customFormat="false" ht="12.75" hidden="false" customHeight="true" outlineLevel="0" collapsed="false">
      <c r="A190" s="203" t="s">
        <v>5331</v>
      </c>
      <c r="B190" s="193" t="s">
        <v>5332</v>
      </c>
      <c r="C190" s="193" t="n">
        <v>2021</v>
      </c>
      <c r="D190" s="259" t="n">
        <v>44343</v>
      </c>
      <c r="E190" s="205" t="s">
        <v>5333</v>
      </c>
      <c r="F190" s="206" t="s">
        <v>2963</v>
      </c>
      <c r="G190" s="206" t="s">
        <v>1174</v>
      </c>
      <c r="H190" s="205" t="s">
        <v>1557</v>
      </c>
      <c r="I190" s="218" t="n">
        <v>45638</v>
      </c>
      <c r="J190" s="206" t="n">
        <v>12</v>
      </c>
      <c r="K190" s="206" t="s">
        <v>53</v>
      </c>
      <c r="L190" s="206" t="s">
        <v>1175</v>
      </c>
      <c r="M190" s="206" t="n">
        <f aca="false">I190-D190</f>
        <v>1295</v>
      </c>
    </row>
    <row r="191" customFormat="false" ht="12.75" hidden="false" customHeight="true" outlineLevel="0" collapsed="false">
      <c r="A191" s="210" t="s">
        <v>5334</v>
      </c>
      <c r="B191" s="211" t="s">
        <v>5335</v>
      </c>
      <c r="C191" s="211" t="n">
        <v>2020</v>
      </c>
      <c r="D191" s="260" t="n">
        <v>44166</v>
      </c>
      <c r="E191" s="213" t="s">
        <v>5336</v>
      </c>
      <c r="F191" s="213" t="s">
        <v>138</v>
      </c>
      <c r="G191" s="251" t="s">
        <v>8</v>
      </c>
      <c r="H191" s="214" t="s">
        <v>3046</v>
      </c>
      <c r="I191" s="221" t="n">
        <v>45638</v>
      </c>
      <c r="J191" s="213" t="n">
        <v>12</v>
      </c>
      <c r="K191" s="213" t="s">
        <v>5337</v>
      </c>
      <c r="L191" s="206" t="s">
        <v>1175</v>
      </c>
      <c r="M191" s="213" t="n">
        <f aca="false">I191-D191</f>
        <v>1472</v>
      </c>
    </row>
    <row r="192" customFormat="false" ht="12.75" hidden="false" customHeight="true" outlineLevel="0" collapsed="false">
      <c r="A192" s="203" t="s">
        <v>5338</v>
      </c>
      <c r="B192" s="193" t="s">
        <v>5339</v>
      </c>
      <c r="C192" s="193" t="n">
        <v>2021</v>
      </c>
      <c r="D192" s="259" t="n">
        <v>44459</v>
      </c>
      <c r="E192" s="205" t="s">
        <v>5340</v>
      </c>
      <c r="F192" s="206" t="s">
        <v>2003</v>
      </c>
      <c r="G192" s="206" t="s">
        <v>1174</v>
      </c>
      <c r="H192" s="205" t="s">
        <v>1557</v>
      </c>
      <c r="I192" s="218" t="n">
        <v>45639</v>
      </c>
      <c r="J192" s="206" t="n">
        <v>12</v>
      </c>
      <c r="K192" s="206" t="s">
        <v>53</v>
      </c>
      <c r="L192" s="213" t="s">
        <v>1181</v>
      </c>
      <c r="M192" s="206" t="n">
        <f aca="false">I192-D192</f>
        <v>1180</v>
      </c>
    </row>
    <row r="193" customFormat="false" ht="15" hidden="false" customHeight="true" outlineLevel="0" collapsed="false">
      <c r="A193" s="210" t="s">
        <v>5341</v>
      </c>
      <c r="B193" s="193" t="s">
        <v>5342</v>
      </c>
      <c r="C193" s="211" t="n">
        <v>2020</v>
      </c>
      <c r="D193" s="260" t="n">
        <v>44181</v>
      </c>
      <c r="E193" s="213" t="s">
        <v>5343</v>
      </c>
      <c r="F193" s="206" t="s">
        <v>3406</v>
      </c>
      <c r="G193" s="206" t="s">
        <v>1188</v>
      </c>
      <c r="H193" s="214" t="s">
        <v>3407</v>
      </c>
      <c r="I193" s="218" t="n">
        <v>45652</v>
      </c>
      <c r="J193" s="213" t="n">
        <v>12</v>
      </c>
      <c r="K193" s="213" t="s">
        <v>49</v>
      </c>
      <c r="L193" s="206" t="s">
        <v>1175</v>
      </c>
      <c r="M193" s="213" t="n">
        <f aca="false">I193-D193</f>
        <v>1471</v>
      </c>
    </row>
    <row r="194" customFormat="false" ht="12.75" hidden="false" customHeight="true" outlineLevel="0" collapsed="false">
      <c r="A194" s="203" t="s">
        <v>5344</v>
      </c>
      <c r="B194" s="193" t="s">
        <v>5345</v>
      </c>
      <c r="C194" s="193" t="n">
        <v>2020</v>
      </c>
      <c r="D194" s="259" t="n">
        <v>43860</v>
      </c>
      <c r="E194" s="205" t="s">
        <v>5346</v>
      </c>
      <c r="F194" s="206" t="s">
        <v>1196</v>
      </c>
      <c r="G194" s="206" t="s">
        <v>1174</v>
      </c>
      <c r="H194" s="205" t="s">
        <v>522</v>
      </c>
      <c r="I194" s="218" t="n">
        <v>45652</v>
      </c>
      <c r="J194" s="206" t="n">
        <v>12</v>
      </c>
      <c r="K194" s="206" t="s">
        <v>53</v>
      </c>
      <c r="L194" s="213" t="s">
        <v>1181</v>
      </c>
      <c r="M194" s="206" t="n">
        <f aca="false">I194-D194</f>
        <v>1792</v>
      </c>
    </row>
    <row r="195" customFormat="false" ht="12.75" hidden="false" customHeight="true" outlineLevel="0" collapsed="false">
      <c r="A195" s="203" t="s">
        <v>5347</v>
      </c>
      <c r="B195" s="211" t="s">
        <v>5348</v>
      </c>
      <c r="C195" s="211" t="n">
        <v>2014</v>
      </c>
      <c r="D195" s="260" t="n">
        <v>43031</v>
      </c>
      <c r="E195" s="213" t="s">
        <v>5349</v>
      </c>
      <c r="F195" s="213" t="s">
        <v>176</v>
      </c>
      <c r="G195" s="214" t="s">
        <v>1174</v>
      </c>
      <c r="H195" s="214" t="s">
        <v>522</v>
      </c>
      <c r="I195" s="221" t="n">
        <v>45652</v>
      </c>
      <c r="J195" s="213" t="n">
        <v>12</v>
      </c>
      <c r="K195" s="206" t="s">
        <v>53</v>
      </c>
      <c r="L195" s="206" t="s">
        <v>1175</v>
      </c>
      <c r="M195" s="213" t="n">
        <f aca="false">I195-D195</f>
        <v>2621</v>
      </c>
    </row>
    <row r="196" customFormat="false" ht="12.75" hidden="false" customHeight="true" outlineLevel="0" collapsed="false">
      <c r="A196" s="203" t="s">
        <v>5350</v>
      </c>
      <c r="B196" s="193" t="s">
        <v>5351</v>
      </c>
      <c r="C196" s="193" t="n">
        <v>2018</v>
      </c>
      <c r="D196" s="259" t="n">
        <v>43398</v>
      </c>
      <c r="E196" s="205" t="s">
        <v>5352</v>
      </c>
      <c r="F196" s="206" t="s">
        <v>3844</v>
      </c>
      <c r="G196" s="206" t="s">
        <v>1174</v>
      </c>
      <c r="H196" s="205" t="s">
        <v>532</v>
      </c>
      <c r="I196" s="218" t="n">
        <v>45652</v>
      </c>
      <c r="J196" s="206" t="n">
        <v>12</v>
      </c>
      <c r="K196" s="206" t="s">
        <v>53</v>
      </c>
      <c r="L196" s="213" t="s">
        <v>1181</v>
      </c>
      <c r="M196" s="206" t="n">
        <f aca="false">I196-D196</f>
        <v>2254</v>
      </c>
    </row>
    <row r="197" customFormat="false" ht="12.75" hidden="false" customHeight="true" outlineLevel="0" collapsed="false">
      <c r="A197" s="210" t="s">
        <v>5353</v>
      </c>
      <c r="B197" s="211" t="s">
        <v>5354</v>
      </c>
      <c r="C197" s="211" t="n">
        <v>2019</v>
      </c>
      <c r="D197" s="260" t="n">
        <v>43642</v>
      </c>
      <c r="E197" s="213" t="s">
        <v>5355</v>
      </c>
      <c r="F197" s="213" t="s">
        <v>1262</v>
      </c>
      <c r="G197" s="214" t="s">
        <v>1174</v>
      </c>
      <c r="H197" s="214" t="s">
        <v>1231</v>
      </c>
      <c r="I197" s="221" t="n">
        <v>45652</v>
      </c>
      <c r="J197" s="213" t="n">
        <v>12</v>
      </c>
      <c r="K197" s="206" t="s">
        <v>53</v>
      </c>
      <c r="L197" s="213" t="s">
        <v>1181</v>
      </c>
      <c r="M197" s="213" t="n">
        <f aca="false">I197-D197</f>
        <v>2010</v>
      </c>
    </row>
    <row r="198" customFormat="false" ht="12.75" hidden="false" customHeight="true" outlineLevel="0" collapsed="false">
      <c r="A198" s="203" t="s">
        <v>5356</v>
      </c>
      <c r="B198" s="193" t="s">
        <v>5357</v>
      </c>
      <c r="C198" s="193" t="n">
        <v>2022</v>
      </c>
      <c r="D198" s="259" t="n">
        <v>44890</v>
      </c>
      <c r="E198" s="205" t="s">
        <v>5358</v>
      </c>
      <c r="F198" s="206" t="s">
        <v>5359</v>
      </c>
      <c r="G198" s="206" t="s">
        <v>1174</v>
      </c>
      <c r="H198" s="205" t="s">
        <v>139</v>
      </c>
      <c r="I198" s="218" t="n">
        <v>45652</v>
      </c>
      <c r="J198" s="206" t="n">
        <v>12</v>
      </c>
      <c r="K198" s="206" t="s">
        <v>53</v>
      </c>
      <c r="L198" s="206" t="s">
        <v>1175</v>
      </c>
      <c r="M198" s="206" t="n">
        <f aca="false">I198-D198</f>
        <v>762</v>
      </c>
    </row>
    <row r="199" customFormat="false" ht="15.75" hidden="false" customHeight="true" outlineLevel="0" collapsed="false">
      <c r="A199" s="210" t="s">
        <v>5360</v>
      </c>
      <c r="B199" s="211" t="s">
        <v>5361</v>
      </c>
      <c r="C199" s="211" t="n">
        <v>2018</v>
      </c>
      <c r="D199" s="260" t="n">
        <v>43343</v>
      </c>
      <c r="E199" s="213" t="s">
        <v>5362</v>
      </c>
      <c r="F199" s="213" t="s">
        <v>1068</v>
      </c>
      <c r="G199" s="214" t="s">
        <v>1174</v>
      </c>
      <c r="H199" s="214" t="s">
        <v>250</v>
      </c>
      <c r="I199" s="221" t="n">
        <v>45652</v>
      </c>
      <c r="J199" s="213" t="n">
        <v>12</v>
      </c>
      <c r="K199" s="206" t="s">
        <v>53</v>
      </c>
      <c r="L199" s="206" t="s">
        <v>1175</v>
      </c>
      <c r="M199" s="213" t="n">
        <f aca="false">I199-D199</f>
        <v>2309</v>
      </c>
    </row>
    <row r="200" customFormat="false" ht="12.75" hidden="false" customHeight="true" outlineLevel="0" collapsed="false">
      <c r="A200" s="203" t="s">
        <v>5363</v>
      </c>
      <c r="B200" s="193" t="s">
        <v>5364</v>
      </c>
      <c r="C200" s="193" t="n">
        <v>2018</v>
      </c>
      <c r="D200" s="259" t="n">
        <v>43343</v>
      </c>
      <c r="E200" s="205" t="s">
        <v>5365</v>
      </c>
      <c r="F200" s="206" t="s">
        <v>128</v>
      </c>
      <c r="G200" s="206" t="s">
        <v>1174</v>
      </c>
      <c r="H200" s="205" t="s">
        <v>5366</v>
      </c>
      <c r="I200" s="218" t="n">
        <v>45652</v>
      </c>
      <c r="J200" s="206" t="n">
        <v>12</v>
      </c>
      <c r="K200" s="206" t="s">
        <v>53</v>
      </c>
      <c r="L200" s="213" t="s">
        <v>1181</v>
      </c>
      <c r="M200" s="206" t="n">
        <f aca="false">I200-D200</f>
        <v>2309</v>
      </c>
    </row>
    <row r="201" customFormat="false" ht="15.75" hidden="false" customHeight="true" outlineLevel="0" collapsed="false">
      <c r="A201" s="139" t="n">
        <v>124</v>
      </c>
      <c r="B201" s="140" t="s">
        <v>5367</v>
      </c>
      <c r="C201" s="115" t="n">
        <v>2019</v>
      </c>
      <c r="D201" s="403" t="n">
        <v>43517</v>
      </c>
      <c r="E201" s="66" t="s">
        <v>5368</v>
      </c>
      <c r="F201" s="142" t="s">
        <v>333</v>
      </c>
      <c r="G201" s="66" t="s">
        <v>441</v>
      </c>
      <c r="H201" s="142" t="s">
        <v>134</v>
      </c>
      <c r="I201" s="403" t="n">
        <v>45301</v>
      </c>
      <c r="J201" s="66" t="n">
        <v>1</v>
      </c>
      <c r="K201" s="71" t="s">
        <v>48</v>
      </c>
      <c r="L201" s="144" t="s">
        <v>60</v>
      </c>
      <c r="M201" s="145" t="n">
        <f aca="false">I201-D201</f>
        <v>1784</v>
      </c>
    </row>
    <row r="202" customFormat="false" ht="12.75" hidden="false" customHeight="true" outlineLevel="0" collapsed="false">
      <c r="A202" s="148" t="n">
        <v>224</v>
      </c>
      <c r="B202" s="149" t="s">
        <v>5369</v>
      </c>
      <c r="C202" s="119" t="n">
        <v>2017</v>
      </c>
      <c r="D202" s="404" t="n">
        <v>42758</v>
      </c>
      <c r="E202" s="68" t="s">
        <v>5370</v>
      </c>
      <c r="F202" s="151" t="s">
        <v>793</v>
      </c>
      <c r="G202" s="68" t="s">
        <v>441</v>
      </c>
      <c r="H202" s="151" t="s">
        <v>134</v>
      </c>
      <c r="I202" s="404" t="n">
        <v>45301</v>
      </c>
      <c r="J202" s="68" t="n">
        <v>1</v>
      </c>
      <c r="K202" s="71" t="s">
        <v>47</v>
      </c>
      <c r="L202" s="151" t="s">
        <v>58</v>
      </c>
      <c r="M202" s="152" t="n">
        <f aca="false">I202-D202</f>
        <v>2543</v>
      </c>
    </row>
    <row r="203" customFormat="false" ht="14.25" hidden="false" customHeight="true" outlineLevel="0" collapsed="false">
      <c r="A203" s="139" t="n">
        <v>324</v>
      </c>
      <c r="B203" s="144" t="s">
        <v>5371</v>
      </c>
      <c r="C203" s="115" t="n">
        <v>2020</v>
      </c>
      <c r="D203" s="403" t="n">
        <v>43973</v>
      </c>
      <c r="E203" s="66" t="s">
        <v>5372</v>
      </c>
      <c r="F203" s="142" t="s">
        <v>699</v>
      </c>
      <c r="G203" s="144" t="s">
        <v>441</v>
      </c>
      <c r="H203" s="144" t="s">
        <v>570</v>
      </c>
      <c r="I203" s="403" t="n">
        <v>45301</v>
      </c>
      <c r="J203" s="66" t="n">
        <v>1</v>
      </c>
      <c r="K203" s="71" t="s">
        <v>49</v>
      </c>
      <c r="L203" s="144" t="s">
        <v>60</v>
      </c>
      <c r="M203" s="145" t="n">
        <f aca="false">I203-D203</f>
        <v>1328</v>
      </c>
    </row>
    <row r="204" customFormat="false" ht="12.75" hidden="false" customHeight="true" outlineLevel="0" collapsed="false">
      <c r="A204" s="148" t="n">
        <v>424</v>
      </c>
      <c r="B204" s="405" t="s">
        <v>5373</v>
      </c>
      <c r="C204" s="119" t="n">
        <v>2023</v>
      </c>
      <c r="D204" s="404" t="n">
        <v>45034</v>
      </c>
      <c r="E204" s="68" t="s">
        <v>5374</v>
      </c>
      <c r="F204" s="151" t="s">
        <v>5375</v>
      </c>
      <c r="G204" s="405" t="s">
        <v>125</v>
      </c>
      <c r="H204" s="405" t="s">
        <v>5376</v>
      </c>
      <c r="I204" s="404" t="n">
        <v>45301</v>
      </c>
      <c r="J204" s="68" t="n">
        <v>1</v>
      </c>
      <c r="K204" s="406" t="s">
        <v>290</v>
      </c>
      <c r="L204" s="152" t="s">
        <v>61</v>
      </c>
      <c r="M204" s="152" t="n">
        <f aca="false">I204-D204</f>
        <v>267</v>
      </c>
    </row>
    <row r="205" customFormat="false" ht="12.75" hidden="false" customHeight="true" outlineLevel="0" collapsed="false">
      <c r="A205" s="139" t="n">
        <v>524</v>
      </c>
      <c r="B205" s="144" t="s">
        <v>5377</v>
      </c>
      <c r="C205" s="115" t="n">
        <v>2019</v>
      </c>
      <c r="D205" s="403" t="n">
        <v>43549</v>
      </c>
      <c r="E205" s="66" t="s">
        <v>5378</v>
      </c>
      <c r="F205" s="142" t="s">
        <v>1879</v>
      </c>
      <c r="G205" s="144" t="s">
        <v>441</v>
      </c>
      <c r="H205" s="144" t="s">
        <v>263</v>
      </c>
      <c r="I205" s="403" t="n">
        <v>45309</v>
      </c>
      <c r="J205" s="66" t="n">
        <v>1</v>
      </c>
      <c r="K205" s="71" t="s">
        <v>49</v>
      </c>
      <c r="L205" s="144" t="s">
        <v>58</v>
      </c>
      <c r="M205" s="145" t="n">
        <f aca="false">I205-D205</f>
        <v>1760</v>
      </c>
    </row>
    <row r="206" customFormat="false" ht="12.75" hidden="false" customHeight="true" outlineLevel="0" collapsed="false">
      <c r="A206" s="148" t="n">
        <v>624</v>
      </c>
      <c r="B206" s="405" t="s">
        <v>5379</v>
      </c>
      <c r="C206" s="119" t="n">
        <v>2019</v>
      </c>
      <c r="D206" s="404" t="n">
        <v>43775</v>
      </c>
      <c r="E206" s="68" t="s">
        <v>5380</v>
      </c>
      <c r="F206" s="151" t="s">
        <v>5381</v>
      </c>
      <c r="G206" s="405" t="s">
        <v>441</v>
      </c>
      <c r="H206" s="405" t="s">
        <v>513</v>
      </c>
      <c r="I206" s="404" t="n">
        <v>45309</v>
      </c>
      <c r="J206" s="68" t="n">
        <v>1</v>
      </c>
      <c r="K206" s="71" t="s">
        <v>49</v>
      </c>
      <c r="L206" s="152" t="s">
        <v>60</v>
      </c>
      <c r="M206" s="152" t="n">
        <f aca="false">I206-D206</f>
        <v>1534</v>
      </c>
    </row>
    <row r="207" customFormat="false" ht="12.75" hidden="false" customHeight="true" outlineLevel="0" collapsed="false">
      <c r="A207" s="139" t="n">
        <v>724</v>
      </c>
      <c r="B207" s="144" t="s">
        <v>5382</v>
      </c>
      <c r="C207" s="115" t="n">
        <v>2020</v>
      </c>
      <c r="D207" s="403" t="n">
        <v>44061</v>
      </c>
      <c r="E207" s="66" t="s">
        <v>5383</v>
      </c>
      <c r="F207" s="142" t="s">
        <v>3204</v>
      </c>
      <c r="G207" s="144" t="s">
        <v>441</v>
      </c>
      <c r="H207" s="144" t="s">
        <v>5384</v>
      </c>
      <c r="I207" s="403" t="n">
        <v>45309</v>
      </c>
      <c r="J207" s="66" t="n">
        <v>1</v>
      </c>
      <c r="K207" s="71" t="s">
        <v>49</v>
      </c>
      <c r="L207" s="144" t="s">
        <v>58</v>
      </c>
      <c r="M207" s="145" t="n">
        <f aca="false">I207-D207</f>
        <v>1248</v>
      </c>
    </row>
    <row r="208" customFormat="false" ht="12.75" hidden="false" customHeight="true" outlineLevel="0" collapsed="false">
      <c r="A208" s="148" t="n">
        <v>824</v>
      </c>
      <c r="B208" s="405" t="s">
        <v>5385</v>
      </c>
      <c r="C208" s="119" t="n">
        <v>2023</v>
      </c>
      <c r="D208" s="404" t="n">
        <v>44991</v>
      </c>
      <c r="E208" s="68" t="s">
        <v>5386</v>
      </c>
      <c r="F208" s="151" t="s">
        <v>5387</v>
      </c>
      <c r="G208" s="405" t="s">
        <v>125</v>
      </c>
      <c r="H208" s="405" t="s">
        <v>3636</v>
      </c>
      <c r="I208" s="404" t="n">
        <v>45309</v>
      </c>
      <c r="J208" s="68" t="n">
        <v>1</v>
      </c>
      <c r="K208" s="71" t="s">
        <v>49</v>
      </c>
      <c r="L208" s="152" t="s">
        <v>61</v>
      </c>
      <c r="M208" s="152" t="n">
        <f aca="false">I208-D208</f>
        <v>318</v>
      </c>
    </row>
    <row r="209" customFormat="false" ht="12.75" hidden="false" customHeight="true" outlineLevel="0" collapsed="false">
      <c r="A209" s="139" t="n">
        <v>924</v>
      </c>
      <c r="B209" s="144" t="s">
        <v>5388</v>
      </c>
      <c r="C209" s="115" t="n">
        <v>2023</v>
      </c>
      <c r="D209" s="403" t="n">
        <v>45016</v>
      </c>
      <c r="E209" s="66" t="s">
        <v>5389</v>
      </c>
      <c r="F209" s="142" t="s">
        <v>5390</v>
      </c>
      <c r="G209" s="144" t="s">
        <v>125</v>
      </c>
      <c r="H209" s="144" t="s">
        <v>5391</v>
      </c>
      <c r="I209" s="403" t="n">
        <v>45309</v>
      </c>
      <c r="J209" s="66" t="n">
        <v>1</v>
      </c>
      <c r="K209" s="71" t="s">
        <v>49</v>
      </c>
      <c r="L209" s="144" t="s">
        <v>61</v>
      </c>
      <c r="M209" s="145" t="n">
        <f aca="false">I209-D209</f>
        <v>293</v>
      </c>
    </row>
    <row r="210" customFormat="false" ht="12.75" hidden="false" customHeight="true" outlineLevel="0" collapsed="false">
      <c r="A210" s="148" t="n">
        <v>1024</v>
      </c>
      <c r="B210" s="405" t="s">
        <v>5392</v>
      </c>
      <c r="C210" s="119" t="n">
        <v>2022</v>
      </c>
      <c r="D210" s="404" t="n">
        <v>44735</v>
      </c>
      <c r="E210" s="68" t="s">
        <v>5393</v>
      </c>
      <c r="F210" s="151" t="s">
        <v>5394</v>
      </c>
      <c r="G210" s="405" t="s">
        <v>125</v>
      </c>
      <c r="H210" s="405" t="s">
        <v>1880</v>
      </c>
      <c r="I210" s="404" t="n">
        <v>45309</v>
      </c>
      <c r="J210" s="68" t="n">
        <v>1</v>
      </c>
      <c r="K210" s="71" t="s">
        <v>49</v>
      </c>
      <c r="L210" s="152" t="s">
        <v>61</v>
      </c>
      <c r="M210" s="152" t="n">
        <f aca="false">I210-D210</f>
        <v>574</v>
      </c>
    </row>
    <row r="211" customFormat="false" ht="12.75" hidden="false" customHeight="true" outlineLevel="0" collapsed="false">
      <c r="A211" s="139" t="n">
        <v>1124</v>
      </c>
      <c r="B211" s="144" t="s">
        <v>5395</v>
      </c>
      <c r="C211" s="115" t="n">
        <v>2023</v>
      </c>
      <c r="D211" s="403" t="n">
        <v>44995</v>
      </c>
      <c r="E211" s="66" t="s">
        <v>5396</v>
      </c>
      <c r="F211" s="142" t="s">
        <v>5397</v>
      </c>
      <c r="G211" s="144" t="s">
        <v>125</v>
      </c>
      <c r="H211" s="144" t="s">
        <v>5398</v>
      </c>
      <c r="I211" s="403" t="n">
        <v>45309</v>
      </c>
      <c r="J211" s="66" t="n">
        <v>1</v>
      </c>
      <c r="K211" s="71" t="s">
        <v>49</v>
      </c>
      <c r="L211" s="144" t="s">
        <v>61</v>
      </c>
      <c r="M211" s="145" t="n">
        <f aca="false">I211-D211</f>
        <v>314</v>
      </c>
    </row>
    <row r="212" customFormat="false" ht="12.75" hidden="false" customHeight="true" outlineLevel="0" collapsed="false">
      <c r="A212" s="148" t="n">
        <v>1224</v>
      </c>
      <c r="B212" s="405" t="s">
        <v>5399</v>
      </c>
      <c r="C212" s="119" t="n">
        <v>2014</v>
      </c>
      <c r="D212" s="404" t="n">
        <v>41905</v>
      </c>
      <c r="E212" s="68" t="s">
        <v>5400</v>
      </c>
      <c r="F212" s="151" t="s">
        <v>5401</v>
      </c>
      <c r="G212" s="405" t="s">
        <v>441</v>
      </c>
      <c r="H212" s="405" t="s">
        <v>3056</v>
      </c>
      <c r="I212" s="404" t="n">
        <v>45316</v>
      </c>
      <c r="J212" s="68" t="n">
        <v>1</v>
      </c>
      <c r="K212" s="71" t="s">
        <v>49</v>
      </c>
      <c r="L212" s="152" t="s">
        <v>60</v>
      </c>
      <c r="M212" s="152" t="n">
        <f aca="false">I212-D212</f>
        <v>3411</v>
      </c>
    </row>
    <row r="213" customFormat="false" ht="12.75" hidden="false" customHeight="true" outlineLevel="0" collapsed="false">
      <c r="A213" s="139" t="n">
        <v>1324</v>
      </c>
      <c r="B213" s="144" t="s">
        <v>5402</v>
      </c>
      <c r="C213" s="115" t="n">
        <v>2020</v>
      </c>
      <c r="D213" s="403" t="n">
        <v>43837</v>
      </c>
      <c r="E213" s="66" t="s">
        <v>5403</v>
      </c>
      <c r="F213" s="142" t="s">
        <v>5404</v>
      </c>
      <c r="G213" s="144" t="s">
        <v>441</v>
      </c>
      <c r="H213" s="144" t="s">
        <v>254</v>
      </c>
      <c r="I213" s="403" t="n">
        <v>45316</v>
      </c>
      <c r="J213" s="66" t="n">
        <v>1</v>
      </c>
      <c r="K213" s="71" t="s">
        <v>49</v>
      </c>
      <c r="L213" s="144" t="s">
        <v>60</v>
      </c>
      <c r="M213" s="145" t="n">
        <f aca="false">I213-D213</f>
        <v>1479</v>
      </c>
    </row>
    <row r="214" customFormat="false" ht="12.75" hidden="false" customHeight="true" outlineLevel="0" collapsed="false">
      <c r="A214" s="148" t="n">
        <v>1424</v>
      </c>
      <c r="B214" s="405" t="s">
        <v>5405</v>
      </c>
      <c r="C214" s="119" t="n">
        <v>2018</v>
      </c>
      <c r="D214" s="404" t="n">
        <v>43462</v>
      </c>
      <c r="E214" s="68" t="s">
        <v>5406</v>
      </c>
      <c r="F214" s="151" t="s">
        <v>5407</v>
      </c>
      <c r="G214" s="405" t="s">
        <v>441</v>
      </c>
      <c r="H214" s="405" t="s">
        <v>254</v>
      </c>
      <c r="I214" s="404" t="n">
        <v>45316</v>
      </c>
      <c r="J214" s="68" t="n">
        <v>1</v>
      </c>
      <c r="K214" s="71" t="s">
        <v>49</v>
      </c>
      <c r="L214" s="152" t="s">
        <v>60</v>
      </c>
      <c r="M214" s="152" t="n">
        <f aca="false">I214-D214</f>
        <v>1854</v>
      </c>
    </row>
    <row r="215" customFormat="false" ht="12.75" hidden="false" customHeight="true" outlineLevel="0" collapsed="false">
      <c r="A215" s="139" t="n">
        <v>1524</v>
      </c>
      <c r="B215" s="144" t="s">
        <v>5408</v>
      </c>
      <c r="C215" s="115" t="n">
        <v>2019</v>
      </c>
      <c r="D215" s="403" t="n">
        <v>43549</v>
      </c>
      <c r="E215" s="66" t="s">
        <v>5409</v>
      </c>
      <c r="F215" s="142" t="s">
        <v>5410</v>
      </c>
      <c r="G215" s="144" t="s">
        <v>144</v>
      </c>
      <c r="H215" s="144" t="s">
        <v>373</v>
      </c>
      <c r="I215" s="403" t="n">
        <v>45316</v>
      </c>
      <c r="J215" s="66" t="n">
        <v>1</v>
      </c>
      <c r="K215" s="71" t="s">
        <v>48</v>
      </c>
      <c r="L215" s="144" t="s">
        <v>58</v>
      </c>
      <c r="M215" s="145" t="n">
        <f aca="false">I215-D215</f>
        <v>1767</v>
      </c>
    </row>
    <row r="216" customFormat="false" ht="12.75" hidden="false" customHeight="true" outlineLevel="0" collapsed="false">
      <c r="A216" s="148" t="n">
        <v>1624</v>
      </c>
      <c r="B216" s="405" t="s">
        <v>5411</v>
      </c>
      <c r="C216" s="119" t="n">
        <v>2020</v>
      </c>
      <c r="D216" s="404" t="n">
        <v>43837</v>
      </c>
      <c r="E216" s="68" t="s">
        <v>5412</v>
      </c>
      <c r="F216" s="151" t="s">
        <v>780</v>
      </c>
      <c r="G216" s="405" t="s">
        <v>441</v>
      </c>
      <c r="H216" s="405" t="s">
        <v>254</v>
      </c>
      <c r="I216" s="404" t="n">
        <v>45316</v>
      </c>
      <c r="J216" s="68" t="n">
        <v>1</v>
      </c>
      <c r="K216" s="71" t="s">
        <v>49</v>
      </c>
      <c r="L216" s="152" t="s">
        <v>60</v>
      </c>
      <c r="M216" s="152" t="n">
        <f aca="false">I216-D216</f>
        <v>1479</v>
      </c>
    </row>
    <row r="217" customFormat="false" ht="12.75" hidden="false" customHeight="true" outlineLevel="0" collapsed="false">
      <c r="A217" s="139" t="n">
        <v>1724</v>
      </c>
      <c r="B217" s="144" t="s">
        <v>5413</v>
      </c>
      <c r="C217" s="115" t="n">
        <v>2023</v>
      </c>
      <c r="D217" s="403" t="n">
        <v>45034</v>
      </c>
      <c r="E217" s="66" t="s">
        <v>5414</v>
      </c>
      <c r="F217" s="142" t="s">
        <v>5415</v>
      </c>
      <c r="G217" s="144" t="s">
        <v>125</v>
      </c>
      <c r="H217" s="144" t="s">
        <v>5391</v>
      </c>
      <c r="I217" s="403" t="n">
        <v>45316</v>
      </c>
      <c r="J217" s="66" t="n">
        <v>1</v>
      </c>
      <c r="K217" s="71" t="s">
        <v>49</v>
      </c>
      <c r="L217" s="144" t="s">
        <v>61</v>
      </c>
      <c r="M217" s="145" t="n">
        <f aca="false">I217-D217</f>
        <v>282</v>
      </c>
    </row>
    <row r="218" customFormat="false" ht="12.75" hidden="false" customHeight="true" outlineLevel="0" collapsed="false">
      <c r="A218" s="148" t="n">
        <v>1824</v>
      </c>
      <c r="B218" s="405" t="s">
        <v>5416</v>
      </c>
      <c r="C218" s="119" t="n">
        <v>2020</v>
      </c>
      <c r="D218" s="404" t="n">
        <v>43921</v>
      </c>
      <c r="E218" s="68" t="s">
        <v>5417</v>
      </c>
      <c r="F218" s="151" t="s">
        <v>5418</v>
      </c>
      <c r="G218" s="405" t="s">
        <v>441</v>
      </c>
      <c r="H218" s="405" t="s">
        <v>5419</v>
      </c>
      <c r="I218" s="404" t="n">
        <v>45317</v>
      </c>
      <c r="J218" s="68" t="n">
        <v>1</v>
      </c>
      <c r="K218" s="406" t="s">
        <v>290</v>
      </c>
      <c r="L218" s="152" t="s">
        <v>60</v>
      </c>
      <c r="M218" s="152" t="n">
        <f aca="false">I218-D218</f>
        <v>1396</v>
      </c>
    </row>
    <row r="219" customFormat="false" ht="12.75" hidden="false" customHeight="true" outlineLevel="0" collapsed="false">
      <c r="A219" s="139" t="n">
        <v>1924</v>
      </c>
      <c r="B219" s="144" t="s">
        <v>5420</v>
      </c>
      <c r="C219" s="115" t="n">
        <v>2020</v>
      </c>
      <c r="D219" s="403" t="n">
        <v>44018</v>
      </c>
      <c r="E219" s="66" t="s">
        <v>5421</v>
      </c>
      <c r="F219" s="142" t="s">
        <v>5422</v>
      </c>
      <c r="G219" s="144" t="s">
        <v>441</v>
      </c>
      <c r="H219" s="144" t="s">
        <v>570</v>
      </c>
      <c r="I219" s="403" t="n">
        <v>45317</v>
      </c>
      <c r="J219" s="66" t="n">
        <v>1</v>
      </c>
      <c r="K219" s="71" t="s">
        <v>48</v>
      </c>
      <c r="L219" s="144" t="s">
        <v>58</v>
      </c>
      <c r="M219" s="145" t="n">
        <f aca="false">I219-D219</f>
        <v>1299</v>
      </c>
    </row>
    <row r="220" customFormat="false" ht="12.75" hidden="false" customHeight="true" outlineLevel="0" collapsed="false">
      <c r="A220" s="148" t="n">
        <v>2024</v>
      </c>
      <c r="B220" s="405" t="s">
        <v>5423</v>
      </c>
      <c r="C220" s="119" t="n">
        <v>2019</v>
      </c>
      <c r="D220" s="404" t="n">
        <v>43496</v>
      </c>
      <c r="E220" s="68" t="s">
        <v>5424</v>
      </c>
      <c r="F220" s="151" t="s">
        <v>4819</v>
      </c>
      <c r="G220" s="405" t="s">
        <v>441</v>
      </c>
      <c r="H220" s="405" t="s">
        <v>250</v>
      </c>
      <c r="I220" s="404" t="n">
        <v>45317</v>
      </c>
      <c r="J220" s="68" t="n">
        <v>1</v>
      </c>
      <c r="K220" s="406" t="s">
        <v>50</v>
      </c>
      <c r="L220" s="152" t="s">
        <v>60</v>
      </c>
      <c r="M220" s="152" t="n">
        <f aca="false">I220-D220</f>
        <v>1821</v>
      </c>
    </row>
    <row r="221" customFormat="false" ht="12.75" hidden="false" customHeight="true" outlineLevel="0" collapsed="false">
      <c r="A221" s="139" t="n">
        <v>2124</v>
      </c>
      <c r="B221" s="144" t="s">
        <v>5425</v>
      </c>
      <c r="C221" s="115" t="n">
        <v>2017</v>
      </c>
      <c r="D221" s="403" t="n">
        <v>43060</v>
      </c>
      <c r="E221" s="66" t="s">
        <v>5426</v>
      </c>
      <c r="F221" s="142" t="s">
        <v>5427</v>
      </c>
      <c r="G221" s="144" t="s">
        <v>441</v>
      </c>
      <c r="H221" s="144" t="s">
        <v>3268</v>
      </c>
      <c r="I221" s="403" t="n">
        <v>45320</v>
      </c>
      <c r="J221" s="66" t="n">
        <v>1</v>
      </c>
      <c r="K221" s="71" t="s">
        <v>49</v>
      </c>
      <c r="L221" s="144" t="s">
        <v>58</v>
      </c>
      <c r="M221" s="145" t="n">
        <f aca="false">I221-D221</f>
        <v>2260</v>
      </c>
    </row>
    <row r="222" customFormat="false" ht="12.75" hidden="false" customHeight="true" outlineLevel="0" collapsed="false">
      <c r="A222" s="148" t="n">
        <v>2224</v>
      </c>
      <c r="B222" s="405" t="s">
        <v>5428</v>
      </c>
      <c r="C222" s="119" t="n">
        <v>2023</v>
      </c>
      <c r="D222" s="404" t="n">
        <v>45044</v>
      </c>
      <c r="E222" s="68" t="s">
        <v>5429</v>
      </c>
      <c r="F222" s="151" t="s">
        <v>5430</v>
      </c>
      <c r="G222" s="405" t="s">
        <v>125</v>
      </c>
      <c r="H222" s="405" t="s">
        <v>5431</v>
      </c>
      <c r="I222" s="404" t="n">
        <v>45320</v>
      </c>
      <c r="J222" s="68" t="n">
        <v>1</v>
      </c>
      <c r="K222" s="71" t="s">
        <v>49</v>
      </c>
      <c r="L222" s="152" t="s">
        <v>61</v>
      </c>
      <c r="M222" s="152" t="n">
        <f aca="false">I222-D222</f>
        <v>276</v>
      </c>
    </row>
    <row r="223" customFormat="false" ht="15" hidden="false" customHeight="true" outlineLevel="0" collapsed="false">
      <c r="A223" s="139" t="n">
        <v>2324</v>
      </c>
      <c r="B223" s="144" t="s">
        <v>5432</v>
      </c>
      <c r="C223" s="115" t="n">
        <v>2019</v>
      </c>
      <c r="D223" s="403" t="n">
        <v>43616</v>
      </c>
      <c r="E223" s="66" t="s">
        <v>5433</v>
      </c>
      <c r="F223" s="142" t="s">
        <v>5434</v>
      </c>
      <c r="G223" s="144" t="s">
        <v>144</v>
      </c>
      <c r="H223" s="144" t="s">
        <v>522</v>
      </c>
      <c r="I223" s="403" t="n">
        <v>45320</v>
      </c>
      <c r="J223" s="66" t="n">
        <v>1</v>
      </c>
      <c r="K223" s="196" t="s">
        <v>43</v>
      </c>
      <c r="L223" s="144" t="s">
        <v>60</v>
      </c>
      <c r="M223" s="145" t="n">
        <f aca="false">I223-D223</f>
        <v>1704</v>
      </c>
    </row>
    <row r="224" customFormat="false" ht="15" hidden="false" customHeight="true" outlineLevel="0" collapsed="false">
      <c r="A224" s="148" t="n">
        <v>2424</v>
      </c>
      <c r="B224" s="405" t="s">
        <v>5435</v>
      </c>
      <c r="C224" s="119" t="n">
        <v>2020</v>
      </c>
      <c r="D224" s="404" t="n">
        <v>43900</v>
      </c>
      <c r="E224" s="68" t="s">
        <v>5436</v>
      </c>
      <c r="F224" s="151" t="s">
        <v>537</v>
      </c>
      <c r="G224" s="405" t="s">
        <v>441</v>
      </c>
      <c r="H224" s="405" t="s">
        <v>1072</v>
      </c>
      <c r="I224" s="404" t="n">
        <v>45341</v>
      </c>
      <c r="J224" s="68" t="n">
        <v>2</v>
      </c>
      <c r="K224" s="71" t="s">
        <v>49</v>
      </c>
      <c r="L224" s="152" t="s">
        <v>60</v>
      </c>
      <c r="M224" s="152" t="n">
        <f aca="false">I224-D224</f>
        <v>1441</v>
      </c>
    </row>
    <row r="225" customFormat="false" ht="12.75" hidden="false" customHeight="true" outlineLevel="0" collapsed="false">
      <c r="A225" s="139" t="n">
        <v>2524</v>
      </c>
      <c r="B225" s="144" t="s">
        <v>5437</v>
      </c>
      <c r="C225" s="115" t="n">
        <v>2020</v>
      </c>
      <c r="D225" s="403" t="n">
        <v>43881</v>
      </c>
      <c r="E225" s="66" t="s">
        <v>5438</v>
      </c>
      <c r="F225" s="142" t="s">
        <v>537</v>
      </c>
      <c r="G225" s="144" t="s">
        <v>441</v>
      </c>
      <c r="H225" s="144" t="s">
        <v>1072</v>
      </c>
      <c r="I225" s="403" t="n">
        <v>45341</v>
      </c>
      <c r="J225" s="66" t="n">
        <v>2</v>
      </c>
      <c r="K225" s="71" t="s">
        <v>49</v>
      </c>
      <c r="L225" s="144" t="s">
        <v>60</v>
      </c>
      <c r="M225" s="145" t="n">
        <f aca="false">I225-D225</f>
        <v>1460</v>
      </c>
    </row>
    <row r="226" customFormat="false" ht="12.75" hidden="false" customHeight="true" outlineLevel="0" collapsed="false">
      <c r="A226" s="148" t="n">
        <v>2624</v>
      </c>
      <c r="B226" s="405" t="s">
        <v>5439</v>
      </c>
      <c r="C226" s="119" t="n">
        <v>2020</v>
      </c>
      <c r="D226" s="404" t="n">
        <v>43873</v>
      </c>
      <c r="E226" s="68" t="s">
        <v>5440</v>
      </c>
      <c r="F226" s="151" t="s">
        <v>537</v>
      </c>
      <c r="G226" s="405" t="s">
        <v>441</v>
      </c>
      <c r="H226" s="405" t="s">
        <v>1072</v>
      </c>
      <c r="I226" s="404" t="n">
        <v>45341</v>
      </c>
      <c r="J226" s="68" t="n">
        <v>2</v>
      </c>
      <c r="K226" s="71" t="s">
        <v>49</v>
      </c>
      <c r="L226" s="152" t="s">
        <v>60</v>
      </c>
      <c r="M226" s="152" t="n">
        <f aca="false">I226-D226</f>
        <v>1468</v>
      </c>
    </row>
    <row r="227" customFormat="false" ht="12.75" hidden="false" customHeight="true" outlineLevel="0" collapsed="false">
      <c r="A227" s="139" t="n">
        <v>2724</v>
      </c>
      <c r="B227" s="144" t="s">
        <v>5441</v>
      </c>
      <c r="C227" s="115" t="n">
        <v>2020</v>
      </c>
      <c r="D227" s="403" t="n">
        <v>43902</v>
      </c>
      <c r="E227" s="66" t="s">
        <v>5442</v>
      </c>
      <c r="F227" s="142" t="s">
        <v>537</v>
      </c>
      <c r="G227" s="144" t="s">
        <v>441</v>
      </c>
      <c r="H227" s="144" t="s">
        <v>1072</v>
      </c>
      <c r="I227" s="403" t="n">
        <v>45341</v>
      </c>
      <c r="J227" s="66" t="n">
        <v>2</v>
      </c>
      <c r="K227" s="71" t="s">
        <v>49</v>
      </c>
      <c r="L227" s="144" t="s">
        <v>60</v>
      </c>
      <c r="M227" s="145" t="n">
        <f aca="false">I227-D227</f>
        <v>1439</v>
      </c>
    </row>
    <row r="228" customFormat="false" ht="12.75" hidden="false" customHeight="true" outlineLevel="0" collapsed="false">
      <c r="A228" s="148" t="n">
        <v>2824</v>
      </c>
      <c r="B228" s="405" t="s">
        <v>5443</v>
      </c>
      <c r="C228" s="119" t="n">
        <v>2020</v>
      </c>
      <c r="D228" s="404" t="n">
        <v>43900</v>
      </c>
      <c r="E228" s="68" t="s">
        <v>5444</v>
      </c>
      <c r="F228" s="151" t="s">
        <v>537</v>
      </c>
      <c r="G228" s="405" t="s">
        <v>441</v>
      </c>
      <c r="H228" s="405" t="s">
        <v>1072</v>
      </c>
      <c r="I228" s="404" t="n">
        <v>45341</v>
      </c>
      <c r="J228" s="68" t="n">
        <v>2</v>
      </c>
      <c r="K228" s="71" t="s">
        <v>49</v>
      </c>
      <c r="L228" s="152" t="s">
        <v>60</v>
      </c>
      <c r="M228" s="152" t="n">
        <f aca="false">I228-D228</f>
        <v>1441</v>
      </c>
    </row>
    <row r="229" customFormat="false" ht="12.75" hidden="false" customHeight="true" outlineLevel="0" collapsed="false">
      <c r="A229" s="139" t="n">
        <v>2924</v>
      </c>
      <c r="B229" s="144" t="s">
        <v>5445</v>
      </c>
      <c r="C229" s="115" t="n">
        <v>2019</v>
      </c>
      <c r="D229" s="403" t="n">
        <v>43768</v>
      </c>
      <c r="E229" s="66" t="s">
        <v>5446</v>
      </c>
      <c r="F229" s="142" t="s">
        <v>5434</v>
      </c>
      <c r="G229" s="144" t="s">
        <v>441</v>
      </c>
      <c r="H229" s="144" t="s">
        <v>5447</v>
      </c>
      <c r="I229" s="403" t="n">
        <v>45341</v>
      </c>
      <c r="J229" s="66" t="n">
        <v>2</v>
      </c>
      <c r="K229" s="196" t="s">
        <v>43</v>
      </c>
      <c r="L229" s="144" t="s">
        <v>60</v>
      </c>
      <c r="M229" s="145" t="n">
        <f aca="false">I229-D229</f>
        <v>1573</v>
      </c>
    </row>
    <row r="230" customFormat="false" ht="15" hidden="false" customHeight="true" outlineLevel="0" collapsed="false">
      <c r="A230" s="148" t="n">
        <v>3024</v>
      </c>
      <c r="B230" s="405" t="s">
        <v>5448</v>
      </c>
      <c r="C230" s="119" t="n">
        <v>2021</v>
      </c>
      <c r="D230" s="404" t="n">
        <v>44379</v>
      </c>
      <c r="E230" s="68" t="s">
        <v>5449</v>
      </c>
      <c r="F230" s="151" t="s">
        <v>971</v>
      </c>
      <c r="G230" s="405" t="s">
        <v>441</v>
      </c>
      <c r="H230" s="405" t="s">
        <v>972</v>
      </c>
      <c r="I230" s="404" t="n">
        <v>45341</v>
      </c>
      <c r="J230" s="68" t="n">
        <v>2</v>
      </c>
      <c r="K230" s="71" t="s">
        <v>49</v>
      </c>
      <c r="L230" s="151" t="s">
        <v>58</v>
      </c>
      <c r="M230" s="152" t="n">
        <f aca="false">I230-D230</f>
        <v>962</v>
      </c>
    </row>
    <row r="231" customFormat="false" ht="12.75" hidden="false" customHeight="true" outlineLevel="0" collapsed="false">
      <c r="A231" s="139" t="n">
        <v>3124</v>
      </c>
      <c r="B231" s="144" t="s">
        <v>5450</v>
      </c>
      <c r="C231" s="115" t="n">
        <v>2021</v>
      </c>
      <c r="D231" s="403" t="n">
        <v>44413</v>
      </c>
      <c r="E231" s="66" t="s">
        <v>5451</v>
      </c>
      <c r="F231" s="142" t="s">
        <v>5452</v>
      </c>
      <c r="G231" s="144" t="s">
        <v>441</v>
      </c>
      <c r="H231" s="144" t="s">
        <v>972</v>
      </c>
      <c r="I231" s="403" t="n">
        <v>45341</v>
      </c>
      <c r="J231" s="66" t="n">
        <v>2</v>
      </c>
      <c r="K231" s="71" t="s">
        <v>49</v>
      </c>
      <c r="L231" s="144" t="s">
        <v>58</v>
      </c>
      <c r="M231" s="145" t="n">
        <f aca="false">I231-D231</f>
        <v>928</v>
      </c>
    </row>
    <row r="232" customFormat="false" ht="12.75" hidden="false" customHeight="true" outlineLevel="0" collapsed="false">
      <c r="A232" s="148" t="n">
        <v>3224</v>
      </c>
      <c r="B232" s="405" t="s">
        <v>5453</v>
      </c>
      <c r="C232" s="119" t="n">
        <v>2019</v>
      </c>
      <c r="D232" s="404" t="n">
        <v>43811</v>
      </c>
      <c r="E232" s="68" t="s">
        <v>5454</v>
      </c>
      <c r="F232" s="151" t="s">
        <v>168</v>
      </c>
      <c r="G232" s="405" t="s">
        <v>441</v>
      </c>
      <c r="H232" s="405" t="s">
        <v>250</v>
      </c>
      <c r="I232" s="404" t="n">
        <v>45341</v>
      </c>
      <c r="J232" s="68" t="n">
        <v>2</v>
      </c>
      <c r="K232" s="196" t="s">
        <v>44</v>
      </c>
      <c r="L232" s="151" t="s">
        <v>58</v>
      </c>
      <c r="M232" s="152" t="n">
        <f aca="false">I232-D232</f>
        <v>1530</v>
      </c>
    </row>
    <row r="233" customFormat="false" ht="12.75" hidden="false" customHeight="true" outlineLevel="0" collapsed="false">
      <c r="A233" s="139" t="n">
        <v>3324</v>
      </c>
      <c r="B233" s="144" t="s">
        <v>5455</v>
      </c>
      <c r="C233" s="115" t="n">
        <v>2020</v>
      </c>
      <c r="D233" s="403" t="n">
        <v>43955</v>
      </c>
      <c r="E233" s="66" t="s">
        <v>5456</v>
      </c>
      <c r="F233" s="142" t="s">
        <v>5457</v>
      </c>
      <c r="G233" s="144" t="s">
        <v>441</v>
      </c>
      <c r="H233" s="144" t="s">
        <v>513</v>
      </c>
      <c r="I233" s="403" t="n">
        <v>45342</v>
      </c>
      <c r="J233" s="66" t="n">
        <v>2</v>
      </c>
      <c r="K233" s="71" t="s">
        <v>49</v>
      </c>
      <c r="L233" s="144" t="s">
        <v>60</v>
      </c>
      <c r="M233" s="145" t="n">
        <f aca="false">I233-D233</f>
        <v>1387</v>
      </c>
    </row>
    <row r="234" customFormat="false" ht="12.75" hidden="false" customHeight="true" outlineLevel="0" collapsed="false">
      <c r="A234" s="148" t="n">
        <v>3424</v>
      </c>
      <c r="B234" s="405" t="s">
        <v>5458</v>
      </c>
      <c r="C234" s="119" t="n">
        <v>2021</v>
      </c>
      <c r="D234" s="404" t="n">
        <v>44253</v>
      </c>
      <c r="E234" s="68" t="s">
        <v>5459</v>
      </c>
      <c r="F234" s="151" t="s">
        <v>5460</v>
      </c>
      <c r="G234" s="405" t="s">
        <v>441</v>
      </c>
      <c r="H234" s="405" t="s">
        <v>471</v>
      </c>
      <c r="I234" s="404" t="n">
        <v>45342</v>
      </c>
      <c r="J234" s="68" t="n">
        <v>2</v>
      </c>
      <c r="K234" s="71" t="s">
        <v>49</v>
      </c>
      <c r="L234" s="151" t="s">
        <v>58</v>
      </c>
      <c r="M234" s="152" t="n">
        <f aca="false">I234-D234</f>
        <v>1089</v>
      </c>
    </row>
    <row r="235" customFormat="false" ht="12.75" hidden="false" customHeight="true" outlineLevel="0" collapsed="false">
      <c r="A235" s="139" t="n">
        <v>3524</v>
      </c>
      <c r="B235" s="144" t="s">
        <v>5461</v>
      </c>
      <c r="C235" s="115" t="n">
        <v>2020</v>
      </c>
      <c r="D235" s="403" t="n">
        <v>43949</v>
      </c>
      <c r="E235" s="66" t="s">
        <v>5462</v>
      </c>
      <c r="F235" s="142" t="s">
        <v>5463</v>
      </c>
      <c r="G235" s="144" t="s">
        <v>441</v>
      </c>
      <c r="H235" s="144" t="s">
        <v>3727</v>
      </c>
      <c r="I235" s="403" t="n">
        <v>45342</v>
      </c>
      <c r="J235" s="66" t="n">
        <v>2</v>
      </c>
      <c r="K235" s="71" t="s">
        <v>49</v>
      </c>
      <c r="L235" s="144" t="s">
        <v>60</v>
      </c>
      <c r="M235" s="145" t="n">
        <f aca="false">I235-D235</f>
        <v>1393</v>
      </c>
    </row>
    <row r="236" customFormat="false" ht="12.75" hidden="false" customHeight="true" outlineLevel="0" collapsed="false">
      <c r="A236" s="148" t="n">
        <v>3624</v>
      </c>
      <c r="B236" s="405" t="s">
        <v>5464</v>
      </c>
      <c r="C236" s="119" t="n">
        <v>2015</v>
      </c>
      <c r="D236" s="404" t="n">
        <v>42303</v>
      </c>
      <c r="E236" s="68" t="s">
        <v>5465</v>
      </c>
      <c r="F236" s="151" t="s">
        <v>4270</v>
      </c>
      <c r="G236" s="405" t="s">
        <v>441</v>
      </c>
      <c r="H236" s="405" t="s">
        <v>192</v>
      </c>
      <c r="I236" s="404" t="n">
        <v>45342</v>
      </c>
      <c r="J236" s="68" t="n">
        <v>2</v>
      </c>
      <c r="K236" s="163" t="s">
        <v>46</v>
      </c>
      <c r="L236" s="151" t="s">
        <v>58</v>
      </c>
      <c r="M236" s="152" t="n">
        <f aca="false">I236-D236</f>
        <v>3039</v>
      </c>
    </row>
    <row r="237" customFormat="false" ht="12.75" hidden="false" customHeight="true" outlineLevel="0" collapsed="false">
      <c r="A237" s="139" t="n">
        <v>3724</v>
      </c>
      <c r="B237" s="144" t="s">
        <v>5466</v>
      </c>
      <c r="C237" s="115" t="n">
        <v>2023</v>
      </c>
      <c r="D237" s="403" t="n">
        <v>45042</v>
      </c>
      <c r="E237" s="66" t="s">
        <v>5467</v>
      </c>
      <c r="F237" s="142" t="s">
        <v>5468</v>
      </c>
      <c r="G237" s="144" t="s">
        <v>125</v>
      </c>
      <c r="H237" s="144" t="s">
        <v>980</v>
      </c>
      <c r="I237" s="403" t="n">
        <v>45342</v>
      </c>
      <c r="J237" s="66" t="n">
        <v>2</v>
      </c>
      <c r="K237" s="71" t="s">
        <v>49</v>
      </c>
      <c r="L237" s="144" t="s">
        <v>61</v>
      </c>
      <c r="M237" s="145" t="n">
        <f aca="false">I237-D237</f>
        <v>300</v>
      </c>
    </row>
    <row r="238" customFormat="false" ht="12.75" hidden="false" customHeight="true" outlineLevel="0" collapsed="false">
      <c r="A238" s="148" t="n">
        <v>3824</v>
      </c>
      <c r="B238" s="405" t="s">
        <v>5469</v>
      </c>
      <c r="C238" s="119" t="n">
        <v>2016</v>
      </c>
      <c r="D238" s="404" t="n">
        <v>42552</v>
      </c>
      <c r="E238" s="68" t="s">
        <v>5470</v>
      </c>
      <c r="F238" s="151" t="s">
        <v>699</v>
      </c>
      <c r="G238" s="405" t="s">
        <v>441</v>
      </c>
      <c r="H238" s="405" t="s">
        <v>263</v>
      </c>
      <c r="I238" s="404" t="n">
        <v>45342</v>
      </c>
      <c r="J238" s="68" t="n">
        <v>2</v>
      </c>
      <c r="K238" s="71" t="s">
        <v>49</v>
      </c>
      <c r="L238" s="152" t="s">
        <v>60</v>
      </c>
      <c r="M238" s="152" t="n">
        <f aca="false">I238-D238</f>
        <v>2790</v>
      </c>
    </row>
    <row r="239" customFormat="false" ht="12.75" hidden="false" customHeight="true" outlineLevel="0" collapsed="false">
      <c r="A239" s="139" t="n">
        <v>3924</v>
      </c>
      <c r="B239" s="144" t="s">
        <v>5471</v>
      </c>
      <c r="C239" s="115" t="n">
        <v>2023</v>
      </c>
      <c r="D239" s="403" t="n">
        <v>44932</v>
      </c>
      <c r="E239" s="66" t="s">
        <v>5472</v>
      </c>
      <c r="F239" s="142" t="s">
        <v>5473</v>
      </c>
      <c r="G239" s="144" t="s">
        <v>125</v>
      </c>
      <c r="H239" s="144" t="s">
        <v>3832</v>
      </c>
      <c r="I239" s="403" t="n">
        <v>45342</v>
      </c>
      <c r="J239" s="66" t="n">
        <v>2</v>
      </c>
      <c r="K239" s="71" t="s">
        <v>49</v>
      </c>
      <c r="L239" s="144" t="s">
        <v>61</v>
      </c>
      <c r="M239" s="145" t="n">
        <f aca="false">I239-D239</f>
        <v>410</v>
      </c>
    </row>
    <row r="240" customFormat="false" ht="12.75" hidden="false" customHeight="true" outlineLevel="0" collapsed="false">
      <c r="A240" s="148" t="n">
        <v>4024</v>
      </c>
      <c r="B240" s="405" t="s">
        <v>5474</v>
      </c>
      <c r="C240" s="119" t="n">
        <v>2018</v>
      </c>
      <c r="D240" s="404" t="n">
        <v>43335</v>
      </c>
      <c r="E240" s="68" t="s">
        <v>5475</v>
      </c>
      <c r="F240" s="151" t="s">
        <v>5476</v>
      </c>
      <c r="G240" s="405" t="s">
        <v>144</v>
      </c>
      <c r="H240" s="405" t="s">
        <v>192</v>
      </c>
      <c r="I240" s="404" t="n">
        <v>45342</v>
      </c>
      <c r="J240" s="68" t="n">
        <v>2</v>
      </c>
      <c r="K240" s="71" t="s">
        <v>49</v>
      </c>
      <c r="L240" s="152" t="s">
        <v>60</v>
      </c>
      <c r="M240" s="152" t="n">
        <f aca="false">I240-D240</f>
        <v>2007</v>
      </c>
    </row>
    <row r="241" customFormat="false" ht="12.75" hidden="false" customHeight="true" outlineLevel="0" collapsed="false">
      <c r="A241" s="139" t="n">
        <v>4124</v>
      </c>
      <c r="B241" s="144" t="s">
        <v>5477</v>
      </c>
      <c r="C241" s="115" t="n">
        <v>2017</v>
      </c>
      <c r="D241" s="403" t="n">
        <v>43059</v>
      </c>
      <c r="E241" s="66" t="s">
        <v>5478</v>
      </c>
      <c r="F241" s="142" t="s">
        <v>1324</v>
      </c>
      <c r="G241" s="144" t="s">
        <v>441</v>
      </c>
      <c r="H241" s="144" t="s">
        <v>3056</v>
      </c>
      <c r="I241" s="403" t="n">
        <v>45342</v>
      </c>
      <c r="J241" s="66" t="n">
        <v>2</v>
      </c>
      <c r="K241" s="71" t="s">
        <v>49</v>
      </c>
      <c r="L241" s="144" t="s">
        <v>60</v>
      </c>
      <c r="M241" s="145" t="n">
        <f aca="false">I241-D241</f>
        <v>2283</v>
      </c>
    </row>
    <row r="242" customFormat="false" ht="12.75" hidden="false" customHeight="true" outlineLevel="0" collapsed="false">
      <c r="A242" s="148" t="n">
        <v>4224</v>
      </c>
      <c r="B242" s="405" t="s">
        <v>5479</v>
      </c>
      <c r="C242" s="119" t="n">
        <v>2015</v>
      </c>
      <c r="D242" s="404" t="n">
        <v>42270</v>
      </c>
      <c r="E242" s="68" t="s">
        <v>5480</v>
      </c>
      <c r="F242" s="151" t="s">
        <v>365</v>
      </c>
      <c r="G242" s="405" t="s">
        <v>441</v>
      </c>
      <c r="H242" s="405" t="s">
        <v>4769</v>
      </c>
      <c r="I242" s="404" t="n">
        <v>45342</v>
      </c>
      <c r="J242" s="68" t="n">
        <v>2</v>
      </c>
      <c r="K242" s="71" t="s">
        <v>48</v>
      </c>
      <c r="L242" s="151" t="s">
        <v>58</v>
      </c>
      <c r="M242" s="152" t="n">
        <f aca="false">I242-D242</f>
        <v>3072</v>
      </c>
    </row>
    <row r="243" customFormat="false" ht="12.75" hidden="false" customHeight="true" outlineLevel="0" collapsed="false">
      <c r="A243" s="139" t="n">
        <v>4324</v>
      </c>
      <c r="B243" s="144" t="s">
        <v>5481</v>
      </c>
      <c r="C243" s="115" t="n">
        <v>2018</v>
      </c>
      <c r="D243" s="403" t="n">
        <v>43187</v>
      </c>
      <c r="E243" s="66" t="s">
        <v>5482</v>
      </c>
      <c r="F243" s="66" t="s">
        <v>379</v>
      </c>
      <c r="G243" s="144" t="s">
        <v>441</v>
      </c>
      <c r="H243" s="144" t="s">
        <v>254</v>
      </c>
      <c r="I243" s="403" t="n">
        <v>45369</v>
      </c>
      <c r="J243" s="66" t="n">
        <v>3</v>
      </c>
      <c r="K243" s="71" t="s">
        <v>49</v>
      </c>
      <c r="L243" s="144" t="s">
        <v>58</v>
      </c>
      <c r="M243" s="145" t="n">
        <f aca="false">I243-D243</f>
        <v>2182</v>
      </c>
    </row>
    <row r="244" customFormat="false" ht="12.75" hidden="false" customHeight="true" outlineLevel="0" collapsed="false">
      <c r="A244" s="148" t="n">
        <v>4424</v>
      </c>
      <c r="B244" s="405" t="s">
        <v>5483</v>
      </c>
      <c r="C244" s="119" t="n">
        <v>2020</v>
      </c>
      <c r="D244" s="404" t="n">
        <v>44018</v>
      </c>
      <c r="E244" s="68" t="s">
        <v>5484</v>
      </c>
      <c r="F244" s="151" t="s">
        <v>5485</v>
      </c>
      <c r="G244" s="405" t="s">
        <v>144</v>
      </c>
      <c r="H244" s="405" t="s">
        <v>5486</v>
      </c>
      <c r="I244" s="404" t="n">
        <v>45369</v>
      </c>
      <c r="J244" s="68" t="n">
        <v>3</v>
      </c>
      <c r="K244" s="71" t="s">
        <v>48</v>
      </c>
      <c r="L244" s="151" t="s">
        <v>58</v>
      </c>
      <c r="M244" s="152" t="n">
        <f aca="false">I244-D244</f>
        <v>1351</v>
      </c>
    </row>
    <row r="245" customFormat="false" ht="12.75" hidden="false" customHeight="true" outlineLevel="0" collapsed="false">
      <c r="A245" s="139" t="n">
        <v>4524</v>
      </c>
      <c r="B245" s="144" t="s">
        <v>5487</v>
      </c>
      <c r="C245" s="115" t="n">
        <v>2017</v>
      </c>
      <c r="D245" s="403" t="n">
        <v>43069</v>
      </c>
      <c r="E245" s="66" t="s">
        <v>5488</v>
      </c>
      <c r="F245" s="66" t="s">
        <v>5489</v>
      </c>
      <c r="G245" s="144" t="s">
        <v>144</v>
      </c>
      <c r="H245" s="144" t="s">
        <v>254</v>
      </c>
      <c r="I245" s="403" t="n">
        <v>45369</v>
      </c>
      <c r="J245" s="66" t="n">
        <v>3</v>
      </c>
      <c r="K245" s="71" t="s">
        <v>48</v>
      </c>
      <c r="L245" s="144" t="s">
        <v>58</v>
      </c>
      <c r="M245" s="145" t="n">
        <f aca="false">I245-D245</f>
        <v>2300</v>
      </c>
    </row>
    <row r="246" customFormat="false" ht="12.75" hidden="false" customHeight="true" outlineLevel="0" collapsed="false">
      <c r="A246" s="148" t="n">
        <v>4624</v>
      </c>
      <c r="B246" s="405" t="s">
        <v>5490</v>
      </c>
      <c r="C246" s="119" t="n">
        <v>2020</v>
      </c>
      <c r="D246" s="404" t="n">
        <v>44006</v>
      </c>
      <c r="E246" s="68" t="s">
        <v>5491</v>
      </c>
      <c r="F246" s="151" t="s">
        <v>5492</v>
      </c>
      <c r="G246" s="405" t="s">
        <v>115</v>
      </c>
      <c r="H246" s="405" t="s">
        <v>899</v>
      </c>
      <c r="I246" s="404" t="n">
        <v>45369</v>
      </c>
      <c r="J246" s="68" t="n">
        <v>3</v>
      </c>
      <c r="K246" s="71" t="s">
        <v>49</v>
      </c>
      <c r="L246" s="151" t="s">
        <v>58</v>
      </c>
      <c r="M246" s="152" t="n">
        <f aca="false">I246-D246</f>
        <v>1363</v>
      </c>
    </row>
    <row r="247" customFormat="false" ht="12.75" hidden="false" customHeight="true" outlineLevel="0" collapsed="false">
      <c r="A247" s="139" t="n">
        <v>4724</v>
      </c>
      <c r="B247" s="144" t="s">
        <v>5493</v>
      </c>
      <c r="C247" s="115" t="n">
        <v>2017</v>
      </c>
      <c r="D247" s="403" t="n">
        <v>42762</v>
      </c>
      <c r="E247" s="66" t="s">
        <v>5494</v>
      </c>
      <c r="F247" s="66" t="s">
        <v>5495</v>
      </c>
      <c r="G247" s="144" t="s">
        <v>441</v>
      </c>
      <c r="H247" s="144" t="s">
        <v>267</v>
      </c>
      <c r="I247" s="403" t="n">
        <v>45369</v>
      </c>
      <c r="J247" s="66" t="n">
        <v>3</v>
      </c>
      <c r="K247" s="71" t="s">
        <v>49</v>
      </c>
      <c r="L247" s="144" t="s">
        <v>58</v>
      </c>
      <c r="M247" s="145" t="n">
        <f aca="false">I247-D247</f>
        <v>2607</v>
      </c>
    </row>
    <row r="248" customFormat="false" ht="12.75" hidden="false" customHeight="true" outlineLevel="0" collapsed="false">
      <c r="A248" s="148" t="n">
        <v>4824</v>
      </c>
      <c r="B248" s="405" t="s">
        <v>5496</v>
      </c>
      <c r="C248" s="119" t="n">
        <v>2019</v>
      </c>
      <c r="D248" s="404" t="n">
        <v>43781</v>
      </c>
      <c r="E248" s="68" t="s">
        <v>5497</v>
      </c>
      <c r="F248" s="151" t="s">
        <v>705</v>
      </c>
      <c r="G248" s="405" t="s">
        <v>441</v>
      </c>
      <c r="H248" s="405" t="s">
        <v>781</v>
      </c>
      <c r="I248" s="404" t="n">
        <v>45369</v>
      </c>
      <c r="J248" s="68" t="n">
        <v>3</v>
      </c>
      <c r="K248" s="71" t="s">
        <v>48</v>
      </c>
      <c r="L248" s="151" t="s">
        <v>58</v>
      </c>
      <c r="M248" s="152" t="n">
        <f aca="false">I248-D248</f>
        <v>1588</v>
      </c>
    </row>
    <row r="249" customFormat="false" ht="12.75" hidden="false" customHeight="true" outlineLevel="0" collapsed="false">
      <c r="A249" s="139" t="n">
        <v>4924</v>
      </c>
      <c r="B249" s="144" t="s">
        <v>5498</v>
      </c>
      <c r="C249" s="115" t="n">
        <v>2013</v>
      </c>
      <c r="D249" s="403" t="n">
        <v>41324</v>
      </c>
      <c r="E249" s="66" t="s">
        <v>5499</v>
      </c>
      <c r="F249" s="66" t="s">
        <v>365</v>
      </c>
      <c r="G249" s="144" t="s">
        <v>441</v>
      </c>
      <c r="H249" s="144" t="s">
        <v>254</v>
      </c>
      <c r="I249" s="403" t="n">
        <v>45369</v>
      </c>
      <c r="J249" s="66" t="n">
        <v>3</v>
      </c>
      <c r="K249" s="71" t="s">
        <v>48</v>
      </c>
      <c r="L249" s="144" t="s">
        <v>58</v>
      </c>
      <c r="M249" s="145" t="n">
        <f aca="false">I249-D249</f>
        <v>4045</v>
      </c>
    </row>
    <row r="250" customFormat="false" ht="12.75" hidden="false" customHeight="true" outlineLevel="0" collapsed="false">
      <c r="A250" s="148" t="n">
        <v>5024</v>
      </c>
      <c r="B250" s="405" t="s">
        <v>5500</v>
      </c>
      <c r="C250" s="119" t="n">
        <v>2018</v>
      </c>
      <c r="D250" s="404" t="n">
        <v>43224</v>
      </c>
      <c r="E250" s="68" t="s">
        <v>5501</v>
      </c>
      <c r="F250" s="151" t="s">
        <v>477</v>
      </c>
      <c r="G250" s="405" t="s">
        <v>441</v>
      </c>
      <c r="H250" s="405" t="s">
        <v>254</v>
      </c>
      <c r="I250" s="404" t="n">
        <v>45369</v>
      </c>
      <c r="J250" s="68" t="n">
        <v>3</v>
      </c>
      <c r="K250" s="71" t="s">
        <v>49</v>
      </c>
      <c r="L250" s="151" t="s">
        <v>58</v>
      </c>
      <c r="M250" s="152" t="n">
        <f aca="false">I250-D250</f>
        <v>2145</v>
      </c>
    </row>
    <row r="251" customFormat="false" ht="12.75" hidden="false" customHeight="true" outlineLevel="0" collapsed="false">
      <c r="A251" s="139" t="n">
        <v>5124</v>
      </c>
      <c r="B251" s="144" t="s">
        <v>5502</v>
      </c>
      <c r="C251" s="115" t="n">
        <v>2016</v>
      </c>
      <c r="D251" s="403" t="n">
        <v>42509</v>
      </c>
      <c r="E251" s="66" t="s">
        <v>5503</v>
      </c>
      <c r="F251" s="66" t="s">
        <v>705</v>
      </c>
      <c r="G251" s="144" t="s">
        <v>441</v>
      </c>
      <c r="H251" s="144" t="s">
        <v>5504</v>
      </c>
      <c r="I251" s="403" t="n">
        <v>45369</v>
      </c>
      <c r="J251" s="66" t="n">
        <v>3</v>
      </c>
      <c r="K251" s="71" t="s">
        <v>48</v>
      </c>
      <c r="L251" s="144" t="s">
        <v>58</v>
      </c>
      <c r="M251" s="145" t="n">
        <f aca="false">I251-D251</f>
        <v>2860</v>
      </c>
    </row>
    <row r="252" customFormat="false" ht="12.75" hidden="false" customHeight="true" outlineLevel="0" collapsed="false">
      <c r="A252" s="148" t="n">
        <v>5224</v>
      </c>
      <c r="B252" s="405" t="s">
        <v>5505</v>
      </c>
      <c r="C252" s="119" t="n">
        <v>2019</v>
      </c>
      <c r="D252" s="404" t="n">
        <v>43728</v>
      </c>
      <c r="E252" s="68" t="s">
        <v>5506</v>
      </c>
      <c r="F252" s="151" t="s">
        <v>1196</v>
      </c>
      <c r="G252" s="405" t="s">
        <v>441</v>
      </c>
      <c r="H252" s="405" t="s">
        <v>5504</v>
      </c>
      <c r="I252" s="404" t="n">
        <v>45369</v>
      </c>
      <c r="J252" s="68" t="n">
        <v>3</v>
      </c>
      <c r="K252" s="71" t="s">
        <v>49</v>
      </c>
      <c r="L252" s="152" t="s">
        <v>60</v>
      </c>
      <c r="M252" s="152" t="n">
        <f aca="false">I252-D252</f>
        <v>1641</v>
      </c>
    </row>
    <row r="253" customFormat="false" ht="12.75" hidden="false" customHeight="true" outlineLevel="0" collapsed="false">
      <c r="A253" s="139" t="n">
        <v>5324</v>
      </c>
      <c r="B253" s="144" t="s">
        <v>5507</v>
      </c>
      <c r="C253" s="115" t="n">
        <v>2018</v>
      </c>
      <c r="D253" s="403" t="n">
        <v>43104</v>
      </c>
      <c r="E253" s="66" t="s">
        <v>5508</v>
      </c>
      <c r="F253" s="66" t="s">
        <v>5509</v>
      </c>
      <c r="G253" s="144" t="s">
        <v>441</v>
      </c>
      <c r="H253" s="144" t="s">
        <v>1231</v>
      </c>
      <c r="I253" s="403" t="n">
        <v>45369</v>
      </c>
      <c r="J253" s="66" t="n">
        <v>3</v>
      </c>
      <c r="K253" s="71" t="s">
        <v>49</v>
      </c>
      <c r="L253" s="144" t="s">
        <v>58</v>
      </c>
      <c r="M253" s="145" t="n">
        <f aca="false">I253-D253</f>
        <v>2265</v>
      </c>
    </row>
    <row r="254" customFormat="false" ht="12.75" hidden="false" customHeight="true" outlineLevel="0" collapsed="false">
      <c r="A254" s="148" t="n">
        <v>5424</v>
      </c>
      <c r="B254" s="405" t="s">
        <v>5510</v>
      </c>
      <c r="C254" s="119" t="n">
        <v>2018</v>
      </c>
      <c r="D254" s="404" t="n">
        <v>43346</v>
      </c>
      <c r="E254" s="68" t="s">
        <v>5511</v>
      </c>
      <c r="F254" s="151" t="s">
        <v>1890</v>
      </c>
      <c r="G254" s="405" t="s">
        <v>441</v>
      </c>
      <c r="H254" s="405" t="s">
        <v>706</v>
      </c>
      <c r="I254" s="404" t="n">
        <v>45369</v>
      </c>
      <c r="J254" s="68" t="n">
        <v>3</v>
      </c>
      <c r="K254" s="71" t="s">
        <v>49</v>
      </c>
      <c r="L254" s="152" t="s">
        <v>58</v>
      </c>
      <c r="M254" s="152" t="n">
        <f aca="false">I254-D254</f>
        <v>2023</v>
      </c>
    </row>
    <row r="255" customFormat="false" ht="12.75" hidden="false" customHeight="true" outlineLevel="0" collapsed="false">
      <c r="A255" s="139" t="n">
        <v>5524</v>
      </c>
      <c r="B255" s="144" t="s">
        <v>5512</v>
      </c>
      <c r="C255" s="115" t="n">
        <v>2019</v>
      </c>
      <c r="D255" s="403" t="n">
        <v>43573</v>
      </c>
      <c r="E255" s="66" t="s">
        <v>5513</v>
      </c>
      <c r="F255" s="66" t="s">
        <v>777</v>
      </c>
      <c r="G255" s="144" t="s">
        <v>441</v>
      </c>
      <c r="H255" s="144" t="s">
        <v>471</v>
      </c>
      <c r="I255" s="403" t="n">
        <v>45369</v>
      </c>
      <c r="J255" s="66" t="n">
        <v>3</v>
      </c>
      <c r="K255" s="71" t="s">
        <v>49</v>
      </c>
      <c r="L255" s="144" t="s">
        <v>60</v>
      </c>
      <c r="M255" s="145" t="n">
        <f aca="false">I255-D255</f>
        <v>1796</v>
      </c>
    </row>
    <row r="256" customFormat="false" ht="12.75" hidden="false" customHeight="true" outlineLevel="0" collapsed="false">
      <c r="A256" s="148" t="n">
        <v>5624</v>
      </c>
      <c r="B256" s="405" t="s">
        <v>5514</v>
      </c>
      <c r="C256" s="119" t="n">
        <v>2020</v>
      </c>
      <c r="D256" s="404" t="n">
        <v>44194</v>
      </c>
      <c r="E256" s="68" t="s">
        <v>5515</v>
      </c>
      <c r="F256" s="151" t="s">
        <v>5516</v>
      </c>
      <c r="G256" s="405" t="s">
        <v>115</v>
      </c>
      <c r="H256" s="405" t="s">
        <v>373</v>
      </c>
      <c r="I256" s="404" t="n">
        <v>45369</v>
      </c>
      <c r="J256" s="68" t="n">
        <v>3</v>
      </c>
      <c r="K256" s="71" t="s">
        <v>49</v>
      </c>
      <c r="L256" s="152" t="s">
        <v>58</v>
      </c>
      <c r="M256" s="152" t="n">
        <f aca="false">I256-D256</f>
        <v>1175</v>
      </c>
    </row>
    <row r="257" customFormat="false" ht="12.75" hidden="false" customHeight="true" outlineLevel="0" collapsed="false">
      <c r="A257" s="139" t="n">
        <v>5724</v>
      </c>
      <c r="B257" s="144" t="s">
        <v>5517</v>
      </c>
      <c r="C257" s="115" t="n">
        <v>2021</v>
      </c>
      <c r="D257" s="403" t="n">
        <v>44550</v>
      </c>
      <c r="E257" s="66" t="s">
        <v>5518</v>
      </c>
      <c r="F257" s="66" t="s">
        <v>5519</v>
      </c>
      <c r="G257" s="144" t="s">
        <v>115</v>
      </c>
      <c r="H257" s="144" t="s">
        <v>373</v>
      </c>
      <c r="I257" s="403" t="n">
        <v>45369</v>
      </c>
      <c r="J257" s="66" t="n">
        <v>3</v>
      </c>
      <c r="K257" s="71" t="s">
        <v>49</v>
      </c>
      <c r="L257" s="144" t="s">
        <v>58</v>
      </c>
      <c r="M257" s="145" t="n">
        <f aca="false">I257-D257</f>
        <v>819</v>
      </c>
    </row>
    <row r="258" customFormat="false" ht="12.75" hidden="false" customHeight="true" outlineLevel="0" collapsed="false">
      <c r="A258" s="148" t="n">
        <v>5824</v>
      </c>
      <c r="B258" s="405" t="s">
        <v>5520</v>
      </c>
      <c r="C258" s="119" t="n">
        <v>2019</v>
      </c>
      <c r="D258" s="404" t="n">
        <v>43591</v>
      </c>
      <c r="E258" s="68" t="s">
        <v>5521</v>
      </c>
      <c r="F258" s="151" t="s">
        <v>5522</v>
      </c>
      <c r="G258" s="405" t="s">
        <v>441</v>
      </c>
      <c r="H258" s="405" t="s">
        <v>471</v>
      </c>
      <c r="I258" s="404" t="n">
        <v>45370</v>
      </c>
      <c r="J258" s="68" t="n">
        <v>3</v>
      </c>
      <c r="K258" s="71" t="s">
        <v>48</v>
      </c>
      <c r="L258" s="152" t="s">
        <v>58</v>
      </c>
      <c r="M258" s="152" t="n">
        <f aca="false">I258-D258</f>
        <v>1779</v>
      </c>
    </row>
    <row r="259" customFormat="false" ht="12.75" hidden="false" customHeight="true" outlineLevel="0" collapsed="false">
      <c r="A259" s="139" t="n">
        <v>5924</v>
      </c>
      <c r="B259" s="144" t="s">
        <v>5523</v>
      </c>
      <c r="C259" s="115" t="n">
        <v>2020</v>
      </c>
      <c r="D259" s="403" t="n">
        <v>43975</v>
      </c>
      <c r="E259" s="66" t="s">
        <v>5524</v>
      </c>
      <c r="F259" s="66" t="s">
        <v>164</v>
      </c>
      <c r="G259" s="144" t="s">
        <v>441</v>
      </c>
      <c r="H259" s="144" t="s">
        <v>471</v>
      </c>
      <c r="I259" s="403" t="n">
        <v>45370</v>
      </c>
      <c r="J259" s="66" t="n">
        <v>3</v>
      </c>
      <c r="K259" s="71" t="s">
        <v>48</v>
      </c>
      <c r="L259" s="144" t="s">
        <v>2848</v>
      </c>
      <c r="M259" s="145" t="n">
        <f aca="false">I259-D259</f>
        <v>1395</v>
      </c>
    </row>
    <row r="260" customFormat="false" ht="12.75" hidden="false" customHeight="true" outlineLevel="0" collapsed="false">
      <c r="A260" s="148" t="n">
        <v>6024</v>
      </c>
      <c r="B260" s="405" t="s">
        <v>5525</v>
      </c>
      <c r="C260" s="119" t="n">
        <v>2019</v>
      </c>
      <c r="D260" s="404" t="n">
        <v>43749</v>
      </c>
      <c r="E260" s="68" t="s">
        <v>5526</v>
      </c>
      <c r="F260" s="151" t="s">
        <v>537</v>
      </c>
      <c r="G260" s="405" t="s">
        <v>441</v>
      </c>
      <c r="H260" s="405" t="s">
        <v>1081</v>
      </c>
      <c r="I260" s="404" t="n">
        <v>45370</v>
      </c>
      <c r="J260" s="68" t="n">
        <v>3</v>
      </c>
      <c r="K260" s="71" t="s">
        <v>49</v>
      </c>
      <c r="L260" s="152" t="s">
        <v>58</v>
      </c>
      <c r="M260" s="152" t="n">
        <f aca="false">I260-D260</f>
        <v>1621</v>
      </c>
    </row>
    <row r="261" customFormat="false" ht="12.75" hidden="false" customHeight="true" outlineLevel="0" collapsed="false">
      <c r="A261" s="139" t="n">
        <v>6124</v>
      </c>
      <c r="B261" s="144" t="s">
        <v>5527</v>
      </c>
      <c r="C261" s="115" t="n">
        <v>2016</v>
      </c>
      <c r="D261" s="403" t="n">
        <v>42677</v>
      </c>
      <c r="E261" s="66" t="s">
        <v>5528</v>
      </c>
      <c r="F261" s="66" t="s">
        <v>709</v>
      </c>
      <c r="G261" s="144" t="s">
        <v>441</v>
      </c>
      <c r="H261" s="144" t="s">
        <v>267</v>
      </c>
      <c r="I261" s="403" t="n">
        <v>45372</v>
      </c>
      <c r="J261" s="66" t="n">
        <v>3</v>
      </c>
      <c r="K261" s="163" t="s">
        <v>46</v>
      </c>
      <c r="L261" s="144" t="s">
        <v>58</v>
      </c>
      <c r="M261" s="145" t="n">
        <f aca="false">I261-D261</f>
        <v>2695</v>
      </c>
    </row>
    <row r="262" customFormat="false" ht="12.75" hidden="false" customHeight="true" outlineLevel="0" collapsed="false">
      <c r="A262" s="148" t="n">
        <v>6224</v>
      </c>
      <c r="B262" s="405" t="s">
        <v>5529</v>
      </c>
      <c r="C262" s="119" t="n">
        <v>2022</v>
      </c>
      <c r="D262" s="404" t="n">
        <v>44869</v>
      </c>
      <c r="E262" s="68" t="s">
        <v>5530</v>
      </c>
      <c r="F262" s="151" t="s">
        <v>5531</v>
      </c>
      <c r="G262" s="405" t="s">
        <v>125</v>
      </c>
      <c r="H262" s="405" t="s">
        <v>3472</v>
      </c>
      <c r="I262" s="404" t="n">
        <v>45372</v>
      </c>
      <c r="J262" s="68" t="n">
        <v>3</v>
      </c>
      <c r="K262" s="71" t="s">
        <v>49</v>
      </c>
      <c r="L262" s="152" t="s">
        <v>61</v>
      </c>
      <c r="M262" s="152" t="n">
        <f aca="false">I262-D262</f>
        <v>503</v>
      </c>
    </row>
    <row r="263" customFormat="false" ht="12.75" hidden="false" customHeight="true" outlineLevel="0" collapsed="false">
      <c r="A263" s="139" t="n">
        <v>6324</v>
      </c>
      <c r="B263" s="144" t="s">
        <v>5532</v>
      </c>
      <c r="C263" s="115" t="n">
        <v>2022</v>
      </c>
      <c r="D263" s="403" t="n">
        <v>44839</v>
      </c>
      <c r="E263" s="66" t="s">
        <v>5533</v>
      </c>
      <c r="F263" s="66" t="s">
        <v>5531</v>
      </c>
      <c r="G263" s="144" t="s">
        <v>125</v>
      </c>
      <c r="H263" s="144" t="s">
        <v>3472</v>
      </c>
      <c r="I263" s="403" t="n">
        <v>45372</v>
      </c>
      <c r="J263" s="66" t="n">
        <v>3</v>
      </c>
      <c r="K263" s="71" t="s">
        <v>49</v>
      </c>
      <c r="L263" s="144" t="s">
        <v>61</v>
      </c>
      <c r="M263" s="145" t="n">
        <f aca="false">I263-D263</f>
        <v>533</v>
      </c>
    </row>
    <row r="264" customFormat="false" ht="12.75" hidden="false" customHeight="true" outlineLevel="0" collapsed="false">
      <c r="A264" s="148" t="n">
        <v>6424</v>
      </c>
      <c r="B264" s="405" t="s">
        <v>5534</v>
      </c>
      <c r="C264" s="119" t="n">
        <v>2020</v>
      </c>
      <c r="D264" s="404" t="n">
        <v>43941</v>
      </c>
      <c r="E264" s="68" t="s">
        <v>5535</v>
      </c>
      <c r="F264" s="151" t="s">
        <v>5536</v>
      </c>
      <c r="G264" s="405" t="s">
        <v>441</v>
      </c>
      <c r="H264" s="405" t="s">
        <v>3727</v>
      </c>
      <c r="I264" s="404" t="n">
        <v>45372</v>
      </c>
      <c r="J264" s="68" t="n">
        <v>3</v>
      </c>
      <c r="K264" s="71" t="s">
        <v>49</v>
      </c>
      <c r="L264" s="152" t="s">
        <v>61</v>
      </c>
      <c r="M264" s="152" t="n">
        <f aca="false">I264-D264</f>
        <v>1431</v>
      </c>
    </row>
    <row r="265" customFormat="false" ht="12.75" hidden="false" customHeight="true" outlineLevel="0" collapsed="false">
      <c r="A265" s="139" t="n">
        <v>6524</v>
      </c>
      <c r="B265" s="144" t="s">
        <v>5537</v>
      </c>
      <c r="C265" s="115" t="n">
        <v>2023</v>
      </c>
      <c r="D265" s="403" t="n">
        <v>44974</v>
      </c>
      <c r="E265" s="66" t="s">
        <v>5538</v>
      </c>
      <c r="F265" s="66" t="s">
        <v>5539</v>
      </c>
      <c r="G265" s="144" t="s">
        <v>125</v>
      </c>
      <c r="H265" s="144" t="s">
        <v>54</v>
      </c>
      <c r="I265" s="403" t="n">
        <v>45372</v>
      </c>
      <c r="J265" s="66" t="n">
        <v>3</v>
      </c>
      <c r="K265" s="71" t="s">
        <v>49</v>
      </c>
      <c r="L265" s="144" t="s">
        <v>61</v>
      </c>
      <c r="M265" s="145" t="n">
        <f aca="false">I265-D265</f>
        <v>398</v>
      </c>
    </row>
    <row r="266" customFormat="false" ht="12.75" hidden="false" customHeight="true" outlineLevel="0" collapsed="false">
      <c r="A266" s="148" t="n">
        <v>6624</v>
      </c>
      <c r="B266" s="405" t="s">
        <v>5540</v>
      </c>
      <c r="C266" s="119" t="n">
        <v>2020</v>
      </c>
      <c r="D266" s="404" t="n">
        <v>44043</v>
      </c>
      <c r="E266" s="68" t="s">
        <v>5541</v>
      </c>
      <c r="F266" s="151" t="s">
        <v>5542</v>
      </c>
      <c r="G266" s="405" t="s">
        <v>441</v>
      </c>
      <c r="H266" s="405" t="s">
        <v>254</v>
      </c>
      <c r="I266" s="404" t="n">
        <v>45372</v>
      </c>
      <c r="J266" s="68" t="n">
        <v>3</v>
      </c>
      <c r="K266" s="71" t="s">
        <v>48</v>
      </c>
      <c r="L266" s="152" t="s">
        <v>58</v>
      </c>
      <c r="M266" s="152" t="n">
        <f aca="false">I266-D266</f>
        <v>1329</v>
      </c>
    </row>
    <row r="267" customFormat="false" ht="12.75" hidden="false" customHeight="true" outlineLevel="0" collapsed="false">
      <c r="A267" s="139" t="n">
        <v>6724</v>
      </c>
      <c r="B267" s="144" t="s">
        <v>5543</v>
      </c>
      <c r="C267" s="115" t="n">
        <v>2019</v>
      </c>
      <c r="D267" s="403" t="n">
        <v>43810</v>
      </c>
      <c r="E267" s="66" t="s">
        <v>5544</v>
      </c>
      <c r="F267" s="66" t="s">
        <v>5545</v>
      </c>
      <c r="G267" s="144" t="s">
        <v>441</v>
      </c>
      <c r="H267" s="144" t="s">
        <v>254</v>
      </c>
      <c r="I267" s="403" t="n">
        <v>45372</v>
      </c>
      <c r="J267" s="66" t="n">
        <v>3</v>
      </c>
      <c r="K267" s="71" t="s">
        <v>48</v>
      </c>
      <c r="L267" s="144" t="s">
        <v>58</v>
      </c>
      <c r="M267" s="145" t="n">
        <f aca="false">I267-D267</f>
        <v>1562</v>
      </c>
    </row>
    <row r="268" customFormat="false" ht="12.75" hidden="false" customHeight="true" outlineLevel="0" collapsed="false">
      <c r="A268" s="148" t="n">
        <v>6824</v>
      </c>
      <c r="B268" s="405" t="s">
        <v>5546</v>
      </c>
      <c r="C268" s="119" t="n">
        <v>2022</v>
      </c>
      <c r="D268" s="404" t="n">
        <v>44805</v>
      </c>
      <c r="E268" s="68" t="s">
        <v>5547</v>
      </c>
      <c r="F268" s="151" t="s">
        <v>5548</v>
      </c>
      <c r="G268" s="405" t="s">
        <v>125</v>
      </c>
      <c r="H268" s="405" t="s">
        <v>149</v>
      </c>
      <c r="I268" s="404" t="n">
        <v>45384</v>
      </c>
      <c r="J268" s="68" t="n">
        <v>4</v>
      </c>
      <c r="K268" s="406" t="s">
        <v>290</v>
      </c>
      <c r="L268" s="152" t="s">
        <v>61</v>
      </c>
      <c r="M268" s="152" t="n">
        <f aca="false">I268-D268</f>
        <v>579</v>
      </c>
    </row>
    <row r="269" customFormat="false" ht="12.75" hidden="false" customHeight="true" outlineLevel="0" collapsed="false">
      <c r="A269" s="139" t="n">
        <v>6924</v>
      </c>
      <c r="B269" s="144" t="s">
        <v>5549</v>
      </c>
      <c r="C269" s="115" t="n">
        <v>2018</v>
      </c>
      <c r="D269" s="403" t="n">
        <v>43342</v>
      </c>
      <c r="E269" s="66" t="s">
        <v>5550</v>
      </c>
      <c r="F269" s="66" t="s">
        <v>5551</v>
      </c>
      <c r="G269" s="144" t="s">
        <v>441</v>
      </c>
      <c r="H269" s="144" t="s">
        <v>109</v>
      </c>
      <c r="I269" s="403" t="n">
        <v>45384</v>
      </c>
      <c r="J269" s="66" t="n">
        <v>4</v>
      </c>
      <c r="K269" s="71" t="s">
        <v>49</v>
      </c>
      <c r="L269" s="144" t="s">
        <v>58</v>
      </c>
      <c r="M269" s="145" t="n">
        <f aca="false">I269-D269</f>
        <v>2042</v>
      </c>
    </row>
    <row r="270" customFormat="false" ht="15" hidden="false" customHeight="true" outlineLevel="0" collapsed="false">
      <c r="A270" s="148" t="n">
        <v>7024</v>
      </c>
      <c r="B270" s="405" t="s">
        <v>5552</v>
      </c>
      <c r="C270" s="119" t="n">
        <v>2020</v>
      </c>
      <c r="D270" s="404" t="n">
        <v>44057</v>
      </c>
      <c r="E270" s="68" t="s">
        <v>5553</v>
      </c>
      <c r="F270" s="151" t="s">
        <v>5554</v>
      </c>
      <c r="G270" s="405" t="s">
        <v>441</v>
      </c>
      <c r="H270" s="405" t="s">
        <v>5555</v>
      </c>
      <c r="I270" s="404" t="n">
        <v>45384</v>
      </c>
      <c r="J270" s="68" t="n">
        <v>4</v>
      </c>
      <c r="K270" s="406" t="s">
        <v>290</v>
      </c>
      <c r="L270" s="152" t="s">
        <v>60</v>
      </c>
      <c r="M270" s="152" t="n">
        <f aca="false">I270-D270</f>
        <v>1327</v>
      </c>
    </row>
    <row r="271" customFormat="false" ht="12.75" hidden="false" customHeight="true" outlineLevel="0" collapsed="false">
      <c r="A271" s="139" t="n">
        <v>7124</v>
      </c>
      <c r="B271" s="144" t="s">
        <v>5556</v>
      </c>
      <c r="C271" s="115" t="n">
        <v>2021</v>
      </c>
      <c r="D271" s="403" t="n">
        <v>44469</v>
      </c>
      <c r="E271" s="66" t="s">
        <v>5557</v>
      </c>
      <c r="F271" s="66" t="s">
        <v>107</v>
      </c>
      <c r="G271" s="144" t="s">
        <v>441</v>
      </c>
      <c r="H271" s="144" t="s">
        <v>544</v>
      </c>
      <c r="I271" s="403" t="n">
        <v>45384</v>
      </c>
      <c r="J271" s="66" t="n">
        <v>4</v>
      </c>
      <c r="K271" s="71" t="s">
        <v>48</v>
      </c>
      <c r="L271" s="144" t="s">
        <v>60</v>
      </c>
      <c r="M271" s="145" t="n">
        <f aca="false">I271-D271</f>
        <v>915</v>
      </c>
    </row>
    <row r="272" customFormat="false" ht="12.75" hidden="false" customHeight="true" outlineLevel="0" collapsed="false">
      <c r="A272" s="148" t="n">
        <v>7224</v>
      </c>
      <c r="B272" s="405" t="s">
        <v>5558</v>
      </c>
      <c r="C272" s="119" t="n">
        <v>2020</v>
      </c>
      <c r="D272" s="404" t="n">
        <v>44043</v>
      </c>
      <c r="E272" s="68" t="s">
        <v>5559</v>
      </c>
      <c r="F272" s="151" t="s">
        <v>5560</v>
      </c>
      <c r="G272" s="405" t="s">
        <v>441</v>
      </c>
      <c r="H272" s="405" t="s">
        <v>254</v>
      </c>
      <c r="I272" s="404" t="n">
        <v>45391</v>
      </c>
      <c r="J272" s="68" t="n">
        <v>4</v>
      </c>
      <c r="K272" s="71" t="s">
        <v>48</v>
      </c>
      <c r="L272" s="152" t="s">
        <v>58</v>
      </c>
      <c r="M272" s="152" t="n">
        <f aca="false">I272-D272</f>
        <v>1348</v>
      </c>
    </row>
    <row r="273" customFormat="false" ht="12.75" hidden="false" customHeight="true" outlineLevel="0" collapsed="false">
      <c r="A273" s="139" t="n">
        <v>7324</v>
      </c>
      <c r="B273" s="144" t="s">
        <v>5561</v>
      </c>
      <c r="C273" s="115" t="n">
        <v>2016</v>
      </c>
      <c r="D273" s="403" t="n">
        <v>42695</v>
      </c>
      <c r="E273" s="66" t="s">
        <v>5562</v>
      </c>
      <c r="F273" s="66" t="s">
        <v>5563</v>
      </c>
      <c r="G273" s="144" t="s">
        <v>441</v>
      </c>
      <c r="H273" s="144" t="s">
        <v>192</v>
      </c>
      <c r="I273" s="403" t="n">
        <v>45391</v>
      </c>
      <c r="J273" s="66" t="n">
        <v>4</v>
      </c>
      <c r="K273" s="71" t="s">
        <v>49</v>
      </c>
      <c r="L273" s="144" t="s">
        <v>58</v>
      </c>
      <c r="M273" s="145" t="n">
        <f aca="false">I273-D273</f>
        <v>2696</v>
      </c>
    </row>
    <row r="274" customFormat="false" ht="12.75" hidden="false" customHeight="true" outlineLevel="0" collapsed="false">
      <c r="A274" s="148" t="n">
        <v>7424</v>
      </c>
      <c r="B274" s="405" t="s">
        <v>5564</v>
      </c>
      <c r="C274" s="119" t="n">
        <v>2017</v>
      </c>
      <c r="D274" s="404" t="n">
        <v>43075</v>
      </c>
      <c r="E274" s="68" t="s">
        <v>5565</v>
      </c>
      <c r="F274" s="151" t="s">
        <v>4258</v>
      </c>
      <c r="G274" s="405" t="s">
        <v>441</v>
      </c>
      <c r="H274" s="405" t="s">
        <v>192</v>
      </c>
      <c r="I274" s="404" t="n">
        <v>45391</v>
      </c>
      <c r="J274" s="68" t="n">
        <v>4</v>
      </c>
      <c r="K274" s="71" t="s">
        <v>49</v>
      </c>
      <c r="L274" s="152" t="s">
        <v>60</v>
      </c>
      <c r="M274" s="152" t="n">
        <f aca="false">I274-D274</f>
        <v>2316</v>
      </c>
    </row>
    <row r="275" customFormat="false" ht="12.75" hidden="false" customHeight="true" outlineLevel="0" collapsed="false">
      <c r="A275" s="139" t="n">
        <v>7524</v>
      </c>
      <c r="B275" s="144" t="s">
        <v>5566</v>
      </c>
      <c r="C275" s="115" t="n">
        <v>2020</v>
      </c>
      <c r="D275" s="403" t="n">
        <v>44020</v>
      </c>
      <c r="E275" s="66" t="s">
        <v>5567</v>
      </c>
      <c r="F275" s="66" t="s">
        <v>382</v>
      </c>
      <c r="G275" s="144" t="s">
        <v>441</v>
      </c>
      <c r="H275" s="144" t="s">
        <v>2677</v>
      </c>
      <c r="I275" s="403" t="n">
        <v>45391</v>
      </c>
      <c r="J275" s="66" t="n">
        <v>4</v>
      </c>
      <c r="K275" s="406" t="s">
        <v>290</v>
      </c>
      <c r="L275" s="144" t="s">
        <v>60</v>
      </c>
      <c r="M275" s="145" t="n">
        <f aca="false">I275-D275</f>
        <v>1371</v>
      </c>
    </row>
    <row r="276" customFormat="false" ht="15" hidden="false" customHeight="true" outlineLevel="0" collapsed="false">
      <c r="A276" s="148" t="n">
        <v>7624</v>
      </c>
      <c r="B276" s="405" t="s">
        <v>5568</v>
      </c>
      <c r="C276" s="119" t="n">
        <v>2022</v>
      </c>
      <c r="D276" s="404" t="n">
        <v>44816</v>
      </c>
      <c r="E276" s="68" t="s">
        <v>5569</v>
      </c>
      <c r="F276" s="151" t="s">
        <v>199</v>
      </c>
      <c r="G276" s="405" t="s">
        <v>130</v>
      </c>
      <c r="H276" s="405" t="s">
        <v>3673</v>
      </c>
      <c r="I276" s="404" t="n">
        <v>45391</v>
      </c>
      <c r="J276" s="68" t="n">
        <v>4</v>
      </c>
      <c r="K276" s="71" t="s">
        <v>49</v>
      </c>
      <c r="L276" s="152" t="s">
        <v>61</v>
      </c>
      <c r="M276" s="152" t="n">
        <f aca="false">I276-D276</f>
        <v>575</v>
      </c>
    </row>
    <row r="277" customFormat="false" ht="12.75" hidden="false" customHeight="true" outlineLevel="0" collapsed="false">
      <c r="A277" s="139" t="n">
        <v>7724</v>
      </c>
      <c r="B277" s="144" t="s">
        <v>5570</v>
      </c>
      <c r="C277" s="115" t="n">
        <v>2013</v>
      </c>
      <c r="D277" s="403" t="n">
        <v>42944</v>
      </c>
      <c r="E277" s="66" t="s">
        <v>5571</v>
      </c>
      <c r="F277" s="66" t="s">
        <v>5572</v>
      </c>
      <c r="G277" s="144" t="s">
        <v>441</v>
      </c>
      <c r="H277" s="144" t="s">
        <v>1081</v>
      </c>
      <c r="I277" s="403" t="n">
        <v>45391</v>
      </c>
      <c r="J277" s="66" t="n">
        <v>4</v>
      </c>
      <c r="K277" s="71" t="s">
        <v>49</v>
      </c>
      <c r="L277" s="144" t="s">
        <v>60</v>
      </c>
      <c r="M277" s="145" t="n">
        <f aca="false">I277-D277</f>
        <v>2447</v>
      </c>
    </row>
    <row r="278" customFormat="false" ht="12.75" hidden="false" customHeight="true" outlineLevel="0" collapsed="false">
      <c r="A278" s="148" t="n">
        <v>7824</v>
      </c>
      <c r="B278" s="405" t="s">
        <v>5573</v>
      </c>
      <c r="C278" s="119" t="n">
        <v>2017</v>
      </c>
      <c r="D278" s="404" t="n">
        <v>43068</v>
      </c>
      <c r="E278" s="68" t="s">
        <v>5574</v>
      </c>
      <c r="F278" s="151" t="s">
        <v>1196</v>
      </c>
      <c r="G278" s="405" t="s">
        <v>441</v>
      </c>
      <c r="H278" s="405" t="s">
        <v>2677</v>
      </c>
      <c r="I278" s="404" t="n">
        <v>45391</v>
      </c>
      <c r="J278" s="68" t="n">
        <v>4</v>
      </c>
      <c r="K278" s="406" t="s">
        <v>290</v>
      </c>
      <c r="L278" s="152" t="s">
        <v>60</v>
      </c>
      <c r="M278" s="152" t="n">
        <f aca="false">I278-D278</f>
        <v>2323</v>
      </c>
    </row>
    <row r="279" customFormat="false" ht="12.75" hidden="false" customHeight="true" outlineLevel="0" collapsed="false">
      <c r="A279" s="139" t="n">
        <v>7924</v>
      </c>
      <c r="B279" s="144" t="s">
        <v>5575</v>
      </c>
      <c r="C279" s="115" t="n">
        <v>2018</v>
      </c>
      <c r="D279" s="403" t="n">
        <v>43312</v>
      </c>
      <c r="E279" s="66" t="s">
        <v>5576</v>
      </c>
      <c r="F279" s="66" t="s">
        <v>5577</v>
      </c>
      <c r="G279" s="144" t="s">
        <v>441</v>
      </c>
      <c r="H279" s="144" t="s">
        <v>134</v>
      </c>
      <c r="I279" s="403" t="n">
        <v>45391</v>
      </c>
      <c r="J279" s="66" t="n">
        <v>4</v>
      </c>
      <c r="K279" s="71" t="s">
        <v>48</v>
      </c>
      <c r="L279" s="144" t="s">
        <v>58</v>
      </c>
      <c r="M279" s="145" t="n">
        <f aca="false">I279-D279</f>
        <v>2079</v>
      </c>
    </row>
    <row r="280" customFormat="false" ht="12.75" hidden="false" customHeight="true" outlineLevel="0" collapsed="false">
      <c r="A280" s="148" t="n">
        <v>8024</v>
      </c>
      <c r="B280" s="405" t="s">
        <v>5578</v>
      </c>
      <c r="C280" s="119" t="n">
        <v>2016</v>
      </c>
      <c r="D280" s="404" t="n">
        <v>42388</v>
      </c>
      <c r="E280" s="68" t="s">
        <v>5579</v>
      </c>
      <c r="F280" s="151" t="s">
        <v>793</v>
      </c>
      <c r="G280" s="405" t="s">
        <v>441</v>
      </c>
      <c r="H280" s="405" t="s">
        <v>223</v>
      </c>
      <c r="I280" s="404" t="n">
        <v>45391</v>
      </c>
      <c r="J280" s="68" t="n">
        <v>4</v>
      </c>
      <c r="K280" s="71" t="s">
        <v>49</v>
      </c>
      <c r="L280" s="152" t="s">
        <v>60</v>
      </c>
      <c r="M280" s="152" t="n">
        <f aca="false">I280-D280</f>
        <v>3003</v>
      </c>
    </row>
    <row r="281" customFormat="false" ht="12.75" hidden="false" customHeight="true" outlineLevel="0" collapsed="false">
      <c r="A281" s="139" t="n">
        <v>8124</v>
      </c>
      <c r="B281" s="144" t="s">
        <v>5580</v>
      </c>
      <c r="C281" s="115" t="n">
        <v>2022</v>
      </c>
      <c r="D281" s="403" t="n">
        <v>44919</v>
      </c>
      <c r="E281" s="66" t="s">
        <v>5581</v>
      </c>
      <c r="F281" s="66" t="s">
        <v>5582</v>
      </c>
      <c r="G281" s="144" t="s">
        <v>125</v>
      </c>
      <c r="H281" s="144" t="s">
        <v>3021</v>
      </c>
      <c r="I281" s="403" t="n">
        <v>45415</v>
      </c>
      <c r="J281" s="66" t="n">
        <v>5</v>
      </c>
      <c r="K281" s="406" t="s">
        <v>290</v>
      </c>
      <c r="L281" s="144" t="s">
        <v>61</v>
      </c>
      <c r="M281" s="145" t="n">
        <f aca="false">I281-D281</f>
        <v>496</v>
      </c>
    </row>
    <row r="282" customFormat="false" ht="12.75" hidden="false" customHeight="true" outlineLevel="0" collapsed="false">
      <c r="A282" s="148" t="n">
        <v>8224</v>
      </c>
      <c r="B282" s="405" t="s">
        <v>5583</v>
      </c>
      <c r="C282" s="119" t="n">
        <v>2018</v>
      </c>
      <c r="D282" s="404" t="n">
        <v>43276</v>
      </c>
      <c r="E282" s="68" t="s">
        <v>5584</v>
      </c>
      <c r="F282" s="151" t="s">
        <v>5585</v>
      </c>
      <c r="G282" s="405" t="s">
        <v>441</v>
      </c>
      <c r="H282" s="405" t="s">
        <v>706</v>
      </c>
      <c r="I282" s="404" t="n">
        <v>45415</v>
      </c>
      <c r="J282" s="68" t="n">
        <v>5</v>
      </c>
      <c r="K282" s="71" t="s">
        <v>49</v>
      </c>
      <c r="L282" s="152" t="s">
        <v>60</v>
      </c>
      <c r="M282" s="152" t="n">
        <f aca="false">I282-D282</f>
        <v>2139</v>
      </c>
    </row>
    <row r="283" customFormat="false" ht="12.75" hidden="false" customHeight="true" outlineLevel="0" collapsed="false">
      <c r="A283" s="139" t="n">
        <v>8324</v>
      </c>
      <c r="B283" s="144" t="s">
        <v>5586</v>
      </c>
      <c r="C283" s="115" t="n">
        <v>2020</v>
      </c>
      <c r="D283" s="403" t="n">
        <v>44026</v>
      </c>
      <c r="E283" s="66" t="s">
        <v>5587</v>
      </c>
      <c r="F283" s="66" t="s">
        <v>5588</v>
      </c>
      <c r="G283" s="144" t="s">
        <v>144</v>
      </c>
      <c r="H283" s="144" t="s">
        <v>5589</v>
      </c>
      <c r="I283" s="403" t="n">
        <v>45415</v>
      </c>
      <c r="J283" s="66" t="n">
        <v>5</v>
      </c>
      <c r="K283" s="71" t="s">
        <v>49</v>
      </c>
      <c r="L283" s="144" t="s">
        <v>58</v>
      </c>
      <c r="M283" s="145" t="n">
        <f aca="false">I283-D283</f>
        <v>1389</v>
      </c>
    </row>
    <row r="284" customFormat="false" ht="12.75" hidden="false" customHeight="true" outlineLevel="0" collapsed="false">
      <c r="A284" s="148" t="n">
        <v>8424</v>
      </c>
      <c r="B284" s="405" t="s">
        <v>5590</v>
      </c>
      <c r="C284" s="119" t="n">
        <v>2019</v>
      </c>
      <c r="D284" s="404" t="n">
        <v>43817</v>
      </c>
      <c r="E284" s="68" t="s">
        <v>5591</v>
      </c>
      <c r="F284" s="151" t="s">
        <v>3924</v>
      </c>
      <c r="G284" s="405" t="s">
        <v>441</v>
      </c>
      <c r="H284" s="405" t="s">
        <v>2647</v>
      </c>
      <c r="I284" s="404" t="n">
        <v>45418</v>
      </c>
      <c r="J284" s="68" t="n">
        <v>5</v>
      </c>
      <c r="K284" s="71" t="s">
        <v>48</v>
      </c>
      <c r="L284" s="152" t="s">
        <v>58</v>
      </c>
      <c r="M284" s="152" t="n">
        <f aca="false">I284-D284</f>
        <v>1601</v>
      </c>
    </row>
    <row r="285" customFormat="false" ht="12.75" hidden="false" customHeight="true" outlineLevel="0" collapsed="false">
      <c r="A285" s="139" t="n">
        <v>8524</v>
      </c>
      <c r="B285" s="144" t="s">
        <v>5592</v>
      </c>
      <c r="C285" s="115" t="n">
        <v>2019</v>
      </c>
      <c r="D285" s="403" t="n">
        <v>43822</v>
      </c>
      <c r="E285" s="66" t="s">
        <v>5593</v>
      </c>
      <c r="F285" s="66" t="s">
        <v>5594</v>
      </c>
      <c r="G285" s="144" t="s">
        <v>441</v>
      </c>
      <c r="H285" s="144" t="s">
        <v>267</v>
      </c>
      <c r="I285" s="403" t="n">
        <v>45418</v>
      </c>
      <c r="J285" s="66" t="n">
        <v>5</v>
      </c>
      <c r="K285" s="71" t="s">
        <v>49</v>
      </c>
      <c r="L285" s="144" t="s">
        <v>58</v>
      </c>
      <c r="M285" s="145" t="n">
        <f aca="false">I285-D285</f>
        <v>1596</v>
      </c>
    </row>
    <row r="286" customFormat="false" ht="12.75" hidden="false" customHeight="true" outlineLevel="0" collapsed="false">
      <c r="A286" s="148" t="n">
        <v>8624</v>
      </c>
      <c r="B286" s="405" t="s">
        <v>5595</v>
      </c>
      <c r="C286" s="119" t="n">
        <v>2023</v>
      </c>
      <c r="D286" s="404" t="n">
        <v>45127</v>
      </c>
      <c r="E286" s="68" t="s">
        <v>5596</v>
      </c>
      <c r="F286" s="151" t="s">
        <v>5597</v>
      </c>
      <c r="G286" s="405" t="s">
        <v>130</v>
      </c>
      <c r="H286" s="405" t="s">
        <v>294</v>
      </c>
      <c r="I286" s="404" t="n">
        <v>45418</v>
      </c>
      <c r="J286" s="68" t="n">
        <v>5</v>
      </c>
      <c r="K286" s="71" t="s">
        <v>49</v>
      </c>
      <c r="L286" s="152" t="s">
        <v>61</v>
      </c>
      <c r="M286" s="152" t="n">
        <f aca="false">I286-D286</f>
        <v>291</v>
      </c>
    </row>
    <row r="287" customFormat="false" ht="12.75" hidden="false" customHeight="true" outlineLevel="0" collapsed="false">
      <c r="A287" s="139" t="n">
        <v>8724</v>
      </c>
      <c r="B287" s="144" t="s">
        <v>5598</v>
      </c>
      <c r="C287" s="115" t="n">
        <v>2018</v>
      </c>
      <c r="D287" s="403" t="n">
        <v>43133</v>
      </c>
      <c r="E287" s="66" t="s">
        <v>5599</v>
      </c>
      <c r="F287" s="66" t="s">
        <v>798</v>
      </c>
      <c r="G287" s="144" t="s">
        <v>441</v>
      </c>
      <c r="H287" s="144" t="s">
        <v>4420</v>
      </c>
      <c r="I287" s="403" t="n">
        <v>45418</v>
      </c>
      <c r="J287" s="66" t="n">
        <v>5</v>
      </c>
      <c r="K287" s="71" t="s">
        <v>49</v>
      </c>
      <c r="L287" s="144" t="s">
        <v>60</v>
      </c>
      <c r="M287" s="145" t="n">
        <f aca="false">I287-D287</f>
        <v>2285</v>
      </c>
    </row>
    <row r="288" customFormat="false" ht="12.75" hidden="false" customHeight="true" outlineLevel="0" collapsed="false">
      <c r="A288" s="148" t="n">
        <v>8824</v>
      </c>
      <c r="B288" s="405" t="s">
        <v>5600</v>
      </c>
      <c r="C288" s="119" t="n">
        <v>2020</v>
      </c>
      <c r="D288" s="404" t="n">
        <v>43990</v>
      </c>
      <c r="E288" s="68" t="s">
        <v>5601</v>
      </c>
      <c r="F288" s="151" t="s">
        <v>5602</v>
      </c>
      <c r="G288" s="405" t="s">
        <v>441</v>
      </c>
      <c r="H288" s="405" t="s">
        <v>109</v>
      </c>
      <c r="I288" s="404" t="n">
        <v>45418</v>
      </c>
      <c r="J288" s="68" t="n">
        <v>5</v>
      </c>
      <c r="K288" s="71" t="s">
        <v>48</v>
      </c>
      <c r="L288" s="152" t="s">
        <v>60</v>
      </c>
      <c r="M288" s="152" t="n">
        <f aca="false">I288-D288</f>
        <v>1428</v>
      </c>
    </row>
    <row r="289" customFormat="false" ht="12.75" hidden="false" customHeight="true" outlineLevel="0" collapsed="false">
      <c r="A289" s="139" t="n">
        <v>8924</v>
      </c>
      <c r="B289" s="144" t="s">
        <v>5603</v>
      </c>
      <c r="C289" s="115" t="n">
        <v>2019</v>
      </c>
      <c r="D289" s="403" t="n">
        <v>43797</v>
      </c>
      <c r="E289" s="66" t="s">
        <v>5604</v>
      </c>
      <c r="F289" s="66" t="s">
        <v>5605</v>
      </c>
      <c r="G289" s="144" t="s">
        <v>144</v>
      </c>
      <c r="H289" s="144" t="s">
        <v>267</v>
      </c>
      <c r="I289" s="403" t="n">
        <v>45418</v>
      </c>
      <c r="J289" s="66" t="n">
        <v>5</v>
      </c>
      <c r="K289" s="71" t="s">
        <v>49</v>
      </c>
      <c r="L289" s="144" t="s">
        <v>60</v>
      </c>
      <c r="M289" s="145" t="n">
        <f aca="false">I289-D289</f>
        <v>1621</v>
      </c>
    </row>
    <row r="290" customFormat="false" ht="12.75" hidden="false" customHeight="true" outlineLevel="0" collapsed="false">
      <c r="A290" s="148" t="n">
        <v>9024</v>
      </c>
      <c r="B290" s="405" t="s">
        <v>5606</v>
      </c>
      <c r="C290" s="119" t="n">
        <v>2019</v>
      </c>
      <c r="D290" s="404" t="n">
        <v>43761</v>
      </c>
      <c r="E290" s="68" t="s">
        <v>5607</v>
      </c>
      <c r="F290" s="151" t="s">
        <v>705</v>
      </c>
      <c r="G290" s="405" t="s">
        <v>441</v>
      </c>
      <c r="H290" s="405" t="s">
        <v>267</v>
      </c>
      <c r="I290" s="404" t="n">
        <v>45418</v>
      </c>
      <c r="J290" s="68" t="n">
        <v>5</v>
      </c>
      <c r="K290" s="71" t="s">
        <v>48</v>
      </c>
      <c r="L290" s="152" t="s">
        <v>58</v>
      </c>
      <c r="M290" s="152" t="n">
        <f aca="false">I290-D290</f>
        <v>1657</v>
      </c>
    </row>
    <row r="291" customFormat="false" ht="12.75" hidden="false" customHeight="true" outlineLevel="0" collapsed="false">
      <c r="A291" s="139" t="n">
        <v>9124</v>
      </c>
      <c r="B291" s="144" t="s">
        <v>5608</v>
      </c>
      <c r="C291" s="115" t="n">
        <v>2021</v>
      </c>
      <c r="D291" s="403" t="n">
        <v>44267</v>
      </c>
      <c r="E291" s="66" t="s">
        <v>5609</v>
      </c>
      <c r="F291" s="66" t="s">
        <v>5610</v>
      </c>
      <c r="G291" s="144" t="s">
        <v>441</v>
      </c>
      <c r="H291" s="144" t="s">
        <v>267</v>
      </c>
      <c r="I291" s="403" t="n">
        <v>45418</v>
      </c>
      <c r="J291" s="66" t="n">
        <v>5</v>
      </c>
      <c r="K291" s="71" t="s">
        <v>48</v>
      </c>
      <c r="L291" s="144" t="s">
        <v>2848</v>
      </c>
      <c r="M291" s="145" t="n">
        <f aca="false">I291-D291</f>
        <v>1151</v>
      </c>
    </row>
    <row r="292" customFormat="false" ht="12.75" hidden="false" customHeight="true" outlineLevel="0" collapsed="false">
      <c r="A292" s="148" t="n">
        <v>9224</v>
      </c>
      <c r="B292" s="405" t="s">
        <v>5611</v>
      </c>
      <c r="C292" s="119" t="n">
        <v>2016</v>
      </c>
      <c r="D292" s="404" t="n">
        <v>42733</v>
      </c>
      <c r="E292" s="68" t="s">
        <v>5612</v>
      </c>
      <c r="F292" s="151" t="s">
        <v>1097</v>
      </c>
      <c r="G292" s="405" t="s">
        <v>441</v>
      </c>
      <c r="H292" s="405" t="s">
        <v>706</v>
      </c>
      <c r="I292" s="404" t="n">
        <v>45418</v>
      </c>
      <c r="J292" s="68" t="n">
        <v>5</v>
      </c>
      <c r="K292" s="71" t="s">
        <v>48</v>
      </c>
      <c r="L292" s="152" t="s">
        <v>60</v>
      </c>
      <c r="M292" s="152" t="n">
        <f aca="false">I292-D292</f>
        <v>2685</v>
      </c>
    </row>
    <row r="293" customFormat="false" ht="12.75" hidden="false" customHeight="true" outlineLevel="0" collapsed="false">
      <c r="A293" s="139" t="n">
        <v>9324</v>
      </c>
      <c r="B293" s="144" t="s">
        <v>5613</v>
      </c>
      <c r="C293" s="115" t="n">
        <v>2020</v>
      </c>
      <c r="D293" s="403" t="n">
        <v>44186</v>
      </c>
      <c r="E293" s="66" t="s">
        <v>5614</v>
      </c>
      <c r="F293" s="66" t="s">
        <v>5615</v>
      </c>
      <c r="G293" s="144" t="s">
        <v>441</v>
      </c>
      <c r="H293" s="144" t="s">
        <v>513</v>
      </c>
      <c r="I293" s="403" t="n">
        <v>45418</v>
      </c>
      <c r="J293" s="66" t="n">
        <v>5</v>
      </c>
      <c r="K293" s="71" t="s">
        <v>48</v>
      </c>
      <c r="L293" s="144" t="s">
        <v>60</v>
      </c>
      <c r="M293" s="145" t="n">
        <f aca="false">I293-D293</f>
        <v>1232</v>
      </c>
    </row>
    <row r="294" customFormat="false" ht="12.75" hidden="false" customHeight="true" outlineLevel="0" collapsed="false">
      <c r="A294" s="148" t="n">
        <v>9424</v>
      </c>
      <c r="B294" s="405" t="s">
        <v>5616</v>
      </c>
      <c r="C294" s="119" t="n">
        <v>2017</v>
      </c>
      <c r="D294" s="404" t="n">
        <v>42782</v>
      </c>
      <c r="E294" s="68" t="s">
        <v>5617</v>
      </c>
      <c r="F294" s="151" t="s">
        <v>172</v>
      </c>
      <c r="G294" s="405" t="s">
        <v>441</v>
      </c>
      <c r="H294" s="405" t="s">
        <v>471</v>
      </c>
      <c r="I294" s="404" t="n">
        <v>45418</v>
      </c>
      <c r="J294" s="68" t="n">
        <v>5</v>
      </c>
      <c r="K294" s="71" t="s">
        <v>48</v>
      </c>
      <c r="L294" s="152" t="s">
        <v>58</v>
      </c>
      <c r="M294" s="152" t="n">
        <f aca="false">I294-D294</f>
        <v>2636</v>
      </c>
    </row>
    <row r="295" customFormat="false" ht="12.75" hidden="false" customHeight="true" outlineLevel="0" collapsed="false">
      <c r="A295" s="139" t="n">
        <v>9524</v>
      </c>
      <c r="B295" s="144" t="s">
        <v>5618</v>
      </c>
      <c r="C295" s="115" t="n">
        <v>2012</v>
      </c>
      <c r="D295" s="403" t="n">
        <v>42838</v>
      </c>
      <c r="E295" s="66" t="s">
        <v>5619</v>
      </c>
      <c r="F295" s="66" t="s">
        <v>5620</v>
      </c>
      <c r="G295" s="144" t="s">
        <v>441</v>
      </c>
      <c r="H295" s="144" t="s">
        <v>471</v>
      </c>
      <c r="I295" s="403" t="n">
        <v>45418</v>
      </c>
      <c r="J295" s="66" t="n">
        <v>5</v>
      </c>
      <c r="K295" s="71" t="s">
        <v>49</v>
      </c>
      <c r="L295" s="144" t="s">
        <v>60</v>
      </c>
      <c r="M295" s="145" t="n">
        <f aca="false">I295-D295</f>
        <v>2580</v>
      </c>
    </row>
    <row r="296" customFormat="false" ht="12.75" hidden="false" customHeight="true" outlineLevel="0" collapsed="false">
      <c r="A296" s="148" t="n">
        <v>9624</v>
      </c>
      <c r="B296" s="405" t="s">
        <v>5621</v>
      </c>
      <c r="C296" s="119" t="n">
        <v>2018</v>
      </c>
      <c r="D296" s="404" t="n">
        <v>43280</v>
      </c>
      <c r="E296" s="68" t="s">
        <v>5622</v>
      </c>
      <c r="F296" s="151" t="s">
        <v>5623</v>
      </c>
      <c r="G296" s="405" t="s">
        <v>441</v>
      </c>
      <c r="H296" s="405" t="s">
        <v>134</v>
      </c>
      <c r="I296" s="404" t="n">
        <v>45418</v>
      </c>
      <c r="J296" s="68" t="n">
        <v>5</v>
      </c>
      <c r="K296" s="71" t="s">
        <v>49</v>
      </c>
      <c r="L296" s="152" t="s">
        <v>58</v>
      </c>
      <c r="M296" s="152" t="n">
        <f aca="false">I296-D296</f>
        <v>2138</v>
      </c>
    </row>
    <row r="297" customFormat="false" ht="12.75" hidden="false" customHeight="true" outlineLevel="0" collapsed="false">
      <c r="A297" s="139" t="n">
        <v>9724</v>
      </c>
      <c r="B297" s="144" t="s">
        <v>5624</v>
      </c>
      <c r="C297" s="115" t="n">
        <v>2018</v>
      </c>
      <c r="D297" s="403" t="n">
        <v>43280</v>
      </c>
      <c r="E297" s="66" t="s">
        <v>5625</v>
      </c>
      <c r="F297" s="66" t="s">
        <v>5626</v>
      </c>
      <c r="G297" s="144" t="s">
        <v>441</v>
      </c>
      <c r="H297" s="144" t="s">
        <v>134</v>
      </c>
      <c r="I297" s="403" t="n">
        <v>45418</v>
      </c>
      <c r="J297" s="66" t="n">
        <v>5</v>
      </c>
      <c r="K297" s="71" t="s">
        <v>49</v>
      </c>
      <c r="L297" s="144" t="s">
        <v>58</v>
      </c>
      <c r="M297" s="145" t="n">
        <f aca="false">I297-D297</f>
        <v>2138</v>
      </c>
    </row>
    <row r="298" customFormat="false" ht="12.75" hidden="false" customHeight="true" outlineLevel="0" collapsed="false">
      <c r="A298" s="148" t="n">
        <v>9824</v>
      </c>
      <c r="B298" s="405" t="s">
        <v>5627</v>
      </c>
      <c r="C298" s="119" t="n">
        <v>2021</v>
      </c>
      <c r="D298" s="404" t="n">
        <v>44225</v>
      </c>
      <c r="E298" s="68" t="s">
        <v>5628</v>
      </c>
      <c r="F298" s="151" t="s">
        <v>164</v>
      </c>
      <c r="G298" s="405" t="s">
        <v>441</v>
      </c>
      <c r="H298" s="405" t="s">
        <v>139</v>
      </c>
      <c r="I298" s="404" t="n">
        <v>45418</v>
      </c>
      <c r="J298" s="68" t="n">
        <v>5</v>
      </c>
      <c r="K298" s="71" t="s">
        <v>48</v>
      </c>
      <c r="L298" s="152" t="s">
        <v>2848</v>
      </c>
      <c r="M298" s="152" t="n">
        <f aca="false">I298-D298</f>
        <v>1193</v>
      </c>
    </row>
    <row r="299" customFormat="false" ht="12.75" hidden="false" customHeight="true" outlineLevel="0" collapsed="false">
      <c r="A299" s="139" t="n">
        <v>9924</v>
      </c>
      <c r="B299" s="144" t="s">
        <v>5629</v>
      </c>
      <c r="C299" s="115" t="n">
        <v>2020</v>
      </c>
      <c r="D299" s="403" t="n">
        <v>44102</v>
      </c>
      <c r="E299" s="66" t="s">
        <v>5630</v>
      </c>
      <c r="F299" s="66" t="s">
        <v>5631</v>
      </c>
      <c r="G299" s="144" t="s">
        <v>441</v>
      </c>
      <c r="H299" s="144" t="s">
        <v>184</v>
      </c>
      <c r="I299" s="403" t="n">
        <v>45418</v>
      </c>
      <c r="J299" s="66" t="n">
        <v>5</v>
      </c>
      <c r="K299" s="71" t="s">
        <v>49</v>
      </c>
      <c r="L299" s="144" t="s">
        <v>60</v>
      </c>
      <c r="M299" s="145" t="n">
        <f aca="false">I299-D299</f>
        <v>1316</v>
      </c>
    </row>
    <row r="300" customFormat="false" ht="12.75" hidden="false" customHeight="true" outlineLevel="0" collapsed="false">
      <c r="A300" s="148" t="n">
        <v>10024</v>
      </c>
      <c r="B300" s="405" t="s">
        <v>5632</v>
      </c>
      <c r="C300" s="119" t="n">
        <v>2023</v>
      </c>
      <c r="D300" s="404" t="n">
        <v>45043</v>
      </c>
      <c r="E300" s="68" t="s">
        <v>5633</v>
      </c>
      <c r="F300" s="151" t="s">
        <v>5634</v>
      </c>
      <c r="G300" s="405" t="s">
        <v>125</v>
      </c>
      <c r="H300" s="405" t="s">
        <v>54</v>
      </c>
      <c r="I300" s="404" t="n">
        <v>45428</v>
      </c>
      <c r="J300" s="68" t="n">
        <v>5</v>
      </c>
      <c r="K300" s="71" t="s">
        <v>49</v>
      </c>
      <c r="L300" s="152" t="s">
        <v>61</v>
      </c>
      <c r="M300" s="152" t="n">
        <f aca="false">I300-D300</f>
        <v>385</v>
      </c>
    </row>
    <row r="301" customFormat="false" ht="15" hidden="false" customHeight="true" outlineLevel="0" collapsed="false">
      <c r="A301" s="139" t="n">
        <v>10124</v>
      </c>
      <c r="B301" s="144" t="s">
        <v>5635</v>
      </c>
      <c r="C301" s="115" t="n">
        <v>2023</v>
      </c>
      <c r="D301" s="403" t="n">
        <v>45049</v>
      </c>
      <c r="E301" s="66" t="s">
        <v>5636</v>
      </c>
      <c r="F301" s="66" t="s">
        <v>5637</v>
      </c>
      <c r="G301" s="144" t="s">
        <v>125</v>
      </c>
      <c r="H301" s="144" t="s">
        <v>54</v>
      </c>
      <c r="I301" s="403" t="n">
        <v>45428</v>
      </c>
      <c r="J301" s="66" t="n">
        <v>5</v>
      </c>
      <c r="K301" s="406" t="s">
        <v>290</v>
      </c>
      <c r="L301" s="144" t="s">
        <v>61</v>
      </c>
      <c r="M301" s="145" t="n">
        <f aca="false">I301-D301</f>
        <v>379</v>
      </c>
    </row>
    <row r="302" customFormat="false" ht="12.75" hidden="false" customHeight="true" outlineLevel="0" collapsed="false">
      <c r="A302" s="148" t="n">
        <v>10224</v>
      </c>
      <c r="B302" s="405" t="s">
        <v>5638</v>
      </c>
      <c r="C302" s="119" t="n">
        <v>2023</v>
      </c>
      <c r="D302" s="404" t="n">
        <v>45048</v>
      </c>
      <c r="E302" s="68" t="s">
        <v>5639</v>
      </c>
      <c r="F302" s="151" t="s">
        <v>3795</v>
      </c>
      <c r="G302" s="405" t="s">
        <v>125</v>
      </c>
      <c r="H302" s="405" t="s">
        <v>54</v>
      </c>
      <c r="I302" s="404" t="n">
        <v>45428</v>
      </c>
      <c r="J302" s="68" t="n">
        <v>5</v>
      </c>
      <c r="K302" s="71" t="s">
        <v>49</v>
      </c>
      <c r="L302" s="152" t="s">
        <v>61</v>
      </c>
      <c r="M302" s="152" t="n">
        <f aca="false">I302-D302</f>
        <v>380</v>
      </c>
    </row>
    <row r="303" customFormat="false" ht="12.75" hidden="false" customHeight="true" outlineLevel="0" collapsed="false">
      <c r="A303" s="139" t="n">
        <v>10324</v>
      </c>
      <c r="B303" s="144" t="s">
        <v>5640</v>
      </c>
      <c r="C303" s="115" t="n">
        <v>2018</v>
      </c>
      <c r="D303" s="403" t="n">
        <v>43404</v>
      </c>
      <c r="E303" s="66" t="s">
        <v>5641</v>
      </c>
      <c r="F303" s="66" t="s">
        <v>3248</v>
      </c>
      <c r="G303" s="144" t="s">
        <v>144</v>
      </c>
      <c r="H303" s="144" t="s">
        <v>254</v>
      </c>
      <c r="I303" s="403" t="n">
        <v>45428</v>
      </c>
      <c r="J303" s="66" t="n">
        <v>5</v>
      </c>
      <c r="K303" s="71" t="s">
        <v>49</v>
      </c>
      <c r="L303" s="144" t="s">
        <v>60</v>
      </c>
      <c r="M303" s="145" t="n">
        <f aca="false">I303-D303</f>
        <v>2024</v>
      </c>
    </row>
    <row r="304" customFormat="false" ht="12.75" hidden="false" customHeight="true" outlineLevel="0" collapsed="false">
      <c r="A304" s="148" t="n">
        <v>10424</v>
      </c>
      <c r="B304" s="405" t="s">
        <v>5642</v>
      </c>
      <c r="C304" s="119" t="n">
        <v>2018</v>
      </c>
      <c r="D304" s="404" t="n">
        <v>43265</v>
      </c>
      <c r="E304" s="68" t="s">
        <v>5643</v>
      </c>
      <c r="F304" s="151" t="s">
        <v>5644</v>
      </c>
      <c r="G304" s="405" t="s">
        <v>441</v>
      </c>
      <c r="H304" s="405" t="s">
        <v>706</v>
      </c>
      <c r="I304" s="404" t="n">
        <v>45428</v>
      </c>
      <c r="J304" s="68" t="n">
        <v>5</v>
      </c>
      <c r="K304" s="71" t="s">
        <v>49</v>
      </c>
      <c r="L304" s="152" t="s">
        <v>58</v>
      </c>
      <c r="M304" s="152" t="n">
        <f aca="false">I304-D304</f>
        <v>2163</v>
      </c>
    </row>
    <row r="305" customFormat="false" ht="12.75" hidden="false" customHeight="true" outlineLevel="0" collapsed="false">
      <c r="A305" s="139" t="n">
        <v>10524</v>
      </c>
      <c r="B305" s="144" t="s">
        <v>5645</v>
      </c>
      <c r="C305" s="115" t="n">
        <v>2017</v>
      </c>
      <c r="D305" s="403" t="n">
        <v>43098</v>
      </c>
      <c r="E305" s="66" t="s">
        <v>5646</v>
      </c>
      <c r="F305" s="66" t="s">
        <v>346</v>
      </c>
      <c r="G305" s="144" t="s">
        <v>441</v>
      </c>
      <c r="H305" s="144" t="s">
        <v>706</v>
      </c>
      <c r="I305" s="403" t="n">
        <v>45428</v>
      </c>
      <c r="J305" s="66" t="n">
        <v>5</v>
      </c>
      <c r="K305" s="71" t="s">
        <v>49</v>
      </c>
      <c r="L305" s="144" t="s">
        <v>58</v>
      </c>
      <c r="M305" s="145" t="n">
        <f aca="false">I305-D305</f>
        <v>2330</v>
      </c>
    </row>
    <row r="306" customFormat="false" ht="12.75" hidden="false" customHeight="true" outlineLevel="0" collapsed="false">
      <c r="A306" s="148" t="n">
        <v>10624</v>
      </c>
      <c r="B306" s="405" t="s">
        <v>5647</v>
      </c>
      <c r="C306" s="119" t="n">
        <v>2020</v>
      </c>
      <c r="D306" s="404" t="n">
        <v>44067</v>
      </c>
      <c r="E306" s="68" t="s">
        <v>5648</v>
      </c>
      <c r="F306" s="151" t="s">
        <v>5649</v>
      </c>
      <c r="G306" s="405" t="s">
        <v>441</v>
      </c>
      <c r="H306" s="405" t="s">
        <v>5650</v>
      </c>
      <c r="I306" s="404" t="n">
        <v>45432</v>
      </c>
      <c r="J306" s="68" t="n">
        <v>5</v>
      </c>
      <c r="K306" s="71" t="s">
        <v>49</v>
      </c>
      <c r="L306" s="152" t="s">
        <v>60</v>
      </c>
      <c r="M306" s="152" t="n">
        <f aca="false">I306-D306</f>
        <v>1365</v>
      </c>
    </row>
    <row r="307" customFormat="false" ht="12.75" hidden="false" customHeight="true" outlineLevel="0" collapsed="false">
      <c r="A307" s="139" t="n">
        <v>10724</v>
      </c>
      <c r="B307" s="144" t="s">
        <v>5651</v>
      </c>
      <c r="C307" s="115" t="n">
        <v>2019</v>
      </c>
      <c r="D307" s="403" t="n">
        <v>43756</v>
      </c>
      <c r="E307" s="66" t="s">
        <v>5652</v>
      </c>
      <c r="F307" s="66" t="s">
        <v>5653</v>
      </c>
      <c r="G307" s="144" t="s">
        <v>441</v>
      </c>
      <c r="H307" s="144" t="s">
        <v>538</v>
      </c>
      <c r="I307" s="403" t="n">
        <v>45432</v>
      </c>
      <c r="J307" s="66" t="n">
        <v>5</v>
      </c>
      <c r="K307" s="71" t="s">
        <v>48</v>
      </c>
      <c r="L307" s="144" t="s">
        <v>58</v>
      </c>
      <c r="M307" s="145" t="n">
        <f aca="false">I307-D307</f>
        <v>1676</v>
      </c>
    </row>
    <row r="308" customFormat="false" ht="12.75" hidden="false" customHeight="true" outlineLevel="0" collapsed="false">
      <c r="A308" s="148" t="n">
        <v>10824</v>
      </c>
      <c r="B308" s="405" t="s">
        <v>5654</v>
      </c>
      <c r="C308" s="119" t="n">
        <v>2012</v>
      </c>
      <c r="D308" s="404" t="n">
        <v>43217</v>
      </c>
      <c r="E308" s="68" t="s">
        <v>5655</v>
      </c>
      <c r="F308" s="405" t="s">
        <v>365</v>
      </c>
      <c r="G308" s="405" t="s">
        <v>441</v>
      </c>
      <c r="H308" s="405" t="s">
        <v>538</v>
      </c>
      <c r="I308" s="404" t="n">
        <v>45432</v>
      </c>
      <c r="J308" s="68" t="n">
        <v>5</v>
      </c>
      <c r="K308" s="71" t="s">
        <v>48</v>
      </c>
      <c r="L308" s="152" t="s">
        <v>60</v>
      </c>
      <c r="M308" s="152" t="n">
        <f aca="false">I308-D308</f>
        <v>2215</v>
      </c>
    </row>
    <row r="309" customFormat="false" ht="12.75" hidden="false" customHeight="true" outlineLevel="0" collapsed="false">
      <c r="A309" s="139" t="n">
        <v>10924</v>
      </c>
      <c r="B309" s="144" t="s">
        <v>5656</v>
      </c>
      <c r="C309" s="115" t="n">
        <v>2018</v>
      </c>
      <c r="D309" s="403" t="n">
        <v>43433</v>
      </c>
      <c r="E309" s="66" t="s">
        <v>5657</v>
      </c>
      <c r="F309" s="66" t="s">
        <v>5658</v>
      </c>
      <c r="G309" s="144" t="s">
        <v>441</v>
      </c>
      <c r="H309" s="144" t="s">
        <v>706</v>
      </c>
      <c r="I309" s="403" t="n">
        <v>45432</v>
      </c>
      <c r="J309" s="66" t="n">
        <v>5</v>
      </c>
      <c r="K309" s="163" t="s">
        <v>46</v>
      </c>
      <c r="L309" s="144" t="s">
        <v>58</v>
      </c>
      <c r="M309" s="145" t="n">
        <f aca="false">I309-D309</f>
        <v>1999</v>
      </c>
    </row>
    <row r="310" customFormat="false" ht="12.75" hidden="false" customHeight="true" outlineLevel="0" collapsed="false">
      <c r="A310" s="148" t="n">
        <v>11024</v>
      </c>
      <c r="B310" s="405" t="s">
        <v>5659</v>
      </c>
      <c r="C310" s="119" t="n">
        <v>2020</v>
      </c>
      <c r="D310" s="404" t="n">
        <v>44131</v>
      </c>
      <c r="E310" s="68" t="s">
        <v>5660</v>
      </c>
      <c r="F310" s="405" t="s">
        <v>5661</v>
      </c>
      <c r="G310" s="405" t="s">
        <v>441</v>
      </c>
      <c r="H310" s="405" t="s">
        <v>5662</v>
      </c>
      <c r="I310" s="404" t="n">
        <v>45432</v>
      </c>
      <c r="J310" s="68" t="n">
        <v>5</v>
      </c>
      <c r="K310" s="71" t="s">
        <v>49</v>
      </c>
      <c r="L310" s="152" t="s">
        <v>60</v>
      </c>
      <c r="M310" s="152" t="n">
        <f aca="false">I310-D310</f>
        <v>1301</v>
      </c>
    </row>
    <row r="311" customFormat="false" ht="12.75" hidden="false" customHeight="true" outlineLevel="0" collapsed="false">
      <c r="A311" s="139" t="n">
        <v>11124</v>
      </c>
      <c r="B311" s="144" t="s">
        <v>5663</v>
      </c>
      <c r="C311" s="115" t="n">
        <v>2019</v>
      </c>
      <c r="D311" s="403" t="n">
        <v>43584</v>
      </c>
      <c r="E311" s="66" t="s">
        <v>5664</v>
      </c>
      <c r="F311" s="66" t="s">
        <v>5665</v>
      </c>
      <c r="G311" s="144" t="s">
        <v>441</v>
      </c>
      <c r="H311" s="144" t="s">
        <v>471</v>
      </c>
      <c r="I311" s="403" t="n">
        <v>45434</v>
      </c>
      <c r="J311" s="66" t="n">
        <v>5</v>
      </c>
      <c r="K311" s="71" t="s">
        <v>49</v>
      </c>
      <c r="L311" s="144" t="s">
        <v>58</v>
      </c>
      <c r="M311" s="145" t="n">
        <f aca="false">I311-D311</f>
        <v>1850</v>
      </c>
    </row>
    <row r="312" customFormat="false" ht="12.75" hidden="false" customHeight="true" outlineLevel="0" collapsed="false">
      <c r="A312" s="148" t="n">
        <v>11224</v>
      </c>
      <c r="B312" s="405" t="s">
        <v>5666</v>
      </c>
      <c r="C312" s="119" t="n">
        <v>2012</v>
      </c>
      <c r="D312" s="404" t="n">
        <v>41017</v>
      </c>
      <c r="E312" s="68" t="s">
        <v>5667</v>
      </c>
      <c r="F312" s="405" t="s">
        <v>5668</v>
      </c>
      <c r="G312" s="405" t="s">
        <v>441</v>
      </c>
      <c r="H312" s="405" t="s">
        <v>706</v>
      </c>
      <c r="I312" s="404" t="n">
        <v>45434</v>
      </c>
      <c r="J312" s="68" t="n">
        <v>5</v>
      </c>
      <c r="K312" s="163" t="s">
        <v>45</v>
      </c>
      <c r="L312" s="152" t="s">
        <v>58</v>
      </c>
      <c r="M312" s="152" t="n">
        <f aca="false">I312-D312</f>
        <v>4417</v>
      </c>
    </row>
    <row r="313" customFormat="false" ht="12.75" hidden="false" customHeight="true" outlineLevel="0" collapsed="false">
      <c r="A313" s="139" t="n">
        <v>11324</v>
      </c>
      <c r="B313" s="144" t="s">
        <v>5669</v>
      </c>
      <c r="C313" s="115" t="n">
        <v>2018</v>
      </c>
      <c r="D313" s="403" t="n">
        <v>43348</v>
      </c>
      <c r="E313" s="66" t="s">
        <v>5670</v>
      </c>
      <c r="F313" s="66" t="s">
        <v>346</v>
      </c>
      <c r="G313" s="144" t="s">
        <v>441</v>
      </c>
      <c r="H313" s="144" t="s">
        <v>706</v>
      </c>
      <c r="I313" s="403" t="n">
        <v>45434</v>
      </c>
      <c r="J313" s="66" t="n">
        <v>5</v>
      </c>
      <c r="K313" s="71" t="s">
        <v>49</v>
      </c>
      <c r="L313" s="144" t="s">
        <v>58</v>
      </c>
      <c r="M313" s="145" t="n">
        <f aca="false">I313-D313</f>
        <v>2086</v>
      </c>
    </row>
    <row r="314" customFormat="false" ht="12.75" hidden="false" customHeight="true" outlineLevel="0" collapsed="false">
      <c r="A314" s="148" t="n">
        <v>11424</v>
      </c>
      <c r="B314" s="405" t="s">
        <v>5671</v>
      </c>
      <c r="C314" s="119" t="n">
        <v>2016</v>
      </c>
      <c r="D314" s="404" t="n">
        <v>42678</v>
      </c>
      <c r="E314" s="68" t="s">
        <v>5672</v>
      </c>
      <c r="F314" s="405" t="s">
        <v>5673</v>
      </c>
      <c r="G314" s="405" t="s">
        <v>441</v>
      </c>
      <c r="H314" s="405" t="s">
        <v>538</v>
      </c>
      <c r="I314" s="404" t="n">
        <v>45434</v>
      </c>
      <c r="J314" s="68" t="n">
        <v>5</v>
      </c>
      <c r="K314" s="71" t="s">
        <v>49</v>
      </c>
      <c r="L314" s="152" t="s">
        <v>60</v>
      </c>
      <c r="M314" s="152" t="n">
        <f aca="false">I314-D314</f>
        <v>2756</v>
      </c>
    </row>
    <row r="315" customFormat="false" ht="12.75" hidden="false" customHeight="true" outlineLevel="0" collapsed="false">
      <c r="A315" s="139" t="n">
        <v>11524</v>
      </c>
      <c r="B315" s="144" t="s">
        <v>5674</v>
      </c>
      <c r="C315" s="115" t="n">
        <v>2015</v>
      </c>
      <c r="D315" s="403" t="n">
        <v>43154</v>
      </c>
      <c r="E315" s="66" t="s">
        <v>5675</v>
      </c>
      <c r="F315" s="66" t="s">
        <v>168</v>
      </c>
      <c r="G315" s="144" t="s">
        <v>441</v>
      </c>
      <c r="H315" s="144" t="s">
        <v>267</v>
      </c>
      <c r="I315" s="403" t="n">
        <v>45434</v>
      </c>
      <c r="J315" s="66" t="n">
        <v>5</v>
      </c>
      <c r="K315" s="196" t="s">
        <v>44</v>
      </c>
      <c r="L315" s="144" t="s">
        <v>58</v>
      </c>
      <c r="M315" s="145" t="n">
        <f aca="false">I315-D315</f>
        <v>2280</v>
      </c>
    </row>
    <row r="316" customFormat="false" ht="12.75" hidden="false" customHeight="true" outlineLevel="0" collapsed="false">
      <c r="A316" s="148" t="n">
        <v>11624</v>
      </c>
      <c r="B316" s="405" t="s">
        <v>5676</v>
      </c>
      <c r="C316" s="119" t="n">
        <v>2018</v>
      </c>
      <c r="D316" s="404" t="n">
        <v>43333</v>
      </c>
      <c r="E316" s="68" t="s">
        <v>5677</v>
      </c>
      <c r="F316" s="405" t="s">
        <v>671</v>
      </c>
      <c r="G316" s="405" t="s">
        <v>441</v>
      </c>
      <c r="H316" s="405" t="s">
        <v>184</v>
      </c>
      <c r="I316" s="404" t="n">
        <v>45434</v>
      </c>
      <c r="J316" s="68" t="n">
        <v>5</v>
      </c>
      <c r="K316" s="71" t="s">
        <v>49</v>
      </c>
      <c r="L316" s="152" t="s">
        <v>58</v>
      </c>
      <c r="M316" s="152" t="n">
        <f aca="false">I316-D316</f>
        <v>2101</v>
      </c>
    </row>
    <row r="317" customFormat="false" ht="15" hidden="false" customHeight="true" outlineLevel="0" collapsed="false">
      <c r="A317" s="139" t="n">
        <v>11724</v>
      </c>
      <c r="B317" s="144" t="s">
        <v>5678</v>
      </c>
      <c r="C317" s="115" t="n">
        <v>2020</v>
      </c>
      <c r="D317" s="403" t="n">
        <v>44043</v>
      </c>
      <c r="E317" s="66" t="s">
        <v>5679</v>
      </c>
      <c r="F317" s="66" t="s">
        <v>5680</v>
      </c>
      <c r="G317" s="144" t="s">
        <v>441</v>
      </c>
      <c r="H317" s="144" t="s">
        <v>254</v>
      </c>
      <c r="I317" s="403" t="n">
        <v>44043</v>
      </c>
      <c r="J317" s="66" t="n">
        <v>5</v>
      </c>
      <c r="K317" s="71" t="s">
        <v>48</v>
      </c>
      <c r="L317" s="144" t="s">
        <v>58</v>
      </c>
      <c r="M317" s="145" t="n">
        <f aca="false">I317-D317</f>
        <v>0</v>
      </c>
    </row>
    <row r="318" customFormat="false" ht="12.75" hidden="false" customHeight="true" outlineLevel="0" collapsed="false">
      <c r="A318" s="148" t="n">
        <v>11824</v>
      </c>
      <c r="B318" s="405" t="s">
        <v>5681</v>
      </c>
      <c r="C318" s="119" t="n">
        <v>2016</v>
      </c>
      <c r="D318" s="404" t="n">
        <v>42731</v>
      </c>
      <c r="E318" s="68" t="s">
        <v>5682</v>
      </c>
      <c r="F318" s="405" t="s">
        <v>1097</v>
      </c>
      <c r="G318" s="405" t="s">
        <v>441</v>
      </c>
      <c r="H318" s="405" t="s">
        <v>706</v>
      </c>
      <c r="I318" s="404" t="n">
        <v>45434</v>
      </c>
      <c r="J318" s="68" t="n">
        <v>5</v>
      </c>
      <c r="K318" s="71" t="s">
        <v>48</v>
      </c>
      <c r="L318" s="152" t="s">
        <v>60</v>
      </c>
      <c r="M318" s="152" t="n">
        <f aca="false">I318-D318</f>
        <v>2703</v>
      </c>
    </row>
    <row r="319" customFormat="false" ht="12.75" hidden="false" customHeight="true" outlineLevel="0" collapsed="false">
      <c r="A319" s="139" t="n">
        <v>11924</v>
      </c>
      <c r="B319" s="144" t="s">
        <v>5683</v>
      </c>
      <c r="C319" s="115" t="n">
        <v>2019</v>
      </c>
      <c r="D319" s="403" t="n">
        <v>43811</v>
      </c>
      <c r="E319" s="66" t="s">
        <v>5684</v>
      </c>
      <c r="F319" s="66" t="s">
        <v>2003</v>
      </c>
      <c r="G319" s="144" t="s">
        <v>441</v>
      </c>
      <c r="H319" s="144" t="s">
        <v>250</v>
      </c>
      <c r="I319" s="403" t="n">
        <v>45434</v>
      </c>
      <c r="J319" s="66" t="n">
        <v>5</v>
      </c>
      <c r="K319" s="71" t="s">
        <v>49</v>
      </c>
      <c r="L319" s="144" t="s">
        <v>60</v>
      </c>
      <c r="M319" s="145" t="n">
        <f aca="false">I319-D319</f>
        <v>1623</v>
      </c>
    </row>
    <row r="320" customFormat="false" ht="12.75" hidden="false" customHeight="true" outlineLevel="0" collapsed="false">
      <c r="A320" s="148" t="n">
        <v>12024</v>
      </c>
      <c r="B320" s="405" t="s">
        <v>5685</v>
      </c>
      <c r="C320" s="119" t="n">
        <v>2023</v>
      </c>
      <c r="D320" s="404" t="n">
        <v>45162</v>
      </c>
      <c r="E320" s="68" t="s">
        <v>5686</v>
      </c>
      <c r="F320" s="405" t="s">
        <v>5687</v>
      </c>
      <c r="G320" s="405" t="s">
        <v>130</v>
      </c>
      <c r="H320" s="405" t="s">
        <v>4136</v>
      </c>
      <c r="I320" s="404" t="n">
        <v>45434</v>
      </c>
      <c r="J320" s="68" t="n">
        <v>5</v>
      </c>
      <c r="K320" s="71" t="s">
        <v>49</v>
      </c>
      <c r="L320" s="152" t="s">
        <v>61</v>
      </c>
      <c r="M320" s="152" t="n">
        <f aca="false">I320-D320</f>
        <v>272</v>
      </c>
    </row>
    <row r="321" customFormat="false" ht="12.75" hidden="false" customHeight="true" outlineLevel="0" collapsed="false">
      <c r="A321" s="139" t="n">
        <v>12124</v>
      </c>
      <c r="B321" s="144" t="s">
        <v>5688</v>
      </c>
      <c r="C321" s="115" t="n">
        <v>2018</v>
      </c>
      <c r="D321" s="403" t="n">
        <v>43451</v>
      </c>
      <c r="E321" s="66" t="s">
        <v>5689</v>
      </c>
      <c r="F321" s="66" t="s">
        <v>537</v>
      </c>
      <c r="G321" s="144" t="s">
        <v>441</v>
      </c>
      <c r="H321" s="144" t="s">
        <v>1567</v>
      </c>
      <c r="I321" s="403" t="n">
        <v>45434</v>
      </c>
      <c r="J321" s="66" t="n">
        <v>5</v>
      </c>
      <c r="K321" s="71" t="s">
        <v>49</v>
      </c>
      <c r="L321" s="144" t="s">
        <v>60</v>
      </c>
      <c r="M321" s="145" t="n">
        <f aca="false">I321-D321</f>
        <v>1983</v>
      </c>
    </row>
    <row r="322" customFormat="false" ht="15" hidden="false" customHeight="true" outlineLevel="0" collapsed="false">
      <c r="A322" s="148" t="n">
        <v>12224</v>
      </c>
      <c r="B322" s="405" t="s">
        <v>5690</v>
      </c>
      <c r="C322" s="119" t="n">
        <v>2019</v>
      </c>
      <c r="D322" s="404" t="n">
        <v>43788</v>
      </c>
      <c r="E322" s="68" t="s">
        <v>5691</v>
      </c>
      <c r="F322" s="405" t="s">
        <v>650</v>
      </c>
      <c r="G322" s="405" t="s">
        <v>441</v>
      </c>
      <c r="H322" s="405" t="s">
        <v>995</v>
      </c>
      <c r="I322" s="404" t="n">
        <v>45434</v>
      </c>
      <c r="J322" s="68" t="n">
        <v>5</v>
      </c>
      <c r="K322" s="71" t="s">
        <v>48</v>
      </c>
      <c r="L322" s="152" t="s">
        <v>58</v>
      </c>
      <c r="M322" s="152" t="n">
        <f aca="false">I322-D322</f>
        <v>1646</v>
      </c>
    </row>
    <row r="323" customFormat="false" ht="12.75" hidden="false" customHeight="true" outlineLevel="0" collapsed="false">
      <c r="A323" s="139" t="n">
        <v>12324</v>
      </c>
      <c r="B323" s="144" t="s">
        <v>5692</v>
      </c>
      <c r="C323" s="115" t="n">
        <v>2016</v>
      </c>
      <c r="D323" s="403" t="n">
        <v>42733</v>
      </c>
      <c r="E323" s="66" t="s">
        <v>5693</v>
      </c>
      <c r="F323" s="66" t="s">
        <v>1097</v>
      </c>
      <c r="G323" s="144" t="s">
        <v>441</v>
      </c>
      <c r="H323" s="144" t="s">
        <v>706</v>
      </c>
      <c r="I323" s="403" t="n">
        <v>45434</v>
      </c>
      <c r="J323" s="66" t="n">
        <v>5</v>
      </c>
      <c r="K323" s="71" t="s">
        <v>48</v>
      </c>
      <c r="L323" s="144" t="s">
        <v>60</v>
      </c>
      <c r="M323" s="145" t="n">
        <f aca="false">I323-D323</f>
        <v>2701</v>
      </c>
    </row>
    <row r="324" customFormat="false" ht="12.75" hidden="false" customHeight="true" outlineLevel="0" collapsed="false">
      <c r="A324" s="148" t="n">
        <v>12424</v>
      </c>
      <c r="B324" s="405" t="s">
        <v>5694</v>
      </c>
      <c r="C324" s="119" t="n">
        <v>2019</v>
      </c>
      <c r="D324" s="404" t="n">
        <v>43573</v>
      </c>
      <c r="E324" s="68" t="s">
        <v>5695</v>
      </c>
      <c r="F324" s="405" t="s">
        <v>238</v>
      </c>
      <c r="G324" s="405" t="s">
        <v>441</v>
      </c>
      <c r="H324" s="405" t="s">
        <v>471</v>
      </c>
      <c r="I324" s="404" t="n">
        <v>45434</v>
      </c>
      <c r="J324" s="68" t="n">
        <v>5</v>
      </c>
      <c r="K324" s="71" t="s">
        <v>49</v>
      </c>
      <c r="L324" s="152" t="s">
        <v>60</v>
      </c>
      <c r="M324" s="152" t="n">
        <f aca="false">I324-D324</f>
        <v>1861</v>
      </c>
    </row>
    <row r="325" customFormat="false" ht="12.75" hidden="false" customHeight="true" outlineLevel="0" collapsed="false">
      <c r="A325" s="139" t="n">
        <v>12524</v>
      </c>
      <c r="B325" s="144" t="s">
        <v>5696</v>
      </c>
      <c r="C325" s="115" t="n">
        <v>2020</v>
      </c>
      <c r="D325" s="403" t="n">
        <v>44159</v>
      </c>
      <c r="E325" s="66" t="s">
        <v>5697</v>
      </c>
      <c r="F325" s="66" t="s">
        <v>5698</v>
      </c>
      <c r="G325" s="144" t="s">
        <v>441</v>
      </c>
      <c r="H325" s="144" t="s">
        <v>972</v>
      </c>
      <c r="I325" s="403" t="n">
        <v>45434</v>
      </c>
      <c r="J325" s="66" t="n">
        <v>5</v>
      </c>
      <c r="K325" s="71" t="s">
        <v>48</v>
      </c>
      <c r="L325" s="144" t="s">
        <v>58</v>
      </c>
      <c r="M325" s="145" t="n">
        <f aca="false">I325-D325</f>
        <v>1275</v>
      </c>
    </row>
    <row r="326" customFormat="false" ht="12.75" hidden="false" customHeight="true" outlineLevel="0" collapsed="false">
      <c r="A326" s="148" t="n">
        <v>12624</v>
      </c>
      <c r="B326" s="405" t="s">
        <v>5699</v>
      </c>
      <c r="C326" s="119" t="n">
        <v>2017</v>
      </c>
      <c r="D326" s="404" t="n">
        <v>42978</v>
      </c>
      <c r="E326" s="68" t="s">
        <v>5700</v>
      </c>
      <c r="F326" s="405" t="s">
        <v>5701</v>
      </c>
      <c r="G326" s="405" t="s">
        <v>441</v>
      </c>
      <c r="H326" s="405" t="s">
        <v>267</v>
      </c>
      <c r="I326" s="404" t="n">
        <v>45434</v>
      </c>
      <c r="J326" s="68" t="n">
        <v>5</v>
      </c>
      <c r="K326" s="71" t="s">
        <v>48</v>
      </c>
      <c r="L326" s="152" t="s">
        <v>58</v>
      </c>
      <c r="M326" s="152" t="n">
        <f aca="false">I326-D326</f>
        <v>2456</v>
      </c>
    </row>
    <row r="327" customFormat="false" ht="12.75" hidden="false" customHeight="true" outlineLevel="0" collapsed="false">
      <c r="A327" s="139" t="n">
        <v>12724</v>
      </c>
      <c r="B327" s="144" t="s">
        <v>5702</v>
      </c>
      <c r="C327" s="115" t="n">
        <v>2022</v>
      </c>
      <c r="D327" s="403" t="n">
        <v>44726</v>
      </c>
      <c r="E327" s="66" t="s">
        <v>5703</v>
      </c>
      <c r="F327" s="66" t="s">
        <v>3946</v>
      </c>
      <c r="G327" s="144" t="s">
        <v>441</v>
      </c>
      <c r="H327" s="144" t="s">
        <v>5704</v>
      </c>
      <c r="I327" s="403" t="n">
        <v>45434</v>
      </c>
      <c r="J327" s="66" t="n">
        <v>5</v>
      </c>
      <c r="K327" s="71" t="s">
        <v>49</v>
      </c>
      <c r="L327" s="144" t="s">
        <v>61</v>
      </c>
      <c r="M327" s="145" t="n">
        <f aca="false">I327-D327</f>
        <v>708</v>
      </c>
    </row>
    <row r="328" customFormat="false" ht="12.75" hidden="false" customHeight="true" outlineLevel="0" collapsed="false">
      <c r="A328" s="148" t="n">
        <v>12824</v>
      </c>
      <c r="B328" s="405" t="s">
        <v>5705</v>
      </c>
      <c r="C328" s="119" t="n">
        <v>2016</v>
      </c>
      <c r="D328" s="404" t="n">
        <v>42458</v>
      </c>
      <c r="E328" s="68" t="s">
        <v>5706</v>
      </c>
      <c r="F328" s="405" t="s">
        <v>689</v>
      </c>
      <c r="G328" s="405" t="s">
        <v>441</v>
      </c>
      <c r="H328" s="405" t="s">
        <v>2176</v>
      </c>
      <c r="I328" s="404" t="n">
        <v>45434</v>
      </c>
      <c r="J328" s="68" t="n">
        <v>5</v>
      </c>
      <c r="K328" s="71" t="s">
        <v>49</v>
      </c>
      <c r="L328" s="152" t="s">
        <v>60</v>
      </c>
      <c r="M328" s="152" t="n">
        <f aca="false">I328-D328</f>
        <v>2976</v>
      </c>
    </row>
    <row r="329" customFormat="false" ht="12.75" hidden="false" customHeight="true" outlineLevel="0" collapsed="false">
      <c r="A329" s="139" t="n">
        <v>12924</v>
      </c>
      <c r="B329" s="144" t="s">
        <v>5707</v>
      </c>
      <c r="C329" s="115" t="n">
        <v>2020</v>
      </c>
      <c r="D329" s="403" t="n">
        <v>44048</v>
      </c>
      <c r="E329" s="66" t="s">
        <v>5708</v>
      </c>
      <c r="F329" s="66" t="s">
        <v>5709</v>
      </c>
      <c r="G329" s="144" t="s">
        <v>144</v>
      </c>
      <c r="H329" s="144" t="s">
        <v>909</v>
      </c>
      <c r="I329" s="403" t="n">
        <v>45434</v>
      </c>
      <c r="J329" s="66" t="n">
        <v>5</v>
      </c>
      <c r="K329" s="71" t="s">
        <v>48</v>
      </c>
      <c r="L329" s="144" t="s">
        <v>58</v>
      </c>
      <c r="M329" s="145" t="n">
        <f aca="false">I329-D329</f>
        <v>1386</v>
      </c>
    </row>
    <row r="330" customFormat="false" ht="12.75" hidden="false" customHeight="true" outlineLevel="0" collapsed="false">
      <c r="A330" s="148" t="n">
        <v>13024</v>
      </c>
      <c r="B330" s="405" t="s">
        <v>5710</v>
      </c>
      <c r="C330" s="119" t="n">
        <v>2015</v>
      </c>
      <c r="D330" s="404" t="n">
        <v>43200</v>
      </c>
      <c r="E330" s="68" t="s">
        <v>5711</v>
      </c>
      <c r="F330" s="405" t="s">
        <v>699</v>
      </c>
      <c r="G330" s="405" t="s">
        <v>441</v>
      </c>
      <c r="H330" s="405" t="s">
        <v>285</v>
      </c>
      <c r="I330" s="404" t="n">
        <v>45434</v>
      </c>
      <c r="J330" s="68" t="n">
        <v>5</v>
      </c>
      <c r="K330" s="71" t="s">
        <v>49</v>
      </c>
      <c r="L330" s="152" t="s">
        <v>60</v>
      </c>
      <c r="M330" s="152" t="n">
        <f aca="false">I330-D330</f>
        <v>2234</v>
      </c>
    </row>
    <row r="331" customFormat="false" ht="12.75" hidden="false" customHeight="true" outlineLevel="0" collapsed="false">
      <c r="A331" s="139" t="n">
        <v>13124</v>
      </c>
      <c r="B331" s="144" t="s">
        <v>5712</v>
      </c>
      <c r="C331" s="115" t="n">
        <v>2015</v>
      </c>
      <c r="D331" s="403" t="n">
        <v>42349</v>
      </c>
      <c r="E331" s="66" t="s">
        <v>5713</v>
      </c>
      <c r="F331" s="66" t="s">
        <v>446</v>
      </c>
      <c r="G331" s="144" t="s">
        <v>441</v>
      </c>
      <c r="H331" s="144" t="s">
        <v>5714</v>
      </c>
      <c r="I331" s="403" t="n">
        <v>45434</v>
      </c>
      <c r="J331" s="66" t="n">
        <v>5</v>
      </c>
      <c r="K331" s="71" t="s">
        <v>49</v>
      </c>
      <c r="L331" s="144" t="s">
        <v>60</v>
      </c>
      <c r="M331" s="145" t="n">
        <f aca="false">I331-D331</f>
        <v>3085</v>
      </c>
    </row>
    <row r="332" customFormat="false" ht="12.75" hidden="false" customHeight="true" outlineLevel="0" collapsed="false">
      <c r="A332" s="148" t="n">
        <v>13224</v>
      </c>
      <c r="B332" s="405" t="s">
        <v>5715</v>
      </c>
      <c r="C332" s="119" t="n">
        <v>2010</v>
      </c>
      <c r="D332" s="404" t="n">
        <v>40477</v>
      </c>
      <c r="E332" s="68" t="s">
        <v>5716</v>
      </c>
      <c r="F332" s="405" t="s">
        <v>467</v>
      </c>
      <c r="G332" s="405" t="s">
        <v>441</v>
      </c>
      <c r="H332" s="405" t="s">
        <v>254</v>
      </c>
      <c r="I332" s="404" t="n">
        <v>45434</v>
      </c>
      <c r="J332" s="68" t="n">
        <v>5</v>
      </c>
      <c r="K332" s="71" t="s">
        <v>49</v>
      </c>
      <c r="L332" s="152" t="s">
        <v>60</v>
      </c>
      <c r="M332" s="152" t="n">
        <f aca="false">I332-D332</f>
        <v>4957</v>
      </c>
    </row>
    <row r="333" customFormat="false" ht="12.75" hidden="false" customHeight="true" outlineLevel="0" collapsed="false">
      <c r="A333" s="139" t="n">
        <v>13324</v>
      </c>
      <c r="B333" s="144" t="s">
        <v>5717</v>
      </c>
      <c r="C333" s="115" t="n">
        <v>2021</v>
      </c>
      <c r="D333" s="403" t="n">
        <v>44340</v>
      </c>
      <c r="E333" s="66" t="s">
        <v>5718</v>
      </c>
      <c r="F333" s="66" t="s">
        <v>5719</v>
      </c>
      <c r="G333" s="144" t="s">
        <v>125</v>
      </c>
      <c r="H333" s="144" t="s">
        <v>5720</v>
      </c>
      <c r="I333" s="403" t="n">
        <v>45434</v>
      </c>
      <c r="J333" s="66" t="n">
        <v>5</v>
      </c>
      <c r="K333" s="71" t="s">
        <v>49</v>
      </c>
      <c r="L333" s="144" t="s">
        <v>61</v>
      </c>
      <c r="M333" s="145" t="n">
        <f aca="false">I333-D333</f>
        <v>1094</v>
      </c>
    </row>
    <row r="334" customFormat="false" ht="12.75" hidden="false" customHeight="true" outlineLevel="0" collapsed="false">
      <c r="A334" s="148" t="n">
        <v>13424</v>
      </c>
      <c r="B334" s="405" t="s">
        <v>5721</v>
      </c>
      <c r="C334" s="119" t="n">
        <v>2023</v>
      </c>
      <c r="D334" s="404" t="n">
        <v>45113</v>
      </c>
      <c r="E334" s="68" t="s">
        <v>5722</v>
      </c>
      <c r="F334" s="405" t="s">
        <v>5723</v>
      </c>
      <c r="G334" s="405" t="s">
        <v>130</v>
      </c>
      <c r="H334" s="405" t="s">
        <v>5724</v>
      </c>
      <c r="I334" s="404" t="n">
        <v>45434</v>
      </c>
      <c r="J334" s="68" t="n">
        <v>5</v>
      </c>
      <c r="K334" s="71" t="s">
        <v>49</v>
      </c>
      <c r="L334" s="152" t="s">
        <v>61</v>
      </c>
      <c r="M334" s="152" t="n">
        <f aca="false">I334-D334</f>
        <v>321</v>
      </c>
    </row>
    <row r="335" customFormat="false" ht="12.75" hidden="false" customHeight="true" outlineLevel="0" collapsed="false">
      <c r="A335" s="139" t="n">
        <v>13524</v>
      </c>
      <c r="B335" s="144" t="s">
        <v>5725</v>
      </c>
      <c r="C335" s="115" t="n">
        <v>2020</v>
      </c>
      <c r="D335" s="403" t="n">
        <v>44159</v>
      </c>
      <c r="E335" s="66" t="s">
        <v>5726</v>
      </c>
      <c r="F335" s="66" t="s">
        <v>5727</v>
      </c>
      <c r="G335" s="144" t="s">
        <v>441</v>
      </c>
      <c r="H335" s="144" t="s">
        <v>972</v>
      </c>
      <c r="I335" s="403" t="n">
        <v>45434</v>
      </c>
      <c r="J335" s="66" t="n">
        <v>5</v>
      </c>
      <c r="K335" s="71" t="s">
        <v>48</v>
      </c>
      <c r="L335" s="144" t="s">
        <v>58</v>
      </c>
      <c r="M335" s="145" t="n">
        <f aca="false">I335-D335</f>
        <v>1275</v>
      </c>
    </row>
    <row r="336" customFormat="false" ht="12.75" hidden="false" customHeight="true" outlineLevel="0" collapsed="false">
      <c r="A336" s="148" t="n">
        <v>13624</v>
      </c>
      <c r="B336" s="405" t="s">
        <v>5728</v>
      </c>
      <c r="C336" s="119" t="n">
        <v>2020</v>
      </c>
      <c r="D336" s="404" t="n">
        <v>44021</v>
      </c>
      <c r="E336" s="68" t="s">
        <v>5729</v>
      </c>
      <c r="F336" s="405" t="s">
        <v>5730</v>
      </c>
      <c r="G336" s="405" t="s">
        <v>125</v>
      </c>
      <c r="H336" s="405" t="s">
        <v>5731</v>
      </c>
      <c r="I336" s="404" t="n">
        <v>45434</v>
      </c>
      <c r="J336" s="68" t="n">
        <v>5</v>
      </c>
      <c r="K336" s="406" t="s">
        <v>290</v>
      </c>
      <c r="L336" s="152" t="s">
        <v>61</v>
      </c>
      <c r="M336" s="152" t="n">
        <f aca="false">I336-D336</f>
        <v>1413</v>
      </c>
    </row>
    <row r="337" customFormat="false" ht="12.75" hidden="false" customHeight="true" outlineLevel="0" collapsed="false">
      <c r="A337" s="139" t="n">
        <v>13724</v>
      </c>
      <c r="B337" s="144" t="s">
        <v>5732</v>
      </c>
      <c r="C337" s="115" t="n">
        <v>2021</v>
      </c>
      <c r="D337" s="403" t="n">
        <v>44547</v>
      </c>
      <c r="E337" s="66" t="s">
        <v>5733</v>
      </c>
      <c r="F337" s="66" t="s">
        <v>5734</v>
      </c>
      <c r="G337" s="144" t="s">
        <v>125</v>
      </c>
      <c r="H337" s="144" t="s">
        <v>5735</v>
      </c>
      <c r="I337" s="403" t="n">
        <v>45439</v>
      </c>
      <c r="J337" s="66" t="n">
        <v>5</v>
      </c>
      <c r="K337" s="406" t="s">
        <v>290</v>
      </c>
      <c r="L337" s="144" t="s">
        <v>61</v>
      </c>
      <c r="M337" s="145" t="n">
        <f aca="false">I337-D337</f>
        <v>892</v>
      </c>
    </row>
    <row r="338" customFormat="false" ht="12.75" hidden="false" customHeight="true" outlineLevel="0" collapsed="false">
      <c r="A338" s="148" t="n">
        <v>13824</v>
      </c>
      <c r="B338" s="405" t="s">
        <v>5736</v>
      </c>
      <c r="C338" s="119" t="n">
        <v>2021</v>
      </c>
      <c r="D338" s="404" t="n">
        <v>44488</v>
      </c>
      <c r="E338" s="68" t="s">
        <v>5737</v>
      </c>
      <c r="F338" s="405" t="s">
        <v>5738</v>
      </c>
      <c r="G338" s="405" t="s">
        <v>125</v>
      </c>
      <c r="H338" s="405" t="s">
        <v>1042</v>
      </c>
      <c r="I338" s="404" t="n">
        <v>45439</v>
      </c>
      <c r="J338" s="68" t="n">
        <v>5</v>
      </c>
      <c r="K338" s="406" t="s">
        <v>290</v>
      </c>
      <c r="L338" s="152" t="s">
        <v>61</v>
      </c>
      <c r="M338" s="152" t="n">
        <f aca="false">I338-D338</f>
        <v>951</v>
      </c>
    </row>
    <row r="339" customFormat="false" ht="12.75" hidden="false" customHeight="true" outlineLevel="0" collapsed="false">
      <c r="A339" s="139" t="n">
        <v>13924</v>
      </c>
      <c r="B339" s="144" t="s">
        <v>5739</v>
      </c>
      <c r="C339" s="115" t="n">
        <v>2021</v>
      </c>
      <c r="D339" s="403" t="n">
        <v>44495</v>
      </c>
      <c r="E339" s="66" t="s">
        <v>5740</v>
      </c>
      <c r="F339" s="66" t="s">
        <v>5741</v>
      </c>
      <c r="G339" s="144" t="s">
        <v>125</v>
      </c>
      <c r="H339" s="144" t="s">
        <v>5735</v>
      </c>
      <c r="I339" s="403" t="n">
        <v>45439</v>
      </c>
      <c r="J339" s="66" t="n">
        <v>5</v>
      </c>
      <c r="K339" s="406" t="s">
        <v>290</v>
      </c>
      <c r="L339" s="144" t="s">
        <v>61</v>
      </c>
      <c r="M339" s="145" t="n">
        <f aca="false">I339-D339</f>
        <v>944</v>
      </c>
    </row>
    <row r="340" customFormat="false" ht="15" hidden="false" customHeight="true" outlineLevel="0" collapsed="false">
      <c r="A340" s="148" t="n">
        <v>14024</v>
      </c>
      <c r="B340" s="405" t="s">
        <v>5742</v>
      </c>
      <c r="C340" s="119" t="n">
        <v>2020</v>
      </c>
      <c r="D340" s="404" t="n">
        <v>44074</v>
      </c>
      <c r="E340" s="68" t="s">
        <v>5743</v>
      </c>
      <c r="F340" s="405" t="s">
        <v>777</v>
      </c>
      <c r="G340" s="405" t="s">
        <v>441</v>
      </c>
      <c r="H340" s="405" t="s">
        <v>250</v>
      </c>
      <c r="I340" s="404" t="n">
        <v>45439</v>
      </c>
      <c r="J340" s="68" t="n">
        <v>5</v>
      </c>
      <c r="K340" s="71" t="s">
        <v>49</v>
      </c>
      <c r="L340" s="152" t="s">
        <v>58</v>
      </c>
      <c r="M340" s="152" t="n">
        <f aca="false">I340-D340</f>
        <v>1365</v>
      </c>
    </row>
    <row r="341" customFormat="false" ht="12.75" hidden="false" customHeight="true" outlineLevel="0" collapsed="false">
      <c r="A341" s="139" t="n">
        <v>14124</v>
      </c>
      <c r="B341" s="144" t="s">
        <v>5744</v>
      </c>
      <c r="C341" s="115" t="n">
        <v>2018</v>
      </c>
      <c r="D341" s="403" t="n">
        <v>43252</v>
      </c>
      <c r="E341" s="66" t="s">
        <v>5745</v>
      </c>
      <c r="F341" s="66" t="s">
        <v>346</v>
      </c>
      <c r="G341" s="144" t="s">
        <v>441</v>
      </c>
      <c r="H341" s="144" t="s">
        <v>706</v>
      </c>
      <c r="I341" s="403" t="n">
        <v>45439</v>
      </c>
      <c r="J341" s="66" t="n">
        <v>5</v>
      </c>
      <c r="K341" s="71" t="s">
        <v>49</v>
      </c>
      <c r="L341" s="144" t="s">
        <v>58</v>
      </c>
      <c r="M341" s="145" t="n">
        <f aca="false">I341-D341</f>
        <v>2187</v>
      </c>
    </row>
    <row r="342" customFormat="false" ht="12.75" hidden="false" customHeight="true" outlineLevel="0" collapsed="false">
      <c r="A342" s="148" t="n">
        <v>14224</v>
      </c>
      <c r="B342" s="405" t="s">
        <v>5746</v>
      </c>
      <c r="C342" s="119" t="n">
        <v>2023</v>
      </c>
      <c r="D342" s="404" t="n">
        <v>45113</v>
      </c>
      <c r="E342" s="68" t="s">
        <v>5747</v>
      </c>
      <c r="F342" s="405" t="s">
        <v>5748</v>
      </c>
      <c r="G342" s="405" t="s">
        <v>130</v>
      </c>
      <c r="H342" s="405" t="s">
        <v>5724</v>
      </c>
      <c r="I342" s="404" t="n">
        <v>45439</v>
      </c>
      <c r="J342" s="68" t="n">
        <v>5</v>
      </c>
      <c r="K342" s="71" t="s">
        <v>49</v>
      </c>
      <c r="L342" s="152" t="s">
        <v>61</v>
      </c>
      <c r="M342" s="152" t="n">
        <f aca="false">I342-D342</f>
        <v>326</v>
      </c>
    </row>
    <row r="343" customFormat="false" ht="12.75" hidden="false" customHeight="true" outlineLevel="0" collapsed="false">
      <c r="A343" s="139" t="n">
        <v>14324</v>
      </c>
      <c r="B343" s="144" t="s">
        <v>5749</v>
      </c>
      <c r="C343" s="115" t="n">
        <v>2023</v>
      </c>
      <c r="D343" s="403" t="n">
        <v>45132</v>
      </c>
      <c r="E343" s="66" t="s">
        <v>5750</v>
      </c>
      <c r="F343" s="66" t="s">
        <v>5751</v>
      </c>
      <c r="G343" s="144" t="s">
        <v>130</v>
      </c>
      <c r="H343" s="144" t="s">
        <v>3707</v>
      </c>
      <c r="I343" s="403" t="n">
        <v>45439</v>
      </c>
      <c r="J343" s="66" t="n">
        <v>5</v>
      </c>
      <c r="K343" s="71" t="s">
        <v>49</v>
      </c>
      <c r="L343" s="144" t="s">
        <v>61</v>
      </c>
      <c r="M343" s="145" t="n">
        <f aca="false">I343-D343</f>
        <v>307</v>
      </c>
    </row>
    <row r="344" customFormat="false" ht="12.75" hidden="false" customHeight="true" outlineLevel="0" collapsed="false">
      <c r="A344" s="148" t="n">
        <v>14424</v>
      </c>
      <c r="B344" s="405" t="s">
        <v>5752</v>
      </c>
      <c r="C344" s="119" t="n">
        <v>2023</v>
      </c>
      <c r="D344" s="404" t="n">
        <v>45110</v>
      </c>
      <c r="E344" s="68" t="s">
        <v>5753</v>
      </c>
      <c r="F344" s="405" t="s">
        <v>5754</v>
      </c>
      <c r="G344" s="405" t="s">
        <v>130</v>
      </c>
      <c r="H344" s="405" t="s">
        <v>294</v>
      </c>
      <c r="I344" s="404" t="n">
        <v>45439</v>
      </c>
      <c r="J344" s="68" t="n">
        <v>5</v>
      </c>
      <c r="K344" s="71" t="s">
        <v>49</v>
      </c>
      <c r="L344" s="152" t="s">
        <v>61</v>
      </c>
      <c r="M344" s="152" t="n">
        <f aca="false">I344-D344</f>
        <v>329</v>
      </c>
    </row>
    <row r="345" customFormat="false" ht="12.75" hidden="false" customHeight="true" outlineLevel="0" collapsed="false">
      <c r="A345" s="139" t="n">
        <v>14524</v>
      </c>
      <c r="B345" s="144" t="s">
        <v>5755</v>
      </c>
      <c r="C345" s="115" t="n">
        <v>2014</v>
      </c>
      <c r="D345" s="403" t="n">
        <v>41901</v>
      </c>
      <c r="E345" s="66" t="s">
        <v>5756</v>
      </c>
      <c r="F345" s="66" t="s">
        <v>5757</v>
      </c>
      <c r="G345" s="144" t="s">
        <v>441</v>
      </c>
      <c r="H345" s="144" t="s">
        <v>1059</v>
      </c>
      <c r="I345" s="403" t="n">
        <v>45439</v>
      </c>
      <c r="J345" s="66" t="n">
        <v>5</v>
      </c>
      <c r="K345" s="71" t="s">
        <v>49</v>
      </c>
      <c r="L345" s="144" t="s">
        <v>60</v>
      </c>
      <c r="M345" s="145" t="n">
        <f aca="false">I345-D345</f>
        <v>3538</v>
      </c>
    </row>
    <row r="346" customFormat="false" ht="15" hidden="false" customHeight="true" outlineLevel="0" collapsed="false">
      <c r="A346" s="148" t="n">
        <v>14624</v>
      </c>
      <c r="B346" s="405" t="s">
        <v>5758</v>
      </c>
      <c r="C346" s="119" t="n">
        <v>2020</v>
      </c>
      <c r="D346" s="404" t="n">
        <v>44041</v>
      </c>
      <c r="E346" s="68" t="s">
        <v>5759</v>
      </c>
      <c r="F346" s="405" t="s">
        <v>5760</v>
      </c>
      <c r="G346" s="405" t="s">
        <v>441</v>
      </c>
      <c r="H346" s="405" t="s">
        <v>1072</v>
      </c>
      <c r="I346" s="404" t="n">
        <v>45439</v>
      </c>
      <c r="J346" s="68" t="n">
        <v>5</v>
      </c>
      <c r="K346" s="196" t="s">
        <v>44</v>
      </c>
      <c r="L346" s="152" t="s">
        <v>58</v>
      </c>
      <c r="M346" s="152" t="n">
        <f aca="false">I346-D346</f>
        <v>1398</v>
      </c>
    </row>
    <row r="347" customFormat="false" ht="15" hidden="false" customHeight="true" outlineLevel="0" collapsed="false">
      <c r="A347" s="139" t="n">
        <v>14724</v>
      </c>
      <c r="B347" s="144" t="s">
        <v>5761</v>
      </c>
      <c r="C347" s="115" t="n">
        <v>2023</v>
      </c>
      <c r="D347" s="403" t="n">
        <v>45044</v>
      </c>
      <c r="E347" s="66" t="s">
        <v>5762</v>
      </c>
      <c r="F347" s="66" t="s">
        <v>5763</v>
      </c>
      <c r="G347" s="144" t="s">
        <v>125</v>
      </c>
      <c r="H347" s="144" t="s">
        <v>54</v>
      </c>
      <c r="I347" s="403" t="n">
        <v>45439</v>
      </c>
      <c r="J347" s="66" t="n">
        <v>5</v>
      </c>
      <c r="K347" s="71" t="s">
        <v>49</v>
      </c>
      <c r="L347" s="144" t="s">
        <v>61</v>
      </c>
      <c r="M347" s="145" t="n">
        <f aca="false">I347-D347</f>
        <v>395</v>
      </c>
    </row>
    <row r="348" customFormat="false" ht="15" hidden="false" customHeight="true" outlineLevel="0" collapsed="false">
      <c r="A348" s="148" t="n">
        <v>14824</v>
      </c>
      <c r="B348" s="405" t="s">
        <v>5764</v>
      </c>
      <c r="C348" s="119" t="n">
        <v>2018</v>
      </c>
      <c r="D348" s="404" t="n">
        <v>43269</v>
      </c>
      <c r="E348" s="68" t="s">
        <v>5765</v>
      </c>
      <c r="F348" s="405" t="s">
        <v>5585</v>
      </c>
      <c r="G348" s="405" t="s">
        <v>441</v>
      </c>
      <c r="H348" s="405" t="s">
        <v>706</v>
      </c>
      <c r="I348" s="404" t="n">
        <v>45439</v>
      </c>
      <c r="J348" s="68" t="n">
        <v>5</v>
      </c>
      <c r="K348" s="71" t="s">
        <v>49</v>
      </c>
      <c r="L348" s="152" t="s">
        <v>60</v>
      </c>
      <c r="M348" s="152" t="n">
        <f aca="false">I348-D348</f>
        <v>2170</v>
      </c>
    </row>
    <row r="349" customFormat="false" ht="15" hidden="false" customHeight="true" outlineLevel="0" collapsed="false">
      <c r="A349" s="139" t="n">
        <v>14924</v>
      </c>
      <c r="B349" s="144" t="s">
        <v>5766</v>
      </c>
      <c r="C349" s="115" t="n">
        <v>2020</v>
      </c>
      <c r="D349" s="403" t="n">
        <v>43917</v>
      </c>
      <c r="E349" s="66" t="s">
        <v>5767</v>
      </c>
      <c r="F349" s="66" t="s">
        <v>798</v>
      </c>
      <c r="G349" s="144" t="s">
        <v>441</v>
      </c>
      <c r="H349" s="144" t="s">
        <v>1567</v>
      </c>
      <c r="I349" s="403" t="n">
        <v>45439</v>
      </c>
      <c r="J349" s="66" t="n">
        <v>5</v>
      </c>
      <c r="K349" s="71" t="s">
        <v>49</v>
      </c>
      <c r="L349" s="144" t="s">
        <v>60</v>
      </c>
      <c r="M349" s="145" t="n">
        <f aca="false">I349-D349</f>
        <v>1522</v>
      </c>
    </row>
    <row r="350" customFormat="false" ht="12.75" hidden="false" customHeight="true" outlineLevel="0" collapsed="false">
      <c r="A350" s="148" t="n">
        <v>15024</v>
      </c>
      <c r="B350" s="405" t="s">
        <v>5768</v>
      </c>
      <c r="C350" s="119" t="n">
        <v>2016</v>
      </c>
      <c r="D350" s="404" t="n">
        <v>42571</v>
      </c>
      <c r="E350" s="68" t="s">
        <v>5769</v>
      </c>
      <c r="F350" s="405" t="s">
        <v>5770</v>
      </c>
      <c r="G350" s="405" t="s">
        <v>441</v>
      </c>
      <c r="H350" s="405" t="s">
        <v>192</v>
      </c>
      <c r="I350" s="404" t="n">
        <v>45439</v>
      </c>
      <c r="J350" s="68" t="n">
        <v>5</v>
      </c>
      <c r="K350" s="71" t="s">
        <v>49</v>
      </c>
      <c r="L350" s="152" t="s">
        <v>58</v>
      </c>
      <c r="M350" s="152" t="n">
        <f aca="false">I350-D350</f>
        <v>2868</v>
      </c>
    </row>
    <row r="351" customFormat="false" ht="12.75" hidden="false" customHeight="true" outlineLevel="0" collapsed="false">
      <c r="A351" s="139" t="n">
        <v>15124</v>
      </c>
      <c r="B351" s="144" t="s">
        <v>5771</v>
      </c>
      <c r="C351" s="115" t="n">
        <v>2023</v>
      </c>
      <c r="D351" s="403" t="n">
        <v>45196</v>
      </c>
      <c r="E351" s="66" t="s">
        <v>5772</v>
      </c>
      <c r="F351" s="66" t="s">
        <v>876</v>
      </c>
      <c r="G351" s="144" t="s">
        <v>130</v>
      </c>
      <c r="H351" s="144" t="s">
        <v>3234</v>
      </c>
      <c r="I351" s="403" t="n">
        <v>45439</v>
      </c>
      <c r="J351" s="66" t="n">
        <v>5</v>
      </c>
      <c r="K351" s="71" t="s">
        <v>49</v>
      </c>
      <c r="L351" s="144" t="s">
        <v>61</v>
      </c>
      <c r="M351" s="145" t="n">
        <f aca="false">I351-D351</f>
        <v>243</v>
      </c>
    </row>
    <row r="352" customFormat="false" ht="12.75" hidden="false" customHeight="true" outlineLevel="0" collapsed="false">
      <c r="A352" s="148" t="n">
        <v>15224</v>
      </c>
      <c r="B352" s="405" t="s">
        <v>5773</v>
      </c>
      <c r="C352" s="119" t="n">
        <v>2021</v>
      </c>
      <c r="D352" s="404" t="n">
        <v>44389</v>
      </c>
      <c r="E352" s="68" t="s">
        <v>5774</v>
      </c>
      <c r="F352" s="405" t="s">
        <v>242</v>
      </c>
      <c r="G352" s="405" t="s">
        <v>441</v>
      </c>
      <c r="H352" s="405" t="s">
        <v>139</v>
      </c>
      <c r="I352" s="404" t="n">
        <v>45439</v>
      </c>
      <c r="J352" s="68" t="n">
        <v>5</v>
      </c>
      <c r="K352" s="71" t="s">
        <v>49</v>
      </c>
      <c r="L352" s="152" t="s">
        <v>58</v>
      </c>
      <c r="M352" s="152" t="n">
        <f aca="false">I352-D352</f>
        <v>1050</v>
      </c>
    </row>
    <row r="353" customFormat="false" ht="12.75" hidden="false" customHeight="true" outlineLevel="0" collapsed="false">
      <c r="A353" s="139" t="n">
        <v>15324</v>
      </c>
      <c r="B353" s="144" t="s">
        <v>5775</v>
      </c>
      <c r="C353" s="115" t="n">
        <v>2015</v>
      </c>
      <c r="D353" s="403" t="n">
        <v>42223</v>
      </c>
      <c r="E353" s="66" t="s">
        <v>5776</v>
      </c>
      <c r="F353" s="66" t="s">
        <v>365</v>
      </c>
      <c r="G353" s="144" t="s">
        <v>441</v>
      </c>
      <c r="H353" s="144" t="s">
        <v>184</v>
      </c>
      <c r="I353" s="403" t="n">
        <v>45439</v>
      </c>
      <c r="J353" s="66" t="n">
        <v>5</v>
      </c>
      <c r="K353" s="71" t="s">
        <v>48</v>
      </c>
      <c r="L353" s="144" t="s">
        <v>58</v>
      </c>
      <c r="M353" s="145" t="n">
        <f aca="false">I353-D353</f>
        <v>3216</v>
      </c>
    </row>
    <row r="354" customFormat="false" ht="12.75" hidden="false" customHeight="true" outlineLevel="0" collapsed="false">
      <c r="A354" s="148" t="n">
        <v>15424</v>
      </c>
      <c r="B354" s="405" t="s">
        <v>5777</v>
      </c>
      <c r="C354" s="119" t="n">
        <v>2017</v>
      </c>
      <c r="D354" s="404" t="n">
        <v>43090</v>
      </c>
      <c r="E354" s="68" t="s">
        <v>5778</v>
      </c>
      <c r="F354" s="405" t="s">
        <v>902</v>
      </c>
      <c r="G354" s="405" t="s">
        <v>441</v>
      </c>
      <c r="H354" s="405" t="s">
        <v>184</v>
      </c>
      <c r="I354" s="404" t="n">
        <v>45439</v>
      </c>
      <c r="J354" s="68" t="n">
        <v>5</v>
      </c>
      <c r="K354" s="71" t="s">
        <v>49</v>
      </c>
      <c r="L354" s="152" t="s">
        <v>58</v>
      </c>
      <c r="M354" s="152" t="n">
        <f aca="false">I354-D354</f>
        <v>2349</v>
      </c>
    </row>
    <row r="355" customFormat="false" ht="12.75" hidden="false" customHeight="true" outlineLevel="0" collapsed="false">
      <c r="A355" s="139" t="n">
        <v>15524</v>
      </c>
      <c r="B355" s="144" t="s">
        <v>5779</v>
      </c>
      <c r="C355" s="115" t="n">
        <v>2015</v>
      </c>
      <c r="D355" s="403" t="n">
        <v>42366</v>
      </c>
      <c r="E355" s="66" t="s">
        <v>5780</v>
      </c>
      <c r="F355" s="66" t="s">
        <v>668</v>
      </c>
      <c r="G355" s="144" t="s">
        <v>441</v>
      </c>
      <c r="H355" s="144" t="s">
        <v>184</v>
      </c>
      <c r="I355" s="403" t="n">
        <v>45439</v>
      </c>
      <c r="J355" s="66" t="n">
        <v>5</v>
      </c>
      <c r="K355" s="196" t="s">
        <v>44</v>
      </c>
      <c r="L355" s="144" t="s">
        <v>58</v>
      </c>
      <c r="M355" s="145" t="n">
        <f aca="false">I355-D355</f>
        <v>3073</v>
      </c>
    </row>
    <row r="356" customFormat="false" ht="12.75" hidden="false" customHeight="true" outlineLevel="0" collapsed="false">
      <c r="A356" s="148" t="n">
        <v>15624</v>
      </c>
      <c r="B356" s="405" t="s">
        <v>5781</v>
      </c>
      <c r="C356" s="119" t="n">
        <v>2020</v>
      </c>
      <c r="D356" s="404" t="n">
        <v>44168</v>
      </c>
      <c r="E356" s="68" t="s">
        <v>5782</v>
      </c>
      <c r="F356" s="405" t="s">
        <v>5783</v>
      </c>
      <c r="G356" s="405" t="s">
        <v>144</v>
      </c>
      <c r="H356" s="405" t="s">
        <v>5589</v>
      </c>
      <c r="I356" s="404" t="n">
        <v>45439</v>
      </c>
      <c r="J356" s="68" t="n">
        <v>5</v>
      </c>
      <c r="K356" s="71" t="s">
        <v>49</v>
      </c>
      <c r="L356" s="152" t="s">
        <v>58</v>
      </c>
      <c r="M356" s="152" t="n">
        <f aca="false">I356-D356</f>
        <v>1271</v>
      </c>
    </row>
    <row r="357" customFormat="false" ht="12.75" hidden="false" customHeight="true" outlineLevel="0" collapsed="false">
      <c r="A357" s="139" t="n">
        <v>15724</v>
      </c>
      <c r="B357" s="144" t="s">
        <v>5784</v>
      </c>
      <c r="C357" s="115" t="n">
        <v>2023</v>
      </c>
      <c r="D357" s="403" t="n">
        <v>45041</v>
      </c>
      <c r="E357" s="66" t="s">
        <v>5785</v>
      </c>
      <c r="F357" s="66" t="s">
        <v>5786</v>
      </c>
      <c r="G357" s="144" t="s">
        <v>130</v>
      </c>
      <c r="H357" s="144" t="s">
        <v>5787</v>
      </c>
      <c r="I357" s="403" t="n">
        <v>45441</v>
      </c>
      <c r="J357" s="66" t="n">
        <v>5</v>
      </c>
      <c r="K357" s="71" t="s">
        <v>49</v>
      </c>
      <c r="L357" s="144" t="s">
        <v>61</v>
      </c>
      <c r="M357" s="145" t="n">
        <f aca="false">I357-D357</f>
        <v>400</v>
      </c>
    </row>
    <row r="358" customFormat="false" ht="15" hidden="false" customHeight="true" outlineLevel="0" collapsed="false">
      <c r="A358" s="148" t="n">
        <v>15824</v>
      </c>
      <c r="B358" s="405" t="s">
        <v>5788</v>
      </c>
      <c r="C358" s="119" t="n">
        <v>2018</v>
      </c>
      <c r="D358" s="404" t="n">
        <v>43454</v>
      </c>
      <c r="E358" s="68" t="s">
        <v>5789</v>
      </c>
      <c r="F358" s="405" t="s">
        <v>446</v>
      </c>
      <c r="G358" s="405" t="s">
        <v>441</v>
      </c>
      <c r="H358" s="405" t="s">
        <v>192</v>
      </c>
      <c r="I358" s="404" t="n">
        <v>45441</v>
      </c>
      <c r="J358" s="68" t="n">
        <v>5</v>
      </c>
      <c r="K358" s="71" t="s">
        <v>49</v>
      </c>
      <c r="L358" s="152" t="s">
        <v>60</v>
      </c>
      <c r="M358" s="152" t="n">
        <f aca="false">I358-D358</f>
        <v>1987</v>
      </c>
    </row>
    <row r="359" customFormat="false" ht="12.75" hidden="false" customHeight="true" outlineLevel="0" collapsed="false">
      <c r="A359" s="139" t="n">
        <v>15924</v>
      </c>
      <c r="B359" s="144" t="s">
        <v>5790</v>
      </c>
      <c r="C359" s="115" t="n">
        <v>2016</v>
      </c>
      <c r="D359" s="403" t="n">
        <v>42580</v>
      </c>
      <c r="E359" s="66" t="s">
        <v>5791</v>
      </c>
      <c r="F359" s="66" t="s">
        <v>1156</v>
      </c>
      <c r="G359" s="144" t="s">
        <v>441</v>
      </c>
      <c r="H359" s="144" t="s">
        <v>450</v>
      </c>
      <c r="I359" s="403" t="n">
        <v>45441</v>
      </c>
      <c r="J359" s="66" t="n">
        <v>5</v>
      </c>
      <c r="K359" s="163" t="s">
        <v>46</v>
      </c>
      <c r="L359" s="144" t="s">
        <v>58</v>
      </c>
      <c r="M359" s="145" t="n">
        <f aca="false">I359-D359</f>
        <v>2861</v>
      </c>
    </row>
    <row r="360" customFormat="false" ht="12.75" hidden="false" customHeight="true" outlineLevel="0" collapsed="false">
      <c r="A360" s="148" t="n">
        <v>16024</v>
      </c>
      <c r="B360" s="405" t="s">
        <v>5792</v>
      </c>
      <c r="C360" s="119" t="n">
        <v>2017</v>
      </c>
      <c r="D360" s="404" t="n">
        <v>43087</v>
      </c>
      <c r="E360" s="68" t="s">
        <v>5793</v>
      </c>
      <c r="F360" s="405" t="s">
        <v>705</v>
      </c>
      <c r="G360" s="405" t="s">
        <v>441</v>
      </c>
      <c r="H360" s="405" t="s">
        <v>3056</v>
      </c>
      <c r="I360" s="404" t="n">
        <v>45441</v>
      </c>
      <c r="J360" s="68" t="n">
        <v>5</v>
      </c>
      <c r="K360" s="71" t="s">
        <v>48</v>
      </c>
      <c r="L360" s="152" t="s">
        <v>58</v>
      </c>
      <c r="M360" s="152" t="n">
        <f aca="false">I360-D360</f>
        <v>2354</v>
      </c>
    </row>
    <row r="361" customFormat="false" ht="12.75" hidden="false" customHeight="true" outlineLevel="0" collapsed="false">
      <c r="A361" s="139" t="n">
        <v>16124</v>
      </c>
      <c r="B361" s="144" t="s">
        <v>5794</v>
      </c>
      <c r="C361" s="115" t="n">
        <v>2020</v>
      </c>
      <c r="D361" s="403" t="n">
        <v>44034</v>
      </c>
      <c r="E361" s="66" t="s">
        <v>5795</v>
      </c>
      <c r="F361" s="66" t="s">
        <v>2151</v>
      </c>
      <c r="G361" s="144" t="s">
        <v>441</v>
      </c>
      <c r="H361" s="144" t="s">
        <v>589</v>
      </c>
      <c r="I361" s="403" t="n">
        <v>45476</v>
      </c>
      <c r="J361" s="66" t="n">
        <v>7</v>
      </c>
      <c r="K361" s="71" t="s">
        <v>48</v>
      </c>
      <c r="L361" s="144" t="s">
        <v>58</v>
      </c>
      <c r="M361" s="145" t="n">
        <f aca="false">I361-D361</f>
        <v>1442</v>
      </c>
    </row>
    <row r="362" customFormat="false" ht="15" hidden="false" customHeight="true" outlineLevel="0" collapsed="false">
      <c r="A362" s="148" t="n">
        <v>16224</v>
      </c>
      <c r="B362" s="405" t="s">
        <v>5796</v>
      </c>
      <c r="C362" s="119" t="n">
        <v>2018</v>
      </c>
      <c r="D362" s="404" t="n">
        <v>43381</v>
      </c>
      <c r="E362" s="68" t="s">
        <v>5797</v>
      </c>
      <c r="F362" s="405" t="s">
        <v>512</v>
      </c>
      <c r="G362" s="405" t="s">
        <v>441</v>
      </c>
      <c r="H362" s="405" t="s">
        <v>184</v>
      </c>
      <c r="I362" s="404" t="n">
        <v>45476</v>
      </c>
      <c r="J362" s="68" t="n">
        <v>7</v>
      </c>
      <c r="K362" s="71" t="s">
        <v>49</v>
      </c>
      <c r="L362" s="152" t="s">
        <v>60</v>
      </c>
      <c r="M362" s="152" t="n">
        <f aca="false">I362-D362</f>
        <v>2095</v>
      </c>
    </row>
    <row r="363" customFormat="false" ht="12.75" hidden="false" customHeight="true" outlineLevel="0" collapsed="false">
      <c r="A363" s="139" t="n">
        <v>16324</v>
      </c>
      <c r="B363" s="144" t="s">
        <v>5798</v>
      </c>
      <c r="C363" s="115" t="n">
        <v>2015</v>
      </c>
      <c r="D363" s="403" t="n">
        <v>44939</v>
      </c>
      <c r="E363" s="66" t="s">
        <v>5799</v>
      </c>
      <c r="F363" s="66" t="s">
        <v>569</v>
      </c>
      <c r="G363" s="144" t="s">
        <v>441</v>
      </c>
      <c r="H363" s="144" t="s">
        <v>1042</v>
      </c>
      <c r="I363" s="403" t="n">
        <v>45476</v>
      </c>
      <c r="J363" s="66" t="n">
        <v>7</v>
      </c>
      <c r="K363" s="71" t="s">
        <v>48</v>
      </c>
      <c r="L363" s="144" t="s">
        <v>58</v>
      </c>
      <c r="M363" s="145" t="n">
        <f aca="false">I363-D363</f>
        <v>537</v>
      </c>
    </row>
    <row r="364" customFormat="false" ht="12.75" hidden="false" customHeight="true" outlineLevel="0" collapsed="false">
      <c r="A364" s="148" t="n">
        <v>16424</v>
      </c>
      <c r="B364" s="405" t="s">
        <v>5800</v>
      </c>
      <c r="C364" s="119" t="n">
        <v>2017</v>
      </c>
      <c r="D364" s="404" t="n">
        <v>43098</v>
      </c>
      <c r="E364" s="68" t="s">
        <v>5801</v>
      </c>
      <c r="F364" s="405" t="s">
        <v>1324</v>
      </c>
      <c r="G364" s="405" t="s">
        <v>441</v>
      </c>
      <c r="H364" s="405" t="s">
        <v>1072</v>
      </c>
      <c r="I364" s="404" t="n">
        <v>45476</v>
      </c>
      <c r="J364" s="68" t="n">
        <v>7</v>
      </c>
      <c r="K364" s="406" t="s">
        <v>290</v>
      </c>
      <c r="L364" s="152" t="s">
        <v>60</v>
      </c>
      <c r="M364" s="152" t="n">
        <f aca="false">I364-D364</f>
        <v>2378</v>
      </c>
    </row>
    <row r="365" customFormat="false" ht="12.75" hidden="false" customHeight="true" outlineLevel="0" collapsed="false">
      <c r="A365" s="139" t="n">
        <v>16524</v>
      </c>
      <c r="B365" s="144" t="s">
        <v>5802</v>
      </c>
      <c r="C365" s="115" t="n">
        <v>2020</v>
      </c>
      <c r="D365" s="403" t="n">
        <v>44181</v>
      </c>
      <c r="E365" s="66" t="s">
        <v>5803</v>
      </c>
      <c r="F365" s="66" t="s">
        <v>5804</v>
      </c>
      <c r="G365" s="144" t="s">
        <v>441</v>
      </c>
      <c r="H365" s="144" t="s">
        <v>267</v>
      </c>
      <c r="I365" s="403" t="n">
        <v>45476</v>
      </c>
      <c r="J365" s="66" t="n">
        <v>7</v>
      </c>
      <c r="K365" s="71" t="s">
        <v>49</v>
      </c>
      <c r="L365" s="144" t="s">
        <v>58</v>
      </c>
      <c r="M365" s="145" t="n">
        <f aca="false">I365-D365</f>
        <v>1295</v>
      </c>
    </row>
    <row r="366" customFormat="false" ht="12.75" hidden="false" customHeight="true" outlineLevel="0" collapsed="false">
      <c r="A366" s="148" t="n">
        <v>16624</v>
      </c>
      <c r="B366" s="405" t="s">
        <v>5805</v>
      </c>
      <c r="C366" s="119" t="n">
        <v>2018</v>
      </c>
      <c r="D366" s="404" t="n">
        <v>43215</v>
      </c>
      <c r="E366" s="68" t="s">
        <v>5806</v>
      </c>
      <c r="F366" s="405" t="s">
        <v>3447</v>
      </c>
      <c r="G366" s="405" t="s">
        <v>441</v>
      </c>
      <c r="H366" s="405" t="s">
        <v>3339</v>
      </c>
      <c r="I366" s="404" t="n">
        <v>45476</v>
      </c>
      <c r="J366" s="68" t="n">
        <v>7</v>
      </c>
      <c r="K366" s="71" t="s">
        <v>49</v>
      </c>
      <c r="L366" s="152" t="s">
        <v>60</v>
      </c>
      <c r="M366" s="152" t="n">
        <f aca="false">I366-D366</f>
        <v>2261</v>
      </c>
    </row>
    <row r="367" customFormat="false" ht="12.75" hidden="false" customHeight="true" outlineLevel="0" collapsed="false">
      <c r="A367" s="139" t="n">
        <v>16724</v>
      </c>
      <c r="B367" s="144" t="s">
        <v>5807</v>
      </c>
      <c r="C367" s="115" t="n">
        <v>2021</v>
      </c>
      <c r="D367" s="403" t="n">
        <v>44508</v>
      </c>
      <c r="E367" s="66" t="s">
        <v>5808</v>
      </c>
      <c r="F367" s="66" t="s">
        <v>207</v>
      </c>
      <c r="G367" s="144" t="s">
        <v>441</v>
      </c>
      <c r="H367" s="144" t="s">
        <v>995</v>
      </c>
      <c r="I367" s="403" t="n">
        <v>45476</v>
      </c>
      <c r="J367" s="66" t="n">
        <v>7</v>
      </c>
      <c r="K367" s="71" t="s">
        <v>49</v>
      </c>
      <c r="L367" s="144" t="s">
        <v>58</v>
      </c>
      <c r="M367" s="145" t="n">
        <f aca="false">I367-D367</f>
        <v>968</v>
      </c>
    </row>
    <row r="368" customFormat="false" ht="12.75" hidden="false" customHeight="true" outlineLevel="0" collapsed="false">
      <c r="A368" s="148" t="n">
        <v>16824</v>
      </c>
      <c r="B368" s="405" t="s">
        <v>5809</v>
      </c>
      <c r="C368" s="119" t="n">
        <v>2018</v>
      </c>
      <c r="D368" s="404" t="n">
        <v>43230</v>
      </c>
      <c r="E368" s="68" t="s">
        <v>5810</v>
      </c>
      <c r="F368" s="405" t="s">
        <v>5811</v>
      </c>
      <c r="G368" s="405" t="s">
        <v>441</v>
      </c>
      <c r="H368" s="405" t="s">
        <v>254</v>
      </c>
      <c r="I368" s="404" t="n">
        <v>45476</v>
      </c>
      <c r="J368" s="68" t="n">
        <v>7</v>
      </c>
      <c r="K368" s="71" t="s">
        <v>49</v>
      </c>
      <c r="L368" s="152" t="s">
        <v>60</v>
      </c>
      <c r="M368" s="152" t="n">
        <f aca="false">I368-D368</f>
        <v>2246</v>
      </c>
    </row>
    <row r="369" customFormat="false" ht="12.75" hidden="false" customHeight="true" outlineLevel="0" collapsed="false">
      <c r="A369" s="139" t="n">
        <v>16924</v>
      </c>
      <c r="B369" s="144" t="s">
        <v>5812</v>
      </c>
      <c r="C369" s="115" t="n">
        <v>2011</v>
      </c>
      <c r="D369" s="403" t="n">
        <v>43398</v>
      </c>
      <c r="E369" s="66" t="s">
        <v>5813</v>
      </c>
      <c r="F369" s="66" t="s">
        <v>5814</v>
      </c>
      <c r="G369" s="144" t="s">
        <v>441</v>
      </c>
      <c r="H369" s="144" t="s">
        <v>119</v>
      </c>
      <c r="I369" s="403" t="n">
        <v>45476</v>
      </c>
      <c r="J369" s="66" t="n">
        <v>7</v>
      </c>
      <c r="K369" s="71" t="s">
        <v>48</v>
      </c>
      <c r="L369" s="144" t="s">
        <v>60</v>
      </c>
      <c r="M369" s="145" t="n">
        <f aca="false">I369-D369</f>
        <v>2078</v>
      </c>
    </row>
    <row r="370" customFormat="false" ht="12.75" hidden="false" customHeight="true" outlineLevel="0" collapsed="false">
      <c r="A370" s="148" t="n">
        <v>17024</v>
      </c>
      <c r="B370" s="405" t="s">
        <v>5815</v>
      </c>
      <c r="C370" s="119" t="n">
        <v>2021</v>
      </c>
      <c r="D370" s="404" t="n">
        <v>44496</v>
      </c>
      <c r="E370" s="68" t="s">
        <v>5816</v>
      </c>
      <c r="F370" s="405" t="s">
        <v>3475</v>
      </c>
      <c r="G370" s="405" t="s">
        <v>441</v>
      </c>
      <c r="H370" s="405" t="s">
        <v>139</v>
      </c>
      <c r="I370" s="404" t="n">
        <v>45476</v>
      </c>
      <c r="J370" s="68" t="n">
        <v>7</v>
      </c>
      <c r="K370" s="71" t="s">
        <v>49</v>
      </c>
      <c r="L370" s="152" t="s">
        <v>60</v>
      </c>
      <c r="M370" s="152" t="n">
        <f aca="false">I370-D370</f>
        <v>980</v>
      </c>
    </row>
    <row r="371" customFormat="false" ht="12.75" hidden="false" customHeight="true" outlineLevel="0" collapsed="false">
      <c r="A371" s="139" t="n">
        <v>17124</v>
      </c>
      <c r="B371" s="144" t="s">
        <v>5817</v>
      </c>
      <c r="C371" s="115" t="n">
        <v>2021</v>
      </c>
      <c r="D371" s="403" t="n">
        <v>44260</v>
      </c>
      <c r="E371" s="66" t="s">
        <v>5818</v>
      </c>
      <c r="F371" s="66" t="s">
        <v>408</v>
      </c>
      <c r="G371" s="144" t="s">
        <v>441</v>
      </c>
      <c r="H371" s="144" t="s">
        <v>254</v>
      </c>
      <c r="I371" s="403" t="n">
        <v>45476</v>
      </c>
      <c r="J371" s="66" t="n">
        <v>7</v>
      </c>
      <c r="K371" s="71" t="s">
        <v>48</v>
      </c>
      <c r="L371" s="144" t="s">
        <v>58</v>
      </c>
      <c r="M371" s="145" t="n">
        <f aca="false">I371-D371</f>
        <v>1216</v>
      </c>
    </row>
    <row r="372" customFormat="false" ht="12.75" hidden="false" customHeight="true" outlineLevel="0" collapsed="false">
      <c r="A372" s="148" t="n">
        <v>17224</v>
      </c>
      <c r="B372" s="405" t="s">
        <v>5819</v>
      </c>
      <c r="C372" s="119" t="n">
        <v>2021</v>
      </c>
      <c r="D372" s="404" t="n">
        <v>44260</v>
      </c>
      <c r="E372" s="68" t="s">
        <v>5820</v>
      </c>
      <c r="F372" s="405" t="s">
        <v>408</v>
      </c>
      <c r="G372" s="405" t="s">
        <v>441</v>
      </c>
      <c r="H372" s="405" t="s">
        <v>254</v>
      </c>
      <c r="I372" s="404" t="n">
        <v>45476</v>
      </c>
      <c r="J372" s="68" t="n">
        <v>7</v>
      </c>
      <c r="K372" s="71" t="s">
        <v>48</v>
      </c>
      <c r="L372" s="152" t="s">
        <v>58</v>
      </c>
      <c r="M372" s="152" t="n">
        <f aca="false">I372-D372</f>
        <v>1216</v>
      </c>
    </row>
    <row r="373" customFormat="false" ht="12.75" hidden="false" customHeight="true" outlineLevel="0" collapsed="false">
      <c r="A373" s="139" t="n">
        <v>17324</v>
      </c>
      <c r="B373" s="144" t="s">
        <v>5821</v>
      </c>
      <c r="C373" s="115" t="n">
        <v>2016</v>
      </c>
      <c r="D373" s="403" t="n">
        <v>42683</v>
      </c>
      <c r="E373" s="66" t="s">
        <v>5822</v>
      </c>
      <c r="F373" s="66" t="s">
        <v>5823</v>
      </c>
      <c r="G373" s="144" t="s">
        <v>441</v>
      </c>
      <c r="H373" s="144" t="s">
        <v>3339</v>
      </c>
      <c r="I373" s="403" t="n">
        <v>45476</v>
      </c>
      <c r="J373" s="66" t="n">
        <v>7</v>
      </c>
      <c r="K373" s="71" t="s">
        <v>48</v>
      </c>
      <c r="L373" s="144" t="s">
        <v>58</v>
      </c>
      <c r="M373" s="145" t="n">
        <f aca="false">I373-D373</f>
        <v>2793</v>
      </c>
    </row>
    <row r="374" customFormat="false" ht="15" hidden="false" customHeight="true" outlineLevel="0" collapsed="false">
      <c r="A374" s="148" t="n">
        <v>17424</v>
      </c>
      <c r="B374" s="405" t="s">
        <v>5824</v>
      </c>
      <c r="C374" s="119" t="n">
        <v>2016</v>
      </c>
      <c r="D374" s="404" t="n">
        <v>42632</v>
      </c>
      <c r="E374" s="68" t="s">
        <v>5825</v>
      </c>
      <c r="F374" s="405" t="s">
        <v>5826</v>
      </c>
      <c r="G374" s="405" t="s">
        <v>441</v>
      </c>
      <c r="H374" s="405" t="s">
        <v>413</v>
      </c>
      <c r="I374" s="404" t="n">
        <v>45476</v>
      </c>
      <c r="J374" s="68" t="n">
        <v>7</v>
      </c>
      <c r="K374" s="163" t="s">
        <v>46</v>
      </c>
      <c r="L374" s="152" t="s">
        <v>58</v>
      </c>
      <c r="M374" s="152" t="n">
        <f aca="false">I374-D374</f>
        <v>2844</v>
      </c>
    </row>
    <row r="375" customFormat="false" ht="12.75" hidden="false" customHeight="true" outlineLevel="0" collapsed="false">
      <c r="A375" s="139" t="n">
        <v>17524</v>
      </c>
      <c r="B375" s="144" t="s">
        <v>5827</v>
      </c>
      <c r="C375" s="115" t="n">
        <v>2019</v>
      </c>
      <c r="D375" s="403" t="n">
        <v>43544</v>
      </c>
      <c r="E375" s="66" t="s">
        <v>5828</v>
      </c>
      <c r="F375" s="66" t="s">
        <v>5829</v>
      </c>
      <c r="G375" s="144" t="s">
        <v>441</v>
      </c>
      <c r="H375" s="144" t="s">
        <v>254</v>
      </c>
      <c r="I375" s="403" t="n">
        <v>45476</v>
      </c>
      <c r="J375" s="66" t="n">
        <v>7</v>
      </c>
      <c r="K375" s="196" t="s">
        <v>44</v>
      </c>
      <c r="L375" s="144" t="s">
        <v>58</v>
      </c>
      <c r="M375" s="145" t="n">
        <f aca="false">I375-D375</f>
        <v>1932</v>
      </c>
    </row>
    <row r="376" customFormat="false" ht="12.75" hidden="false" customHeight="true" outlineLevel="0" collapsed="false">
      <c r="A376" s="148" t="n">
        <v>17624</v>
      </c>
      <c r="B376" s="405" t="s">
        <v>5830</v>
      </c>
      <c r="C376" s="119" t="n">
        <v>2016</v>
      </c>
      <c r="D376" s="404" t="n">
        <v>42480</v>
      </c>
      <c r="E376" s="68" t="s">
        <v>5831</v>
      </c>
      <c r="F376" s="405" t="s">
        <v>157</v>
      </c>
      <c r="G376" s="405" t="s">
        <v>441</v>
      </c>
      <c r="H376" s="405" t="s">
        <v>471</v>
      </c>
      <c r="I376" s="404" t="n">
        <v>45476</v>
      </c>
      <c r="J376" s="68" t="n">
        <v>7</v>
      </c>
      <c r="K376" s="71" t="s">
        <v>48</v>
      </c>
      <c r="L376" s="152" t="s">
        <v>58</v>
      </c>
      <c r="M376" s="152" t="n">
        <f aca="false">I376-D376</f>
        <v>2996</v>
      </c>
    </row>
    <row r="377" customFormat="false" ht="12.75" hidden="false" customHeight="true" outlineLevel="0" collapsed="false">
      <c r="A377" s="139" t="n">
        <v>17724</v>
      </c>
      <c r="B377" s="144" t="s">
        <v>5832</v>
      </c>
      <c r="C377" s="115" t="n">
        <v>2016</v>
      </c>
      <c r="D377" s="403" t="n">
        <v>42509</v>
      </c>
      <c r="E377" s="66" t="s">
        <v>5833</v>
      </c>
      <c r="F377" s="66" t="s">
        <v>1693</v>
      </c>
      <c r="G377" s="144" t="s">
        <v>441</v>
      </c>
      <c r="H377" s="144" t="s">
        <v>1081</v>
      </c>
      <c r="I377" s="403" t="n">
        <v>45476</v>
      </c>
      <c r="J377" s="66" t="n">
        <v>7</v>
      </c>
      <c r="K377" s="71" t="s">
        <v>48</v>
      </c>
      <c r="L377" s="144" t="s">
        <v>58</v>
      </c>
      <c r="M377" s="145" t="n">
        <f aca="false">I377-D377</f>
        <v>2967</v>
      </c>
    </row>
    <row r="378" customFormat="false" ht="12.75" hidden="false" customHeight="true" outlineLevel="0" collapsed="false">
      <c r="A378" s="148" t="n">
        <v>17824</v>
      </c>
      <c r="B378" s="405" t="s">
        <v>5834</v>
      </c>
      <c r="C378" s="119" t="n">
        <v>2020</v>
      </c>
      <c r="D378" s="404" t="n">
        <v>44043</v>
      </c>
      <c r="E378" s="68" t="s">
        <v>5835</v>
      </c>
      <c r="F378" s="405" t="s">
        <v>5836</v>
      </c>
      <c r="G378" s="405" t="s">
        <v>441</v>
      </c>
      <c r="H378" s="405" t="s">
        <v>1063</v>
      </c>
      <c r="I378" s="404" t="n">
        <v>45476</v>
      </c>
      <c r="J378" s="68" t="n">
        <v>7</v>
      </c>
      <c r="K378" s="71" t="s">
        <v>48</v>
      </c>
      <c r="L378" s="152" t="s">
        <v>58</v>
      </c>
      <c r="M378" s="152" t="n">
        <f aca="false">I378-D378</f>
        <v>1433</v>
      </c>
    </row>
    <row r="379" customFormat="false" ht="12.75" hidden="false" customHeight="true" outlineLevel="0" collapsed="false">
      <c r="A379" s="139" t="n">
        <v>17924</v>
      </c>
      <c r="B379" s="144" t="s">
        <v>5837</v>
      </c>
      <c r="C379" s="115" t="n">
        <v>2012</v>
      </c>
      <c r="D379" s="403" t="n">
        <v>40925</v>
      </c>
      <c r="E379" s="66" t="s">
        <v>5838</v>
      </c>
      <c r="F379" s="66" t="s">
        <v>832</v>
      </c>
      <c r="G379" s="144" t="s">
        <v>441</v>
      </c>
      <c r="H379" s="144" t="s">
        <v>1059</v>
      </c>
      <c r="I379" s="403" t="n">
        <v>45476</v>
      </c>
      <c r="J379" s="66" t="n">
        <v>7</v>
      </c>
      <c r="K379" s="163" t="s">
        <v>45</v>
      </c>
      <c r="L379" s="144" t="s">
        <v>2848</v>
      </c>
      <c r="M379" s="145" t="n">
        <f aca="false">I379-D379</f>
        <v>4551</v>
      </c>
    </row>
    <row r="380" customFormat="false" ht="12.75" hidden="false" customHeight="true" outlineLevel="0" collapsed="false">
      <c r="A380" s="148" t="n">
        <v>18024</v>
      </c>
      <c r="B380" s="405" t="s">
        <v>5839</v>
      </c>
      <c r="C380" s="119" t="n">
        <v>2023</v>
      </c>
      <c r="D380" s="404" t="n">
        <v>45201</v>
      </c>
      <c r="E380" s="68" t="s">
        <v>5840</v>
      </c>
      <c r="F380" s="405" t="s">
        <v>5751</v>
      </c>
      <c r="G380" s="405" t="s">
        <v>130</v>
      </c>
      <c r="H380" s="405" t="s">
        <v>3648</v>
      </c>
      <c r="I380" s="404" t="n">
        <v>45477</v>
      </c>
      <c r="J380" s="68" t="n">
        <v>7</v>
      </c>
      <c r="K380" s="71" t="s">
        <v>49</v>
      </c>
      <c r="L380" s="152" t="s">
        <v>61</v>
      </c>
      <c r="M380" s="152" t="n">
        <f aca="false">I380-D380</f>
        <v>276</v>
      </c>
    </row>
    <row r="381" customFormat="false" ht="12.75" hidden="false" customHeight="true" outlineLevel="0" collapsed="false">
      <c r="A381" s="139" t="n">
        <v>18124</v>
      </c>
      <c r="B381" s="144" t="s">
        <v>5841</v>
      </c>
      <c r="C381" s="115" t="n">
        <v>2023</v>
      </c>
      <c r="D381" s="403" t="n">
        <v>45180</v>
      </c>
      <c r="E381" s="66" t="s">
        <v>5842</v>
      </c>
      <c r="F381" s="66" t="s">
        <v>856</v>
      </c>
      <c r="G381" s="144" t="s">
        <v>130</v>
      </c>
      <c r="H381" s="144" t="s">
        <v>5843</v>
      </c>
      <c r="I381" s="403" t="n">
        <v>45477</v>
      </c>
      <c r="J381" s="66" t="n">
        <v>7</v>
      </c>
      <c r="K381" s="71" t="s">
        <v>49</v>
      </c>
      <c r="L381" s="144" t="s">
        <v>61</v>
      </c>
      <c r="M381" s="145" t="n">
        <f aca="false">I381-D381</f>
        <v>297</v>
      </c>
    </row>
    <row r="382" customFormat="false" ht="12.75" hidden="false" customHeight="true" outlineLevel="0" collapsed="false">
      <c r="A382" s="148" t="n">
        <v>18224</v>
      </c>
      <c r="B382" s="405" t="s">
        <v>5844</v>
      </c>
      <c r="C382" s="119" t="n">
        <v>2023</v>
      </c>
      <c r="D382" s="404" t="n">
        <v>45077</v>
      </c>
      <c r="E382" s="68" t="s">
        <v>5845</v>
      </c>
      <c r="F382" s="405" t="s">
        <v>5754</v>
      </c>
      <c r="G382" s="405" t="s">
        <v>130</v>
      </c>
      <c r="H382" s="405" t="s">
        <v>5846</v>
      </c>
      <c r="I382" s="404" t="n">
        <v>45477</v>
      </c>
      <c r="J382" s="68" t="n">
        <v>7</v>
      </c>
      <c r="K382" s="71" t="s">
        <v>49</v>
      </c>
      <c r="L382" s="152" t="s">
        <v>61</v>
      </c>
      <c r="M382" s="152" t="n">
        <f aca="false">I382-D382</f>
        <v>400</v>
      </c>
    </row>
    <row r="383" customFormat="false" ht="12.75" hidden="false" customHeight="true" outlineLevel="0" collapsed="false">
      <c r="A383" s="139" t="n">
        <v>18324</v>
      </c>
      <c r="B383" s="144" t="s">
        <v>5847</v>
      </c>
      <c r="C383" s="115" t="n">
        <v>2023</v>
      </c>
      <c r="D383" s="403" t="n">
        <v>45111</v>
      </c>
      <c r="E383" s="66" t="s">
        <v>608</v>
      </c>
      <c r="F383" s="66" t="s">
        <v>5848</v>
      </c>
      <c r="G383" s="144" t="s">
        <v>125</v>
      </c>
      <c r="H383" s="144" t="s">
        <v>3686</v>
      </c>
      <c r="I383" s="403" t="n">
        <v>45477</v>
      </c>
      <c r="J383" s="66" t="n">
        <v>7</v>
      </c>
      <c r="K383" s="71" t="s">
        <v>49</v>
      </c>
      <c r="L383" s="144" t="s">
        <v>61</v>
      </c>
      <c r="M383" s="145" t="n">
        <f aca="false">I383-D383</f>
        <v>366</v>
      </c>
    </row>
    <row r="384" customFormat="false" ht="12.75" hidden="false" customHeight="true" outlineLevel="0" collapsed="false">
      <c r="A384" s="148" t="n">
        <v>18424</v>
      </c>
      <c r="B384" s="405" t="s">
        <v>5849</v>
      </c>
      <c r="C384" s="119" t="n">
        <v>2019</v>
      </c>
      <c r="D384" s="404" t="n">
        <v>43821</v>
      </c>
      <c r="E384" s="68" t="s">
        <v>5850</v>
      </c>
      <c r="F384" s="405" t="s">
        <v>5851</v>
      </c>
      <c r="G384" s="405" t="s">
        <v>441</v>
      </c>
      <c r="H384" s="405" t="s">
        <v>544</v>
      </c>
      <c r="I384" s="404" t="n">
        <v>45477</v>
      </c>
      <c r="J384" s="68" t="n">
        <v>7</v>
      </c>
      <c r="K384" s="196" t="s">
        <v>43</v>
      </c>
      <c r="L384" s="152" t="s">
        <v>60</v>
      </c>
      <c r="M384" s="152" t="n">
        <f aca="false">I384-D384</f>
        <v>1656</v>
      </c>
    </row>
    <row r="385" customFormat="false" ht="12.75" hidden="false" customHeight="true" outlineLevel="0" collapsed="false">
      <c r="A385" s="139" t="n">
        <v>18524</v>
      </c>
      <c r="B385" s="144" t="s">
        <v>5852</v>
      </c>
      <c r="C385" s="115" t="n">
        <v>2021</v>
      </c>
      <c r="D385" s="403" t="n">
        <v>44230</v>
      </c>
      <c r="E385" s="66" t="s">
        <v>5853</v>
      </c>
      <c r="F385" s="66" t="s">
        <v>3362</v>
      </c>
      <c r="G385" s="144" t="s">
        <v>441</v>
      </c>
      <c r="H385" s="144" t="s">
        <v>570</v>
      </c>
      <c r="I385" s="403" t="n">
        <v>45477</v>
      </c>
      <c r="J385" s="66" t="n">
        <v>7</v>
      </c>
      <c r="K385" s="71" t="s">
        <v>49</v>
      </c>
      <c r="L385" s="144" t="s">
        <v>60</v>
      </c>
      <c r="M385" s="145" t="n">
        <f aca="false">I385-D385</f>
        <v>1247</v>
      </c>
    </row>
    <row r="386" customFormat="false" ht="15" hidden="false" customHeight="true" outlineLevel="0" collapsed="false">
      <c r="A386" s="148" t="n">
        <v>18624</v>
      </c>
      <c r="B386" s="405" t="s">
        <v>5854</v>
      </c>
      <c r="C386" s="119" t="n">
        <v>2021</v>
      </c>
      <c r="D386" s="404" t="n">
        <v>44559</v>
      </c>
      <c r="E386" s="68" t="s">
        <v>5855</v>
      </c>
      <c r="F386" s="405" t="s">
        <v>509</v>
      </c>
      <c r="G386" s="405" t="s">
        <v>441</v>
      </c>
      <c r="H386" s="405" t="s">
        <v>460</v>
      </c>
      <c r="I386" s="404" t="n">
        <v>45477</v>
      </c>
      <c r="J386" s="68" t="n">
        <v>7</v>
      </c>
      <c r="K386" s="163" t="s">
        <v>46</v>
      </c>
      <c r="L386" s="152" t="s">
        <v>58</v>
      </c>
      <c r="M386" s="152" t="n">
        <f aca="false">I386-D386</f>
        <v>918</v>
      </c>
    </row>
    <row r="387" customFormat="false" ht="15" hidden="false" customHeight="true" outlineLevel="0" collapsed="false">
      <c r="A387" s="139" t="n">
        <v>18724</v>
      </c>
      <c r="B387" s="144" t="s">
        <v>5856</v>
      </c>
      <c r="C387" s="115" t="n">
        <v>2018</v>
      </c>
      <c r="D387" s="403" t="n">
        <v>43173</v>
      </c>
      <c r="E387" s="66" t="s">
        <v>5857</v>
      </c>
      <c r="F387" s="66" t="s">
        <v>902</v>
      </c>
      <c r="G387" s="144" t="s">
        <v>441</v>
      </c>
      <c r="H387" s="144" t="s">
        <v>263</v>
      </c>
      <c r="I387" s="403" t="n">
        <v>45477</v>
      </c>
      <c r="J387" s="66" t="n">
        <v>7</v>
      </c>
      <c r="K387" s="71" t="s">
        <v>49</v>
      </c>
      <c r="L387" s="144" t="s">
        <v>58</v>
      </c>
      <c r="M387" s="145" t="n">
        <f aca="false">I387-D387</f>
        <v>2304</v>
      </c>
    </row>
    <row r="388" customFormat="false" ht="12.75" hidden="false" customHeight="true" outlineLevel="0" collapsed="false">
      <c r="A388" s="148" t="n">
        <v>18824</v>
      </c>
      <c r="B388" s="405" t="s">
        <v>5858</v>
      </c>
      <c r="C388" s="119" t="n">
        <v>2019</v>
      </c>
      <c r="D388" s="404" t="n">
        <v>43819</v>
      </c>
      <c r="E388" s="68" t="s">
        <v>5859</v>
      </c>
      <c r="F388" s="405" t="s">
        <v>5860</v>
      </c>
      <c r="G388" s="405" t="s">
        <v>441</v>
      </c>
      <c r="H388" s="405" t="s">
        <v>263</v>
      </c>
      <c r="I388" s="404" t="n">
        <v>45477</v>
      </c>
      <c r="J388" s="68" t="n">
        <v>7</v>
      </c>
      <c r="K388" s="71" t="s">
        <v>49</v>
      </c>
      <c r="L388" s="152" t="s">
        <v>61</v>
      </c>
      <c r="M388" s="152" t="n">
        <f aca="false">I388-D388</f>
        <v>1658</v>
      </c>
    </row>
    <row r="389" customFormat="false" ht="12.75" hidden="false" customHeight="true" outlineLevel="0" collapsed="false">
      <c r="A389" s="139" t="n">
        <v>18924</v>
      </c>
      <c r="B389" s="144" t="s">
        <v>5861</v>
      </c>
      <c r="C389" s="115" t="n">
        <v>2018</v>
      </c>
      <c r="D389" s="403" t="n">
        <v>43272</v>
      </c>
      <c r="E389" s="66" t="s">
        <v>5862</v>
      </c>
      <c r="F389" s="66" t="s">
        <v>5585</v>
      </c>
      <c r="G389" s="144" t="s">
        <v>441</v>
      </c>
      <c r="H389" s="144" t="s">
        <v>706</v>
      </c>
      <c r="I389" s="403" t="n">
        <v>45477</v>
      </c>
      <c r="J389" s="66" t="n">
        <v>7</v>
      </c>
      <c r="K389" s="71" t="s">
        <v>49</v>
      </c>
      <c r="L389" s="144" t="s">
        <v>60</v>
      </c>
      <c r="M389" s="145" t="n">
        <f aca="false">I389-D389</f>
        <v>2205</v>
      </c>
    </row>
    <row r="390" customFormat="false" ht="12.75" hidden="false" customHeight="true" outlineLevel="0" collapsed="false">
      <c r="A390" s="148" t="n">
        <v>19024</v>
      </c>
      <c r="B390" s="405" t="s">
        <v>5863</v>
      </c>
      <c r="C390" s="119" t="n">
        <v>2012</v>
      </c>
      <c r="D390" s="404" t="n">
        <v>41044</v>
      </c>
      <c r="E390" s="68" t="s">
        <v>5864</v>
      </c>
      <c r="F390" s="405" t="s">
        <v>823</v>
      </c>
      <c r="G390" s="405" t="s">
        <v>441</v>
      </c>
      <c r="H390" s="405" t="s">
        <v>2654</v>
      </c>
      <c r="I390" s="404" t="n">
        <v>45477</v>
      </c>
      <c r="J390" s="68" t="n">
        <v>7</v>
      </c>
      <c r="K390" s="71" t="s">
        <v>48</v>
      </c>
      <c r="L390" s="152" t="s">
        <v>60</v>
      </c>
      <c r="M390" s="152" t="n">
        <f aca="false">I390-D390</f>
        <v>4433</v>
      </c>
    </row>
    <row r="391" customFormat="false" ht="12.75" hidden="false" customHeight="true" outlineLevel="0" collapsed="false">
      <c r="A391" s="139" t="n">
        <v>19124</v>
      </c>
      <c r="B391" s="144" t="s">
        <v>5865</v>
      </c>
      <c r="C391" s="115" t="n">
        <v>2020</v>
      </c>
      <c r="D391" s="403" t="n">
        <v>44173</v>
      </c>
      <c r="E391" s="66" t="s">
        <v>5866</v>
      </c>
      <c r="F391" s="66" t="s">
        <v>113</v>
      </c>
      <c r="G391" s="144" t="s">
        <v>441</v>
      </c>
      <c r="H391" s="144" t="s">
        <v>2654</v>
      </c>
      <c r="I391" s="403" t="n">
        <v>45481</v>
      </c>
      <c r="J391" s="66" t="n">
        <v>7</v>
      </c>
      <c r="K391" s="71" t="s">
        <v>48</v>
      </c>
      <c r="L391" s="144" t="s">
        <v>60</v>
      </c>
      <c r="M391" s="145" t="n">
        <f aca="false">I391-D391</f>
        <v>1308</v>
      </c>
    </row>
    <row r="392" customFormat="false" ht="12.75" hidden="false" customHeight="true" outlineLevel="0" collapsed="false">
      <c r="A392" s="148" t="n">
        <v>19224</v>
      </c>
      <c r="B392" s="405" t="s">
        <v>5867</v>
      </c>
      <c r="C392" s="119" t="n">
        <v>2016</v>
      </c>
      <c r="D392" s="404" t="n">
        <v>42507</v>
      </c>
      <c r="E392" s="68" t="s">
        <v>5868</v>
      </c>
      <c r="F392" s="405" t="s">
        <v>113</v>
      </c>
      <c r="G392" s="405" t="s">
        <v>441</v>
      </c>
      <c r="H392" s="405" t="s">
        <v>2654</v>
      </c>
      <c r="I392" s="404" t="n">
        <v>45481</v>
      </c>
      <c r="J392" s="68" t="n">
        <v>7</v>
      </c>
      <c r="K392" s="71" t="s">
        <v>48</v>
      </c>
      <c r="L392" s="152" t="s">
        <v>60</v>
      </c>
      <c r="M392" s="152" t="n">
        <f aca="false">I392-D392</f>
        <v>2974</v>
      </c>
    </row>
    <row r="393" customFormat="false" ht="12.75" hidden="false" customHeight="true" outlineLevel="0" collapsed="false">
      <c r="A393" s="139" t="n">
        <v>19324</v>
      </c>
      <c r="B393" s="144" t="s">
        <v>5869</v>
      </c>
      <c r="C393" s="115" t="n">
        <v>2020</v>
      </c>
      <c r="D393" s="403" t="n">
        <v>44139</v>
      </c>
      <c r="E393" s="66" t="s">
        <v>5870</v>
      </c>
      <c r="F393" s="66" t="s">
        <v>5871</v>
      </c>
      <c r="G393" s="144" t="s">
        <v>441</v>
      </c>
      <c r="H393" s="144" t="s">
        <v>781</v>
      </c>
      <c r="I393" s="403" t="n">
        <v>45481</v>
      </c>
      <c r="J393" s="66" t="n">
        <v>7</v>
      </c>
      <c r="K393" s="71" t="s">
        <v>49</v>
      </c>
      <c r="L393" s="144" t="s">
        <v>60</v>
      </c>
      <c r="M393" s="145" t="n">
        <f aca="false">I393-D393</f>
        <v>1342</v>
      </c>
    </row>
    <row r="394" customFormat="false" ht="12.75" hidden="false" customHeight="true" outlineLevel="0" collapsed="false">
      <c r="A394" s="148" t="n">
        <v>19424</v>
      </c>
      <c r="B394" s="405" t="s">
        <v>5872</v>
      </c>
      <c r="C394" s="119" t="n">
        <v>2020</v>
      </c>
      <c r="D394" s="404" t="n">
        <v>43840</v>
      </c>
      <c r="E394" s="68" t="s">
        <v>5873</v>
      </c>
      <c r="F394" s="405" t="s">
        <v>5874</v>
      </c>
      <c r="G394" s="405" t="s">
        <v>441</v>
      </c>
      <c r="H394" s="405" t="s">
        <v>1567</v>
      </c>
      <c r="I394" s="404" t="n">
        <v>45481</v>
      </c>
      <c r="J394" s="68" t="n">
        <v>7</v>
      </c>
      <c r="K394" s="71" t="s">
        <v>49</v>
      </c>
      <c r="L394" s="152" t="s">
        <v>60</v>
      </c>
      <c r="M394" s="152" t="n">
        <f aca="false">I394-D394</f>
        <v>1641</v>
      </c>
    </row>
    <row r="395" customFormat="false" ht="12.75" hidden="false" customHeight="true" outlineLevel="0" collapsed="false">
      <c r="A395" s="139" t="n">
        <v>19524</v>
      </c>
      <c r="B395" s="144" t="s">
        <v>5875</v>
      </c>
      <c r="C395" s="115" t="n">
        <v>2016</v>
      </c>
      <c r="D395" s="403" t="n">
        <v>42733</v>
      </c>
      <c r="E395" s="66" t="s">
        <v>5876</v>
      </c>
      <c r="F395" s="66" t="s">
        <v>1097</v>
      </c>
      <c r="G395" s="144" t="s">
        <v>441</v>
      </c>
      <c r="H395" s="144" t="s">
        <v>706</v>
      </c>
      <c r="I395" s="403" t="n">
        <v>45481</v>
      </c>
      <c r="J395" s="66" t="n">
        <v>7</v>
      </c>
      <c r="K395" s="71" t="s">
        <v>48</v>
      </c>
      <c r="L395" s="144" t="s">
        <v>60</v>
      </c>
      <c r="M395" s="145" t="n">
        <f aca="false">I395-D395</f>
        <v>2748</v>
      </c>
    </row>
    <row r="396" customFormat="false" ht="12.75" hidden="false" customHeight="true" outlineLevel="0" collapsed="false">
      <c r="A396" s="148" t="n">
        <v>19624</v>
      </c>
      <c r="B396" s="405" t="s">
        <v>5877</v>
      </c>
      <c r="C396" s="119" t="n">
        <v>2020</v>
      </c>
      <c r="D396" s="404" t="n">
        <v>44127</v>
      </c>
      <c r="E396" s="68" t="s">
        <v>5878</v>
      </c>
      <c r="F396" s="405" t="s">
        <v>902</v>
      </c>
      <c r="G396" s="405" t="s">
        <v>441</v>
      </c>
      <c r="H396" s="405" t="s">
        <v>192</v>
      </c>
      <c r="I396" s="404" t="n">
        <v>45485</v>
      </c>
      <c r="J396" s="68" t="n">
        <v>7</v>
      </c>
      <c r="K396" s="71" t="s">
        <v>49</v>
      </c>
      <c r="L396" s="152" t="s">
        <v>58</v>
      </c>
      <c r="M396" s="152" t="n">
        <f aca="false">I396-D396</f>
        <v>1358</v>
      </c>
    </row>
    <row r="397" customFormat="false" ht="12.75" hidden="false" customHeight="true" outlineLevel="0" collapsed="false">
      <c r="A397" s="139" t="n">
        <v>19724</v>
      </c>
      <c r="B397" s="144" t="s">
        <v>5879</v>
      </c>
      <c r="C397" s="115" t="n">
        <v>2020</v>
      </c>
      <c r="D397" s="403" t="n">
        <v>44180</v>
      </c>
      <c r="E397" s="66" t="s">
        <v>5880</v>
      </c>
      <c r="F397" s="66" t="s">
        <v>5881</v>
      </c>
      <c r="G397" s="144" t="s">
        <v>441</v>
      </c>
      <c r="H397" s="144" t="s">
        <v>1109</v>
      </c>
      <c r="I397" s="403" t="n">
        <v>45485</v>
      </c>
      <c r="J397" s="66" t="n">
        <v>7</v>
      </c>
      <c r="K397" s="71" t="s">
        <v>48</v>
      </c>
      <c r="L397" s="144" t="s">
        <v>2848</v>
      </c>
      <c r="M397" s="145" t="n">
        <f aca="false">I397-D397</f>
        <v>1305</v>
      </c>
    </row>
    <row r="398" customFormat="false" ht="12.75" hidden="false" customHeight="true" outlineLevel="0" collapsed="false">
      <c r="A398" s="148" t="n">
        <v>19824</v>
      </c>
      <c r="B398" s="405" t="s">
        <v>5882</v>
      </c>
      <c r="C398" s="119" t="n">
        <v>2021</v>
      </c>
      <c r="D398" s="404" t="n">
        <v>44250</v>
      </c>
      <c r="E398" s="68" t="s">
        <v>5883</v>
      </c>
      <c r="F398" s="405" t="s">
        <v>5884</v>
      </c>
      <c r="G398" s="405" t="s">
        <v>441</v>
      </c>
      <c r="H398" s="405" t="s">
        <v>1109</v>
      </c>
      <c r="I398" s="404" t="n">
        <v>45485</v>
      </c>
      <c r="J398" s="68" t="n">
        <v>7</v>
      </c>
      <c r="K398" s="71" t="s">
        <v>49</v>
      </c>
      <c r="L398" s="152" t="s">
        <v>2848</v>
      </c>
      <c r="M398" s="152" t="n">
        <f aca="false">I398-D398</f>
        <v>1235</v>
      </c>
    </row>
    <row r="399" customFormat="false" ht="12.75" hidden="false" customHeight="true" outlineLevel="0" collapsed="false">
      <c r="A399" s="139" t="n">
        <v>19924</v>
      </c>
      <c r="B399" s="144" t="s">
        <v>5885</v>
      </c>
      <c r="C399" s="115" t="n">
        <v>2021</v>
      </c>
      <c r="D399" s="403" t="n">
        <v>44298</v>
      </c>
      <c r="E399" s="66" t="s">
        <v>5886</v>
      </c>
      <c r="F399" s="66" t="s">
        <v>5887</v>
      </c>
      <c r="G399" s="144" t="s">
        <v>441</v>
      </c>
      <c r="H399" s="144" t="s">
        <v>5888</v>
      </c>
      <c r="I399" s="403" t="n">
        <v>45485</v>
      </c>
      <c r="J399" s="66" t="n">
        <v>7</v>
      </c>
      <c r="K399" s="196" t="s">
        <v>44</v>
      </c>
      <c r="L399" s="144" t="s">
        <v>58</v>
      </c>
      <c r="M399" s="145" t="n">
        <f aca="false">I399-D399</f>
        <v>1187</v>
      </c>
    </row>
    <row r="400" customFormat="false" ht="12.75" hidden="false" customHeight="true" outlineLevel="0" collapsed="false">
      <c r="A400" s="148" t="n">
        <v>20024</v>
      </c>
      <c r="B400" s="405" t="s">
        <v>5889</v>
      </c>
      <c r="C400" s="119" t="n">
        <v>2021</v>
      </c>
      <c r="D400" s="404" t="n">
        <v>44250</v>
      </c>
      <c r="E400" s="68" t="s">
        <v>5890</v>
      </c>
      <c r="F400" s="405" t="s">
        <v>5891</v>
      </c>
      <c r="G400" s="405" t="s">
        <v>441</v>
      </c>
      <c r="H400" s="405" t="s">
        <v>1109</v>
      </c>
      <c r="I400" s="404" t="n">
        <v>45485</v>
      </c>
      <c r="J400" s="68" t="n">
        <v>7</v>
      </c>
      <c r="K400" s="163" t="s">
        <v>46</v>
      </c>
      <c r="L400" s="152" t="s">
        <v>58</v>
      </c>
      <c r="M400" s="152" t="n">
        <f aca="false">I400-D400</f>
        <v>1235</v>
      </c>
    </row>
    <row r="401" customFormat="false" ht="12.75" hidden="false" customHeight="true" outlineLevel="0" collapsed="false">
      <c r="A401" s="139" t="n">
        <v>20124</v>
      </c>
      <c r="B401" s="144" t="s">
        <v>5892</v>
      </c>
      <c r="C401" s="115" t="n">
        <v>2021</v>
      </c>
      <c r="D401" s="403" t="n">
        <v>44279</v>
      </c>
      <c r="E401" s="66" t="s">
        <v>5893</v>
      </c>
      <c r="F401" s="66" t="s">
        <v>1693</v>
      </c>
      <c r="G401" s="144" t="s">
        <v>441</v>
      </c>
      <c r="H401" s="144" t="s">
        <v>139</v>
      </c>
      <c r="I401" s="403" t="n">
        <v>45485</v>
      </c>
      <c r="J401" s="66" t="n">
        <v>7</v>
      </c>
      <c r="K401" s="71" t="s">
        <v>48</v>
      </c>
      <c r="L401" s="144" t="s">
        <v>58</v>
      </c>
      <c r="M401" s="145" t="n">
        <f aca="false">I401-D401</f>
        <v>1206</v>
      </c>
    </row>
    <row r="402" customFormat="false" ht="12.75" hidden="false" customHeight="true" outlineLevel="0" collapsed="false">
      <c r="A402" s="148" t="n">
        <v>20224</v>
      </c>
      <c r="B402" s="405" t="s">
        <v>5894</v>
      </c>
      <c r="C402" s="119" t="n">
        <v>2021</v>
      </c>
      <c r="D402" s="404" t="n">
        <v>44267</v>
      </c>
      <c r="E402" s="68" t="s">
        <v>5895</v>
      </c>
      <c r="F402" s="405" t="s">
        <v>3362</v>
      </c>
      <c r="G402" s="405" t="s">
        <v>441</v>
      </c>
      <c r="H402" s="405" t="s">
        <v>706</v>
      </c>
      <c r="I402" s="404" t="n">
        <v>45485</v>
      </c>
      <c r="J402" s="68" t="n">
        <v>7</v>
      </c>
      <c r="K402" s="71" t="s">
        <v>49</v>
      </c>
      <c r="L402" s="152" t="s">
        <v>60</v>
      </c>
      <c r="M402" s="152" t="n">
        <f aca="false">I402-D402</f>
        <v>1218</v>
      </c>
    </row>
    <row r="403" customFormat="false" ht="12.75" hidden="false" customHeight="true" outlineLevel="0" collapsed="false">
      <c r="A403" s="139" t="n">
        <v>20324</v>
      </c>
      <c r="B403" s="144" t="s">
        <v>5896</v>
      </c>
      <c r="C403" s="115" t="n">
        <v>2018</v>
      </c>
      <c r="D403" s="403" t="n">
        <v>43270</v>
      </c>
      <c r="E403" s="66" t="s">
        <v>5897</v>
      </c>
      <c r="F403" s="66" t="s">
        <v>5585</v>
      </c>
      <c r="G403" s="144" t="s">
        <v>441</v>
      </c>
      <c r="H403" s="144" t="s">
        <v>706</v>
      </c>
      <c r="I403" s="403" t="n">
        <v>45485</v>
      </c>
      <c r="J403" s="66" t="n">
        <v>7</v>
      </c>
      <c r="K403" s="71" t="s">
        <v>49</v>
      </c>
      <c r="L403" s="144" t="s">
        <v>60</v>
      </c>
      <c r="M403" s="145" t="n">
        <f aca="false">I403-D403</f>
        <v>2215</v>
      </c>
    </row>
    <row r="404" customFormat="false" ht="12.75" hidden="false" customHeight="true" outlineLevel="0" collapsed="false">
      <c r="A404" s="148" t="n">
        <v>20424</v>
      </c>
      <c r="B404" s="405" t="s">
        <v>5898</v>
      </c>
      <c r="C404" s="119" t="n">
        <v>2021</v>
      </c>
      <c r="D404" s="404" t="n">
        <v>44267</v>
      </c>
      <c r="E404" s="68" t="s">
        <v>5899</v>
      </c>
      <c r="F404" s="405" t="s">
        <v>3362</v>
      </c>
      <c r="G404" s="405" t="s">
        <v>441</v>
      </c>
      <c r="H404" s="405" t="s">
        <v>109</v>
      </c>
      <c r="I404" s="404" t="n">
        <v>45485</v>
      </c>
      <c r="J404" s="68" t="n">
        <v>7</v>
      </c>
      <c r="K404" s="71" t="s">
        <v>49</v>
      </c>
      <c r="L404" s="152" t="s">
        <v>60</v>
      </c>
      <c r="M404" s="152" t="n">
        <f aca="false">I404-D404</f>
        <v>1218</v>
      </c>
    </row>
    <row r="405" customFormat="false" ht="12.75" hidden="false" customHeight="true" outlineLevel="0" collapsed="false">
      <c r="A405" s="139" t="n">
        <v>20524</v>
      </c>
      <c r="B405" s="144" t="s">
        <v>5900</v>
      </c>
      <c r="C405" s="115" t="n">
        <v>2016</v>
      </c>
      <c r="D405" s="403" t="n">
        <v>42733</v>
      </c>
      <c r="E405" s="66" t="s">
        <v>5901</v>
      </c>
      <c r="F405" s="66" t="s">
        <v>1097</v>
      </c>
      <c r="G405" s="144" t="s">
        <v>441</v>
      </c>
      <c r="H405" s="144" t="s">
        <v>706</v>
      </c>
      <c r="I405" s="403" t="n">
        <v>45485</v>
      </c>
      <c r="J405" s="66" t="n">
        <v>7</v>
      </c>
      <c r="K405" s="71" t="s">
        <v>48</v>
      </c>
      <c r="L405" s="144" t="s">
        <v>60</v>
      </c>
      <c r="M405" s="145" t="n">
        <f aca="false">I405-D405</f>
        <v>2752</v>
      </c>
    </row>
    <row r="406" customFormat="false" ht="12.75" hidden="false" customHeight="true" outlineLevel="0" collapsed="false">
      <c r="A406" s="148" t="n">
        <v>20624</v>
      </c>
      <c r="B406" s="405" t="s">
        <v>5902</v>
      </c>
      <c r="C406" s="119" t="n">
        <v>2014</v>
      </c>
      <c r="D406" s="404" t="n">
        <v>41991</v>
      </c>
      <c r="E406" s="68" t="s">
        <v>5903</v>
      </c>
      <c r="F406" s="405" t="s">
        <v>3924</v>
      </c>
      <c r="G406" s="405" t="s">
        <v>441</v>
      </c>
      <c r="H406" s="405" t="s">
        <v>109</v>
      </c>
      <c r="I406" s="404" t="n">
        <v>45490</v>
      </c>
      <c r="J406" s="68" t="n">
        <v>7</v>
      </c>
      <c r="K406" s="71" t="s">
        <v>48</v>
      </c>
      <c r="L406" s="152" t="s">
        <v>58</v>
      </c>
      <c r="M406" s="152" t="n">
        <f aca="false">I406-D406</f>
        <v>3499</v>
      </c>
    </row>
    <row r="407" customFormat="false" ht="15" hidden="false" customHeight="true" outlineLevel="0" collapsed="false">
      <c r="A407" s="139" t="n">
        <v>20724</v>
      </c>
      <c r="B407" s="144" t="s">
        <v>5904</v>
      </c>
      <c r="C407" s="115" t="n">
        <v>2018</v>
      </c>
      <c r="D407" s="403" t="n">
        <v>43208</v>
      </c>
      <c r="E407" s="66" t="s">
        <v>5905</v>
      </c>
      <c r="F407" s="66" t="s">
        <v>5906</v>
      </c>
      <c r="G407" s="144" t="s">
        <v>441</v>
      </c>
      <c r="H407" s="144" t="s">
        <v>5907</v>
      </c>
      <c r="I407" s="403" t="n">
        <v>45490</v>
      </c>
      <c r="J407" s="66" t="n">
        <v>7</v>
      </c>
      <c r="K407" s="71" t="s">
        <v>49</v>
      </c>
      <c r="L407" s="144" t="s">
        <v>60</v>
      </c>
      <c r="M407" s="145" t="n">
        <f aca="false">I407-D407</f>
        <v>2282</v>
      </c>
    </row>
    <row r="408" customFormat="false" ht="15" hidden="false" customHeight="true" outlineLevel="0" collapsed="false">
      <c r="A408" s="148" t="n">
        <v>20824</v>
      </c>
      <c r="B408" s="405" t="s">
        <v>5908</v>
      </c>
      <c r="C408" s="119" t="n">
        <v>2023</v>
      </c>
      <c r="D408" s="404" t="n">
        <v>45244</v>
      </c>
      <c r="E408" s="68" t="s">
        <v>5909</v>
      </c>
      <c r="F408" s="405" t="s">
        <v>856</v>
      </c>
      <c r="G408" s="405" t="s">
        <v>130</v>
      </c>
      <c r="H408" s="405" t="s">
        <v>676</v>
      </c>
      <c r="I408" s="404" t="n">
        <v>45490</v>
      </c>
      <c r="J408" s="68" t="n">
        <v>7</v>
      </c>
      <c r="K408" s="71" t="s">
        <v>49</v>
      </c>
      <c r="L408" s="152" t="s">
        <v>61</v>
      </c>
      <c r="M408" s="152" t="n">
        <f aca="false">I408-D408</f>
        <v>246</v>
      </c>
    </row>
    <row r="409" customFormat="false" ht="15" hidden="false" customHeight="true" outlineLevel="0" collapsed="false">
      <c r="A409" s="139" t="n">
        <v>20924</v>
      </c>
      <c r="B409" s="144" t="s">
        <v>5910</v>
      </c>
      <c r="C409" s="115" t="n">
        <v>2016</v>
      </c>
      <c r="D409" s="403" t="n">
        <v>42480</v>
      </c>
      <c r="E409" s="66" t="s">
        <v>5911</v>
      </c>
      <c r="F409" s="66" t="s">
        <v>1387</v>
      </c>
      <c r="G409" s="144" t="s">
        <v>441</v>
      </c>
      <c r="H409" s="144" t="s">
        <v>1567</v>
      </c>
      <c r="I409" s="403" t="n">
        <v>45490</v>
      </c>
      <c r="J409" s="66" t="n">
        <v>7</v>
      </c>
      <c r="K409" s="71" t="s">
        <v>49</v>
      </c>
      <c r="L409" s="144" t="s">
        <v>60</v>
      </c>
      <c r="M409" s="145" t="n">
        <f aca="false">I409-D409</f>
        <v>3010</v>
      </c>
    </row>
    <row r="410" customFormat="false" ht="15" hidden="false" customHeight="true" outlineLevel="0" collapsed="false">
      <c r="A410" s="148" t="n">
        <v>21024</v>
      </c>
      <c r="B410" s="405" t="s">
        <v>5912</v>
      </c>
      <c r="C410" s="119" t="n">
        <v>2023</v>
      </c>
      <c r="D410" s="404" t="n">
        <v>45209</v>
      </c>
      <c r="E410" s="68" t="s">
        <v>5913</v>
      </c>
      <c r="F410" s="405" t="s">
        <v>856</v>
      </c>
      <c r="G410" s="405" t="s">
        <v>130</v>
      </c>
      <c r="H410" s="405" t="s">
        <v>5914</v>
      </c>
      <c r="I410" s="404" t="n">
        <v>45490</v>
      </c>
      <c r="J410" s="68" t="n">
        <v>7</v>
      </c>
      <c r="K410" s="71" t="s">
        <v>49</v>
      </c>
      <c r="L410" s="152" t="s">
        <v>61</v>
      </c>
      <c r="M410" s="152" t="n">
        <f aca="false">I410-D410</f>
        <v>281</v>
      </c>
    </row>
    <row r="411" customFormat="false" ht="12.75" hidden="false" customHeight="true" outlineLevel="0" collapsed="false">
      <c r="A411" s="139" t="n">
        <v>21124</v>
      </c>
      <c r="B411" s="144" t="s">
        <v>5915</v>
      </c>
      <c r="C411" s="115" t="n">
        <v>2019</v>
      </c>
      <c r="D411" s="403" t="n">
        <v>43812</v>
      </c>
      <c r="E411" s="66" t="s">
        <v>5916</v>
      </c>
      <c r="F411" s="66" t="s">
        <v>1068</v>
      </c>
      <c r="G411" s="144" t="s">
        <v>441</v>
      </c>
      <c r="H411" s="144" t="s">
        <v>350</v>
      </c>
      <c r="I411" s="403" t="n">
        <v>45490</v>
      </c>
      <c r="J411" s="66" t="n">
        <v>7</v>
      </c>
      <c r="K411" s="71" t="s">
        <v>49</v>
      </c>
      <c r="L411" s="144" t="s">
        <v>60</v>
      </c>
      <c r="M411" s="145" t="n">
        <f aca="false">I411-D411</f>
        <v>1678</v>
      </c>
    </row>
    <row r="412" customFormat="false" ht="12.75" hidden="false" customHeight="true" outlineLevel="0" collapsed="false">
      <c r="A412" s="148" t="n">
        <v>21224</v>
      </c>
      <c r="B412" s="405" t="s">
        <v>5917</v>
      </c>
      <c r="C412" s="119" t="n">
        <v>2019</v>
      </c>
      <c r="D412" s="404" t="n">
        <v>43747</v>
      </c>
      <c r="E412" s="68" t="s">
        <v>5918</v>
      </c>
      <c r="F412" s="405" t="s">
        <v>1243</v>
      </c>
      <c r="G412" s="405" t="s">
        <v>441</v>
      </c>
      <c r="H412" s="405" t="s">
        <v>570</v>
      </c>
      <c r="I412" s="404" t="n">
        <v>45490</v>
      </c>
      <c r="J412" s="68" t="n">
        <v>7</v>
      </c>
      <c r="K412" s="71" t="s">
        <v>48</v>
      </c>
      <c r="L412" s="152" t="s">
        <v>60</v>
      </c>
      <c r="M412" s="152" t="n">
        <f aca="false">I412-D412</f>
        <v>1743</v>
      </c>
    </row>
    <row r="413" customFormat="false" ht="12.75" hidden="false" customHeight="true" outlineLevel="0" collapsed="false">
      <c r="A413" s="139" t="n">
        <v>21324</v>
      </c>
      <c r="B413" s="144" t="s">
        <v>5919</v>
      </c>
      <c r="C413" s="115" t="n">
        <v>2023</v>
      </c>
      <c r="D413" s="403" t="n">
        <v>45271</v>
      </c>
      <c r="E413" s="66" t="s">
        <v>5920</v>
      </c>
      <c r="F413" s="66" t="s">
        <v>5921</v>
      </c>
      <c r="G413" s="144" t="s">
        <v>130</v>
      </c>
      <c r="H413" s="144" t="s">
        <v>676</v>
      </c>
      <c r="I413" s="403" t="n">
        <v>45490</v>
      </c>
      <c r="J413" s="66" t="n">
        <v>7</v>
      </c>
      <c r="K413" s="71" t="s">
        <v>49</v>
      </c>
      <c r="L413" s="144" t="s">
        <v>61</v>
      </c>
      <c r="M413" s="145" t="n">
        <f aca="false">I413-D413</f>
        <v>219</v>
      </c>
    </row>
    <row r="414" customFormat="false" ht="12.75" hidden="false" customHeight="true" outlineLevel="0" collapsed="false">
      <c r="A414" s="148" t="n">
        <v>21424</v>
      </c>
      <c r="B414" s="405" t="s">
        <v>5922</v>
      </c>
      <c r="C414" s="119" t="n">
        <v>2023</v>
      </c>
      <c r="D414" s="404" t="n">
        <v>45114</v>
      </c>
      <c r="E414" s="68" t="s">
        <v>5923</v>
      </c>
      <c r="F414" s="405" t="s">
        <v>4006</v>
      </c>
      <c r="G414" s="405" t="s">
        <v>125</v>
      </c>
      <c r="H414" s="405" t="s">
        <v>5924</v>
      </c>
      <c r="I414" s="404" t="n">
        <v>45490</v>
      </c>
      <c r="J414" s="68" t="n">
        <v>7</v>
      </c>
      <c r="K414" s="71" t="s">
        <v>49</v>
      </c>
      <c r="L414" s="152" t="s">
        <v>61</v>
      </c>
      <c r="M414" s="152" t="n">
        <f aca="false">I414-D414</f>
        <v>376</v>
      </c>
    </row>
    <row r="415" customFormat="false" ht="12.75" hidden="false" customHeight="true" outlineLevel="0" collapsed="false">
      <c r="A415" s="139" t="n">
        <v>21524</v>
      </c>
      <c r="B415" s="144" t="s">
        <v>5925</v>
      </c>
      <c r="C415" s="115" t="n">
        <v>2023</v>
      </c>
      <c r="D415" s="403" t="n">
        <v>45169</v>
      </c>
      <c r="E415" s="66" t="s">
        <v>5926</v>
      </c>
      <c r="F415" s="66" t="s">
        <v>5927</v>
      </c>
      <c r="G415" s="144" t="s">
        <v>130</v>
      </c>
      <c r="H415" s="144" t="s">
        <v>5843</v>
      </c>
      <c r="I415" s="403" t="n">
        <v>45490</v>
      </c>
      <c r="J415" s="66" t="n">
        <v>7</v>
      </c>
      <c r="K415" s="71" t="s">
        <v>49</v>
      </c>
      <c r="L415" s="144" t="s">
        <v>61</v>
      </c>
      <c r="M415" s="145" t="n">
        <f aca="false">I415-D415</f>
        <v>321</v>
      </c>
    </row>
    <row r="416" customFormat="false" ht="12.75" hidden="false" customHeight="true" outlineLevel="0" collapsed="false">
      <c r="A416" s="148" t="n">
        <v>21624</v>
      </c>
      <c r="B416" s="405" t="s">
        <v>5928</v>
      </c>
      <c r="C416" s="119" t="n">
        <v>2018</v>
      </c>
      <c r="D416" s="404" t="n">
        <v>43308</v>
      </c>
      <c r="E416" s="68" t="s">
        <v>5929</v>
      </c>
      <c r="F416" s="405" t="s">
        <v>1097</v>
      </c>
      <c r="G416" s="405" t="s">
        <v>441</v>
      </c>
      <c r="H416" s="405" t="s">
        <v>995</v>
      </c>
      <c r="I416" s="404" t="n">
        <v>45490</v>
      </c>
      <c r="J416" s="68" t="n">
        <v>7</v>
      </c>
      <c r="K416" s="71" t="s">
        <v>48</v>
      </c>
      <c r="L416" s="152" t="s">
        <v>60</v>
      </c>
      <c r="M416" s="152" t="n">
        <f aca="false">I416-D416</f>
        <v>2182</v>
      </c>
    </row>
    <row r="417" customFormat="false" ht="12.75" hidden="false" customHeight="true" outlineLevel="0" collapsed="false">
      <c r="A417" s="139" t="n">
        <v>21724</v>
      </c>
      <c r="B417" s="144" t="s">
        <v>5930</v>
      </c>
      <c r="C417" s="115" t="n">
        <v>2020</v>
      </c>
      <c r="D417" s="403" t="n">
        <v>44166</v>
      </c>
      <c r="E417" s="66" t="s">
        <v>5931</v>
      </c>
      <c r="F417" s="66" t="s">
        <v>5932</v>
      </c>
      <c r="G417" s="144" t="s">
        <v>115</v>
      </c>
      <c r="H417" s="144" t="s">
        <v>119</v>
      </c>
      <c r="I417" s="403" t="n">
        <v>45490</v>
      </c>
      <c r="J417" s="66" t="n">
        <v>7</v>
      </c>
      <c r="K417" s="196" t="s">
        <v>44</v>
      </c>
      <c r="L417" s="144" t="s">
        <v>58</v>
      </c>
      <c r="M417" s="145" t="n">
        <f aca="false">I417-D417</f>
        <v>1324</v>
      </c>
    </row>
    <row r="418" customFormat="false" ht="12.75" hidden="false" customHeight="true" outlineLevel="0" collapsed="false">
      <c r="A418" s="148" t="n">
        <v>21824</v>
      </c>
      <c r="B418" s="405" t="s">
        <v>5933</v>
      </c>
      <c r="C418" s="119" t="n">
        <v>2018</v>
      </c>
      <c r="D418" s="404" t="n">
        <v>43355</v>
      </c>
      <c r="E418" s="68" t="s">
        <v>5934</v>
      </c>
      <c r="F418" s="405" t="s">
        <v>168</v>
      </c>
      <c r="G418" s="405" t="s">
        <v>441</v>
      </c>
      <c r="H418" s="405" t="s">
        <v>3056</v>
      </c>
      <c r="I418" s="404" t="n">
        <v>45490</v>
      </c>
      <c r="J418" s="68" t="n">
        <v>7</v>
      </c>
      <c r="K418" s="196" t="s">
        <v>44</v>
      </c>
      <c r="L418" s="152" t="s">
        <v>60</v>
      </c>
      <c r="M418" s="152" t="n">
        <f aca="false">I418-D418</f>
        <v>2135</v>
      </c>
    </row>
    <row r="419" customFormat="false" ht="12.75" hidden="false" customHeight="true" outlineLevel="0" collapsed="false">
      <c r="A419" s="139" t="n">
        <v>21924</v>
      </c>
      <c r="B419" s="144" t="s">
        <v>5935</v>
      </c>
      <c r="C419" s="115" t="n">
        <v>2021</v>
      </c>
      <c r="D419" s="403" t="n">
        <v>44322</v>
      </c>
      <c r="E419" s="66" t="s">
        <v>5936</v>
      </c>
      <c r="F419" s="66" t="s">
        <v>5937</v>
      </c>
      <c r="G419" s="144" t="s">
        <v>441</v>
      </c>
      <c r="H419" s="144" t="s">
        <v>119</v>
      </c>
      <c r="I419" s="403" t="n">
        <v>45490</v>
      </c>
      <c r="J419" s="66" t="n">
        <v>7</v>
      </c>
      <c r="K419" s="71" t="s">
        <v>49</v>
      </c>
      <c r="L419" s="144" t="s">
        <v>58</v>
      </c>
      <c r="M419" s="145" t="n">
        <f aca="false">I419-D419</f>
        <v>1168</v>
      </c>
    </row>
    <row r="420" customFormat="false" ht="12.75" hidden="false" customHeight="true" outlineLevel="0" collapsed="false">
      <c r="A420" s="148" t="n">
        <v>22024</v>
      </c>
      <c r="B420" s="405" t="s">
        <v>5938</v>
      </c>
      <c r="C420" s="119" t="n">
        <v>2023</v>
      </c>
      <c r="D420" s="404" t="n">
        <v>45077</v>
      </c>
      <c r="E420" s="68" t="s">
        <v>5939</v>
      </c>
      <c r="F420" s="405" t="s">
        <v>5751</v>
      </c>
      <c r="G420" s="405" t="s">
        <v>130</v>
      </c>
      <c r="H420" s="405" t="s">
        <v>5846</v>
      </c>
      <c r="I420" s="404" t="n">
        <v>45491</v>
      </c>
      <c r="J420" s="68" t="n">
        <v>7</v>
      </c>
      <c r="K420" s="71" t="s">
        <v>49</v>
      </c>
      <c r="L420" s="152" t="s">
        <v>61</v>
      </c>
      <c r="M420" s="152" t="n">
        <f aca="false">I420-D420</f>
        <v>414</v>
      </c>
    </row>
    <row r="421" customFormat="false" ht="12.75" hidden="false" customHeight="true" outlineLevel="0" collapsed="false">
      <c r="A421" s="139" t="n">
        <v>22124</v>
      </c>
      <c r="B421" s="144" t="s">
        <v>5940</v>
      </c>
      <c r="C421" s="115" t="n">
        <v>2021</v>
      </c>
      <c r="D421" s="403" t="n">
        <v>44239</v>
      </c>
      <c r="E421" s="66" t="s">
        <v>5941</v>
      </c>
      <c r="F421" s="66" t="s">
        <v>5615</v>
      </c>
      <c r="G421" s="144" t="s">
        <v>441</v>
      </c>
      <c r="H421" s="144" t="s">
        <v>1459</v>
      </c>
      <c r="I421" s="403" t="n">
        <v>45519</v>
      </c>
      <c r="J421" s="66" t="n">
        <v>8</v>
      </c>
      <c r="K421" s="71" t="s">
        <v>49</v>
      </c>
      <c r="L421" s="144" t="s">
        <v>60</v>
      </c>
      <c r="M421" s="145" t="n">
        <f aca="false">I421-D421</f>
        <v>1280</v>
      </c>
    </row>
    <row r="422" customFormat="false" ht="12.75" hidden="false" customHeight="true" outlineLevel="0" collapsed="false">
      <c r="A422" s="148" t="n">
        <v>22224</v>
      </c>
      <c r="B422" s="405" t="s">
        <v>5942</v>
      </c>
      <c r="C422" s="119" t="n">
        <v>2021</v>
      </c>
      <c r="D422" s="404" t="n">
        <v>44239</v>
      </c>
      <c r="E422" s="68" t="s">
        <v>5943</v>
      </c>
      <c r="F422" s="405" t="s">
        <v>5615</v>
      </c>
      <c r="G422" s="405" t="s">
        <v>441</v>
      </c>
      <c r="H422" s="405" t="s">
        <v>1459</v>
      </c>
      <c r="I422" s="404" t="n">
        <v>45519</v>
      </c>
      <c r="J422" s="68" t="n">
        <v>8</v>
      </c>
      <c r="K422" s="71" t="s">
        <v>49</v>
      </c>
      <c r="L422" s="152" t="s">
        <v>60</v>
      </c>
      <c r="M422" s="152" t="n">
        <f aca="false">I422-D422</f>
        <v>1280</v>
      </c>
    </row>
    <row r="423" customFormat="false" ht="12.75" hidden="false" customHeight="true" outlineLevel="0" collapsed="false">
      <c r="A423" s="139" t="n">
        <v>22324</v>
      </c>
      <c r="B423" s="144" t="s">
        <v>5944</v>
      </c>
      <c r="C423" s="115" t="n">
        <v>2013</v>
      </c>
      <c r="D423" s="403" t="n">
        <v>41312</v>
      </c>
      <c r="E423" s="66" t="s">
        <v>5945</v>
      </c>
      <c r="F423" s="66" t="s">
        <v>365</v>
      </c>
      <c r="G423" s="144" t="s">
        <v>441</v>
      </c>
      <c r="H423" s="144" t="s">
        <v>706</v>
      </c>
      <c r="I423" s="403" t="n">
        <v>45519</v>
      </c>
      <c r="J423" s="66" t="n">
        <v>8</v>
      </c>
      <c r="K423" s="163" t="s">
        <v>45</v>
      </c>
      <c r="L423" s="144" t="s">
        <v>58</v>
      </c>
      <c r="M423" s="145" t="n">
        <f aca="false">I423-D423</f>
        <v>4207</v>
      </c>
    </row>
    <row r="424" customFormat="false" ht="12.75" hidden="false" customHeight="true" outlineLevel="0" collapsed="false">
      <c r="A424" s="148" t="n">
        <v>22424</v>
      </c>
      <c r="B424" s="405" t="s">
        <v>5946</v>
      </c>
      <c r="C424" s="119" t="n">
        <v>2015</v>
      </c>
      <c r="D424" s="404" t="n">
        <v>42256</v>
      </c>
      <c r="E424" s="68" t="s">
        <v>5947</v>
      </c>
      <c r="F424" s="405" t="s">
        <v>1262</v>
      </c>
      <c r="G424" s="405" t="s">
        <v>441</v>
      </c>
      <c r="H424" s="405" t="s">
        <v>109</v>
      </c>
      <c r="I424" s="404" t="n">
        <v>45519</v>
      </c>
      <c r="J424" s="68" t="n">
        <v>8</v>
      </c>
      <c r="K424" s="71" t="s">
        <v>49</v>
      </c>
      <c r="L424" s="152" t="s">
        <v>60</v>
      </c>
      <c r="M424" s="152" t="n">
        <f aca="false">I424-D424</f>
        <v>3263</v>
      </c>
    </row>
    <row r="425" customFormat="false" ht="12.75" hidden="false" customHeight="true" outlineLevel="0" collapsed="false">
      <c r="A425" s="139" t="n">
        <v>22524</v>
      </c>
      <c r="B425" s="144" t="s">
        <v>5948</v>
      </c>
      <c r="C425" s="115" t="n">
        <v>2016</v>
      </c>
      <c r="D425" s="403" t="n">
        <v>42683</v>
      </c>
      <c r="E425" s="66" t="s">
        <v>5949</v>
      </c>
      <c r="F425" s="66" t="s">
        <v>238</v>
      </c>
      <c r="G425" s="144" t="s">
        <v>441</v>
      </c>
      <c r="H425" s="144" t="s">
        <v>1501</v>
      </c>
      <c r="I425" s="403" t="n">
        <v>45519</v>
      </c>
      <c r="J425" s="66" t="n">
        <v>8</v>
      </c>
      <c r="K425" s="71" t="s">
        <v>49</v>
      </c>
      <c r="L425" s="144" t="s">
        <v>60</v>
      </c>
      <c r="M425" s="145" t="n">
        <f aca="false">I425-D425</f>
        <v>2836</v>
      </c>
    </row>
    <row r="426" customFormat="false" ht="12.75" hidden="false" customHeight="true" outlineLevel="0" collapsed="false">
      <c r="A426" s="148" t="n">
        <v>22624</v>
      </c>
      <c r="B426" s="405" t="s">
        <v>5950</v>
      </c>
      <c r="C426" s="119" t="n">
        <v>2021</v>
      </c>
      <c r="D426" s="404" t="n">
        <v>44239</v>
      </c>
      <c r="E426" s="68" t="s">
        <v>5951</v>
      </c>
      <c r="F426" s="405" t="s">
        <v>5615</v>
      </c>
      <c r="G426" s="405" t="s">
        <v>441</v>
      </c>
      <c r="H426" s="405" t="s">
        <v>1459</v>
      </c>
      <c r="I426" s="404" t="n">
        <v>45519</v>
      </c>
      <c r="J426" s="68" t="n">
        <v>8</v>
      </c>
      <c r="K426" s="71" t="s">
        <v>49</v>
      </c>
      <c r="L426" s="152" t="s">
        <v>60</v>
      </c>
      <c r="M426" s="152" t="n">
        <f aca="false">I426-D426</f>
        <v>1280</v>
      </c>
    </row>
    <row r="427" customFormat="false" ht="12.75" hidden="false" customHeight="true" outlineLevel="0" collapsed="false">
      <c r="A427" s="139" t="n">
        <v>22724</v>
      </c>
      <c r="B427" s="144" t="s">
        <v>5952</v>
      </c>
      <c r="C427" s="115" t="n">
        <v>2021</v>
      </c>
      <c r="D427" s="403" t="n">
        <v>44239</v>
      </c>
      <c r="E427" s="66" t="s">
        <v>5953</v>
      </c>
      <c r="F427" s="66" t="s">
        <v>5615</v>
      </c>
      <c r="G427" s="144" t="s">
        <v>441</v>
      </c>
      <c r="H427" s="144" t="s">
        <v>5954</v>
      </c>
      <c r="I427" s="403" t="n">
        <v>45519</v>
      </c>
      <c r="J427" s="66" t="n">
        <v>8</v>
      </c>
      <c r="K427" s="71" t="s">
        <v>49</v>
      </c>
      <c r="L427" s="144" t="s">
        <v>60</v>
      </c>
      <c r="M427" s="145" t="n">
        <f aca="false">I427-D427</f>
        <v>1280</v>
      </c>
    </row>
    <row r="428" customFormat="false" ht="12.75" hidden="false" customHeight="true" outlineLevel="0" collapsed="false">
      <c r="A428" s="148" t="n">
        <v>22824</v>
      </c>
      <c r="B428" s="405" t="s">
        <v>5955</v>
      </c>
      <c r="C428" s="119" t="n">
        <v>2020</v>
      </c>
      <c r="D428" s="404" t="n">
        <v>43854</v>
      </c>
      <c r="E428" s="68" t="s">
        <v>5956</v>
      </c>
      <c r="F428" s="405" t="s">
        <v>467</v>
      </c>
      <c r="G428" s="405" t="s">
        <v>441</v>
      </c>
      <c r="H428" s="405" t="s">
        <v>532</v>
      </c>
      <c r="I428" s="404" t="n">
        <v>45519</v>
      </c>
      <c r="J428" s="68" t="n">
        <v>8</v>
      </c>
      <c r="K428" s="71" t="s">
        <v>49</v>
      </c>
      <c r="L428" s="152" t="s">
        <v>61</v>
      </c>
      <c r="M428" s="152" t="n">
        <f aca="false">I428-D428</f>
        <v>1665</v>
      </c>
    </row>
    <row r="429" customFormat="false" ht="12.75" hidden="false" customHeight="true" outlineLevel="0" collapsed="false">
      <c r="A429" s="139" t="n">
        <v>22924</v>
      </c>
      <c r="B429" s="144" t="s">
        <v>5957</v>
      </c>
      <c r="C429" s="115" t="n">
        <v>2019</v>
      </c>
      <c r="D429" s="403" t="n">
        <v>43775</v>
      </c>
      <c r="E429" s="66" t="s">
        <v>5958</v>
      </c>
      <c r="F429" s="66" t="s">
        <v>689</v>
      </c>
      <c r="G429" s="144" t="s">
        <v>441</v>
      </c>
      <c r="H429" s="144" t="s">
        <v>532</v>
      </c>
      <c r="I429" s="403" t="n">
        <v>45519</v>
      </c>
      <c r="J429" s="66" t="n">
        <v>8</v>
      </c>
      <c r="K429" s="71" t="s">
        <v>49</v>
      </c>
      <c r="L429" s="144" t="s">
        <v>60</v>
      </c>
      <c r="M429" s="145" t="n">
        <f aca="false">I429-D429</f>
        <v>1744</v>
      </c>
    </row>
    <row r="430" customFormat="false" ht="12.75" hidden="false" customHeight="true" outlineLevel="0" collapsed="false">
      <c r="A430" s="148" t="n">
        <v>23024</v>
      </c>
      <c r="B430" s="405" t="s">
        <v>5959</v>
      </c>
      <c r="C430" s="119" t="n">
        <v>2021</v>
      </c>
      <c r="D430" s="404" t="n">
        <v>44299</v>
      </c>
      <c r="E430" s="68" t="s">
        <v>5960</v>
      </c>
      <c r="F430" s="405" t="s">
        <v>138</v>
      </c>
      <c r="G430" s="405" t="s">
        <v>441</v>
      </c>
      <c r="H430" s="405" t="s">
        <v>471</v>
      </c>
      <c r="I430" s="404" t="n">
        <v>45524</v>
      </c>
      <c r="J430" s="68" t="n">
        <v>8</v>
      </c>
      <c r="K430" s="71" t="s">
        <v>49</v>
      </c>
      <c r="L430" s="152" t="s">
        <v>60</v>
      </c>
      <c r="M430" s="152" t="n">
        <f aca="false">I430-D430</f>
        <v>1225</v>
      </c>
    </row>
    <row r="431" customFormat="false" ht="12.75" hidden="false" customHeight="true" outlineLevel="0" collapsed="false">
      <c r="A431" s="139" t="n">
        <v>23124</v>
      </c>
      <c r="B431" s="144" t="s">
        <v>5961</v>
      </c>
      <c r="C431" s="115" t="n">
        <v>2021</v>
      </c>
      <c r="D431" s="403" t="n">
        <v>44286</v>
      </c>
      <c r="E431" s="66" t="s">
        <v>5962</v>
      </c>
      <c r="F431" s="66" t="s">
        <v>5963</v>
      </c>
      <c r="G431" s="144" t="s">
        <v>441</v>
      </c>
      <c r="H431" s="144" t="s">
        <v>5888</v>
      </c>
      <c r="I431" s="403" t="n">
        <v>45524</v>
      </c>
      <c r="J431" s="66" t="n">
        <v>8</v>
      </c>
      <c r="K431" s="163" t="s">
        <v>46</v>
      </c>
      <c r="L431" s="144" t="s">
        <v>2848</v>
      </c>
      <c r="M431" s="145" t="n">
        <f aca="false">I431-D431</f>
        <v>1238</v>
      </c>
    </row>
    <row r="432" customFormat="false" ht="12.75" hidden="false" customHeight="true" outlineLevel="0" collapsed="false">
      <c r="A432" s="148" t="n">
        <v>23224</v>
      </c>
      <c r="B432" s="405" t="s">
        <v>5964</v>
      </c>
      <c r="C432" s="119" t="n">
        <v>2019</v>
      </c>
      <c r="D432" s="404" t="n">
        <v>43514</v>
      </c>
      <c r="E432" s="68" t="s">
        <v>5965</v>
      </c>
      <c r="F432" s="405" t="s">
        <v>1890</v>
      </c>
      <c r="G432" s="405" t="s">
        <v>441</v>
      </c>
      <c r="H432" s="405" t="s">
        <v>184</v>
      </c>
      <c r="I432" s="404" t="n">
        <v>45524</v>
      </c>
      <c r="J432" s="68" t="n">
        <v>8</v>
      </c>
      <c r="K432" s="71" t="s">
        <v>49</v>
      </c>
      <c r="L432" s="152" t="s">
        <v>58</v>
      </c>
      <c r="M432" s="152" t="n">
        <f aca="false">I432-D432</f>
        <v>2010</v>
      </c>
    </row>
    <row r="433" customFormat="false" ht="12.75" hidden="false" customHeight="true" outlineLevel="0" collapsed="false">
      <c r="A433" s="139" t="n">
        <v>23324</v>
      </c>
      <c r="B433" s="144" t="s">
        <v>5966</v>
      </c>
      <c r="C433" s="115" t="n">
        <v>2021</v>
      </c>
      <c r="D433" s="403" t="n">
        <v>44259</v>
      </c>
      <c r="E433" s="66" t="s">
        <v>5967</v>
      </c>
      <c r="F433" s="66" t="s">
        <v>5968</v>
      </c>
      <c r="G433" s="144" t="s">
        <v>441</v>
      </c>
      <c r="H433" s="144" t="s">
        <v>192</v>
      </c>
      <c r="I433" s="403" t="n">
        <v>45524</v>
      </c>
      <c r="J433" s="66" t="n">
        <v>8</v>
      </c>
      <c r="K433" s="71" t="s">
        <v>49</v>
      </c>
      <c r="L433" s="144" t="s">
        <v>60</v>
      </c>
      <c r="M433" s="145" t="n">
        <f aca="false">I433-D433</f>
        <v>1265</v>
      </c>
    </row>
    <row r="434" customFormat="false" ht="12.75" hidden="false" customHeight="true" outlineLevel="0" collapsed="false">
      <c r="A434" s="148" t="n">
        <v>23424</v>
      </c>
      <c r="B434" s="405" t="s">
        <v>5969</v>
      </c>
      <c r="C434" s="119" t="n">
        <v>2021</v>
      </c>
      <c r="D434" s="404" t="n">
        <v>44253</v>
      </c>
      <c r="E434" s="68" t="s">
        <v>5970</v>
      </c>
      <c r="F434" s="405" t="s">
        <v>5971</v>
      </c>
      <c r="G434" s="405" t="s">
        <v>441</v>
      </c>
      <c r="H434" s="405" t="s">
        <v>192</v>
      </c>
      <c r="I434" s="404" t="n">
        <v>45524</v>
      </c>
      <c r="J434" s="68" t="n">
        <v>8</v>
      </c>
      <c r="K434" s="71" t="s">
        <v>48</v>
      </c>
      <c r="L434" s="152" t="s">
        <v>60</v>
      </c>
      <c r="M434" s="152" t="n">
        <f aca="false">I434-D434</f>
        <v>1271</v>
      </c>
    </row>
    <row r="435" customFormat="false" ht="12.75" hidden="false" customHeight="true" outlineLevel="0" collapsed="false">
      <c r="A435" s="139" t="n">
        <v>23524</v>
      </c>
      <c r="B435" s="144" t="s">
        <v>5972</v>
      </c>
      <c r="C435" s="115" t="n">
        <v>2020</v>
      </c>
      <c r="D435" s="403" t="n">
        <v>44133</v>
      </c>
      <c r="E435" s="66" t="s">
        <v>5973</v>
      </c>
      <c r="F435" s="66" t="s">
        <v>4419</v>
      </c>
      <c r="G435" s="144" t="s">
        <v>441</v>
      </c>
      <c r="H435" s="144" t="s">
        <v>5589</v>
      </c>
      <c r="I435" s="403" t="n">
        <v>45524</v>
      </c>
      <c r="J435" s="66" t="n">
        <v>8</v>
      </c>
      <c r="K435" s="406" t="s">
        <v>290</v>
      </c>
      <c r="L435" s="144" t="s">
        <v>58</v>
      </c>
      <c r="M435" s="145" t="n">
        <f aca="false">I435-D435</f>
        <v>1391</v>
      </c>
    </row>
    <row r="436" customFormat="false" ht="12.75" hidden="false" customHeight="true" outlineLevel="0" collapsed="false">
      <c r="A436" s="148" t="n">
        <v>23624</v>
      </c>
      <c r="B436" s="405" t="s">
        <v>5974</v>
      </c>
      <c r="C436" s="119" t="n">
        <v>2020</v>
      </c>
      <c r="D436" s="404" t="n">
        <v>44131</v>
      </c>
      <c r="E436" s="68" t="s">
        <v>5975</v>
      </c>
      <c r="F436" s="405" t="s">
        <v>207</v>
      </c>
      <c r="G436" s="405" t="s">
        <v>441</v>
      </c>
      <c r="H436" s="405" t="s">
        <v>706</v>
      </c>
      <c r="I436" s="404" t="n">
        <v>45524</v>
      </c>
      <c r="J436" s="68" t="n">
        <v>8</v>
      </c>
      <c r="K436" s="71" t="s">
        <v>49</v>
      </c>
      <c r="L436" s="152" t="s">
        <v>58</v>
      </c>
      <c r="M436" s="152" t="n">
        <f aca="false">I436-D436</f>
        <v>1393</v>
      </c>
    </row>
    <row r="437" customFormat="false" ht="12.75" hidden="false" customHeight="true" outlineLevel="0" collapsed="false">
      <c r="A437" s="139" t="n">
        <v>23724</v>
      </c>
      <c r="B437" s="144" t="s">
        <v>5976</v>
      </c>
      <c r="C437" s="115" t="n">
        <v>2020</v>
      </c>
      <c r="D437" s="403" t="n">
        <v>43915</v>
      </c>
      <c r="E437" s="66" t="s">
        <v>5977</v>
      </c>
      <c r="F437" s="66" t="s">
        <v>1916</v>
      </c>
      <c r="G437" s="144" t="s">
        <v>441</v>
      </c>
      <c r="H437" s="144" t="s">
        <v>5978</v>
      </c>
      <c r="I437" s="403" t="n">
        <v>45524</v>
      </c>
      <c r="J437" s="66" t="n">
        <v>8</v>
      </c>
      <c r="K437" s="71" t="s">
        <v>48</v>
      </c>
      <c r="L437" s="144" t="s">
        <v>58</v>
      </c>
      <c r="M437" s="145" t="n">
        <f aca="false">I437-D437</f>
        <v>1609</v>
      </c>
    </row>
    <row r="438" customFormat="false" ht="12.75" hidden="false" customHeight="true" outlineLevel="0" collapsed="false">
      <c r="A438" s="148" t="n">
        <v>23824</v>
      </c>
      <c r="B438" s="405" t="s">
        <v>5979</v>
      </c>
      <c r="C438" s="119" t="n">
        <v>2020</v>
      </c>
      <c r="D438" s="404" t="n">
        <v>44131</v>
      </c>
      <c r="E438" s="68" t="s">
        <v>5980</v>
      </c>
      <c r="F438" s="405" t="s">
        <v>1097</v>
      </c>
      <c r="G438" s="405" t="s">
        <v>441</v>
      </c>
      <c r="H438" s="405" t="s">
        <v>350</v>
      </c>
      <c r="I438" s="404" t="n">
        <v>45524</v>
      </c>
      <c r="J438" s="68" t="n">
        <v>8</v>
      </c>
      <c r="K438" s="71" t="s">
        <v>48</v>
      </c>
      <c r="L438" s="152" t="s">
        <v>60</v>
      </c>
      <c r="M438" s="152" t="n">
        <f aca="false">I438-D438</f>
        <v>1393</v>
      </c>
    </row>
    <row r="439" customFormat="false" ht="12.75" hidden="false" customHeight="true" outlineLevel="0" collapsed="false">
      <c r="A439" s="139" t="n">
        <v>23924</v>
      </c>
      <c r="B439" s="144" t="s">
        <v>5981</v>
      </c>
      <c r="C439" s="115" t="n">
        <v>2015</v>
      </c>
      <c r="D439" s="403" t="n">
        <v>42347</v>
      </c>
      <c r="E439" s="66" t="s">
        <v>5982</v>
      </c>
      <c r="F439" s="66" t="s">
        <v>2151</v>
      </c>
      <c r="G439" s="144" t="s">
        <v>441</v>
      </c>
      <c r="H439" s="144" t="s">
        <v>5983</v>
      </c>
      <c r="I439" s="403" t="n">
        <v>45524</v>
      </c>
      <c r="J439" s="66" t="n">
        <v>8</v>
      </c>
      <c r="K439" s="71" t="s">
        <v>49</v>
      </c>
      <c r="L439" s="144" t="s">
        <v>58</v>
      </c>
      <c r="M439" s="145" t="n">
        <f aca="false">I439-D439</f>
        <v>3177</v>
      </c>
    </row>
    <row r="440" customFormat="false" ht="12.75" hidden="false" customHeight="true" outlineLevel="0" collapsed="false">
      <c r="A440" s="148" t="n">
        <v>24024</v>
      </c>
      <c r="B440" s="405" t="s">
        <v>5984</v>
      </c>
      <c r="C440" s="119" t="n">
        <v>2020</v>
      </c>
      <c r="D440" s="404" t="n">
        <v>44025</v>
      </c>
      <c r="E440" s="68" t="s">
        <v>5985</v>
      </c>
      <c r="F440" s="405" t="s">
        <v>3248</v>
      </c>
      <c r="G440" s="405" t="s">
        <v>441</v>
      </c>
      <c r="H440" s="405" t="s">
        <v>513</v>
      </c>
      <c r="I440" s="404" t="n">
        <v>45524</v>
      </c>
      <c r="J440" s="68" t="n">
        <v>8</v>
      </c>
      <c r="K440" s="71" t="s">
        <v>49</v>
      </c>
      <c r="L440" s="152" t="s">
        <v>61</v>
      </c>
      <c r="M440" s="152" t="n">
        <f aca="false">I440-D440</f>
        <v>1499</v>
      </c>
    </row>
    <row r="441" customFormat="false" ht="12.75" hidden="false" customHeight="true" outlineLevel="0" collapsed="false">
      <c r="A441" s="139" t="n">
        <v>24124</v>
      </c>
      <c r="B441" s="144" t="s">
        <v>5986</v>
      </c>
      <c r="C441" s="115" t="n">
        <v>2023</v>
      </c>
      <c r="D441" s="403" t="n">
        <v>45253</v>
      </c>
      <c r="E441" s="66" t="s">
        <v>5987</v>
      </c>
      <c r="F441" s="66" t="s">
        <v>636</v>
      </c>
      <c r="G441" s="144" t="s">
        <v>130</v>
      </c>
      <c r="H441" s="144" t="s">
        <v>4029</v>
      </c>
      <c r="I441" s="403" t="n">
        <v>45524</v>
      </c>
      <c r="J441" s="66" t="n">
        <v>8</v>
      </c>
      <c r="K441" s="71" t="s">
        <v>49</v>
      </c>
      <c r="L441" s="144" t="s">
        <v>61</v>
      </c>
      <c r="M441" s="145" t="n">
        <f aca="false">I441-D441</f>
        <v>271</v>
      </c>
    </row>
    <row r="442" customFormat="false" ht="12.75" hidden="false" customHeight="true" outlineLevel="0" collapsed="false">
      <c r="A442" s="148" t="n">
        <v>24224</v>
      </c>
      <c r="B442" s="405" t="s">
        <v>5988</v>
      </c>
      <c r="C442" s="119" t="n">
        <v>2016</v>
      </c>
      <c r="D442" s="404" t="n">
        <v>42506</v>
      </c>
      <c r="E442" s="68" t="s">
        <v>5989</v>
      </c>
      <c r="F442" s="405" t="s">
        <v>5990</v>
      </c>
      <c r="G442" s="405" t="s">
        <v>441</v>
      </c>
      <c r="H442" s="405" t="s">
        <v>254</v>
      </c>
      <c r="I442" s="404" t="n">
        <v>45524</v>
      </c>
      <c r="J442" s="68" t="n">
        <v>8</v>
      </c>
      <c r="K442" s="71" t="s">
        <v>49</v>
      </c>
      <c r="L442" s="152" t="s">
        <v>2848</v>
      </c>
      <c r="M442" s="152" t="n">
        <f aca="false">I442-D442</f>
        <v>3018</v>
      </c>
    </row>
    <row r="443" customFormat="false" ht="12.75" hidden="false" customHeight="true" outlineLevel="0" collapsed="false">
      <c r="A443" s="139" t="n">
        <v>24324</v>
      </c>
      <c r="B443" s="144" t="s">
        <v>5991</v>
      </c>
      <c r="C443" s="115" t="n">
        <v>2017</v>
      </c>
      <c r="D443" s="403" t="n">
        <v>42782</v>
      </c>
      <c r="E443" s="66" t="s">
        <v>5992</v>
      </c>
      <c r="F443" s="66" t="s">
        <v>5993</v>
      </c>
      <c r="G443" s="144" t="s">
        <v>441</v>
      </c>
      <c r="H443" s="144" t="s">
        <v>1501</v>
      </c>
      <c r="I443" s="403" t="n">
        <v>45524</v>
      </c>
      <c r="J443" s="66" t="n">
        <v>8</v>
      </c>
      <c r="K443" s="71" t="s">
        <v>49</v>
      </c>
      <c r="L443" s="144" t="s">
        <v>58</v>
      </c>
      <c r="M443" s="145" t="n">
        <f aca="false">I443-D443</f>
        <v>2742</v>
      </c>
    </row>
    <row r="444" customFormat="false" ht="12.75" hidden="false" customHeight="true" outlineLevel="0" collapsed="false">
      <c r="A444" s="148" t="n">
        <v>24424</v>
      </c>
      <c r="B444" s="405" t="s">
        <v>5994</v>
      </c>
      <c r="C444" s="119" t="n">
        <v>2023</v>
      </c>
      <c r="D444" s="404" t="n">
        <v>44944</v>
      </c>
      <c r="E444" s="68" t="s">
        <v>5995</v>
      </c>
      <c r="F444" s="405" t="s">
        <v>5927</v>
      </c>
      <c r="G444" s="405" t="s">
        <v>125</v>
      </c>
      <c r="H444" s="405" t="s">
        <v>980</v>
      </c>
      <c r="I444" s="404" t="n">
        <v>45524</v>
      </c>
      <c r="J444" s="68" t="n">
        <v>8</v>
      </c>
      <c r="K444" s="71" t="s">
        <v>49</v>
      </c>
      <c r="L444" s="152" t="s">
        <v>61</v>
      </c>
      <c r="M444" s="152" t="n">
        <f aca="false">I444-D444</f>
        <v>580</v>
      </c>
    </row>
    <row r="445" customFormat="false" ht="15" hidden="false" customHeight="true" outlineLevel="0" collapsed="false">
      <c r="A445" s="139" t="n">
        <v>24524</v>
      </c>
      <c r="B445" s="144" t="s">
        <v>5996</v>
      </c>
      <c r="C445" s="115" t="n">
        <v>2019</v>
      </c>
      <c r="D445" s="403" t="n">
        <v>43643</v>
      </c>
      <c r="E445" s="66" t="s">
        <v>5997</v>
      </c>
      <c r="F445" s="66" t="s">
        <v>5998</v>
      </c>
      <c r="G445" s="144" t="s">
        <v>441</v>
      </c>
      <c r="H445" s="144" t="s">
        <v>697</v>
      </c>
      <c r="I445" s="403" t="n">
        <v>45524</v>
      </c>
      <c r="J445" s="66" t="n">
        <v>8</v>
      </c>
      <c r="K445" s="71" t="s">
        <v>49</v>
      </c>
      <c r="L445" s="144" t="s">
        <v>60</v>
      </c>
      <c r="M445" s="145" t="n">
        <f aca="false">I445-D445</f>
        <v>1881</v>
      </c>
    </row>
    <row r="446" customFormat="false" ht="12.75" hidden="false" customHeight="true" outlineLevel="0" collapsed="false">
      <c r="A446" s="148" t="n">
        <v>24624</v>
      </c>
      <c r="B446" s="405" t="s">
        <v>5999</v>
      </c>
      <c r="C446" s="119" t="n">
        <v>2023</v>
      </c>
      <c r="D446" s="404" t="n">
        <v>45049</v>
      </c>
      <c r="E446" s="68" t="s">
        <v>6000</v>
      </c>
      <c r="F446" s="405" t="s">
        <v>6001</v>
      </c>
      <c r="G446" s="405" t="s">
        <v>125</v>
      </c>
      <c r="H446" s="405" t="s">
        <v>6002</v>
      </c>
      <c r="I446" s="404" t="n">
        <v>45527</v>
      </c>
      <c r="J446" s="68" t="n">
        <v>8</v>
      </c>
      <c r="K446" s="406" t="s">
        <v>290</v>
      </c>
      <c r="L446" s="152" t="s">
        <v>61</v>
      </c>
      <c r="M446" s="152" t="n">
        <f aca="false">I446-D446</f>
        <v>478</v>
      </c>
    </row>
    <row r="447" customFormat="false" ht="12.75" hidden="false" customHeight="true" outlineLevel="0" collapsed="false">
      <c r="A447" s="139" t="n">
        <v>24724</v>
      </c>
      <c r="B447" s="144" t="s">
        <v>6003</v>
      </c>
      <c r="C447" s="115" t="n">
        <v>2020</v>
      </c>
      <c r="D447" s="403" t="n">
        <v>44104</v>
      </c>
      <c r="E447" s="66" t="s">
        <v>6004</v>
      </c>
      <c r="F447" s="66" t="s">
        <v>6005</v>
      </c>
      <c r="G447" s="144" t="s">
        <v>115</v>
      </c>
      <c r="H447" s="144" t="s">
        <v>1791</v>
      </c>
      <c r="I447" s="403" t="n">
        <v>45527</v>
      </c>
      <c r="J447" s="66" t="n">
        <v>8</v>
      </c>
      <c r="K447" s="71" t="s">
        <v>49</v>
      </c>
      <c r="L447" s="144" t="s">
        <v>60</v>
      </c>
      <c r="M447" s="145" t="n">
        <f aca="false">I447-D447</f>
        <v>1423</v>
      </c>
    </row>
    <row r="448" customFormat="false" ht="12.75" hidden="false" customHeight="true" outlineLevel="0" collapsed="false">
      <c r="A448" s="148" t="n">
        <v>24824</v>
      </c>
      <c r="B448" s="405" t="s">
        <v>6006</v>
      </c>
      <c r="C448" s="119" t="n">
        <v>2018</v>
      </c>
      <c r="D448" s="404" t="n">
        <v>43378</v>
      </c>
      <c r="E448" s="68" t="s">
        <v>6007</v>
      </c>
      <c r="F448" s="405" t="s">
        <v>1890</v>
      </c>
      <c r="G448" s="405" t="s">
        <v>441</v>
      </c>
      <c r="H448" s="405" t="s">
        <v>192</v>
      </c>
      <c r="I448" s="404" t="n">
        <v>45527</v>
      </c>
      <c r="J448" s="68" t="n">
        <v>8</v>
      </c>
      <c r="K448" s="71" t="s">
        <v>49</v>
      </c>
      <c r="L448" s="152" t="s">
        <v>58</v>
      </c>
      <c r="M448" s="152" t="n">
        <f aca="false">I448-D448</f>
        <v>2149</v>
      </c>
    </row>
    <row r="449" customFormat="false" ht="15" hidden="false" customHeight="true" outlineLevel="0" collapsed="false">
      <c r="A449" s="139" t="n">
        <v>24924</v>
      </c>
      <c r="B449" s="144" t="s">
        <v>6008</v>
      </c>
      <c r="C449" s="115" t="n">
        <v>2017</v>
      </c>
      <c r="D449" s="403" t="n">
        <v>42790</v>
      </c>
      <c r="E449" s="66" t="s">
        <v>6009</v>
      </c>
      <c r="F449" s="66" t="s">
        <v>1277</v>
      </c>
      <c r="G449" s="144" t="s">
        <v>441</v>
      </c>
      <c r="H449" s="144" t="s">
        <v>250</v>
      </c>
      <c r="I449" s="403" t="n">
        <v>45527</v>
      </c>
      <c r="J449" s="66" t="n">
        <v>8</v>
      </c>
      <c r="K449" s="163" t="s">
        <v>46</v>
      </c>
      <c r="L449" s="144" t="s">
        <v>58</v>
      </c>
      <c r="M449" s="145" t="n">
        <f aca="false">I449-D449</f>
        <v>2737</v>
      </c>
    </row>
    <row r="450" customFormat="false" ht="12.75" hidden="false" customHeight="true" outlineLevel="0" collapsed="false">
      <c r="A450" s="148" t="n">
        <v>25024</v>
      </c>
      <c r="B450" s="405" t="s">
        <v>6010</v>
      </c>
      <c r="C450" s="119" t="n">
        <v>2018</v>
      </c>
      <c r="D450" s="404" t="n">
        <v>43426</v>
      </c>
      <c r="E450" s="68" t="s">
        <v>6011</v>
      </c>
      <c r="F450" s="405" t="s">
        <v>1262</v>
      </c>
      <c r="G450" s="405" t="s">
        <v>441</v>
      </c>
      <c r="H450" s="405" t="s">
        <v>192</v>
      </c>
      <c r="I450" s="404" t="n">
        <v>45527</v>
      </c>
      <c r="J450" s="68" t="n">
        <v>8</v>
      </c>
      <c r="K450" s="71" t="s">
        <v>49</v>
      </c>
      <c r="L450" s="152" t="s">
        <v>60</v>
      </c>
      <c r="M450" s="152" t="n">
        <f aca="false">I450-D450</f>
        <v>2101</v>
      </c>
    </row>
    <row r="451" customFormat="false" ht="12.75" hidden="false" customHeight="true" outlineLevel="0" collapsed="false">
      <c r="A451" s="139" t="n">
        <v>25124</v>
      </c>
      <c r="B451" s="144" t="s">
        <v>6012</v>
      </c>
      <c r="C451" s="115" t="n">
        <v>2013</v>
      </c>
      <c r="D451" s="403" t="n">
        <v>41453</v>
      </c>
      <c r="E451" s="66" t="s">
        <v>6013</v>
      </c>
      <c r="F451" s="66" t="s">
        <v>176</v>
      </c>
      <c r="G451" s="144" t="s">
        <v>441</v>
      </c>
      <c r="H451" s="144" t="s">
        <v>192</v>
      </c>
      <c r="I451" s="403" t="n">
        <v>45527</v>
      </c>
      <c r="J451" s="66" t="n">
        <v>8</v>
      </c>
      <c r="K451" s="71" t="s">
        <v>48</v>
      </c>
      <c r="L451" s="144" t="s">
        <v>60</v>
      </c>
      <c r="M451" s="145" t="n">
        <f aca="false">I451-D451</f>
        <v>4074</v>
      </c>
    </row>
    <row r="452" customFormat="false" ht="12.75" hidden="false" customHeight="true" outlineLevel="0" collapsed="false">
      <c r="A452" s="148" t="n">
        <v>25224</v>
      </c>
      <c r="B452" s="405" t="s">
        <v>6014</v>
      </c>
      <c r="C452" s="119" t="n">
        <v>2021</v>
      </c>
      <c r="D452" s="404" t="n">
        <v>44377</v>
      </c>
      <c r="E452" s="68" t="s">
        <v>6015</v>
      </c>
      <c r="F452" s="405" t="s">
        <v>138</v>
      </c>
      <c r="G452" s="405" t="s">
        <v>441</v>
      </c>
      <c r="H452" s="405" t="s">
        <v>968</v>
      </c>
      <c r="I452" s="404" t="n">
        <v>45527</v>
      </c>
      <c r="J452" s="68" t="n">
        <v>8</v>
      </c>
      <c r="K452" s="71" t="s">
        <v>49</v>
      </c>
      <c r="L452" s="152" t="s">
        <v>60</v>
      </c>
      <c r="M452" s="152" t="n">
        <f aca="false">I452-D452</f>
        <v>1150</v>
      </c>
    </row>
    <row r="453" customFormat="false" ht="12.75" hidden="false" customHeight="true" outlineLevel="0" collapsed="false">
      <c r="A453" s="139" t="n">
        <v>25324</v>
      </c>
      <c r="B453" s="144" t="s">
        <v>6016</v>
      </c>
      <c r="C453" s="115" t="n">
        <v>2021</v>
      </c>
      <c r="D453" s="403" t="n">
        <v>44496</v>
      </c>
      <c r="E453" s="66" t="s">
        <v>6017</v>
      </c>
      <c r="F453" s="66" t="s">
        <v>6018</v>
      </c>
      <c r="G453" s="144" t="s">
        <v>441</v>
      </c>
      <c r="H453" s="144" t="s">
        <v>139</v>
      </c>
      <c r="I453" s="403" t="n">
        <v>45527</v>
      </c>
      <c r="J453" s="66" t="n">
        <v>8</v>
      </c>
      <c r="K453" s="71" t="s">
        <v>49</v>
      </c>
      <c r="L453" s="144" t="s">
        <v>60</v>
      </c>
      <c r="M453" s="145" t="n">
        <f aca="false">I453-D453</f>
        <v>1031</v>
      </c>
    </row>
    <row r="454" customFormat="false" ht="12.75" hidden="false" customHeight="true" outlineLevel="0" collapsed="false">
      <c r="A454" s="148" t="n">
        <v>25424</v>
      </c>
      <c r="B454" s="405" t="s">
        <v>6019</v>
      </c>
      <c r="C454" s="119" t="n">
        <v>2023</v>
      </c>
      <c r="D454" s="404" t="n">
        <v>45190</v>
      </c>
      <c r="E454" s="68" t="s">
        <v>6020</v>
      </c>
      <c r="F454" s="405" t="s">
        <v>6021</v>
      </c>
      <c r="G454" s="405" t="s">
        <v>130</v>
      </c>
      <c r="H454" s="405" t="s">
        <v>6022</v>
      </c>
      <c r="I454" s="404" t="n">
        <v>45527</v>
      </c>
      <c r="J454" s="68" t="n">
        <v>8</v>
      </c>
      <c r="K454" s="71" t="s">
        <v>49</v>
      </c>
      <c r="L454" s="152" t="s">
        <v>61</v>
      </c>
      <c r="M454" s="152" t="n">
        <f aca="false">I454-D454</f>
        <v>337</v>
      </c>
    </row>
    <row r="455" customFormat="false" ht="12.75" hidden="false" customHeight="true" outlineLevel="0" collapsed="false">
      <c r="A455" s="139" t="n">
        <v>25524</v>
      </c>
      <c r="B455" s="144" t="s">
        <v>6023</v>
      </c>
      <c r="C455" s="115" t="n">
        <v>2023</v>
      </c>
      <c r="D455" s="403" t="n">
        <v>45259</v>
      </c>
      <c r="E455" s="66" t="s">
        <v>6024</v>
      </c>
      <c r="F455" s="66" t="s">
        <v>1104</v>
      </c>
      <c r="G455" s="144" t="s">
        <v>130</v>
      </c>
      <c r="H455" s="144" t="s">
        <v>6025</v>
      </c>
      <c r="I455" s="403" t="n">
        <v>45537</v>
      </c>
      <c r="J455" s="66" t="n">
        <v>9</v>
      </c>
      <c r="K455" s="71" t="s">
        <v>49</v>
      </c>
      <c r="L455" s="144" t="s">
        <v>61</v>
      </c>
      <c r="M455" s="145" t="n">
        <f aca="false">I455-D455</f>
        <v>278</v>
      </c>
    </row>
    <row r="456" customFormat="false" ht="12.75" hidden="false" customHeight="true" outlineLevel="0" collapsed="false">
      <c r="A456" s="148" t="n">
        <v>25624</v>
      </c>
      <c r="B456" s="405" t="s">
        <v>6026</v>
      </c>
      <c r="C456" s="119" t="n">
        <v>2017</v>
      </c>
      <c r="D456" s="404" t="n">
        <v>42969</v>
      </c>
      <c r="E456" s="68" t="s">
        <v>6027</v>
      </c>
      <c r="F456" s="405" t="s">
        <v>379</v>
      </c>
      <c r="G456" s="405" t="s">
        <v>441</v>
      </c>
      <c r="H456" s="405" t="s">
        <v>1501</v>
      </c>
      <c r="I456" s="404" t="n">
        <v>45537</v>
      </c>
      <c r="J456" s="68" t="n">
        <v>9</v>
      </c>
      <c r="K456" s="71" t="s">
        <v>49</v>
      </c>
      <c r="L456" s="152" t="s">
        <v>58</v>
      </c>
      <c r="M456" s="152" t="n">
        <f aca="false">I456-D456</f>
        <v>2568</v>
      </c>
    </row>
    <row r="457" customFormat="false" ht="12.75" hidden="false" customHeight="true" outlineLevel="0" collapsed="false">
      <c r="A457" s="139" t="n">
        <v>25724</v>
      </c>
      <c r="B457" s="144" t="s">
        <v>6028</v>
      </c>
      <c r="C457" s="115" t="n">
        <v>2014</v>
      </c>
      <c r="D457" s="403" t="n">
        <v>41901</v>
      </c>
      <c r="E457" s="66" t="s">
        <v>6029</v>
      </c>
      <c r="F457" s="66" t="s">
        <v>1347</v>
      </c>
      <c r="G457" s="144" t="s">
        <v>441</v>
      </c>
      <c r="H457" s="144" t="s">
        <v>471</v>
      </c>
      <c r="I457" s="403" t="n">
        <v>45537</v>
      </c>
      <c r="J457" s="66" t="n">
        <v>9</v>
      </c>
      <c r="K457" s="71" t="s">
        <v>49</v>
      </c>
      <c r="L457" s="144" t="s">
        <v>60</v>
      </c>
      <c r="M457" s="145" t="n">
        <f aca="false">I457-D457</f>
        <v>3636</v>
      </c>
    </row>
    <row r="458" customFormat="false" ht="12.75" hidden="false" customHeight="true" outlineLevel="0" collapsed="false">
      <c r="A458" s="148" t="n">
        <v>25824</v>
      </c>
      <c r="B458" s="405" t="s">
        <v>6030</v>
      </c>
      <c r="C458" s="119" t="n">
        <v>2022</v>
      </c>
      <c r="D458" s="404" t="n">
        <v>44923</v>
      </c>
      <c r="E458" s="68" t="s">
        <v>6031</v>
      </c>
      <c r="F458" s="405" t="s">
        <v>6032</v>
      </c>
      <c r="G458" s="405" t="s">
        <v>125</v>
      </c>
      <c r="H458" s="405" t="s">
        <v>3056</v>
      </c>
      <c r="I458" s="404" t="n">
        <v>45537</v>
      </c>
      <c r="J458" s="68" t="n">
        <v>9</v>
      </c>
      <c r="K458" s="71" t="s">
        <v>49</v>
      </c>
      <c r="L458" s="152" t="s">
        <v>61</v>
      </c>
      <c r="M458" s="152" t="n">
        <f aca="false">I458-D458</f>
        <v>614</v>
      </c>
    </row>
    <row r="459" customFormat="false" ht="12.75" hidden="false" customHeight="true" outlineLevel="0" collapsed="false">
      <c r="A459" s="139" t="n">
        <v>25924</v>
      </c>
      <c r="B459" s="144" t="s">
        <v>6033</v>
      </c>
      <c r="C459" s="115" t="n">
        <v>2020</v>
      </c>
      <c r="D459" s="403" t="n">
        <v>43916</v>
      </c>
      <c r="E459" s="66" t="s">
        <v>6034</v>
      </c>
      <c r="F459" s="66" t="s">
        <v>512</v>
      </c>
      <c r="G459" s="144" t="s">
        <v>441</v>
      </c>
      <c r="H459" s="144" t="s">
        <v>254</v>
      </c>
      <c r="I459" s="403" t="n">
        <v>45537</v>
      </c>
      <c r="J459" s="66" t="n">
        <v>9</v>
      </c>
      <c r="K459" s="71" t="s">
        <v>49</v>
      </c>
      <c r="L459" s="144" t="s">
        <v>60</v>
      </c>
      <c r="M459" s="145" t="n">
        <f aca="false">I459-D459</f>
        <v>1621</v>
      </c>
    </row>
    <row r="460" customFormat="false" ht="12.75" hidden="false" customHeight="true" outlineLevel="0" collapsed="false">
      <c r="A460" s="148" t="n">
        <v>26024</v>
      </c>
      <c r="B460" s="405" t="s">
        <v>6035</v>
      </c>
      <c r="C460" s="119" t="n">
        <v>2017</v>
      </c>
      <c r="D460" s="404" t="n">
        <v>42825</v>
      </c>
      <c r="E460" s="68" t="s">
        <v>6036</v>
      </c>
      <c r="F460" s="405" t="s">
        <v>705</v>
      </c>
      <c r="G460" s="405" t="s">
        <v>441</v>
      </c>
      <c r="H460" s="405" t="s">
        <v>354</v>
      </c>
      <c r="I460" s="404" t="n">
        <v>45537</v>
      </c>
      <c r="J460" s="68" t="n">
        <v>9</v>
      </c>
      <c r="K460" s="71" t="s">
        <v>48</v>
      </c>
      <c r="L460" s="152" t="s">
        <v>60</v>
      </c>
      <c r="M460" s="152" t="n">
        <f aca="false">I460-D460</f>
        <v>2712</v>
      </c>
    </row>
    <row r="461" customFormat="false" ht="12.75" hidden="false" customHeight="true" outlineLevel="0" collapsed="false">
      <c r="A461" s="139" t="n">
        <v>26124</v>
      </c>
      <c r="B461" s="144" t="s">
        <v>6037</v>
      </c>
      <c r="C461" s="115" t="n">
        <v>2021</v>
      </c>
      <c r="D461" s="403" t="n">
        <v>44286</v>
      </c>
      <c r="E461" s="66" t="s">
        <v>6038</v>
      </c>
      <c r="F461" s="66" t="s">
        <v>3324</v>
      </c>
      <c r="G461" s="144" t="s">
        <v>115</v>
      </c>
      <c r="H461" s="144" t="s">
        <v>119</v>
      </c>
      <c r="I461" s="403" t="n">
        <v>45538</v>
      </c>
      <c r="J461" s="66" t="n">
        <v>9</v>
      </c>
      <c r="K461" s="196" t="s">
        <v>44</v>
      </c>
      <c r="L461" s="144" t="s">
        <v>58</v>
      </c>
      <c r="M461" s="145" t="n">
        <f aca="false">I461-D461</f>
        <v>1252</v>
      </c>
    </row>
    <row r="462" customFormat="false" ht="12.75" hidden="false" customHeight="true" outlineLevel="0" collapsed="false">
      <c r="A462" s="148" t="n">
        <v>26224</v>
      </c>
      <c r="B462" s="405" t="s">
        <v>6039</v>
      </c>
      <c r="C462" s="119" t="n">
        <v>2019</v>
      </c>
      <c r="D462" s="404" t="n">
        <v>43616</v>
      </c>
      <c r="E462" s="68" t="s">
        <v>6040</v>
      </c>
      <c r="F462" s="405" t="s">
        <v>1211</v>
      </c>
      <c r="G462" s="405" t="s">
        <v>441</v>
      </c>
      <c r="H462" s="405" t="s">
        <v>570</v>
      </c>
      <c r="I462" s="404" t="n">
        <v>45538</v>
      </c>
      <c r="J462" s="68" t="n">
        <v>9</v>
      </c>
      <c r="K462" s="71" t="s">
        <v>49</v>
      </c>
      <c r="L462" s="152" t="s">
        <v>60</v>
      </c>
      <c r="M462" s="152" t="n">
        <f aca="false">I462-D462</f>
        <v>1922</v>
      </c>
    </row>
    <row r="463" customFormat="false" ht="12.75" hidden="false" customHeight="true" outlineLevel="0" collapsed="false">
      <c r="A463" s="139" t="n">
        <v>26324</v>
      </c>
      <c r="B463" s="144" t="s">
        <v>6041</v>
      </c>
      <c r="C463" s="115" t="n">
        <v>2019</v>
      </c>
      <c r="D463" s="403" t="n">
        <v>43476</v>
      </c>
      <c r="E463" s="66" t="s">
        <v>6042</v>
      </c>
      <c r="F463" s="66" t="s">
        <v>168</v>
      </c>
      <c r="G463" s="144" t="s">
        <v>441</v>
      </c>
      <c r="H463" s="144" t="s">
        <v>6043</v>
      </c>
      <c r="I463" s="403" t="n">
        <v>45538</v>
      </c>
      <c r="J463" s="66" t="n">
        <v>9</v>
      </c>
      <c r="K463" s="71" t="s">
        <v>49</v>
      </c>
      <c r="L463" s="144" t="s">
        <v>60</v>
      </c>
      <c r="M463" s="145" t="n">
        <f aca="false">I463-D463</f>
        <v>2062</v>
      </c>
    </row>
    <row r="464" customFormat="false" ht="12.75" hidden="false" customHeight="true" outlineLevel="0" collapsed="false">
      <c r="A464" s="148" t="n">
        <v>26424</v>
      </c>
      <c r="B464" s="405" t="s">
        <v>6044</v>
      </c>
      <c r="C464" s="119" t="n">
        <v>2017</v>
      </c>
      <c r="D464" s="404" t="n">
        <v>43007</v>
      </c>
      <c r="E464" s="68" t="s">
        <v>4186</v>
      </c>
      <c r="F464" s="405" t="s">
        <v>6045</v>
      </c>
      <c r="G464" s="405" t="s">
        <v>441</v>
      </c>
      <c r="H464" s="405" t="s">
        <v>250</v>
      </c>
      <c r="I464" s="404" t="n">
        <v>45538</v>
      </c>
      <c r="J464" s="68" t="n">
        <v>9</v>
      </c>
      <c r="K464" s="71" t="s">
        <v>48</v>
      </c>
      <c r="L464" s="152" t="s">
        <v>58</v>
      </c>
      <c r="M464" s="152" t="n">
        <f aca="false">I464-D464</f>
        <v>2531</v>
      </c>
    </row>
    <row r="465" customFormat="false" ht="12.75" hidden="false" customHeight="true" outlineLevel="0" collapsed="false">
      <c r="A465" s="139" t="n">
        <v>26524</v>
      </c>
      <c r="B465" s="144" t="s">
        <v>6046</v>
      </c>
      <c r="C465" s="115" t="n">
        <v>2020</v>
      </c>
      <c r="D465" s="403" t="n">
        <v>43865</v>
      </c>
      <c r="E465" s="66" t="s">
        <v>6047</v>
      </c>
      <c r="F465" s="66" t="s">
        <v>6048</v>
      </c>
      <c r="G465" s="144" t="s">
        <v>441</v>
      </c>
      <c r="H465" s="144" t="s">
        <v>184</v>
      </c>
      <c r="I465" s="403" t="n">
        <v>45539</v>
      </c>
      <c r="J465" s="66" t="n">
        <v>9</v>
      </c>
      <c r="K465" s="71" t="s">
        <v>48</v>
      </c>
      <c r="L465" s="144" t="s">
        <v>58</v>
      </c>
      <c r="M465" s="145" t="n">
        <f aca="false">I465-D465</f>
        <v>1674</v>
      </c>
    </row>
    <row r="466" customFormat="false" ht="12.75" hidden="false" customHeight="true" outlineLevel="0" collapsed="false">
      <c r="A466" s="148" t="n">
        <v>26624</v>
      </c>
      <c r="B466" s="405" t="s">
        <v>6049</v>
      </c>
      <c r="C466" s="119" t="n">
        <v>2022</v>
      </c>
      <c r="D466" s="404" t="n">
        <v>44638</v>
      </c>
      <c r="E466" s="68" t="s">
        <v>6050</v>
      </c>
      <c r="F466" s="405" t="s">
        <v>6051</v>
      </c>
      <c r="G466" s="405" t="s">
        <v>125</v>
      </c>
      <c r="H466" s="405" t="s">
        <v>5735</v>
      </c>
      <c r="I466" s="404" t="n">
        <v>45539</v>
      </c>
      <c r="J466" s="68" t="n">
        <v>9</v>
      </c>
      <c r="K466" s="71" t="s">
        <v>49</v>
      </c>
      <c r="L466" s="152" t="s">
        <v>61</v>
      </c>
      <c r="M466" s="152" t="n">
        <f aca="false">I466-D466</f>
        <v>901</v>
      </c>
    </row>
    <row r="467" customFormat="false" ht="12.75" hidden="false" customHeight="true" outlineLevel="0" collapsed="false">
      <c r="A467" s="139" t="n">
        <v>26724</v>
      </c>
      <c r="B467" s="144" t="s">
        <v>6052</v>
      </c>
      <c r="C467" s="115" t="n">
        <v>2023</v>
      </c>
      <c r="D467" s="403" t="n">
        <v>45126</v>
      </c>
      <c r="E467" s="66" t="s">
        <v>6053</v>
      </c>
      <c r="F467" s="66" t="s">
        <v>6054</v>
      </c>
      <c r="G467" s="144" t="s">
        <v>125</v>
      </c>
      <c r="H467" s="144" t="s">
        <v>662</v>
      </c>
      <c r="I467" s="403" t="n">
        <v>45539</v>
      </c>
      <c r="J467" s="66" t="n">
        <v>9</v>
      </c>
      <c r="K467" s="71" t="s">
        <v>49</v>
      </c>
      <c r="L467" s="144" t="s">
        <v>61</v>
      </c>
      <c r="M467" s="145" t="n">
        <f aca="false">I467-D467</f>
        <v>413</v>
      </c>
    </row>
    <row r="468" customFormat="false" ht="12.75" hidden="false" customHeight="true" outlineLevel="0" collapsed="false">
      <c r="A468" s="148" t="n">
        <v>26824</v>
      </c>
      <c r="B468" s="405" t="s">
        <v>6055</v>
      </c>
      <c r="C468" s="119" t="n">
        <v>2020</v>
      </c>
      <c r="D468" s="404" t="n">
        <v>44099</v>
      </c>
      <c r="E468" s="68" t="s">
        <v>6056</v>
      </c>
      <c r="F468" s="405" t="s">
        <v>5661</v>
      </c>
      <c r="G468" s="405" t="s">
        <v>441</v>
      </c>
      <c r="H468" s="405" t="s">
        <v>522</v>
      </c>
      <c r="I468" s="404" t="n">
        <v>45539</v>
      </c>
      <c r="J468" s="68" t="n">
        <v>9</v>
      </c>
      <c r="K468" s="71" t="s">
        <v>49</v>
      </c>
      <c r="L468" s="152" t="s">
        <v>60</v>
      </c>
      <c r="M468" s="152" t="n">
        <f aca="false">I468-D468</f>
        <v>1440</v>
      </c>
    </row>
    <row r="469" customFormat="false" ht="12.75" hidden="false" customHeight="true" outlineLevel="0" collapsed="false">
      <c r="A469" s="139" t="n">
        <v>26924</v>
      </c>
      <c r="B469" s="144" t="s">
        <v>6057</v>
      </c>
      <c r="C469" s="115" t="n">
        <v>2018</v>
      </c>
      <c r="D469" s="403" t="n">
        <v>43312</v>
      </c>
      <c r="E469" s="66" t="s">
        <v>6058</v>
      </c>
      <c r="F469" s="66" t="s">
        <v>1916</v>
      </c>
      <c r="G469" s="144" t="s">
        <v>441</v>
      </c>
      <c r="H469" s="144" t="s">
        <v>522</v>
      </c>
      <c r="I469" s="403" t="n">
        <v>45539</v>
      </c>
      <c r="J469" s="66" t="n">
        <v>9</v>
      </c>
      <c r="K469" s="163" t="s">
        <v>46</v>
      </c>
      <c r="L469" s="144" t="s">
        <v>2848</v>
      </c>
      <c r="M469" s="145" t="n">
        <f aca="false">I469-D469</f>
        <v>2227</v>
      </c>
    </row>
    <row r="470" customFormat="false" ht="12.75" hidden="false" customHeight="true" outlineLevel="0" collapsed="false">
      <c r="A470" s="148" t="n">
        <v>27024</v>
      </c>
      <c r="B470" s="405" t="s">
        <v>6059</v>
      </c>
      <c r="C470" s="119" t="n">
        <v>2014</v>
      </c>
      <c r="D470" s="404" t="n">
        <v>41901</v>
      </c>
      <c r="E470" s="68" t="s">
        <v>6060</v>
      </c>
      <c r="F470" s="405" t="s">
        <v>1347</v>
      </c>
      <c r="G470" s="405" t="s">
        <v>441</v>
      </c>
      <c r="H470" s="405" t="s">
        <v>471</v>
      </c>
      <c r="I470" s="404" t="n">
        <v>45539</v>
      </c>
      <c r="J470" s="68" t="n">
        <v>9</v>
      </c>
      <c r="K470" s="71" t="s">
        <v>49</v>
      </c>
      <c r="L470" s="152" t="s">
        <v>60</v>
      </c>
      <c r="M470" s="152" t="n">
        <f aca="false">I470-D470</f>
        <v>3638</v>
      </c>
    </row>
    <row r="471" customFormat="false" ht="12.75" hidden="false" customHeight="true" outlineLevel="0" collapsed="false">
      <c r="A471" s="139" t="n">
        <v>27124</v>
      </c>
      <c r="B471" s="144" t="s">
        <v>6061</v>
      </c>
      <c r="C471" s="115" t="n">
        <v>2021</v>
      </c>
      <c r="D471" s="403" t="n">
        <v>44286</v>
      </c>
      <c r="E471" s="66" t="s">
        <v>6062</v>
      </c>
      <c r="F471" s="66" t="s">
        <v>157</v>
      </c>
      <c r="G471" s="144" t="s">
        <v>441</v>
      </c>
      <c r="H471" s="144" t="s">
        <v>139</v>
      </c>
      <c r="I471" s="403" t="n">
        <v>45539</v>
      </c>
      <c r="J471" s="66" t="n">
        <v>9</v>
      </c>
      <c r="K471" s="71" t="s">
        <v>48</v>
      </c>
      <c r="L471" s="144" t="s">
        <v>58</v>
      </c>
      <c r="M471" s="145" t="n">
        <f aca="false">I471-D471</f>
        <v>1253</v>
      </c>
    </row>
    <row r="472" customFormat="false" ht="12.75" hidden="false" customHeight="true" outlineLevel="0" collapsed="false">
      <c r="A472" s="148" t="n">
        <v>27224</v>
      </c>
      <c r="B472" s="405" t="s">
        <v>6063</v>
      </c>
      <c r="C472" s="119" t="n">
        <v>2017</v>
      </c>
      <c r="D472" s="404" t="n">
        <v>42915</v>
      </c>
      <c r="E472" s="68" t="s">
        <v>6064</v>
      </c>
      <c r="F472" s="405" t="s">
        <v>798</v>
      </c>
      <c r="G472" s="405" t="s">
        <v>441</v>
      </c>
      <c r="H472" s="405" t="s">
        <v>250</v>
      </c>
      <c r="I472" s="404" t="n">
        <v>45540</v>
      </c>
      <c r="J472" s="68" t="n">
        <v>9</v>
      </c>
      <c r="K472" s="71" t="s">
        <v>49</v>
      </c>
      <c r="L472" s="152" t="s">
        <v>60</v>
      </c>
      <c r="M472" s="152" t="n">
        <f aca="false">I472-D472</f>
        <v>2625</v>
      </c>
    </row>
    <row r="473" customFormat="false" ht="12.75" hidden="false" customHeight="true" outlineLevel="0" collapsed="false">
      <c r="A473" s="139" t="n">
        <v>27324</v>
      </c>
      <c r="B473" s="144" t="s">
        <v>6065</v>
      </c>
      <c r="C473" s="115" t="n">
        <v>2021</v>
      </c>
      <c r="D473" s="403" t="n">
        <v>44302</v>
      </c>
      <c r="E473" s="66" t="s">
        <v>6066</v>
      </c>
      <c r="F473" s="66" t="s">
        <v>3190</v>
      </c>
      <c r="G473" s="144" t="s">
        <v>441</v>
      </c>
      <c r="H473" s="144" t="s">
        <v>139</v>
      </c>
      <c r="I473" s="403" t="n">
        <v>45540</v>
      </c>
      <c r="J473" s="66" t="n">
        <v>9</v>
      </c>
      <c r="K473" s="71" t="s">
        <v>49</v>
      </c>
      <c r="L473" s="144" t="s">
        <v>60</v>
      </c>
      <c r="M473" s="145" t="n">
        <f aca="false">I473-D473</f>
        <v>1238</v>
      </c>
    </row>
    <row r="474" customFormat="false" ht="12.75" hidden="false" customHeight="true" outlineLevel="0" collapsed="false">
      <c r="A474" s="148" t="n">
        <v>27424</v>
      </c>
      <c r="B474" s="405" t="s">
        <v>6067</v>
      </c>
      <c r="C474" s="119" t="n">
        <v>2017</v>
      </c>
      <c r="D474" s="404" t="n">
        <v>42937</v>
      </c>
      <c r="E474" s="68" t="s">
        <v>6068</v>
      </c>
      <c r="F474" s="405" t="s">
        <v>176</v>
      </c>
      <c r="G474" s="405" t="s">
        <v>441</v>
      </c>
      <c r="H474" s="405" t="s">
        <v>1567</v>
      </c>
      <c r="I474" s="404" t="n">
        <v>45540</v>
      </c>
      <c r="J474" s="68" t="n">
        <v>9</v>
      </c>
      <c r="K474" s="71" t="s">
        <v>49</v>
      </c>
      <c r="L474" s="152" t="s">
        <v>58</v>
      </c>
      <c r="M474" s="152" t="n">
        <f aca="false">I474-D474</f>
        <v>2603</v>
      </c>
    </row>
    <row r="475" customFormat="false" ht="12.75" hidden="false" customHeight="true" outlineLevel="0" collapsed="false">
      <c r="A475" s="139" t="n">
        <v>27524</v>
      </c>
      <c r="B475" s="144" t="s">
        <v>6069</v>
      </c>
      <c r="C475" s="115" t="n">
        <v>2023</v>
      </c>
      <c r="D475" s="403" t="n">
        <v>45173</v>
      </c>
      <c r="E475" s="66" t="s">
        <v>6070</v>
      </c>
      <c r="F475" s="66" t="s">
        <v>376</v>
      </c>
      <c r="G475" s="144" t="s">
        <v>130</v>
      </c>
      <c r="H475" s="144" t="s">
        <v>5843</v>
      </c>
      <c r="I475" s="403" t="n">
        <v>45541</v>
      </c>
      <c r="J475" s="66" t="n">
        <v>9</v>
      </c>
      <c r="K475" s="71" t="s">
        <v>49</v>
      </c>
      <c r="L475" s="144" t="s">
        <v>61</v>
      </c>
      <c r="M475" s="145" t="n">
        <f aca="false">I475-D475</f>
        <v>368</v>
      </c>
    </row>
    <row r="476" customFormat="false" ht="12.75" hidden="false" customHeight="true" outlineLevel="0" collapsed="false">
      <c r="A476" s="148" t="n">
        <v>27624</v>
      </c>
      <c r="B476" s="405" t="s">
        <v>6071</v>
      </c>
      <c r="C476" s="119" t="n">
        <v>2018</v>
      </c>
      <c r="D476" s="404" t="n">
        <v>43223</v>
      </c>
      <c r="E476" s="68" t="s">
        <v>6072</v>
      </c>
      <c r="F476" s="405" t="s">
        <v>6073</v>
      </c>
      <c r="G476" s="405" t="s">
        <v>441</v>
      </c>
      <c r="H476" s="405" t="s">
        <v>129</v>
      </c>
      <c r="I476" s="404" t="n">
        <v>45541</v>
      </c>
      <c r="J476" s="68" t="n">
        <v>9</v>
      </c>
      <c r="K476" s="71" t="s">
        <v>48</v>
      </c>
      <c r="L476" s="152" t="s">
        <v>60</v>
      </c>
      <c r="M476" s="152" t="n">
        <f aca="false">I476-D476</f>
        <v>2318</v>
      </c>
    </row>
    <row r="477" customFormat="false" ht="12.75" hidden="false" customHeight="true" outlineLevel="0" collapsed="false">
      <c r="A477" s="139" t="n">
        <v>27724</v>
      </c>
      <c r="B477" s="144" t="s">
        <v>6074</v>
      </c>
      <c r="C477" s="115" t="n">
        <v>2012</v>
      </c>
      <c r="D477" s="403" t="n">
        <v>41151</v>
      </c>
      <c r="E477" s="66" t="s">
        <v>6075</v>
      </c>
      <c r="F477" s="66" t="s">
        <v>365</v>
      </c>
      <c r="G477" s="144" t="s">
        <v>441</v>
      </c>
      <c r="H477" s="144" t="s">
        <v>2147</v>
      </c>
      <c r="I477" s="403" t="n">
        <v>45541</v>
      </c>
      <c r="J477" s="66" t="n">
        <v>9</v>
      </c>
      <c r="K477" s="196" t="s">
        <v>42</v>
      </c>
      <c r="L477" s="144" t="s">
        <v>58</v>
      </c>
      <c r="M477" s="145" t="n">
        <f aca="false">I477-D477</f>
        <v>4390</v>
      </c>
    </row>
    <row r="478" customFormat="false" ht="12.75" hidden="false" customHeight="true" outlineLevel="0" collapsed="false">
      <c r="A478" s="148" t="n">
        <v>27824</v>
      </c>
      <c r="B478" s="405" t="s">
        <v>6076</v>
      </c>
      <c r="C478" s="119" t="n">
        <v>2019</v>
      </c>
      <c r="D478" s="404" t="n">
        <v>43614</v>
      </c>
      <c r="E478" s="68" t="s">
        <v>6077</v>
      </c>
      <c r="F478" s="405" t="s">
        <v>6078</v>
      </c>
      <c r="G478" s="405" t="s">
        <v>441</v>
      </c>
      <c r="H478" s="405" t="s">
        <v>948</v>
      </c>
      <c r="I478" s="404" t="n">
        <v>45541</v>
      </c>
      <c r="J478" s="68" t="n">
        <v>9</v>
      </c>
      <c r="K478" s="196" t="s">
        <v>44</v>
      </c>
      <c r="L478" s="152" t="s">
        <v>60</v>
      </c>
      <c r="M478" s="152" t="n">
        <f aca="false">I478-D478</f>
        <v>1927</v>
      </c>
    </row>
    <row r="479" customFormat="false" ht="12.75" hidden="false" customHeight="true" outlineLevel="0" collapsed="false">
      <c r="A479" s="139" t="n">
        <v>27924</v>
      </c>
      <c r="B479" s="144" t="s">
        <v>6079</v>
      </c>
      <c r="C479" s="115" t="n">
        <v>2023</v>
      </c>
      <c r="D479" s="403" t="n">
        <v>45166</v>
      </c>
      <c r="E479" s="66" t="s">
        <v>6080</v>
      </c>
      <c r="F479" s="66" t="s">
        <v>6081</v>
      </c>
      <c r="G479" s="144" t="s">
        <v>130</v>
      </c>
      <c r="H479" s="144" t="s">
        <v>6082</v>
      </c>
      <c r="I479" s="403" t="n">
        <v>45541</v>
      </c>
      <c r="J479" s="66" t="n">
        <v>9</v>
      </c>
      <c r="K479" s="406" t="s">
        <v>290</v>
      </c>
      <c r="L479" s="144" t="s">
        <v>61</v>
      </c>
      <c r="M479" s="145" t="n">
        <f aca="false">I479-D479</f>
        <v>375</v>
      </c>
    </row>
    <row r="480" customFormat="false" ht="12.75" hidden="false" customHeight="true" outlineLevel="0" collapsed="false">
      <c r="A480" s="148" t="n">
        <v>28024</v>
      </c>
      <c r="B480" s="405" t="s">
        <v>6083</v>
      </c>
      <c r="C480" s="119" t="n">
        <v>2018</v>
      </c>
      <c r="D480" s="404" t="n">
        <v>43220</v>
      </c>
      <c r="E480" s="68" t="s">
        <v>6084</v>
      </c>
      <c r="F480" s="405" t="s">
        <v>401</v>
      </c>
      <c r="G480" s="405" t="s">
        <v>441</v>
      </c>
      <c r="H480" s="405" t="s">
        <v>4294</v>
      </c>
      <c r="I480" s="404" t="n">
        <v>45541</v>
      </c>
      <c r="J480" s="68" t="n">
        <v>9</v>
      </c>
      <c r="K480" s="71" t="s">
        <v>49</v>
      </c>
      <c r="L480" s="152" t="s">
        <v>58</v>
      </c>
      <c r="M480" s="152" t="n">
        <f aca="false">I480-D480</f>
        <v>2321</v>
      </c>
    </row>
    <row r="481" customFormat="false" ht="12.75" hidden="false" customHeight="true" outlineLevel="0" collapsed="false">
      <c r="A481" s="139" t="n">
        <v>28124</v>
      </c>
      <c r="B481" s="144" t="s">
        <v>6085</v>
      </c>
      <c r="C481" s="115" t="n">
        <v>2021</v>
      </c>
      <c r="D481" s="403" t="n">
        <v>44306</v>
      </c>
      <c r="E481" s="66" t="s">
        <v>6086</v>
      </c>
      <c r="F481" s="66" t="s">
        <v>176</v>
      </c>
      <c r="G481" s="144" t="s">
        <v>441</v>
      </c>
      <c r="H481" s="144" t="s">
        <v>139</v>
      </c>
      <c r="I481" s="403" t="n">
        <v>45541</v>
      </c>
      <c r="J481" s="66" t="n">
        <v>9</v>
      </c>
      <c r="K481" s="71" t="s">
        <v>49</v>
      </c>
      <c r="L481" s="144" t="s">
        <v>60</v>
      </c>
      <c r="M481" s="145" t="n">
        <f aca="false">I481-D481</f>
        <v>1235</v>
      </c>
    </row>
    <row r="482" customFormat="false" ht="12.75" hidden="false" customHeight="true" outlineLevel="0" collapsed="false">
      <c r="A482" s="148" t="n">
        <v>28224</v>
      </c>
      <c r="B482" s="405" t="s">
        <v>6087</v>
      </c>
      <c r="C482" s="119" t="n">
        <v>2021</v>
      </c>
      <c r="D482" s="404" t="n">
        <v>44377</v>
      </c>
      <c r="E482" s="68" t="s">
        <v>6088</v>
      </c>
      <c r="F482" s="405" t="s">
        <v>6089</v>
      </c>
      <c r="G482" s="405" t="s">
        <v>441</v>
      </c>
      <c r="H482" s="405" t="s">
        <v>3407</v>
      </c>
      <c r="I482" s="404" t="n">
        <v>44445</v>
      </c>
      <c r="J482" s="68" t="n">
        <v>9</v>
      </c>
      <c r="K482" s="71" t="s">
        <v>49</v>
      </c>
      <c r="L482" s="152" t="s">
        <v>58</v>
      </c>
      <c r="M482" s="152" t="n">
        <f aca="false">I482-D482</f>
        <v>68</v>
      </c>
    </row>
    <row r="483" customFormat="false" ht="12.75" hidden="false" customHeight="true" outlineLevel="0" collapsed="false">
      <c r="A483" s="139" t="n">
        <v>28324</v>
      </c>
      <c r="B483" s="144" t="s">
        <v>6090</v>
      </c>
      <c r="C483" s="115" t="n">
        <v>2021</v>
      </c>
      <c r="D483" s="403" t="n">
        <v>44377</v>
      </c>
      <c r="E483" s="66" t="s">
        <v>6091</v>
      </c>
      <c r="F483" s="66" t="s">
        <v>6089</v>
      </c>
      <c r="G483" s="144" t="s">
        <v>441</v>
      </c>
      <c r="H483" s="144" t="s">
        <v>3407</v>
      </c>
      <c r="I483" s="403" t="n">
        <v>45541</v>
      </c>
      <c r="J483" s="66" t="n">
        <v>9</v>
      </c>
      <c r="K483" s="71" t="s">
        <v>49</v>
      </c>
      <c r="L483" s="144" t="s">
        <v>58</v>
      </c>
      <c r="M483" s="145" t="n">
        <f aca="false">I483-D483</f>
        <v>1164</v>
      </c>
    </row>
    <row r="484" customFormat="false" ht="12.75" hidden="false" customHeight="true" outlineLevel="0" collapsed="false">
      <c r="A484" s="148" t="n">
        <v>28424</v>
      </c>
      <c r="B484" s="405" t="s">
        <v>6092</v>
      </c>
      <c r="C484" s="119" t="n">
        <v>2014</v>
      </c>
      <c r="D484" s="404" t="n">
        <v>41655</v>
      </c>
      <c r="E484" s="68" t="s">
        <v>6093</v>
      </c>
      <c r="F484" s="405" t="s">
        <v>211</v>
      </c>
      <c r="G484" s="405" t="s">
        <v>441</v>
      </c>
      <c r="H484" s="405" t="s">
        <v>693</v>
      </c>
      <c r="I484" s="404" t="n">
        <v>45541</v>
      </c>
      <c r="J484" s="68" t="n">
        <v>9</v>
      </c>
      <c r="K484" s="71" t="s">
        <v>48</v>
      </c>
      <c r="L484" s="152" t="s">
        <v>58</v>
      </c>
      <c r="M484" s="152" t="n">
        <f aca="false">I484-D484</f>
        <v>3886</v>
      </c>
    </row>
    <row r="485" customFormat="false" ht="12.75" hidden="false" customHeight="true" outlineLevel="0" collapsed="false">
      <c r="A485" s="139" t="n">
        <v>28524</v>
      </c>
      <c r="B485" s="144" t="s">
        <v>6094</v>
      </c>
      <c r="C485" s="115" t="n">
        <v>2017</v>
      </c>
      <c r="D485" s="403" t="n">
        <v>42997</v>
      </c>
      <c r="E485" s="66" t="s">
        <v>6095</v>
      </c>
      <c r="F485" s="66" t="s">
        <v>6096</v>
      </c>
      <c r="G485" s="144" t="s">
        <v>441</v>
      </c>
      <c r="H485" s="144" t="s">
        <v>706</v>
      </c>
      <c r="I485" s="403" t="n">
        <v>45541</v>
      </c>
      <c r="J485" s="66" t="n">
        <v>9</v>
      </c>
      <c r="K485" s="71" t="s">
        <v>48</v>
      </c>
      <c r="L485" s="144" t="s">
        <v>60</v>
      </c>
      <c r="M485" s="145" t="n">
        <f aca="false">I485-D485</f>
        <v>2544</v>
      </c>
    </row>
    <row r="486" customFormat="false" ht="12.75" hidden="false" customHeight="true" outlineLevel="0" collapsed="false">
      <c r="A486" s="148" t="n">
        <v>28624</v>
      </c>
      <c r="B486" s="405" t="s">
        <v>6097</v>
      </c>
      <c r="C486" s="119" t="n">
        <v>2014</v>
      </c>
      <c r="D486" s="404" t="n">
        <v>41642</v>
      </c>
      <c r="E486" s="68" t="s">
        <v>6098</v>
      </c>
      <c r="F486" s="405" t="s">
        <v>211</v>
      </c>
      <c r="G486" s="405" t="s">
        <v>441</v>
      </c>
      <c r="H486" s="405" t="s">
        <v>693</v>
      </c>
      <c r="I486" s="404" t="n">
        <v>45541</v>
      </c>
      <c r="J486" s="68" t="n">
        <v>9</v>
      </c>
      <c r="K486" s="71" t="s">
        <v>48</v>
      </c>
      <c r="L486" s="152" t="s">
        <v>58</v>
      </c>
      <c r="M486" s="152" t="n">
        <f aca="false">I486-D486</f>
        <v>3899</v>
      </c>
    </row>
    <row r="487" customFormat="false" ht="12.75" hidden="false" customHeight="true" outlineLevel="0" collapsed="false">
      <c r="A487" s="139" t="n">
        <v>28724</v>
      </c>
      <c r="B487" s="144" t="s">
        <v>6099</v>
      </c>
      <c r="C487" s="115" t="n">
        <v>2022</v>
      </c>
      <c r="D487" s="403" t="n">
        <v>44858</v>
      </c>
      <c r="E487" s="66" t="s">
        <v>6100</v>
      </c>
      <c r="F487" s="66" t="s">
        <v>6101</v>
      </c>
      <c r="G487" s="144" t="s">
        <v>125</v>
      </c>
      <c r="H487" s="144" t="s">
        <v>3553</v>
      </c>
      <c r="I487" s="403" t="n">
        <v>45541</v>
      </c>
      <c r="J487" s="66" t="n">
        <v>9</v>
      </c>
      <c r="K487" s="71" t="s">
        <v>49</v>
      </c>
      <c r="L487" s="144" t="s">
        <v>61</v>
      </c>
      <c r="M487" s="145" t="n">
        <f aca="false">I487-D487</f>
        <v>683</v>
      </c>
    </row>
    <row r="488" customFormat="false" ht="12.75" hidden="false" customHeight="true" outlineLevel="0" collapsed="false">
      <c r="A488" s="148" t="n">
        <v>28824</v>
      </c>
      <c r="B488" s="405" t="s">
        <v>6102</v>
      </c>
      <c r="C488" s="119" t="n">
        <v>2023</v>
      </c>
      <c r="D488" s="404" t="n">
        <v>45167</v>
      </c>
      <c r="E488" s="68" t="s">
        <v>6103</v>
      </c>
      <c r="F488" s="405" t="s">
        <v>6104</v>
      </c>
      <c r="G488" s="405" t="s">
        <v>125</v>
      </c>
      <c r="H488" s="405" t="s">
        <v>662</v>
      </c>
      <c r="I488" s="404" t="n">
        <v>45541</v>
      </c>
      <c r="J488" s="68" t="n">
        <v>9</v>
      </c>
      <c r="K488" s="406" t="s">
        <v>290</v>
      </c>
      <c r="L488" s="152" t="s">
        <v>61</v>
      </c>
      <c r="M488" s="152" t="n">
        <f aca="false">I488-D488</f>
        <v>374</v>
      </c>
    </row>
    <row r="489" customFormat="false" ht="12.75" hidden="false" customHeight="true" outlineLevel="0" collapsed="false">
      <c r="A489" s="139" t="n">
        <v>28924</v>
      </c>
      <c r="B489" s="144" t="s">
        <v>6105</v>
      </c>
      <c r="C489" s="115" t="n">
        <v>2018</v>
      </c>
      <c r="D489" s="403" t="n">
        <v>43392</v>
      </c>
      <c r="E489" s="66" t="s">
        <v>6106</v>
      </c>
      <c r="F489" s="66" t="s">
        <v>6107</v>
      </c>
      <c r="G489" s="144" t="s">
        <v>441</v>
      </c>
      <c r="H489" s="144" t="s">
        <v>3056</v>
      </c>
      <c r="I489" s="403" t="n">
        <v>45541</v>
      </c>
      <c r="J489" s="66" t="n">
        <v>9</v>
      </c>
      <c r="K489" s="71" t="s">
        <v>49</v>
      </c>
      <c r="L489" s="144" t="s">
        <v>58</v>
      </c>
      <c r="M489" s="145" t="n">
        <f aca="false">I489-D489</f>
        <v>2149</v>
      </c>
    </row>
    <row r="490" customFormat="false" ht="12.75" hidden="false" customHeight="true" outlineLevel="0" collapsed="false">
      <c r="A490" s="148" t="n">
        <v>29024</v>
      </c>
      <c r="B490" s="405" t="s">
        <v>6108</v>
      </c>
      <c r="C490" s="119" t="n">
        <v>2017</v>
      </c>
      <c r="D490" s="404" t="n">
        <v>42913</v>
      </c>
      <c r="E490" s="68" t="s">
        <v>6109</v>
      </c>
      <c r="F490" s="405" t="s">
        <v>798</v>
      </c>
      <c r="G490" s="405" t="s">
        <v>441</v>
      </c>
      <c r="H490" s="405" t="s">
        <v>250</v>
      </c>
      <c r="I490" s="404" t="n">
        <v>45541</v>
      </c>
      <c r="J490" s="68" t="n">
        <v>9</v>
      </c>
      <c r="K490" s="71" t="s">
        <v>49</v>
      </c>
      <c r="L490" s="152" t="s">
        <v>60</v>
      </c>
      <c r="M490" s="152" t="n">
        <f aca="false">I490-D490</f>
        <v>2628</v>
      </c>
    </row>
    <row r="491" customFormat="false" ht="12.75" hidden="false" customHeight="true" outlineLevel="0" collapsed="false">
      <c r="A491" s="139" t="n">
        <v>29124</v>
      </c>
      <c r="B491" s="144" t="s">
        <v>6110</v>
      </c>
      <c r="C491" s="115" t="n">
        <v>2023</v>
      </c>
      <c r="D491" s="403" t="n">
        <v>45261</v>
      </c>
      <c r="E491" s="66" t="s">
        <v>6111</v>
      </c>
      <c r="F491" s="66" t="s">
        <v>376</v>
      </c>
      <c r="G491" s="144" t="s">
        <v>130</v>
      </c>
      <c r="H491" s="144" t="s">
        <v>4029</v>
      </c>
      <c r="I491" s="403" t="n">
        <v>45541</v>
      </c>
      <c r="J491" s="66" t="n">
        <v>9</v>
      </c>
      <c r="K491" s="71" t="s">
        <v>49</v>
      </c>
      <c r="L491" s="144" t="s">
        <v>61</v>
      </c>
      <c r="M491" s="145" t="n">
        <f aca="false">I491-D491</f>
        <v>280</v>
      </c>
    </row>
    <row r="492" customFormat="false" ht="12.75" hidden="false" customHeight="true" outlineLevel="0" collapsed="false">
      <c r="A492" s="148" t="n">
        <v>29224</v>
      </c>
      <c r="B492" s="405" t="s">
        <v>6112</v>
      </c>
      <c r="C492" s="119" t="n">
        <v>2018</v>
      </c>
      <c r="D492" s="404" t="n">
        <v>43460</v>
      </c>
      <c r="E492" s="68" t="s">
        <v>6113</v>
      </c>
      <c r="F492" s="405" t="s">
        <v>4491</v>
      </c>
      <c r="G492" s="405" t="s">
        <v>441</v>
      </c>
      <c r="H492" s="405" t="s">
        <v>633</v>
      </c>
      <c r="I492" s="404" t="n">
        <v>45541</v>
      </c>
      <c r="J492" s="68" t="n">
        <v>9</v>
      </c>
      <c r="K492" s="71" t="s">
        <v>49</v>
      </c>
      <c r="L492" s="152" t="s">
        <v>60</v>
      </c>
      <c r="M492" s="152" t="n">
        <f aca="false">I492-D492</f>
        <v>2081</v>
      </c>
    </row>
    <row r="493" customFormat="false" ht="12.75" hidden="false" customHeight="true" outlineLevel="0" collapsed="false">
      <c r="A493" s="139" t="n">
        <v>29324</v>
      </c>
      <c r="B493" s="144" t="s">
        <v>6114</v>
      </c>
      <c r="C493" s="115" t="n">
        <v>2023</v>
      </c>
      <c r="D493" s="403" t="n">
        <v>45043</v>
      </c>
      <c r="E493" s="66" t="s">
        <v>6115</v>
      </c>
      <c r="F493" s="66" t="s">
        <v>6116</v>
      </c>
      <c r="G493" s="144" t="s">
        <v>125</v>
      </c>
      <c r="H493" s="144" t="s">
        <v>980</v>
      </c>
      <c r="I493" s="403" t="n">
        <v>45541</v>
      </c>
      <c r="J493" s="66" t="n">
        <v>9</v>
      </c>
      <c r="K493" s="406" t="s">
        <v>290</v>
      </c>
      <c r="L493" s="144" t="s">
        <v>61</v>
      </c>
      <c r="M493" s="145" t="n">
        <f aca="false">I493-D493</f>
        <v>498</v>
      </c>
    </row>
    <row r="494" customFormat="false" ht="12.75" hidden="false" customHeight="true" outlineLevel="0" collapsed="false">
      <c r="A494" s="148" t="n">
        <v>29424</v>
      </c>
      <c r="B494" s="405" t="s">
        <v>6117</v>
      </c>
      <c r="C494" s="119" t="n">
        <v>2023</v>
      </c>
      <c r="D494" s="404" t="n">
        <v>45126</v>
      </c>
      <c r="E494" s="68" t="s">
        <v>6118</v>
      </c>
      <c r="F494" s="405" t="s">
        <v>3483</v>
      </c>
      <c r="G494" s="405" t="s">
        <v>125</v>
      </c>
      <c r="H494" s="405" t="s">
        <v>6119</v>
      </c>
      <c r="I494" s="404" t="n">
        <v>45541</v>
      </c>
      <c r="J494" s="68" t="n">
        <v>9</v>
      </c>
      <c r="K494" s="406" t="s">
        <v>290</v>
      </c>
      <c r="L494" s="152" t="s">
        <v>61</v>
      </c>
      <c r="M494" s="152" t="n">
        <f aca="false">I494-D494</f>
        <v>415</v>
      </c>
    </row>
    <row r="495" customFormat="false" ht="12.75" hidden="false" customHeight="true" outlineLevel="0" collapsed="false">
      <c r="A495" s="139" t="n">
        <v>29524</v>
      </c>
      <c r="B495" s="144" t="s">
        <v>6120</v>
      </c>
      <c r="C495" s="115" t="n">
        <v>2021</v>
      </c>
      <c r="D495" s="403" t="n">
        <v>44547</v>
      </c>
      <c r="E495" s="66" t="s">
        <v>6121</v>
      </c>
      <c r="F495" s="66" t="s">
        <v>6122</v>
      </c>
      <c r="G495" s="144" t="s">
        <v>441</v>
      </c>
      <c r="H495" s="144" t="s">
        <v>208</v>
      </c>
      <c r="I495" s="403" t="n">
        <v>45560</v>
      </c>
      <c r="J495" s="66" t="n">
        <v>9</v>
      </c>
      <c r="K495" s="196" t="s">
        <v>44</v>
      </c>
      <c r="L495" s="144" t="s">
        <v>58</v>
      </c>
      <c r="M495" s="145" t="n">
        <f aca="false">I495-D495</f>
        <v>1013</v>
      </c>
    </row>
    <row r="496" customFormat="false" ht="12.75" hidden="false" customHeight="true" outlineLevel="0" collapsed="false">
      <c r="A496" s="148" t="n">
        <v>29624</v>
      </c>
      <c r="B496" s="405" t="s">
        <v>6123</v>
      </c>
      <c r="C496" s="119" t="n">
        <v>2018</v>
      </c>
      <c r="D496" s="404" t="n">
        <v>43336</v>
      </c>
      <c r="E496" s="68" t="s">
        <v>6124</v>
      </c>
      <c r="F496" s="405" t="s">
        <v>780</v>
      </c>
      <c r="G496" s="405" t="s">
        <v>441</v>
      </c>
      <c r="H496" s="405" t="s">
        <v>1059</v>
      </c>
      <c r="I496" s="404" t="n">
        <v>45560</v>
      </c>
      <c r="J496" s="68" t="n">
        <v>9</v>
      </c>
      <c r="K496" s="71" t="s">
        <v>49</v>
      </c>
      <c r="L496" s="152" t="s">
        <v>60</v>
      </c>
      <c r="M496" s="152" t="n">
        <f aca="false">I496-D496</f>
        <v>2224</v>
      </c>
    </row>
    <row r="497" customFormat="false" ht="12.75" hidden="false" customHeight="true" outlineLevel="0" collapsed="false">
      <c r="A497" s="139" t="n">
        <v>29724</v>
      </c>
      <c r="B497" s="144" t="s">
        <v>6125</v>
      </c>
      <c r="C497" s="115" t="n">
        <v>2022</v>
      </c>
      <c r="D497" s="403" t="n">
        <v>44809</v>
      </c>
      <c r="E497" s="66" t="s">
        <v>6126</v>
      </c>
      <c r="F497" s="66" t="s">
        <v>6127</v>
      </c>
      <c r="G497" s="144" t="s">
        <v>125</v>
      </c>
      <c r="H497" s="144" t="s">
        <v>899</v>
      </c>
      <c r="I497" s="403" t="n">
        <v>45560</v>
      </c>
      <c r="J497" s="66" t="n">
        <v>9</v>
      </c>
      <c r="K497" s="71" t="s">
        <v>49</v>
      </c>
      <c r="L497" s="144" t="s">
        <v>61</v>
      </c>
      <c r="M497" s="145" t="n">
        <f aca="false">I497-D497</f>
        <v>751</v>
      </c>
    </row>
    <row r="498" customFormat="false" ht="12.75" hidden="false" customHeight="true" outlineLevel="0" collapsed="false">
      <c r="A498" s="148" t="n">
        <v>29824</v>
      </c>
      <c r="B498" s="405" t="s">
        <v>6128</v>
      </c>
      <c r="C498" s="119" t="n">
        <v>2023</v>
      </c>
      <c r="D498" s="404" t="n">
        <v>45261</v>
      </c>
      <c r="E498" s="68" t="s">
        <v>6129</v>
      </c>
      <c r="F498" s="405" t="s">
        <v>876</v>
      </c>
      <c r="G498" s="405" t="s">
        <v>130</v>
      </c>
      <c r="H498" s="405" t="s">
        <v>4029</v>
      </c>
      <c r="I498" s="404" t="n">
        <v>45561</v>
      </c>
      <c r="J498" s="68" t="n">
        <v>9</v>
      </c>
      <c r="K498" s="71" t="s">
        <v>49</v>
      </c>
      <c r="L498" s="152" t="s">
        <v>61</v>
      </c>
      <c r="M498" s="152" t="n">
        <f aca="false">I498-D498</f>
        <v>300</v>
      </c>
    </row>
    <row r="499" customFormat="false" ht="12.75" hidden="false" customHeight="true" outlineLevel="0" collapsed="false">
      <c r="A499" s="139" t="n">
        <v>29924</v>
      </c>
      <c r="B499" s="144" t="s">
        <v>6130</v>
      </c>
      <c r="C499" s="115" t="n">
        <v>2023</v>
      </c>
      <c r="D499" s="403" t="n">
        <v>45253</v>
      </c>
      <c r="E499" s="66" t="s">
        <v>6131</v>
      </c>
      <c r="F499" s="66" t="s">
        <v>876</v>
      </c>
      <c r="G499" s="144" t="s">
        <v>130</v>
      </c>
      <c r="H499" s="144" t="s">
        <v>4029</v>
      </c>
      <c r="I499" s="403" t="n">
        <v>45561</v>
      </c>
      <c r="J499" s="66" t="n">
        <v>9</v>
      </c>
      <c r="K499" s="71" t="s">
        <v>49</v>
      </c>
      <c r="L499" s="144" t="s">
        <v>61</v>
      </c>
      <c r="M499" s="145" t="n">
        <f aca="false">I499-D499</f>
        <v>308</v>
      </c>
    </row>
    <row r="500" customFormat="false" ht="12.75" hidden="false" customHeight="true" outlineLevel="0" collapsed="false">
      <c r="A500" s="148" t="n">
        <v>30024</v>
      </c>
      <c r="B500" s="405" t="s">
        <v>6132</v>
      </c>
      <c r="C500" s="119" t="n">
        <v>2023</v>
      </c>
      <c r="D500" s="404" t="n">
        <v>45257</v>
      </c>
      <c r="E500" s="68" t="s">
        <v>6133</v>
      </c>
      <c r="F500" s="405" t="s">
        <v>876</v>
      </c>
      <c r="G500" s="405" t="s">
        <v>130</v>
      </c>
      <c r="H500" s="405" t="s">
        <v>3568</v>
      </c>
      <c r="I500" s="404" t="n">
        <v>45561</v>
      </c>
      <c r="J500" s="68" t="n">
        <v>9</v>
      </c>
      <c r="K500" s="71" t="s">
        <v>49</v>
      </c>
      <c r="L500" s="152" t="s">
        <v>61</v>
      </c>
      <c r="M500" s="152" t="n">
        <f aca="false">I500-D500</f>
        <v>304</v>
      </c>
    </row>
    <row r="501" customFormat="false" ht="12.75" hidden="false" customHeight="true" outlineLevel="0" collapsed="false">
      <c r="A501" s="139" t="n">
        <v>30124</v>
      </c>
      <c r="B501" s="144" t="s">
        <v>6134</v>
      </c>
      <c r="C501" s="115" t="n">
        <v>2019</v>
      </c>
      <c r="D501" s="403" t="n">
        <v>43570</v>
      </c>
      <c r="E501" s="66" t="s">
        <v>6135</v>
      </c>
      <c r="F501" s="66" t="s">
        <v>6136</v>
      </c>
      <c r="G501" s="144" t="s">
        <v>441</v>
      </c>
      <c r="H501" s="144" t="s">
        <v>1791</v>
      </c>
      <c r="I501" s="403" t="n">
        <v>45561</v>
      </c>
      <c r="J501" s="66" t="n">
        <v>9</v>
      </c>
      <c r="K501" s="71" t="s">
        <v>49</v>
      </c>
      <c r="L501" s="144" t="s">
        <v>58</v>
      </c>
      <c r="M501" s="145" t="n">
        <f aca="false">I501-D501</f>
        <v>1991</v>
      </c>
    </row>
    <row r="502" customFormat="false" ht="15" hidden="false" customHeight="true" outlineLevel="0" collapsed="false">
      <c r="A502" s="148" t="n">
        <v>30224</v>
      </c>
      <c r="B502" s="405" t="s">
        <v>6137</v>
      </c>
      <c r="C502" s="119" t="n">
        <v>2015</v>
      </c>
      <c r="D502" s="404" t="n">
        <v>42611</v>
      </c>
      <c r="E502" s="68" t="s">
        <v>6138</v>
      </c>
      <c r="F502" s="405" t="s">
        <v>365</v>
      </c>
      <c r="G502" s="405" t="s">
        <v>441</v>
      </c>
      <c r="H502" s="405" t="s">
        <v>4769</v>
      </c>
      <c r="I502" s="404" t="n">
        <v>45565</v>
      </c>
      <c r="J502" s="68" t="n">
        <v>9</v>
      </c>
      <c r="K502" s="71" t="s">
        <v>48</v>
      </c>
      <c r="L502" s="152" t="s">
        <v>58</v>
      </c>
      <c r="M502" s="152" t="n">
        <f aca="false">I502-D502</f>
        <v>2954</v>
      </c>
    </row>
    <row r="503" customFormat="false" ht="12.75" hidden="false" customHeight="true" outlineLevel="0" collapsed="false">
      <c r="A503" s="139" t="n">
        <v>30324</v>
      </c>
      <c r="B503" s="144" t="s">
        <v>6139</v>
      </c>
      <c r="C503" s="115" t="n">
        <v>2012</v>
      </c>
      <c r="D503" s="403" t="n">
        <v>40918</v>
      </c>
      <c r="E503" s="66" t="s">
        <v>6140</v>
      </c>
      <c r="F503" s="66" t="s">
        <v>365</v>
      </c>
      <c r="G503" s="144" t="s">
        <v>441</v>
      </c>
      <c r="H503" s="144" t="s">
        <v>267</v>
      </c>
      <c r="I503" s="403" t="n">
        <v>45565</v>
      </c>
      <c r="J503" s="66" t="n">
        <v>9</v>
      </c>
      <c r="K503" s="196" t="s">
        <v>42</v>
      </c>
      <c r="L503" s="144" t="s">
        <v>60</v>
      </c>
      <c r="M503" s="145" t="n">
        <f aca="false">I503-D503</f>
        <v>4647</v>
      </c>
    </row>
    <row r="504" customFormat="false" ht="12.75" hidden="false" customHeight="true" outlineLevel="0" collapsed="false">
      <c r="A504" s="148" t="n">
        <v>30424</v>
      </c>
      <c r="B504" s="405" t="s">
        <v>6141</v>
      </c>
      <c r="C504" s="119" t="n">
        <v>2018</v>
      </c>
      <c r="D504" s="404" t="n">
        <v>43231</v>
      </c>
      <c r="E504" s="68" t="s">
        <v>6142</v>
      </c>
      <c r="F504" s="405" t="s">
        <v>6143</v>
      </c>
      <c r="G504" s="405" t="s">
        <v>441</v>
      </c>
      <c r="H504" s="405" t="s">
        <v>254</v>
      </c>
      <c r="I504" s="404" t="n">
        <v>45565</v>
      </c>
      <c r="J504" s="68" t="n">
        <v>9</v>
      </c>
      <c r="K504" s="71" t="s">
        <v>49</v>
      </c>
      <c r="L504" s="152" t="s">
        <v>60</v>
      </c>
      <c r="M504" s="152" t="n">
        <f aca="false">I504-D504</f>
        <v>2334</v>
      </c>
    </row>
    <row r="505" customFormat="false" ht="12.75" hidden="false" customHeight="true" outlineLevel="0" collapsed="false">
      <c r="A505" s="139" t="n">
        <v>30524</v>
      </c>
      <c r="B505" s="144" t="s">
        <v>6144</v>
      </c>
      <c r="C505" s="115" t="n">
        <v>2020</v>
      </c>
      <c r="D505" s="403" t="n">
        <v>44029</v>
      </c>
      <c r="E505" s="66" t="s">
        <v>6145</v>
      </c>
      <c r="F505" s="66" t="s">
        <v>6146</v>
      </c>
      <c r="G505" s="144" t="s">
        <v>441</v>
      </c>
      <c r="H505" s="144" t="s">
        <v>254</v>
      </c>
      <c r="I505" s="403" t="n">
        <v>45565</v>
      </c>
      <c r="J505" s="66" t="n">
        <v>9</v>
      </c>
      <c r="K505" s="71" t="s">
        <v>49</v>
      </c>
      <c r="L505" s="144" t="s">
        <v>60</v>
      </c>
      <c r="M505" s="145" t="n">
        <f aca="false">I505-D505</f>
        <v>1536</v>
      </c>
    </row>
    <row r="506" customFormat="false" ht="12.75" hidden="false" customHeight="true" outlineLevel="0" collapsed="false">
      <c r="A506" s="148" t="n">
        <v>30624</v>
      </c>
      <c r="B506" s="405" t="s">
        <v>6147</v>
      </c>
      <c r="C506" s="119" t="n">
        <v>2019</v>
      </c>
      <c r="D506" s="404" t="n">
        <v>43825</v>
      </c>
      <c r="E506" s="68" t="s">
        <v>6148</v>
      </c>
      <c r="F506" s="405" t="s">
        <v>3309</v>
      </c>
      <c r="G506" s="405" t="s">
        <v>441</v>
      </c>
      <c r="H506" s="405" t="s">
        <v>6149</v>
      </c>
      <c r="I506" s="404" t="n">
        <v>45565</v>
      </c>
      <c r="J506" s="68" t="n">
        <v>9</v>
      </c>
      <c r="K506" s="71" t="s">
        <v>48</v>
      </c>
      <c r="L506" s="152" t="s">
        <v>58</v>
      </c>
      <c r="M506" s="152" t="n">
        <f aca="false">I506-D506</f>
        <v>1740</v>
      </c>
    </row>
    <row r="507" customFormat="false" ht="12.75" hidden="false" customHeight="true" outlineLevel="0" collapsed="false">
      <c r="A507" s="139" t="n">
        <v>30724</v>
      </c>
      <c r="B507" s="144" t="s">
        <v>6150</v>
      </c>
      <c r="C507" s="115" t="n">
        <v>2021</v>
      </c>
      <c r="D507" s="403" t="n">
        <v>44309</v>
      </c>
      <c r="E507" s="66" t="s">
        <v>6151</v>
      </c>
      <c r="F507" s="66" t="s">
        <v>123</v>
      </c>
      <c r="G507" s="144" t="s">
        <v>441</v>
      </c>
      <c r="H507" s="144" t="s">
        <v>139</v>
      </c>
      <c r="I507" s="403" t="n">
        <v>45565</v>
      </c>
      <c r="J507" s="66" t="n">
        <v>9</v>
      </c>
      <c r="K507" s="71" t="s">
        <v>48</v>
      </c>
      <c r="L507" s="144" t="s">
        <v>60</v>
      </c>
      <c r="M507" s="145" t="n">
        <f aca="false">I507-D507</f>
        <v>1256</v>
      </c>
    </row>
    <row r="508" customFormat="false" ht="12.75" hidden="false" customHeight="true" outlineLevel="0" collapsed="false">
      <c r="A508" s="148" t="n">
        <v>30824</v>
      </c>
      <c r="B508" s="405" t="s">
        <v>6152</v>
      </c>
      <c r="C508" s="119" t="n">
        <v>2019</v>
      </c>
      <c r="D508" s="404" t="n">
        <v>43819</v>
      </c>
      <c r="E508" s="68" t="s">
        <v>6153</v>
      </c>
      <c r="F508" s="405" t="s">
        <v>689</v>
      </c>
      <c r="G508" s="405" t="s">
        <v>441</v>
      </c>
      <c r="H508" s="405" t="s">
        <v>532</v>
      </c>
      <c r="I508" s="404" t="n">
        <v>45566</v>
      </c>
      <c r="J508" s="68" t="n">
        <v>10</v>
      </c>
      <c r="K508" s="71" t="s">
        <v>49</v>
      </c>
      <c r="L508" s="152" t="s">
        <v>60</v>
      </c>
      <c r="M508" s="152" t="n">
        <f aca="false">I508-D508</f>
        <v>1747</v>
      </c>
    </row>
    <row r="509" customFormat="false" ht="12.75" hidden="false" customHeight="true" outlineLevel="0" collapsed="false">
      <c r="A509" s="139" t="n">
        <v>30924</v>
      </c>
      <c r="B509" s="144" t="s">
        <v>6154</v>
      </c>
      <c r="C509" s="115" t="n">
        <v>2021</v>
      </c>
      <c r="D509" s="403" t="n">
        <v>44302</v>
      </c>
      <c r="E509" s="66" t="s">
        <v>6155</v>
      </c>
      <c r="F509" s="66" t="s">
        <v>382</v>
      </c>
      <c r="G509" s="144" t="s">
        <v>441</v>
      </c>
      <c r="H509" s="144" t="s">
        <v>139</v>
      </c>
      <c r="I509" s="403" t="n">
        <v>45566</v>
      </c>
      <c r="J509" s="66" t="n">
        <v>10</v>
      </c>
      <c r="K509" s="71" t="s">
        <v>49</v>
      </c>
      <c r="L509" s="144" t="s">
        <v>60</v>
      </c>
      <c r="M509" s="145" t="n">
        <f aca="false">I509-D509</f>
        <v>1264</v>
      </c>
    </row>
    <row r="510" customFormat="false" ht="12.75" hidden="false" customHeight="true" outlineLevel="0" collapsed="false">
      <c r="A510" s="148" t="n">
        <v>31024</v>
      </c>
      <c r="B510" s="405" t="s">
        <v>6156</v>
      </c>
      <c r="C510" s="119" t="n">
        <v>2021</v>
      </c>
      <c r="D510" s="404" t="n">
        <v>44315</v>
      </c>
      <c r="E510" s="68" t="s">
        <v>6157</v>
      </c>
      <c r="F510" s="405" t="s">
        <v>512</v>
      </c>
      <c r="G510" s="405" t="s">
        <v>441</v>
      </c>
      <c r="H510" s="405" t="s">
        <v>139</v>
      </c>
      <c r="I510" s="404" t="n">
        <v>45566</v>
      </c>
      <c r="J510" s="68" t="n">
        <v>10</v>
      </c>
      <c r="K510" s="71" t="s">
        <v>49</v>
      </c>
      <c r="L510" s="152" t="s">
        <v>60</v>
      </c>
      <c r="M510" s="152" t="n">
        <f aca="false">I510-D510</f>
        <v>1251</v>
      </c>
    </row>
    <row r="511" customFormat="false" ht="12.75" hidden="false" customHeight="true" outlineLevel="0" collapsed="false">
      <c r="A511" s="139" t="n">
        <v>31124</v>
      </c>
      <c r="B511" s="144" t="s">
        <v>6158</v>
      </c>
      <c r="C511" s="115" t="n">
        <v>2018</v>
      </c>
      <c r="D511" s="403" t="n">
        <v>43446</v>
      </c>
      <c r="E511" s="66" t="s">
        <v>6159</v>
      </c>
      <c r="F511" s="66" t="s">
        <v>401</v>
      </c>
      <c r="G511" s="144" t="s">
        <v>441</v>
      </c>
      <c r="H511" s="144" t="s">
        <v>948</v>
      </c>
      <c r="I511" s="403" t="n">
        <v>45566</v>
      </c>
      <c r="J511" s="66" t="n">
        <v>10</v>
      </c>
      <c r="K511" s="71" t="s">
        <v>49</v>
      </c>
      <c r="L511" s="144" t="s">
        <v>58</v>
      </c>
      <c r="M511" s="145" t="n">
        <f aca="false">I511-D511</f>
        <v>2120</v>
      </c>
    </row>
    <row r="512" customFormat="false" ht="12.75" hidden="false" customHeight="true" outlineLevel="0" collapsed="false">
      <c r="A512" s="148" t="n">
        <v>31224</v>
      </c>
      <c r="B512" s="405" t="s">
        <v>6160</v>
      </c>
      <c r="C512" s="119" t="n">
        <v>2018</v>
      </c>
      <c r="D512" s="404" t="n">
        <v>43173</v>
      </c>
      <c r="E512" s="68" t="s">
        <v>6161</v>
      </c>
      <c r="F512" s="405" t="s">
        <v>902</v>
      </c>
      <c r="G512" s="405" t="s">
        <v>441</v>
      </c>
      <c r="H512" s="405" t="s">
        <v>263</v>
      </c>
      <c r="I512" s="404" t="n">
        <v>45566</v>
      </c>
      <c r="J512" s="68" t="n">
        <v>10</v>
      </c>
      <c r="K512" s="71" t="s">
        <v>49</v>
      </c>
      <c r="L512" s="152" t="s">
        <v>58</v>
      </c>
      <c r="M512" s="152" t="n">
        <f aca="false">I512-D512</f>
        <v>2393</v>
      </c>
    </row>
    <row r="513" customFormat="false" ht="12.75" hidden="false" customHeight="true" outlineLevel="0" collapsed="false">
      <c r="A513" s="139" t="n">
        <v>31324</v>
      </c>
      <c r="B513" s="144" t="s">
        <v>6162</v>
      </c>
      <c r="C513" s="115" t="n">
        <v>2016</v>
      </c>
      <c r="D513" s="403" t="n">
        <v>42681</v>
      </c>
      <c r="E513" s="66" t="s">
        <v>6163</v>
      </c>
      <c r="F513" s="66" t="s">
        <v>6164</v>
      </c>
      <c r="G513" s="144" t="s">
        <v>441</v>
      </c>
      <c r="H513" s="144" t="s">
        <v>6165</v>
      </c>
      <c r="I513" s="403" t="n">
        <v>45567</v>
      </c>
      <c r="J513" s="66" t="n">
        <v>10</v>
      </c>
      <c r="K513" s="71" t="s">
        <v>49</v>
      </c>
      <c r="L513" s="144" t="s">
        <v>60</v>
      </c>
      <c r="M513" s="145" t="n">
        <f aca="false">I513-D513</f>
        <v>2886</v>
      </c>
    </row>
    <row r="514" customFormat="false" ht="12.75" hidden="false" customHeight="true" outlineLevel="0" collapsed="false">
      <c r="A514" s="148" t="n">
        <v>31424</v>
      </c>
      <c r="B514" s="405" t="s">
        <v>6166</v>
      </c>
      <c r="C514" s="119" t="n">
        <v>2021</v>
      </c>
      <c r="D514" s="404" t="n">
        <v>44286</v>
      </c>
      <c r="E514" s="68" t="s">
        <v>6167</v>
      </c>
      <c r="F514" s="405" t="s">
        <v>5963</v>
      </c>
      <c r="G514" s="405" t="s">
        <v>441</v>
      </c>
      <c r="H514" s="405" t="s">
        <v>4657</v>
      </c>
      <c r="I514" s="404" t="n">
        <v>45567</v>
      </c>
      <c r="J514" s="68" t="n">
        <v>10</v>
      </c>
      <c r="K514" s="163" t="s">
        <v>46</v>
      </c>
      <c r="L514" s="152" t="s">
        <v>2848</v>
      </c>
      <c r="M514" s="152" t="n">
        <f aca="false">I514-D514</f>
        <v>1281</v>
      </c>
    </row>
    <row r="515" customFormat="false" ht="12.75" hidden="false" customHeight="true" outlineLevel="0" collapsed="false">
      <c r="A515" s="139" t="n">
        <v>31524</v>
      </c>
      <c r="B515" s="144" t="s">
        <v>6168</v>
      </c>
      <c r="C515" s="115" t="n">
        <v>2020</v>
      </c>
      <c r="D515" s="403" t="n">
        <v>44133</v>
      </c>
      <c r="E515" s="66" t="s">
        <v>6169</v>
      </c>
      <c r="F515" s="66" t="s">
        <v>6170</v>
      </c>
      <c r="G515" s="144" t="s">
        <v>441</v>
      </c>
      <c r="H515" s="144" t="s">
        <v>781</v>
      </c>
      <c r="I515" s="403" t="n">
        <v>45567</v>
      </c>
      <c r="J515" s="66" t="n">
        <v>10</v>
      </c>
      <c r="K515" s="71" t="s">
        <v>49</v>
      </c>
      <c r="L515" s="144" t="s">
        <v>60</v>
      </c>
      <c r="M515" s="145" t="n">
        <f aca="false">I515-D515</f>
        <v>1434</v>
      </c>
    </row>
    <row r="516" customFormat="false" ht="12.75" hidden="false" customHeight="true" outlineLevel="0" collapsed="false">
      <c r="A516" s="148" t="n">
        <v>31624</v>
      </c>
      <c r="B516" s="405" t="s">
        <v>6171</v>
      </c>
      <c r="C516" s="119" t="n">
        <v>2017</v>
      </c>
      <c r="D516" s="404" t="n">
        <v>43014</v>
      </c>
      <c r="E516" s="68" t="s">
        <v>6172</v>
      </c>
      <c r="F516" s="405" t="s">
        <v>537</v>
      </c>
      <c r="G516" s="405" t="s">
        <v>441</v>
      </c>
      <c r="H516" s="405" t="s">
        <v>2172</v>
      </c>
      <c r="I516" s="404" t="n">
        <v>45567</v>
      </c>
      <c r="J516" s="68" t="n">
        <v>10</v>
      </c>
      <c r="K516" s="71" t="s">
        <v>49</v>
      </c>
      <c r="L516" s="152" t="s">
        <v>58</v>
      </c>
      <c r="M516" s="152" t="n">
        <f aca="false">I516-D516</f>
        <v>2553</v>
      </c>
    </row>
    <row r="517" customFormat="false" ht="12.75" hidden="false" customHeight="true" outlineLevel="0" collapsed="false">
      <c r="A517" s="139" t="n">
        <v>31724</v>
      </c>
      <c r="B517" s="144" t="s">
        <v>6173</v>
      </c>
      <c r="C517" s="115" t="n">
        <v>2017</v>
      </c>
      <c r="D517" s="403" t="n">
        <v>42993</v>
      </c>
      <c r="E517" s="66" t="s">
        <v>6174</v>
      </c>
      <c r="F517" s="66" t="s">
        <v>6175</v>
      </c>
      <c r="G517" s="144" t="s">
        <v>441</v>
      </c>
      <c r="H517" s="144" t="s">
        <v>6176</v>
      </c>
      <c r="I517" s="403" t="n">
        <v>45567</v>
      </c>
      <c r="J517" s="66" t="n">
        <v>10</v>
      </c>
      <c r="K517" s="71" t="s">
        <v>49</v>
      </c>
      <c r="L517" s="144" t="s">
        <v>60</v>
      </c>
      <c r="M517" s="145" t="n">
        <f aca="false">I517-D517</f>
        <v>2574</v>
      </c>
    </row>
    <row r="518" customFormat="false" ht="12.75" hidden="false" customHeight="true" outlineLevel="0" collapsed="false">
      <c r="A518" s="148" t="n">
        <v>31824</v>
      </c>
      <c r="B518" s="405" t="s">
        <v>6177</v>
      </c>
      <c r="C518" s="119" t="n">
        <v>2021</v>
      </c>
      <c r="D518" s="404" t="n">
        <v>44438</v>
      </c>
      <c r="E518" s="68" t="s">
        <v>6178</v>
      </c>
      <c r="F518" s="405" t="s">
        <v>5615</v>
      </c>
      <c r="G518" s="405" t="s">
        <v>441</v>
      </c>
      <c r="H518" s="405" t="s">
        <v>513</v>
      </c>
      <c r="I518" s="404" t="n">
        <v>45567</v>
      </c>
      <c r="J518" s="68" t="n">
        <v>10</v>
      </c>
      <c r="K518" s="71" t="s">
        <v>49</v>
      </c>
      <c r="L518" s="152" t="s">
        <v>60</v>
      </c>
      <c r="M518" s="152" t="n">
        <f aca="false">I518-D518</f>
        <v>1129</v>
      </c>
    </row>
    <row r="519" customFormat="false" ht="12.75" hidden="false" customHeight="true" outlineLevel="0" collapsed="false">
      <c r="A519" s="139" t="n">
        <v>31924</v>
      </c>
      <c r="B519" s="144" t="s">
        <v>6179</v>
      </c>
      <c r="C519" s="115" t="n">
        <v>2018</v>
      </c>
      <c r="D519" s="403" t="n">
        <v>43147</v>
      </c>
      <c r="E519" s="66" t="s">
        <v>6180</v>
      </c>
      <c r="F519" s="66" t="s">
        <v>6018</v>
      </c>
      <c r="G519" s="144" t="s">
        <v>441</v>
      </c>
      <c r="H519" s="144" t="s">
        <v>706</v>
      </c>
      <c r="I519" s="403" t="n">
        <v>45567</v>
      </c>
      <c r="J519" s="66" t="n">
        <v>10</v>
      </c>
      <c r="K519" s="71" t="s">
        <v>49</v>
      </c>
      <c r="L519" s="144" t="s">
        <v>61</v>
      </c>
      <c r="M519" s="145" t="n">
        <f aca="false">I519-D519</f>
        <v>2420</v>
      </c>
    </row>
    <row r="520" customFormat="false" ht="12.75" hidden="false" customHeight="true" outlineLevel="0" collapsed="false">
      <c r="A520" s="148" t="n">
        <v>32024</v>
      </c>
      <c r="B520" s="405" t="s">
        <v>6181</v>
      </c>
      <c r="C520" s="119" t="n">
        <v>2021</v>
      </c>
      <c r="D520" s="404" t="n">
        <v>44280</v>
      </c>
      <c r="E520" s="68" t="s">
        <v>6182</v>
      </c>
      <c r="F520" s="405" t="s">
        <v>780</v>
      </c>
      <c r="G520" s="405" t="s">
        <v>441</v>
      </c>
      <c r="H520" s="405" t="s">
        <v>760</v>
      </c>
      <c r="I520" s="404" t="n">
        <v>45567</v>
      </c>
      <c r="J520" s="68" t="n">
        <v>10</v>
      </c>
      <c r="K520" s="71" t="s">
        <v>49</v>
      </c>
      <c r="L520" s="152" t="s">
        <v>60</v>
      </c>
      <c r="M520" s="152" t="n">
        <f aca="false">I520-D520</f>
        <v>1287</v>
      </c>
    </row>
    <row r="521" customFormat="false" ht="12.75" hidden="false" customHeight="true" outlineLevel="0" collapsed="false">
      <c r="A521" s="139" t="n">
        <v>32124</v>
      </c>
      <c r="B521" s="144" t="s">
        <v>6183</v>
      </c>
      <c r="C521" s="115" t="n">
        <v>2021</v>
      </c>
      <c r="D521" s="403" t="n">
        <v>44299</v>
      </c>
      <c r="E521" s="66" t="s">
        <v>6184</v>
      </c>
      <c r="F521" s="66" t="s">
        <v>180</v>
      </c>
      <c r="G521" s="144" t="s">
        <v>441</v>
      </c>
      <c r="H521" s="144" t="s">
        <v>760</v>
      </c>
      <c r="I521" s="403" t="n">
        <v>45568</v>
      </c>
      <c r="J521" s="66" t="n">
        <v>10</v>
      </c>
      <c r="K521" s="71" t="s">
        <v>49</v>
      </c>
      <c r="L521" s="144" t="s">
        <v>58</v>
      </c>
      <c r="M521" s="145" t="n">
        <f aca="false">I521-D521</f>
        <v>1269</v>
      </c>
    </row>
    <row r="522" customFormat="false" ht="12.75" hidden="false" customHeight="true" outlineLevel="0" collapsed="false">
      <c r="A522" s="148" t="n">
        <v>32224</v>
      </c>
      <c r="B522" s="405" t="s">
        <v>6185</v>
      </c>
      <c r="C522" s="119" t="n">
        <v>2017</v>
      </c>
      <c r="D522" s="404" t="n">
        <v>42766</v>
      </c>
      <c r="E522" s="68" t="s">
        <v>6186</v>
      </c>
      <c r="F522" s="405" t="s">
        <v>1463</v>
      </c>
      <c r="G522" s="405" t="s">
        <v>441</v>
      </c>
      <c r="H522" s="405" t="s">
        <v>263</v>
      </c>
      <c r="I522" s="404" t="n">
        <v>45568</v>
      </c>
      <c r="J522" s="68" t="n">
        <v>10</v>
      </c>
      <c r="K522" s="71" t="s">
        <v>49</v>
      </c>
      <c r="L522" s="152" t="s">
        <v>58</v>
      </c>
      <c r="M522" s="152" t="n">
        <f aca="false">I522-D522</f>
        <v>2802</v>
      </c>
    </row>
    <row r="523" customFormat="false" ht="12.75" hidden="false" customHeight="true" outlineLevel="0" collapsed="false">
      <c r="A523" s="139" t="n">
        <v>32324</v>
      </c>
      <c r="B523" s="144" t="s">
        <v>6187</v>
      </c>
      <c r="C523" s="115" t="n">
        <v>2023</v>
      </c>
      <c r="D523" s="403" t="n">
        <v>45253</v>
      </c>
      <c r="E523" s="66" t="s">
        <v>6188</v>
      </c>
      <c r="F523" s="66" t="s">
        <v>6189</v>
      </c>
      <c r="G523" s="144" t="s">
        <v>130</v>
      </c>
      <c r="H523" s="144" t="s">
        <v>4029</v>
      </c>
      <c r="I523" s="403" t="n">
        <v>45568</v>
      </c>
      <c r="J523" s="66" t="n">
        <v>10</v>
      </c>
      <c r="K523" s="71" t="s">
        <v>49</v>
      </c>
      <c r="L523" s="144" t="s">
        <v>61</v>
      </c>
      <c r="M523" s="145" t="n">
        <f aca="false">I523-D523</f>
        <v>315</v>
      </c>
    </row>
    <row r="524" customFormat="false" ht="12.75" hidden="false" customHeight="true" outlineLevel="0" collapsed="false">
      <c r="A524" s="148" t="n">
        <v>32424</v>
      </c>
      <c r="B524" s="405" t="s">
        <v>6190</v>
      </c>
      <c r="C524" s="119" t="n">
        <v>2019</v>
      </c>
      <c r="D524" s="404" t="n">
        <v>43817</v>
      </c>
      <c r="E524" s="68" t="s">
        <v>6191</v>
      </c>
      <c r="F524" s="405" t="s">
        <v>5615</v>
      </c>
      <c r="G524" s="405" t="s">
        <v>441</v>
      </c>
      <c r="H524" s="405" t="s">
        <v>208</v>
      </c>
      <c r="I524" s="404" t="n">
        <v>45582</v>
      </c>
      <c r="J524" s="68" t="n">
        <v>10</v>
      </c>
      <c r="K524" s="71" t="s">
        <v>49</v>
      </c>
      <c r="L524" s="152" t="s">
        <v>60</v>
      </c>
      <c r="M524" s="152" t="n">
        <f aca="false">I524-D524</f>
        <v>1765</v>
      </c>
    </row>
    <row r="525" customFormat="false" ht="12.75" hidden="false" customHeight="true" outlineLevel="0" collapsed="false">
      <c r="A525" s="139" t="n">
        <v>32524</v>
      </c>
      <c r="B525" s="144" t="s">
        <v>6192</v>
      </c>
      <c r="C525" s="115" t="n">
        <v>2021</v>
      </c>
      <c r="D525" s="403" t="n">
        <v>44285</v>
      </c>
      <c r="E525" s="66" t="s">
        <v>6193</v>
      </c>
      <c r="F525" s="66" t="s">
        <v>6194</v>
      </c>
      <c r="G525" s="144" t="s">
        <v>115</v>
      </c>
      <c r="H525" s="144" t="s">
        <v>119</v>
      </c>
      <c r="I525" s="403" t="n">
        <v>45582</v>
      </c>
      <c r="J525" s="66" t="n">
        <v>10</v>
      </c>
      <c r="K525" s="71" t="s">
        <v>48</v>
      </c>
      <c r="L525" s="144" t="s">
        <v>58</v>
      </c>
      <c r="M525" s="145" t="n">
        <f aca="false">I525-D525</f>
        <v>1297</v>
      </c>
    </row>
    <row r="526" customFormat="false" ht="12.75" hidden="false" customHeight="true" outlineLevel="0" collapsed="false">
      <c r="A526" s="148" t="n">
        <v>32624</v>
      </c>
      <c r="B526" s="405" t="s">
        <v>6195</v>
      </c>
      <c r="C526" s="119" t="n">
        <v>2018</v>
      </c>
      <c r="D526" s="404" t="n">
        <v>43434</v>
      </c>
      <c r="E526" s="68" t="s">
        <v>6196</v>
      </c>
      <c r="F526" s="405" t="s">
        <v>4819</v>
      </c>
      <c r="G526" s="405" t="s">
        <v>441</v>
      </c>
      <c r="H526" s="405" t="s">
        <v>394</v>
      </c>
      <c r="I526" s="404" t="n">
        <v>45582</v>
      </c>
      <c r="J526" s="68" t="n">
        <v>10</v>
      </c>
      <c r="K526" s="71" t="s">
        <v>49</v>
      </c>
      <c r="L526" s="152" t="s">
        <v>60</v>
      </c>
      <c r="M526" s="152" t="n">
        <f aca="false">I526-D526</f>
        <v>2148</v>
      </c>
    </row>
    <row r="527" customFormat="false" ht="12.75" hidden="false" customHeight="true" outlineLevel="0" collapsed="false">
      <c r="A527" s="139" t="n">
        <v>32724</v>
      </c>
      <c r="B527" s="144" t="s">
        <v>6197</v>
      </c>
      <c r="C527" s="115" t="n">
        <v>2016</v>
      </c>
      <c r="D527" s="403" t="n">
        <v>42419</v>
      </c>
      <c r="E527" s="66" t="s">
        <v>6198</v>
      </c>
      <c r="F527" s="66" t="s">
        <v>6199</v>
      </c>
      <c r="G527" s="144" t="s">
        <v>441</v>
      </c>
      <c r="H527" s="144" t="s">
        <v>208</v>
      </c>
      <c r="I527" s="403" t="n">
        <v>45582</v>
      </c>
      <c r="J527" s="66" t="n">
        <v>10</v>
      </c>
      <c r="K527" s="71" t="s">
        <v>48</v>
      </c>
      <c r="L527" s="144" t="s">
        <v>58</v>
      </c>
      <c r="M527" s="145" t="n">
        <f aca="false">I527-D527</f>
        <v>3163</v>
      </c>
    </row>
    <row r="528" customFormat="false" ht="12.75" hidden="false" customHeight="true" outlineLevel="0" collapsed="false">
      <c r="A528" s="148" t="n">
        <v>32824</v>
      </c>
      <c r="B528" s="405" t="s">
        <v>6200</v>
      </c>
      <c r="C528" s="119" t="n">
        <v>2020</v>
      </c>
      <c r="D528" s="404" t="n">
        <v>44029</v>
      </c>
      <c r="E528" s="68" t="s">
        <v>6201</v>
      </c>
      <c r="F528" s="405" t="s">
        <v>512</v>
      </c>
      <c r="G528" s="405" t="s">
        <v>441</v>
      </c>
      <c r="H528" s="405" t="s">
        <v>254</v>
      </c>
      <c r="I528" s="404" t="n">
        <v>45582</v>
      </c>
      <c r="J528" s="68" t="n">
        <v>10</v>
      </c>
      <c r="K528" s="71" t="s">
        <v>49</v>
      </c>
      <c r="L528" s="152" t="s">
        <v>60</v>
      </c>
      <c r="M528" s="152" t="n">
        <f aca="false">I528-D528</f>
        <v>1553</v>
      </c>
    </row>
    <row r="529" customFormat="false" ht="12.75" hidden="false" customHeight="true" outlineLevel="0" collapsed="false">
      <c r="A529" s="139" t="n">
        <v>32924</v>
      </c>
      <c r="B529" s="144" t="s">
        <v>6202</v>
      </c>
      <c r="C529" s="115" t="n">
        <v>2021</v>
      </c>
      <c r="D529" s="403" t="n">
        <v>44386</v>
      </c>
      <c r="E529" s="66" t="s">
        <v>6203</v>
      </c>
      <c r="F529" s="66" t="s">
        <v>5615</v>
      </c>
      <c r="G529" s="144" t="s">
        <v>441</v>
      </c>
      <c r="H529" s="144" t="s">
        <v>513</v>
      </c>
      <c r="I529" s="403" t="n">
        <v>45582</v>
      </c>
      <c r="J529" s="66" t="n">
        <v>10</v>
      </c>
      <c r="K529" s="71" t="s">
        <v>48</v>
      </c>
      <c r="L529" s="144" t="s">
        <v>60</v>
      </c>
      <c r="M529" s="145" t="n">
        <f aca="false">I529-D529</f>
        <v>1196</v>
      </c>
    </row>
    <row r="530" customFormat="false" ht="12.75" hidden="false" customHeight="true" outlineLevel="0" collapsed="false">
      <c r="A530" s="148" t="n">
        <v>33024</v>
      </c>
      <c r="B530" s="405" t="s">
        <v>6204</v>
      </c>
      <c r="C530" s="119" t="n">
        <v>2021</v>
      </c>
      <c r="D530" s="404" t="n">
        <v>44306</v>
      </c>
      <c r="E530" s="68" t="s">
        <v>6205</v>
      </c>
      <c r="F530" s="405" t="s">
        <v>346</v>
      </c>
      <c r="G530" s="405" t="s">
        <v>441</v>
      </c>
      <c r="H530" s="405" t="s">
        <v>471</v>
      </c>
      <c r="I530" s="404" t="n">
        <v>45583</v>
      </c>
      <c r="J530" s="68" t="n">
        <v>10</v>
      </c>
      <c r="K530" s="71" t="s">
        <v>49</v>
      </c>
      <c r="L530" s="152" t="s">
        <v>58</v>
      </c>
      <c r="M530" s="152" t="n">
        <f aca="false">I530-D530</f>
        <v>1277</v>
      </c>
    </row>
    <row r="531" customFormat="false" ht="12.75" hidden="false" customHeight="true" outlineLevel="0" collapsed="false">
      <c r="A531" s="139" t="n">
        <v>33124</v>
      </c>
      <c r="B531" s="144" t="s">
        <v>6206</v>
      </c>
      <c r="C531" s="115" t="n">
        <v>2021</v>
      </c>
      <c r="D531" s="403" t="n">
        <v>44306</v>
      </c>
      <c r="E531" s="66" t="s">
        <v>6207</v>
      </c>
      <c r="F531" s="66" t="s">
        <v>346</v>
      </c>
      <c r="G531" s="144" t="s">
        <v>441</v>
      </c>
      <c r="H531" s="144" t="s">
        <v>471</v>
      </c>
      <c r="I531" s="403" t="n">
        <v>45583</v>
      </c>
      <c r="J531" s="66" t="n">
        <v>10</v>
      </c>
      <c r="K531" s="71" t="s">
        <v>49</v>
      </c>
      <c r="L531" s="144" t="s">
        <v>58</v>
      </c>
      <c r="M531" s="145" t="n">
        <f aca="false">I531-D531</f>
        <v>1277</v>
      </c>
    </row>
    <row r="532" customFormat="false" ht="12.75" hidden="false" customHeight="true" outlineLevel="0" collapsed="false">
      <c r="A532" s="148" t="n">
        <v>33224</v>
      </c>
      <c r="B532" s="405" t="s">
        <v>6208</v>
      </c>
      <c r="C532" s="119" t="n">
        <v>2023</v>
      </c>
      <c r="D532" s="404" t="n">
        <v>45173</v>
      </c>
      <c r="E532" s="68" t="s">
        <v>6209</v>
      </c>
      <c r="F532" s="424" t="s">
        <v>6210</v>
      </c>
      <c r="G532" s="405" t="s">
        <v>130</v>
      </c>
      <c r="H532" s="405" t="s">
        <v>294</v>
      </c>
      <c r="I532" s="404" t="n">
        <v>45583</v>
      </c>
      <c r="J532" s="68" t="n">
        <v>10</v>
      </c>
      <c r="K532" s="71" t="s">
        <v>49</v>
      </c>
      <c r="L532" s="152" t="s">
        <v>61</v>
      </c>
      <c r="M532" s="152" t="n">
        <f aca="false">I532-D532</f>
        <v>410</v>
      </c>
    </row>
    <row r="533" customFormat="false" ht="12.75" hidden="false" customHeight="true" outlineLevel="0" collapsed="false">
      <c r="A533" s="139" t="n">
        <v>33324</v>
      </c>
      <c r="B533" s="144" t="s">
        <v>6211</v>
      </c>
      <c r="C533" s="115" t="n">
        <v>2023</v>
      </c>
      <c r="D533" s="403" t="n">
        <v>45105</v>
      </c>
      <c r="E533" s="66" t="s">
        <v>6212</v>
      </c>
      <c r="F533" s="66" t="s">
        <v>6213</v>
      </c>
      <c r="G533" s="144" t="s">
        <v>125</v>
      </c>
      <c r="H533" s="144" t="s">
        <v>3893</v>
      </c>
      <c r="I533" s="403" t="n">
        <v>45583</v>
      </c>
      <c r="J533" s="66" t="n">
        <v>10</v>
      </c>
      <c r="K533" s="71" t="s">
        <v>49</v>
      </c>
      <c r="L533" s="144" t="s">
        <v>61</v>
      </c>
      <c r="M533" s="145" t="n">
        <f aca="false">I533-D533</f>
        <v>478</v>
      </c>
    </row>
    <row r="534" customFormat="false" ht="12.75" hidden="false" customHeight="true" outlineLevel="0" collapsed="false">
      <c r="A534" s="148" t="n">
        <v>33424</v>
      </c>
      <c r="B534" s="405" t="s">
        <v>6214</v>
      </c>
      <c r="C534" s="119" t="n">
        <v>2023</v>
      </c>
      <c r="D534" s="404" t="n">
        <v>44929</v>
      </c>
      <c r="E534" s="68" t="s">
        <v>6215</v>
      </c>
      <c r="F534" s="405" t="s">
        <v>6216</v>
      </c>
      <c r="G534" s="405" t="s">
        <v>115</v>
      </c>
      <c r="H534" s="405" t="s">
        <v>1880</v>
      </c>
      <c r="I534" s="404" t="n">
        <v>45583</v>
      </c>
      <c r="J534" s="68" t="n">
        <v>10</v>
      </c>
      <c r="K534" s="71" t="s">
        <v>49</v>
      </c>
      <c r="L534" s="152" t="s">
        <v>61</v>
      </c>
      <c r="M534" s="152" t="n">
        <f aca="false">I534-D534</f>
        <v>654</v>
      </c>
    </row>
    <row r="535" customFormat="false" ht="12.75" hidden="false" customHeight="true" outlineLevel="0" collapsed="false">
      <c r="A535" s="139" t="n">
        <v>33524</v>
      </c>
      <c r="B535" s="144" t="s">
        <v>6217</v>
      </c>
      <c r="C535" s="115" t="n">
        <v>2017</v>
      </c>
      <c r="D535" s="403" t="n">
        <v>43095</v>
      </c>
      <c r="E535" s="66" t="s">
        <v>6218</v>
      </c>
      <c r="F535" s="66" t="s">
        <v>689</v>
      </c>
      <c r="G535" s="144" t="s">
        <v>441</v>
      </c>
      <c r="H535" s="144" t="s">
        <v>1072</v>
      </c>
      <c r="I535" s="403" t="n">
        <v>45583</v>
      </c>
      <c r="J535" s="66" t="n">
        <v>10</v>
      </c>
      <c r="K535" s="71" t="s">
        <v>49</v>
      </c>
      <c r="L535" s="144" t="s">
        <v>60</v>
      </c>
      <c r="M535" s="145" t="n">
        <f aca="false">I535-D535</f>
        <v>2488</v>
      </c>
    </row>
    <row r="536" customFormat="false" ht="12.75" hidden="false" customHeight="true" outlineLevel="0" collapsed="false">
      <c r="A536" s="148" t="n">
        <v>33624</v>
      </c>
      <c r="B536" s="405" t="s">
        <v>6219</v>
      </c>
      <c r="C536" s="119" t="n">
        <v>2021</v>
      </c>
      <c r="D536" s="404" t="n">
        <v>44407</v>
      </c>
      <c r="E536" s="68" t="s">
        <v>6220</v>
      </c>
      <c r="F536" s="405" t="s">
        <v>769</v>
      </c>
      <c r="G536" s="405" t="s">
        <v>441</v>
      </c>
      <c r="H536" s="405" t="s">
        <v>243</v>
      </c>
      <c r="I536" s="404" t="n">
        <v>45583</v>
      </c>
      <c r="J536" s="68" t="n">
        <v>10</v>
      </c>
      <c r="K536" s="71" t="s">
        <v>49</v>
      </c>
      <c r="L536" s="152" t="s">
        <v>58</v>
      </c>
      <c r="M536" s="152" t="n">
        <f aca="false">I536-D536</f>
        <v>1176</v>
      </c>
    </row>
    <row r="537" customFormat="false" ht="12.75" hidden="false" customHeight="true" outlineLevel="0" collapsed="false">
      <c r="A537" s="139" t="n">
        <v>33724</v>
      </c>
      <c r="B537" s="144" t="s">
        <v>6221</v>
      </c>
      <c r="C537" s="115" t="n">
        <v>2023</v>
      </c>
      <c r="D537" s="403" t="n">
        <v>45127</v>
      </c>
      <c r="E537" s="66" t="s">
        <v>6222</v>
      </c>
      <c r="F537" s="66" t="s">
        <v>6223</v>
      </c>
      <c r="G537" s="144" t="s">
        <v>125</v>
      </c>
      <c r="H537" s="144" t="s">
        <v>662</v>
      </c>
      <c r="I537" s="403" t="n">
        <v>45583</v>
      </c>
      <c r="J537" s="66" t="n">
        <v>10</v>
      </c>
      <c r="K537" s="406" t="s">
        <v>290</v>
      </c>
      <c r="L537" s="144" t="s">
        <v>61</v>
      </c>
      <c r="M537" s="145" t="n">
        <f aca="false">I537-D537</f>
        <v>456</v>
      </c>
    </row>
    <row r="538" customFormat="false" ht="12.75" hidden="false" customHeight="true" outlineLevel="0" collapsed="false">
      <c r="A538" s="148" t="n">
        <v>33824</v>
      </c>
      <c r="B538" s="405" t="s">
        <v>6224</v>
      </c>
      <c r="C538" s="119" t="n">
        <v>2022</v>
      </c>
      <c r="D538" s="404" t="n">
        <v>44670</v>
      </c>
      <c r="E538" s="68" t="s">
        <v>6225</v>
      </c>
      <c r="F538" s="405" t="s">
        <v>6226</v>
      </c>
      <c r="G538" s="405" t="s">
        <v>144</v>
      </c>
      <c r="H538" s="405" t="s">
        <v>3348</v>
      </c>
      <c r="I538" s="404" t="n">
        <v>45583</v>
      </c>
      <c r="J538" s="68" t="n">
        <v>10</v>
      </c>
      <c r="K538" s="71" t="s">
        <v>48</v>
      </c>
      <c r="L538" s="152" t="s">
        <v>58</v>
      </c>
      <c r="M538" s="152" t="n">
        <f aca="false">I538-D538</f>
        <v>913</v>
      </c>
    </row>
    <row r="539" customFormat="false" ht="12.75" hidden="false" customHeight="true" outlineLevel="0" collapsed="false">
      <c r="A539" s="139" t="n">
        <v>33924</v>
      </c>
      <c r="B539" s="144" t="s">
        <v>6227</v>
      </c>
      <c r="C539" s="115" t="n">
        <v>2020</v>
      </c>
      <c r="D539" s="403" t="n">
        <v>44121</v>
      </c>
      <c r="E539" s="66" t="s">
        <v>6228</v>
      </c>
      <c r="F539" s="66" t="s">
        <v>3309</v>
      </c>
      <c r="G539" s="144" t="s">
        <v>441</v>
      </c>
      <c r="H539" s="144" t="s">
        <v>6229</v>
      </c>
      <c r="I539" s="403" t="n">
        <v>45583</v>
      </c>
      <c r="J539" s="66" t="n">
        <v>10</v>
      </c>
      <c r="K539" s="71" t="s">
        <v>48</v>
      </c>
      <c r="L539" s="144" t="s">
        <v>58</v>
      </c>
      <c r="M539" s="145" t="n">
        <f aca="false">I539-D539</f>
        <v>1462</v>
      </c>
    </row>
    <row r="540" customFormat="false" ht="12.75" hidden="false" customHeight="true" outlineLevel="0" collapsed="false">
      <c r="A540" s="148" t="n">
        <v>34024</v>
      </c>
      <c r="B540" s="405" t="s">
        <v>6230</v>
      </c>
      <c r="C540" s="119" t="n">
        <v>2021</v>
      </c>
      <c r="D540" s="404" t="n">
        <v>44238</v>
      </c>
      <c r="E540" s="68" t="s">
        <v>6231</v>
      </c>
      <c r="F540" s="405" t="s">
        <v>3190</v>
      </c>
      <c r="G540" s="405" t="s">
        <v>441</v>
      </c>
      <c r="H540" s="405" t="s">
        <v>513</v>
      </c>
      <c r="I540" s="404" t="n">
        <v>45588</v>
      </c>
      <c r="J540" s="68" t="n">
        <v>10</v>
      </c>
      <c r="K540" s="71" t="s">
        <v>48</v>
      </c>
      <c r="L540" s="152" t="s">
        <v>60</v>
      </c>
      <c r="M540" s="152" t="n">
        <f aca="false">I540-D540</f>
        <v>1350</v>
      </c>
    </row>
    <row r="541" customFormat="false" ht="12.75" hidden="false" customHeight="true" outlineLevel="0" collapsed="false">
      <c r="A541" s="139" t="n">
        <v>34124</v>
      </c>
      <c r="B541" s="144" t="s">
        <v>6232</v>
      </c>
      <c r="C541" s="115" t="n">
        <v>2017</v>
      </c>
      <c r="D541" s="403" t="n">
        <v>43014</v>
      </c>
      <c r="E541" s="66" t="s">
        <v>6233</v>
      </c>
      <c r="F541" s="66" t="s">
        <v>1490</v>
      </c>
      <c r="G541" s="144" t="s">
        <v>441</v>
      </c>
      <c r="H541" s="144" t="s">
        <v>3056</v>
      </c>
      <c r="I541" s="403" t="n">
        <v>45588</v>
      </c>
      <c r="J541" s="66" t="n">
        <v>10</v>
      </c>
      <c r="K541" s="71" t="s">
        <v>49</v>
      </c>
      <c r="L541" s="144" t="s">
        <v>58</v>
      </c>
      <c r="M541" s="145" t="n">
        <f aca="false">I541-D541</f>
        <v>2574</v>
      </c>
    </row>
    <row r="542" customFormat="false" ht="12.75" hidden="false" customHeight="true" outlineLevel="0" collapsed="false">
      <c r="A542" s="148" t="n">
        <v>34224</v>
      </c>
      <c r="B542" s="405" t="s">
        <v>6234</v>
      </c>
      <c r="C542" s="119" t="n">
        <v>2021</v>
      </c>
      <c r="D542" s="404" t="n">
        <v>44477</v>
      </c>
      <c r="E542" s="68" t="s">
        <v>6235</v>
      </c>
      <c r="F542" s="405" t="s">
        <v>689</v>
      </c>
      <c r="G542" s="405" t="s">
        <v>441</v>
      </c>
      <c r="H542" s="405" t="s">
        <v>471</v>
      </c>
      <c r="I542" s="404" t="n">
        <v>45629</v>
      </c>
      <c r="J542" s="68" t="n">
        <v>12</v>
      </c>
      <c r="K542" s="71" t="s">
        <v>49</v>
      </c>
      <c r="L542" s="152" t="s">
        <v>60</v>
      </c>
      <c r="M542" s="152" t="n">
        <f aca="false">I542-D542</f>
        <v>1152</v>
      </c>
    </row>
    <row r="543" customFormat="false" ht="12.75" hidden="false" customHeight="true" outlineLevel="0" collapsed="false">
      <c r="A543" s="139" t="n">
        <v>34324</v>
      </c>
      <c r="B543" s="144" t="s">
        <v>6236</v>
      </c>
      <c r="C543" s="115" t="n">
        <v>2021</v>
      </c>
      <c r="D543" s="403" t="n">
        <v>44302</v>
      </c>
      <c r="E543" s="66" t="s">
        <v>6237</v>
      </c>
      <c r="F543" s="66" t="s">
        <v>1200</v>
      </c>
      <c r="G543" s="144" t="s">
        <v>441</v>
      </c>
      <c r="H543" s="144" t="s">
        <v>139</v>
      </c>
      <c r="I543" s="403" t="n">
        <v>45588</v>
      </c>
      <c r="J543" s="66" t="n">
        <v>10</v>
      </c>
      <c r="K543" s="71" t="s">
        <v>48</v>
      </c>
      <c r="L543" s="144" t="s">
        <v>58</v>
      </c>
      <c r="M543" s="145" t="n">
        <f aca="false">I543-D543</f>
        <v>1286</v>
      </c>
    </row>
    <row r="544" customFormat="false" ht="12.75" hidden="false" customHeight="true" outlineLevel="0" collapsed="false">
      <c r="A544" s="148" t="n">
        <v>34424</v>
      </c>
      <c r="B544" s="405" t="s">
        <v>6238</v>
      </c>
      <c r="C544" s="119" t="n">
        <v>2017</v>
      </c>
      <c r="D544" s="404" t="n">
        <v>42859</v>
      </c>
      <c r="E544" s="68" t="s">
        <v>6239</v>
      </c>
      <c r="F544" s="405" t="s">
        <v>3924</v>
      </c>
      <c r="G544" s="405" t="s">
        <v>441</v>
      </c>
      <c r="H544" s="405" t="s">
        <v>706</v>
      </c>
      <c r="I544" s="404" t="n">
        <v>45588</v>
      </c>
      <c r="J544" s="68" t="n">
        <v>10</v>
      </c>
      <c r="K544" s="71" t="s">
        <v>48</v>
      </c>
      <c r="L544" s="152" t="s">
        <v>58</v>
      </c>
      <c r="M544" s="152" t="n">
        <f aca="false">I544-D544</f>
        <v>2729</v>
      </c>
    </row>
    <row r="545" customFormat="false" ht="12.75" hidden="false" customHeight="true" outlineLevel="0" collapsed="false">
      <c r="A545" s="139" t="n">
        <v>34524</v>
      </c>
      <c r="B545" s="144" t="s">
        <v>6240</v>
      </c>
      <c r="C545" s="115" t="n">
        <v>2017</v>
      </c>
      <c r="D545" s="403" t="n">
        <v>42888</v>
      </c>
      <c r="E545" s="66" t="s">
        <v>6241</v>
      </c>
      <c r="F545" s="66" t="s">
        <v>3924</v>
      </c>
      <c r="G545" s="144" t="s">
        <v>441</v>
      </c>
      <c r="H545" s="144" t="s">
        <v>706</v>
      </c>
      <c r="I545" s="403" t="n">
        <v>45588</v>
      </c>
      <c r="J545" s="66" t="n">
        <v>10</v>
      </c>
      <c r="K545" s="71" t="s">
        <v>48</v>
      </c>
      <c r="L545" s="144" t="s">
        <v>58</v>
      </c>
      <c r="M545" s="145" t="n">
        <f aca="false">I545-D545</f>
        <v>2700</v>
      </c>
    </row>
    <row r="546" customFormat="false" ht="12.75" hidden="false" customHeight="true" outlineLevel="0" collapsed="false">
      <c r="A546" s="148" t="n">
        <v>34624</v>
      </c>
      <c r="B546" s="405" t="s">
        <v>6242</v>
      </c>
      <c r="C546" s="119" t="n">
        <v>2020</v>
      </c>
      <c r="D546" s="404" t="n">
        <v>43847</v>
      </c>
      <c r="E546" s="68" t="s">
        <v>6243</v>
      </c>
      <c r="F546" s="405" t="s">
        <v>3309</v>
      </c>
      <c r="G546" s="405" t="s">
        <v>441</v>
      </c>
      <c r="H546" s="405" t="s">
        <v>3407</v>
      </c>
      <c r="I546" s="404" t="n">
        <v>45588</v>
      </c>
      <c r="J546" s="68" t="n">
        <v>10</v>
      </c>
      <c r="K546" s="71" t="s">
        <v>48</v>
      </c>
      <c r="L546" s="152" t="s">
        <v>58</v>
      </c>
      <c r="M546" s="152" t="n">
        <f aca="false">I546-D546</f>
        <v>1741</v>
      </c>
    </row>
    <row r="547" customFormat="false" ht="12.75" hidden="false" customHeight="true" outlineLevel="0" collapsed="false">
      <c r="A547" s="139" t="n">
        <v>34724</v>
      </c>
      <c r="B547" s="144" t="s">
        <v>6244</v>
      </c>
      <c r="C547" s="115" t="n">
        <v>2013</v>
      </c>
      <c r="D547" s="403" t="n">
        <v>41543</v>
      </c>
      <c r="E547" s="66" t="s">
        <v>6245</v>
      </c>
      <c r="F547" s="66" t="s">
        <v>6246</v>
      </c>
      <c r="G547" s="144" t="s">
        <v>441</v>
      </c>
      <c r="H547" s="144" t="s">
        <v>1081</v>
      </c>
      <c r="I547" s="403" t="n">
        <v>45596</v>
      </c>
      <c r="J547" s="66" t="n">
        <v>10</v>
      </c>
      <c r="K547" s="71" t="s">
        <v>48</v>
      </c>
      <c r="L547" s="144" t="s">
        <v>60</v>
      </c>
      <c r="M547" s="145" t="n">
        <f aca="false">I547-D547</f>
        <v>4053</v>
      </c>
    </row>
    <row r="548" customFormat="false" ht="12.75" hidden="false" customHeight="true" outlineLevel="0" collapsed="false">
      <c r="A548" s="148" t="n">
        <v>34824</v>
      </c>
      <c r="B548" s="405" t="s">
        <v>6247</v>
      </c>
      <c r="C548" s="119" t="n">
        <v>2017</v>
      </c>
      <c r="D548" s="404" t="n">
        <v>43091</v>
      </c>
      <c r="E548" s="68" t="s">
        <v>6248</v>
      </c>
      <c r="F548" s="405" t="s">
        <v>6018</v>
      </c>
      <c r="G548" s="405" t="s">
        <v>441</v>
      </c>
      <c r="H548" s="405" t="s">
        <v>192</v>
      </c>
      <c r="I548" s="404" t="n">
        <v>45596</v>
      </c>
      <c r="J548" s="68" t="n">
        <v>10</v>
      </c>
      <c r="K548" s="71" t="s">
        <v>49</v>
      </c>
      <c r="L548" s="152" t="s">
        <v>61</v>
      </c>
      <c r="M548" s="152" t="n">
        <f aca="false">I548-D548</f>
        <v>2505</v>
      </c>
    </row>
    <row r="549" customFormat="false" ht="12.75" hidden="false" customHeight="true" outlineLevel="0" collapsed="false">
      <c r="A549" s="139" t="n">
        <v>34924</v>
      </c>
      <c r="B549" s="144" t="s">
        <v>6249</v>
      </c>
      <c r="C549" s="115" t="n">
        <v>2023</v>
      </c>
      <c r="D549" s="403" t="n">
        <v>45252</v>
      </c>
      <c r="E549" s="66" t="s">
        <v>6250</v>
      </c>
      <c r="F549" s="66" t="s">
        <v>6251</v>
      </c>
      <c r="G549" s="144" t="s">
        <v>130</v>
      </c>
      <c r="H549" s="144" t="s">
        <v>4029</v>
      </c>
      <c r="I549" s="403" t="n">
        <v>45596</v>
      </c>
      <c r="J549" s="66" t="n">
        <v>10</v>
      </c>
      <c r="K549" s="71" t="s">
        <v>49</v>
      </c>
      <c r="L549" s="144" t="s">
        <v>61</v>
      </c>
      <c r="M549" s="145" t="n">
        <f aca="false">I549-D549</f>
        <v>344</v>
      </c>
    </row>
    <row r="550" customFormat="false" ht="12.75" hidden="false" customHeight="true" outlineLevel="0" collapsed="false">
      <c r="A550" s="148" t="n">
        <v>35024</v>
      </c>
      <c r="B550" s="405" t="s">
        <v>6252</v>
      </c>
      <c r="C550" s="119" t="n">
        <v>2018</v>
      </c>
      <c r="D550" s="404" t="n">
        <v>43242</v>
      </c>
      <c r="E550" s="68" t="s">
        <v>6253</v>
      </c>
      <c r="F550" s="405" t="s">
        <v>467</v>
      </c>
      <c r="G550" s="405" t="s">
        <v>441</v>
      </c>
      <c r="H550" s="405" t="s">
        <v>706</v>
      </c>
      <c r="I550" s="404" t="n">
        <v>45596</v>
      </c>
      <c r="J550" s="68" t="n">
        <v>10</v>
      </c>
      <c r="K550" s="71" t="s">
        <v>49</v>
      </c>
      <c r="L550" s="152" t="s">
        <v>61</v>
      </c>
      <c r="M550" s="152" t="n">
        <f aca="false">I550-D550</f>
        <v>2354</v>
      </c>
    </row>
    <row r="551" customFormat="false" ht="12.75" hidden="false" customHeight="true" outlineLevel="0" collapsed="false">
      <c r="A551" s="139" t="n">
        <v>35124</v>
      </c>
      <c r="B551" s="144" t="s">
        <v>6254</v>
      </c>
      <c r="C551" s="115" t="n">
        <v>2017</v>
      </c>
      <c r="D551" s="403" t="n">
        <v>42860</v>
      </c>
      <c r="E551" s="66" t="s">
        <v>6255</v>
      </c>
      <c r="F551" s="66" t="s">
        <v>3924</v>
      </c>
      <c r="G551" s="144" t="s">
        <v>441</v>
      </c>
      <c r="H551" s="144" t="s">
        <v>6256</v>
      </c>
      <c r="I551" s="403" t="n">
        <v>45596</v>
      </c>
      <c r="J551" s="66" t="n">
        <v>10</v>
      </c>
      <c r="K551" s="71" t="s">
        <v>48</v>
      </c>
      <c r="L551" s="144" t="s">
        <v>58</v>
      </c>
      <c r="M551" s="145" t="n">
        <f aca="false">I551-D551</f>
        <v>2736</v>
      </c>
    </row>
    <row r="552" customFormat="false" ht="12.75" hidden="false" customHeight="true" outlineLevel="0" collapsed="false">
      <c r="A552" s="148" t="n">
        <v>35224</v>
      </c>
      <c r="B552" s="405" t="s">
        <v>6257</v>
      </c>
      <c r="C552" s="119" t="n">
        <v>2023</v>
      </c>
      <c r="D552" s="404" t="n">
        <v>45196</v>
      </c>
      <c r="E552" s="68" t="s">
        <v>6258</v>
      </c>
      <c r="F552" s="405" t="s">
        <v>6259</v>
      </c>
      <c r="G552" s="405" t="s">
        <v>125</v>
      </c>
      <c r="H552" s="405" t="s">
        <v>192</v>
      </c>
      <c r="I552" s="404" t="n">
        <v>45597</v>
      </c>
      <c r="J552" s="68" t="n">
        <v>11</v>
      </c>
      <c r="K552" s="406" t="s">
        <v>290</v>
      </c>
      <c r="L552" s="152" t="s">
        <v>61</v>
      </c>
      <c r="M552" s="152" t="n">
        <f aca="false">I552-D552</f>
        <v>401</v>
      </c>
    </row>
    <row r="553" customFormat="false" ht="12.75" hidden="false" customHeight="true" outlineLevel="0" collapsed="false">
      <c r="A553" s="139" t="n">
        <v>35324</v>
      </c>
      <c r="B553" s="144" t="s">
        <v>6260</v>
      </c>
      <c r="C553" s="115" t="n">
        <v>2020</v>
      </c>
      <c r="D553" s="403" t="n">
        <v>44186</v>
      </c>
      <c r="E553" s="66" t="s">
        <v>6261</v>
      </c>
      <c r="F553" s="66" t="s">
        <v>6262</v>
      </c>
      <c r="G553" s="144" t="s">
        <v>441</v>
      </c>
      <c r="H553" s="144" t="s">
        <v>697</v>
      </c>
      <c r="I553" s="403" t="n">
        <v>45597</v>
      </c>
      <c r="J553" s="66" t="n">
        <v>11</v>
      </c>
      <c r="K553" s="71" t="s">
        <v>49</v>
      </c>
      <c r="L553" s="144" t="s">
        <v>60</v>
      </c>
      <c r="M553" s="145" t="n">
        <f aca="false">I553-D553</f>
        <v>1411</v>
      </c>
    </row>
    <row r="554" customFormat="false" ht="12.75" hidden="false" customHeight="true" outlineLevel="0" collapsed="false">
      <c r="A554" s="148" t="n">
        <v>35424</v>
      </c>
      <c r="B554" s="405" t="s">
        <v>6263</v>
      </c>
      <c r="C554" s="119" t="n">
        <v>2021</v>
      </c>
      <c r="D554" s="404" t="n">
        <v>44550</v>
      </c>
      <c r="E554" s="68" t="s">
        <v>6264</v>
      </c>
      <c r="F554" s="405" t="s">
        <v>6089</v>
      </c>
      <c r="G554" s="405" t="s">
        <v>441</v>
      </c>
      <c r="H554" s="405" t="s">
        <v>3407</v>
      </c>
      <c r="I554" s="404" t="n">
        <v>45597</v>
      </c>
      <c r="J554" s="68" t="n">
        <v>11</v>
      </c>
      <c r="K554" s="406" t="s">
        <v>290</v>
      </c>
      <c r="L554" s="152" t="s">
        <v>58</v>
      </c>
      <c r="M554" s="152" t="n">
        <f aca="false">I554-D554</f>
        <v>1047</v>
      </c>
    </row>
    <row r="555" customFormat="false" ht="12.75" hidden="false" customHeight="true" outlineLevel="0" collapsed="false">
      <c r="A555" s="139" t="n">
        <v>35524</v>
      </c>
      <c r="B555" s="144" t="s">
        <v>6265</v>
      </c>
      <c r="C555" s="115" t="n">
        <v>2018</v>
      </c>
      <c r="D555" s="403" t="n">
        <v>43243</v>
      </c>
      <c r="E555" s="66" t="s">
        <v>6266</v>
      </c>
      <c r="F555" s="66" t="s">
        <v>689</v>
      </c>
      <c r="G555" s="144" t="s">
        <v>441</v>
      </c>
      <c r="H555" s="144" t="s">
        <v>2654</v>
      </c>
      <c r="I555" s="403" t="n">
        <v>45597</v>
      </c>
      <c r="J555" s="66" t="n">
        <v>11</v>
      </c>
      <c r="K555" s="71" t="s">
        <v>49</v>
      </c>
      <c r="L555" s="144" t="s">
        <v>60</v>
      </c>
      <c r="M555" s="145" t="n">
        <f aca="false">I555-D555</f>
        <v>2354</v>
      </c>
    </row>
    <row r="556" customFormat="false" ht="12.75" hidden="false" customHeight="true" outlineLevel="0" collapsed="false">
      <c r="A556" s="148" t="n">
        <v>35624</v>
      </c>
      <c r="B556" s="405" t="s">
        <v>6267</v>
      </c>
      <c r="C556" s="119" t="n">
        <v>2019</v>
      </c>
      <c r="D556" s="404" t="n">
        <v>43473</v>
      </c>
      <c r="E556" s="68" t="s">
        <v>6268</v>
      </c>
      <c r="F556" s="405" t="s">
        <v>1916</v>
      </c>
      <c r="G556" s="405" t="s">
        <v>441</v>
      </c>
      <c r="H556" s="405" t="s">
        <v>706</v>
      </c>
      <c r="I556" s="404" t="n">
        <v>45597</v>
      </c>
      <c r="J556" s="68" t="n">
        <v>11</v>
      </c>
      <c r="K556" s="163" t="s">
        <v>46</v>
      </c>
      <c r="L556" s="152" t="s">
        <v>58</v>
      </c>
      <c r="M556" s="152" t="n">
        <f aca="false">I556-D556</f>
        <v>2124</v>
      </c>
    </row>
    <row r="557" customFormat="false" ht="12.75" hidden="false" customHeight="true" outlineLevel="0" collapsed="false">
      <c r="A557" s="139" t="n">
        <v>35724</v>
      </c>
      <c r="B557" s="144" t="s">
        <v>6269</v>
      </c>
      <c r="C557" s="115" t="n">
        <v>2019</v>
      </c>
      <c r="D557" s="403" t="n">
        <v>43616</v>
      </c>
      <c r="E557" s="66" t="s">
        <v>6270</v>
      </c>
      <c r="F557" s="66" t="s">
        <v>1211</v>
      </c>
      <c r="G557" s="144" t="s">
        <v>441</v>
      </c>
      <c r="H557" s="144" t="s">
        <v>570</v>
      </c>
      <c r="I557" s="403" t="n">
        <v>45597</v>
      </c>
      <c r="J557" s="66" t="n">
        <v>11</v>
      </c>
      <c r="K557" s="71" t="s">
        <v>49</v>
      </c>
      <c r="L557" s="144" t="s">
        <v>60</v>
      </c>
      <c r="M557" s="145" t="n">
        <f aca="false">I557-D557</f>
        <v>1981</v>
      </c>
    </row>
    <row r="558" customFormat="false" ht="12.75" hidden="false" customHeight="true" outlineLevel="0" collapsed="false">
      <c r="A558" s="148" t="n">
        <v>35824</v>
      </c>
      <c r="B558" s="405" t="s">
        <v>6271</v>
      </c>
      <c r="C558" s="119" t="n">
        <v>2019</v>
      </c>
      <c r="D558" s="404" t="n">
        <v>43614</v>
      </c>
      <c r="E558" s="68" t="s">
        <v>6272</v>
      </c>
      <c r="F558" s="405" t="s">
        <v>1211</v>
      </c>
      <c r="G558" s="405" t="s">
        <v>441</v>
      </c>
      <c r="H558" s="405" t="s">
        <v>570</v>
      </c>
      <c r="I558" s="404" t="n">
        <v>45597</v>
      </c>
      <c r="J558" s="68" t="n">
        <v>11</v>
      </c>
      <c r="K558" s="71" t="s">
        <v>49</v>
      </c>
      <c r="L558" s="152" t="s">
        <v>60</v>
      </c>
      <c r="M558" s="152" t="n">
        <f aca="false">I558-D558</f>
        <v>1983</v>
      </c>
    </row>
    <row r="559" customFormat="false" ht="12.75" hidden="false" customHeight="true" outlineLevel="0" collapsed="false">
      <c r="A559" s="139" t="n">
        <v>35924</v>
      </c>
      <c r="B559" s="144" t="s">
        <v>6273</v>
      </c>
      <c r="C559" s="115" t="n">
        <v>2021</v>
      </c>
      <c r="D559" s="403" t="n">
        <v>44441</v>
      </c>
      <c r="E559" s="66" t="s">
        <v>6274</v>
      </c>
      <c r="F559" s="66" t="s">
        <v>6275</v>
      </c>
      <c r="G559" s="144" t="s">
        <v>441</v>
      </c>
      <c r="H559" s="144" t="s">
        <v>350</v>
      </c>
      <c r="I559" s="403" t="n">
        <v>45597</v>
      </c>
      <c r="J559" s="66" t="n">
        <v>11</v>
      </c>
      <c r="K559" s="71" t="s">
        <v>49</v>
      </c>
      <c r="L559" s="144" t="s">
        <v>58</v>
      </c>
      <c r="M559" s="145" t="n">
        <f aca="false">I559-D559</f>
        <v>1156</v>
      </c>
    </row>
    <row r="560" customFormat="false" ht="12.75" hidden="false" customHeight="true" outlineLevel="0" collapsed="false">
      <c r="A560" s="148" t="n">
        <v>36024</v>
      </c>
      <c r="B560" s="405" t="s">
        <v>6276</v>
      </c>
      <c r="C560" s="119" t="n">
        <v>2023</v>
      </c>
      <c r="D560" s="404" t="n">
        <v>45042</v>
      </c>
      <c r="E560" s="68" t="s">
        <v>6277</v>
      </c>
      <c r="F560" s="405" t="s">
        <v>6278</v>
      </c>
      <c r="G560" s="405" t="s">
        <v>125</v>
      </c>
      <c r="H560" s="405" t="s">
        <v>54</v>
      </c>
      <c r="I560" s="404" t="n">
        <v>45597</v>
      </c>
      <c r="J560" s="68" t="n">
        <v>11</v>
      </c>
      <c r="K560" s="406" t="s">
        <v>290</v>
      </c>
      <c r="L560" s="152" t="s">
        <v>61</v>
      </c>
      <c r="M560" s="152" t="n">
        <f aca="false">I560-D560</f>
        <v>555</v>
      </c>
    </row>
    <row r="561" customFormat="false" ht="12.75" hidden="false" customHeight="true" outlineLevel="0" collapsed="false">
      <c r="A561" s="139" t="n">
        <v>36124</v>
      </c>
      <c r="B561" s="144" t="s">
        <v>6279</v>
      </c>
      <c r="C561" s="115" t="n">
        <v>2019</v>
      </c>
      <c r="D561" s="403" t="n">
        <v>43616</v>
      </c>
      <c r="E561" s="66" t="s">
        <v>6280</v>
      </c>
      <c r="F561" s="66" t="s">
        <v>168</v>
      </c>
      <c r="G561" s="144" t="s">
        <v>441</v>
      </c>
      <c r="H561" s="144" t="s">
        <v>570</v>
      </c>
      <c r="I561" s="403" t="n">
        <v>45597</v>
      </c>
      <c r="J561" s="66" t="n">
        <v>11</v>
      </c>
      <c r="K561" s="196" t="s">
        <v>44</v>
      </c>
      <c r="L561" s="144" t="s">
        <v>60</v>
      </c>
      <c r="M561" s="145" t="n">
        <f aca="false">I561-D561</f>
        <v>1981</v>
      </c>
    </row>
    <row r="562" customFormat="false" ht="12.75" hidden="false" customHeight="true" outlineLevel="0" collapsed="false">
      <c r="A562" s="148" t="n">
        <v>36224</v>
      </c>
      <c r="B562" s="405" t="s">
        <v>6281</v>
      </c>
      <c r="C562" s="119" t="n">
        <v>2020</v>
      </c>
      <c r="D562" s="404" t="n">
        <v>44176</v>
      </c>
      <c r="E562" s="68" t="s">
        <v>6282</v>
      </c>
      <c r="F562" s="405" t="s">
        <v>777</v>
      </c>
      <c r="G562" s="405" t="s">
        <v>441</v>
      </c>
      <c r="H562" s="405" t="s">
        <v>570</v>
      </c>
      <c r="I562" s="404" t="n">
        <v>45597</v>
      </c>
      <c r="J562" s="68" t="n">
        <v>11</v>
      </c>
      <c r="K562" s="71" t="s">
        <v>49</v>
      </c>
      <c r="L562" s="152" t="s">
        <v>58</v>
      </c>
      <c r="M562" s="152" t="n">
        <f aca="false">I562-D562</f>
        <v>1421</v>
      </c>
    </row>
    <row r="563" customFormat="false" ht="12.75" hidden="false" customHeight="true" outlineLevel="0" collapsed="false">
      <c r="A563" s="139" t="n">
        <v>36324</v>
      </c>
      <c r="B563" s="144" t="s">
        <v>6283</v>
      </c>
      <c r="C563" s="115" t="n">
        <v>2019</v>
      </c>
      <c r="D563" s="403" t="n">
        <v>43616</v>
      </c>
      <c r="E563" s="66" t="s">
        <v>6284</v>
      </c>
      <c r="F563" s="66" t="s">
        <v>168</v>
      </c>
      <c r="G563" s="144" t="s">
        <v>441</v>
      </c>
      <c r="H563" s="144" t="s">
        <v>570</v>
      </c>
      <c r="I563" s="403" t="n">
        <v>45597</v>
      </c>
      <c r="J563" s="66" t="n">
        <v>11</v>
      </c>
      <c r="K563" s="196" t="s">
        <v>44</v>
      </c>
      <c r="L563" s="144" t="s">
        <v>60</v>
      </c>
      <c r="M563" s="145" t="n">
        <f aca="false">I563-D563</f>
        <v>1981</v>
      </c>
    </row>
    <row r="564" customFormat="false" ht="12.75" hidden="false" customHeight="true" outlineLevel="0" collapsed="false">
      <c r="A564" s="148" t="n">
        <v>36424</v>
      </c>
      <c r="B564" s="405" t="s">
        <v>6285</v>
      </c>
      <c r="C564" s="119" t="n">
        <v>2019</v>
      </c>
      <c r="D564" s="404" t="n">
        <v>43614</v>
      </c>
      <c r="E564" s="68" t="s">
        <v>6286</v>
      </c>
      <c r="F564" s="405" t="s">
        <v>382</v>
      </c>
      <c r="G564" s="405" t="s">
        <v>441</v>
      </c>
      <c r="H564" s="405" t="s">
        <v>570</v>
      </c>
      <c r="I564" s="404" t="n">
        <v>45597</v>
      </c>
      <c r="J564" s="68" t="n">
        <v>11</v>
      </c>
      <c r="K564" s="71" t="s">
        <v>49</v>
      </c>
      <c r="L564" s="152" t="s">
        <v>60</v>
      </c>
      <c r="M564" s="152" t="n">
        <f aca="false">I564-D564</f>
        <v>1983</v>
      </c>
    </row>
    <row r="565" customFormat="false" ht="12.75" hidden="false" customHeight="true" outlineLevel="0" collapsed="false">
      <c r="A565" s="139" t="n">
        <v>36524</v>
      </c>
      <c r="B565" s="144" t="s">
        <v>6287</v>
      </c>
      <c r="C565" s="115" t="n">
        <v>2019</v>
      </c>
      <c r="D565" s="403" t="n">
        <v>43616</v>
      </c>
      <c r="E565" s="66" t="s">
        <v>6288</v>
      </c>
      <c r="F565" s="66" t="s">
        <v>4170</v>
      </c>
      <c r="G565" s="144" t="s">
        <v>441</v>
      </c>
      <c r="H565" s="144" t="s">
        <v>570</v>
      </c>
      <c r="I565" s="403" t="n">
        <v>45597</v>
      </c>
      <c r="J565" s="66" t="n">
        <v>11</v>
      </c>
      <c r="K565" s="71" t="s">
        <v>49</v>
      </c>
      <c r="L565" s="144" t="s">
        <v>60</v>
      </c>
      <c r="M565" s="145" t="n">
        <f aca="false">I565-D565</f>
        <v>1981</v>
      </c>
    </row>
    <row r="566" customFormat="false" ht="12.75" hidden="false" customHeight="true" outlineLevel="0" collapsed="false">
      <c r="A566" s="148" t="n">
        <v>36624</v>
      </c>
      <c r="B566" s="405" t="s">
        <v>6289</v>
      </c>
      <c r="C566" s="119" t="n">
        <v>2021</v>
      </c>
      <c r="D566" s="404" t="n">
        <v>44286</v>
      </c>
      <c r="E566" s="68" t="s">
        <v>6290</v>
      </c>
      <c r="F566" s="405" t="s">
        <v>3859</v>
      </c>
      <c r="G566" s="405" t="s">
        <v>441</v>
      </c>
      <c r="H566" s="405" t="s">
        <v>119</v>
      </c>
      <c r="I566" s="404" t="n">
        <v>45597</v>
      </c>
      <c r="J566" s="68" t="n">
        <v>11</v>
      </c>
      <c r="K566" s="71" t="s">
        <v>48</v>
      </c>
      <c r="L566" s="152" t="s">
        <v>58</v>
      </c>
      <c r="M566" s="152" t="n">
        <f aca="false">I566-D566</f>
        <v>1311</v>
      </c>
    </row>
    <row r="567" customFormat="false" ht="12.75" hidden="false" customHeight="true" outlineLevel="0" collapsed="false">
      <c r="A567" s="139" t="n">
        <v>36724</v>
      </c>
      <c r="B567" s="144" t="s">
        <v>6291</v>
      </c>
      <c r="C567" s="115" t="n">
        <v>2020</v>
      </c>
      <c r="D567" s="403" t="n">
        <v>43846</v>
      </c>
      <c r="E567" s="66" t="s">
        <v>6292</v>
      </c>
      <c r="F567" s="66" t="s">
        <v>6293</v>
      </c>
      <c r="G567" s="144" t="s">
        <v>441</v>
      </c>
      <c r="H567" s="144" t="s">
        <v>184</v>
      </c>
      <c r="I567" s="403" t="n">
        <v>45597</v>
      </c>
      <c r="J567" s="66" t="n">
        <v>11</v>
      </c>
      <c r="K567" s="71" t="s">
        <v>49</v>
      </c>
      <c r="L567" s="144" t="s">
        <v>58</v>
      </c>
      <c r="M567" s="145" t="n">
        <f aca="false">I567-D567</f>
        <v>1751</v>
      </c>
    </row>
    <row r="568" customFormat="false" ht="12.75" hidden="false" customHeight="true" outlineLevel="0" collapsed="false">
      <c r="A568" s="148" t="n">
        <v>36824</v>
      </c>
      <c r="B568" s="405" t="s">
        <v>6294</v>
      </c>
      <c r="C568" s="119" t="n">
        <v>2018</v>
      </c>
      <c r="D568" s="404" t="n">
        <v>43174</v>
      </c>
      <c r="E568" s="68" t="s">
        <v>6295</v>
      </c>
      <c r="F568" s="405" t="s">
        <v>6296</v>
      </c>
      <c r="G568" s="405" t="s">
        <v>115</v>
      </c>
      <c r="H568" s="405" t="s">
        <v>6297</v>
      </c>
      <c r="I568" s="404" t="n">
        <v>45597</v>
      </c>
      <c r="J568" s="68" t="n">
        <v>11</v>
      </c>
      <c r="K568" s="71" t="s">
        <v>48</v>
      </c>
      <c r="L568" s="152" t="s">
        <v>58</v>
      </c>
      <c r="M568" s="152" t="n">
        <f aca="false">I568-D568</f>
        <v>2423</v>
      </c>
    </row>
    <row r="569" customFormat="false" ht="12.75" hidden="false" customHeight="true" outlineLevel="0" collapsed="false">
      <c r="A569" s="139" t="n">
        <v>36924</v>
      </c>
      <c r="B569" s="425" t="s">
        <v>6298</v>
      </c>
      <c r="C569" s="115" t="n">
        <v>2023</v>
      </c>
      <c r="D569" s="403" t="n">
        <v>45208</v>
      </c>
      <c r="E569" s="66" t="s">
        <v>6299</v>
      </c>
      <c r="F569" s="426" t="s">
        <v>6300</v>
      </c>
      <c r="G569" s="144" t="s">
        <v>130</v>
      </c>
      <c r="H569" s="144" t="s">
        <v>3915</v>
      </c>
      <c r="I569" s="403" t="n">
        <v>45624</v>
      </c>
      <c r="J569" s="66" t="n">
        <v>11</v>
      </c>
      <c r="K569" s="71" t="s">
        <v>49</v>
      </c>
      <c r="L569" s="144" t="s">
        <v>61</v>
      </c>
      <c r="M569" s="145" t="n">
        <f aca="false">I569-D569</f>
        <v>416</v>
      </c>
    </row>
    <row r="570" customFormat="false" ht="12.75" hidden="false" customHeight="true" outlineLevel="0" collapsed="false">
      <c r="A570" s="148" t="n">
        <v>37024</v>
      </c>
      <c r="B570" s="405" t="s">
        <v>6301</v>
      </c>
      <c r="C570" s="119" t="n">
        <v>2024</v>
      </c>
      <c r="D570" s="404" t="n">
        <v>45302</v>
      </c>
      <c r="E570" s="405" t="s">
        <v>6302</v>
      </c>
      <c r="F570" s="427" t="s">
        <v>6303</v>
      </c>
      <c r="G570" s="405" t="s">
        <v>130</v>
      </c>
      <c r="H570" s="405" t="s">
        <v>3234</v>
      </c>
      <c r="I570" s="404" t="n">
        <v>45624</v>
      </c>
      <c r="J570" s="68" t="n">
        <v>11</v>
      </c>
      <c r="K570" s="71" t="s">
        <v>49</v>
      </c>
      <c r="L570" s="152" t="s">
        <v>61</v>
      </c>
      <c r="M570" s="152" t="n">
        <f aca="false">I570-D570</f>
        <v>322</v>
      </c>
    </row>
    <row r="571" customFormat="false" ht="12.75" hidden="false" customHeight="true" outlineLevel="0" collapsed="false">
      <c r="A571" s="139" t="n">
        <v>37124</v>
      </c>
      <c r="B571" s="144" t="s">
        <v>6304</v>
      </c>
      <c r="C571" s="115" t="n">
        <v>2023</v>
      </c>
      <c r="D571" s="403" t="n">
        <v>45205</v>
      </c>
      <c r="E571" s="66" t="s">
        <v>6305</v>
      </c>
      <c r="F571" s="428" t="s">
        <v>6306</v>
      </c>
      <c r="G571" s="144" t="s">
        <v>125</v>
      </c>
      <c r="H571" s="144" t="s">
        <v>662</v>
      </c>
      <c r="I571" s="403" t="n">
        <v>45624</v>
      </c>
      <c r="J571" s="66" t="n">
        <v>11</v>
      </c>
      <c r="K571" s="71" t="s">
        <v>49</v>
      </c>
      <c r="L571" s="144" t="s">
        <v>61</v>
      </c>
      <c r="M571" s="145" t="n">
        <f aca="false">I571-D571</f>
        <v>419</v>
      </c>
    </row>
    <row r="572" customFormat="false" ht="12.75" hidden="false" customHeight="true" outlineLevel="0" collapsed="false">
      <c r="A572" s="148" t="n">
        <v>37224</v>
      </c>
      <c r="B572" s="405" t="s">
        <v>6307</v>
      </c>
      <c r="C572" s="119" t="n">
        <v>2023</v>
      </c>
      <c r="D572" s="404" t="n">
        <v>45104</v>
      </c>
      <c r="E572" s="405" t="s">
        <v>6308</v>
      </c>
      <c r="F572" s="427" t="s">
        <v>6309</v>
      </c>
      <c r="G572" s="405" t="s">
        <v>125</v>
      </c>
      <c r="H572" s="405" t="s">
        <v>3893</v>
      </c>
      <c r="I572" s="404" t="n">
        <v>45625</v>
      </c>
      <c r="J572" s="68" t="n">
        <v>11</v>
      </c>
      <c r="K572" s="406" t="s">
        <v>290</v>
      </c>
      <c r="L572" s="152" t="s">
        <v>61</v>
      </c>
      <c r="M572" s="152" t="n">
        <f aca="false">I572-D572</f>
        <v>521</v>
      </c>
    </row>
    <row r="573" customFormat="false" ht="12.75" hidden="false" customHeight="true" outlineLevel="0" collapsed="false">
      <c r="A573" s="139" t="n">
        <v>37324</v>
      </c>
      <c r="B573" s="144" t="s">
        <v>6310</v>
      </c>
      <c r="C573" s="115" t="n">
        <v>2023</v>
      </c>
      <c r="D573" s="403" t="n">
        <v>45156</v>
      </c>
      <c r="E573" s="66" t="s">
        <v>6311</v>
      </c>
      <c r="F573" s="266" t="s">
        <v>6312</v>
      </c>
      <c r="G573" s="144" t="s">
        <v>125</v>
      </c>
      <c r="H573" s="144" t="s">
        <v>972</v>
      </c>
      <c r="I573" s="403" t="n">
        <v>45629</v>
      </c>
      <c r="J573" s="66" t="n">
        <v>12</v>
      </c>
      <c r="K573" s="71" t="s">
        <v>49</v>
      </c>
      <c r="L573" s="144" t="s">
        <v>61</v>
      </c>
      <c r="M573" s="145" t="n">
        <f aca="false">I573-D573</f>
        <v>473</v>
      </c>
    </row>
    <row r="574" customFormat="false" ht="12.75" hidden="false" customHeight="true" outlineLevel="0" collapsed="false">
      <c r="A574" s="148" t="n">
        <v>37424</v>
      </c>
      <c r="B574" s="405" t="s">
        <v>6313</v>
      </c>
      <c r="C574" s="119" t="n">
        <v>2023</v>
      </c>
      <c r="D574" s="404" t="n">
        <v>45041</v>
      </c>
      <c r="E574" s="405" t="s">
        <v>6314</v>
      </c>
      <c r="F574" s="427" t="s">
        <v>6315</v>
      </c>
      <c r="G574" s="405" t="s">
        <v>130</v>
      </c>
      <c r="H574" s="405" t="s">
        <v>5787</v>
      </c>
      <c r="I574" s="404" t="n">
        <v>45625</v>
      </c>
      <c r="J574" s="68" t="n">
        <v>11</v>
      </c>
      <c r="K574" s="71" t="s">
        <v>49</v>
      </c>
      <c r="L574" s="152" t="s">
        <v>61</v>
      </c>
      <c r="M574" s="152" t="n">
        <f aca="false">I574-D574</f>
        <v>584</v>
      </c>
    </row>
    <row r="575" customFormat="false" ht="12.75" hidden="false" customHeight="true" outlineLevel="0" collapsed="false">
      <c r="A575" s="139" t="n">
        <v>37524</v>
      </c>
      <c r="B575" s="144" t="s">
        <v>6316</v>
      </c>
      <c r="C575" s="115" t="n">
        <v>2021</v>
      </c>
      <c r="D575" s="403" t="n">
        <v>44358</v>
      </c>
      <c r="E575" s="66" t="s">
        <v>6317</v>
      </c>
      <c r="F575" s="66" t="s">
        <v>3190</v>
      </c>
      <c r="G575" s="144" t="s">
        <v>441</v>
      </c>
      <c r="H575" s="144" t="s">
        <v>544</v>
      </c>
      <c r="I575" s="403" t="n">
        <v>45625</v>
      </c>
      <c r="J575" s="66" t="n">
        <v>11</v>
      </c>
      <c r="K575" s="71" t="s">
        <v>48</v>
      </c>
      <c r="L575" s="144" t="s">
        <v>60</v>
      </c>
      <c r="M575" s="145" t="n">
        <f aca="false">I575-D575</f>
        <v>1267</v>
      </c>
    </row>
    <row r="576" customFormat="false" ht="12.75" hidden="false" customHeight="true" outlineLevel="0" collapsed="false">
      <c r="A576" s="148" t="n">
        <v>37624</v>
      </c>
      <c r="B576" s="405" t="s">
        <v>6318</v>
      </c>
      <c r="C576" s="119" t="n">
        <v>2023</v>
      </c>
      <c r="D576" s="404" t="n">
        <v>45282</v>
      </c>
      <c r="E576" s="405" t="s">
        <v>6319</v>
      </c>
      <c r="F576" s="429" t="s">
        <v>6216</v>
      </c>
      <c r="G576" s="405" t="s">
        <v>115</v>
      </c>
      <c r="H576" s="405" t="s">
        <v>1880</v>
      </c>
      <c r="I576" s="404" t="n">
        <v>45625</v>
      </c>
      <c r="J576" s="68" t="n">
        <v>11</v>
      </c>
      <c r="K576" s="71" t="s">
        <v>49</v>
      </c>
      <c r="L576" s="152" t="s">
        <v>61</v>
      </c>
      <c r="M576" s="152" t="n">
        <f aca="false">I576-D576</f>
        <v>343</v>
      </c>
    </row>
    <row r="577" customFormat="false" ht="12.75" hidden="false" customHeight="true" outlineLevel="0" collapsed="false">
      <c r="A577" s="139" t="n">
        <v>37724</v>
      </c>
      <c r="B577" s="144" t="s">
        <v>6320</v>
      </c>
      <c r="C577" s="115" t="n">
        <v>2020</v>
      </c>
      <c r="D577" s="403" t="n">
        <v>43937</v>
      </c>
      <c r="E577" s="66" t="s">
        <v>6321</v>
      </c>
      <c r="F577" s="66" t="s">
        <v>5661</v>
      </c>
      <c r="G577" s="144" t="s">
        <v>441</v>
      </c>
      <c r="H577" s="144" t="s">
        <v>6322</v>
      </c>
      <c r="I577" s="403" t="n">
        <v>45625</v>
      </c>
      <c r="J577" s="66" t="n">
        <v>11</v>
      </c>
      <c r="K577" s="71" t="s">
        <v>49</v>
      </c>
      <c r="L577" s="144" t="s">
        <v>60</v>
      </c>
      <c r="M577" s="145" t="n">
        <f aca="false">I577-D577</f>
        <v>1688</v>
      </c>
    </row>
    <row r="578" customFormat="false" ht="12.75" hidden="false" customHeight="true" outlineLevel="0" collapsed="false">
      <c r="A578" s="148" t="n">
        <v>37824</v>
      </c>
      <c r="B578" s="405" t="s">
        <v>6323</v>
      </c>
      <c r="C578" s="119" t="n">
        <v>2020</v>
      </c>
      <c r="D578" s="404" t="n">
        <v>43937</v>
      </c>
      <c r="E578" s="405" t="s">
        <v>6324</v>
      </c>
      <c r="F578" s="405" t="s">
        <v>5536</v>
      </c>
      <c r="G578" s="405" t="s">
        <v>441</v>
      </c>
      <c r="H578" s="405" t="s">
        <v>6322</v>
      </c>
      <c r="I578" s="404" t="n">
        <v>45625</v>
      </c>
      <c r="J578" s="68" t="n">
        <v>11</v>
      </c>
      <c r="K578" s="71" t="s">
        <v>49</v>
      </c>
      <c r="L578" s="152" t="s">
        <v>60</v>
      </c>
      <c r="M578" s="152" t="n">
        <f aca="false">I578-D578</f>
        <v>1688</v>
      </c>
    </row>
    <row r="579" customFormat="false" ht="12.75" hidden="false" customHeight="true" outlineLevel="0" collapsed="false">
      <c r="A579" s="139" t="n">
        <v>37924</v>
      </c>
      <c r="B579" s="144" t="s">
        <v>6325</v>
      </c>
      <c r="C579" s="115" t="n">
        <v>2021</v>
      </c>
      <c r="D579" s="403" t="n">
        <v>44530</v>
      </c>
      <c r="E579" s="66" t="s">
        <v>6326</v>
      </c>
      <c r="F579" s="266" t="s">
        <v>6327</v>
      </c>
      <c r="G579" s="144" t="s">
        <v>115</v>
      </c>
      <c r="H579" s="144" t="s">
        <v>134</v>
      </c>
      <c r="I579" s="403" t="n">
        <v>45628</v>
      </c>
      <c r="J579" s="66" t="n">
        <v>12</v>
      </c>
      <c r="K579" s="71" t="s">
        <v>49</v>
      </c>
      <c r="L579" s="144" t="s">
        <v>58</v>
      </c>
      <c r="M579" s="145" t="n">
        <f aca="false">I579-D579</f>
        <v>1098</v>
      </c>
    </row>
    <row r="580" customFormat="false" ht="12.75" hidden="false" customHeight="true" outlineLevel="0" collapsed="false">
      <c r="A580" s="148" t="n">
        <v>38024</v>
      </c>
      <c r="B580" s="405" t="s">
        <v>6328</v>
      </c>
      <c r="C580" s="119" t="n">
        <v>2019</v>
      </c>
      <c r="D580" s="404" t="n">
        <v>43797</v>
      </c>
      <c r="E580" s="405" t="s">
        <v>6329</v>
      </c>
      <c r="F580" s="405" t="s">
        <v>4519</v>
      </c>
      <c r="G580" s="405" t="s">
        <v>441</v>
      </c>
      <c r="H580" s="405" t="s">
        <v>350</v>
      </c>
      <c r="I580" s="404" t="n">
        <v>45629</v>
      </c>
      <c r="J580" s="68" t="n">
        <v>12</v>
      </c>
      <c r="K580" s="71" t="s">
        <v>48</v>
      </c>
      <c r="L580" s="152" t="s">
        <v>60</v>
      </c>
      <c r="M580" s="152" t="n">
        <f aca="false">I580-D580</f>
        <v>1832</v>
      </c>
    </row>
    <row r="581" customFormat="false" ht="12.75" hidden="false" customHeight="true" outlineLevel="0" collapsed="false">
      <c r="A581" s="139" t="n">
        <v>38124</v>
      </c>
      <c r="B581" s="144" t="s">
        <v>6330</v>
      </c>
      <c r="C581" s="115" t="n">
        <v>2021</v>
      </c>
      <c r="D581" s="403" t="n">
        <v>44336</v>
      </c>
      <c r="E581" s="66" t="s">
        <v>6331</v>
      </c>
      <c r="F581" s="66" t="s">
        <v>3305</v>
      </c>
      <c r="G581" s="144" t="s">
        <v>144</v>
      </c>
      <c r="H581" s="144" t="s">
        <v>6332</v>
      </c>
      <c r="I581" s="403" t="n">
        <v>45629</v>
      </c>
      <c r="J581" s="66" t="n">
        <v>12</v>
      </c>
      <c r="K581" s="196" t="s">
        <v>44</v>
      </c>
      <c r="L581" s="144" t="s">
        <v>60</v>
      </c>
      <c r="M581" s="145" t="n">
        <f aca="false">I581-D581</f>
        <v>1293</v>
      </c>
    </row>
    <row r="582" customFormat="false" ht="12.75" hidden="false" customHeight="true" outlineLevel="0" collapsed="false">
      <c r="A582" s="148" t="n">
        <v>38224</v>
      </c>
      <c r="B582" s="405" t="s">
        <v>6333</v>
      </c>
      <c r="C582" s="119" t="n">
        <v>2018</v>
      </c>
      <c r="D582" s="404" t="n">
        <v>43210</v>
      </c>
      <c r="E582" s="405" t="s">
        <v>6334</v>
      </c>
      <c r="F582" s="405" t="s">
        <v>3190</v>
      </c>
      <c r="G582" s="405" t="s">
        <v>441</v>
      </c>
      <c r="H582" s="405" t="s">
        <v>706</v>
      </c>
      <c r="I582" s="404" t="n">
        <v>45629</v>
      </c>
      <c r="J582" s="68" t="n">
        <v>12</v>
      </c>
      <c r="K582" s="71" t="s">
        <v>49</v>
      </c>
      <c r="L582" s="152" t="s">
        <v>60</v>
      </c>
      <c r="M582" s="152" t="n">
        <f aca="false">I582-D582</f>
        <v>2419</v>
      </c>
    </row>
    <row r="583" customFormat="false" ht="12.75" hidden="false" customHeight="true" outlineLevel="0" collapsed="false">
      <c r="A583" s="139" t="n">
        <v>38324</v>
      </c>
      <c r="B583" s="144" t="s">
        <v>6335</v>
      </c>
      <c r="C583" s="115" t="n">
        <v>2020</v>
      </c>
      <c r="D583" s="403" t="n">
        <v>43937</v>
      </c>
      <c r="E583" s="66" t="s">
        <v>6336</v>
      </c>
      <c r="F583" s="66" t="s">
        <v>5536</v>
      </c>
      <c r="G583" s="144" t="s">
        <v>441</v>
      </c>
      <c r="H583" s="144" t="s">
        <v>6322</v>
      </c>
      <c r="I583" s="403" t="n">
        <v>45629</v>
      </c>
      <c r="J583" s="66" t="n">
        <v>12</v>
      </c>
      <c r="K583" s="71" t="s">
        <v>49</v>
      </c>
      <c r="L583" s="144" t="s">
        <v>60</v>
      </c>
      <c r="M583" s="145" t="n">
        <f aca="false">I583-D583</f>
        <v>1692</v>
      </c>
    </row>
    <row r="584" customFormat="false" ht="12.75" hidden="false" customHeight="true" outlineLevel="0" collapsed="false">
      <c r="A584" s="148" t="n">
        <v>38424</v>
      </c>
      <c r="B584" s="405" t="s">
        <v>6337</v>
      </c>
      <c r="C584" s="119" t="n">
        <v>2018</v>
      </c>
      <c r="D584" s="404" t="n">
        <v>43250</v>
      </c>
      <c r="E584" s="405" t="s">
        <v>6338</v>
      </c>
      <c r="F584" s="405" t="s">
        <v>6339</v>
      </c>
      <c r="G584" s="405" t="s">
        <v>441</v>
      </c>
      <c r="H584" s="405" t="s">
        <v>2654</v>
      </c>
      <c r="I584" s="404" t="n">
        <v>45629</v>
      </c>
      <c r="J584" s="68" t="n">
        <v>12</v>
      </c>
      <c r="K584" s="71" t="s">
        <v>49</v>
      </c>
      <c r="L584" s="152" t="s">
        <v>60</v>
      </c>
      <c r="M584" s="152" t="n">
        <f aca="false">I584-D584</f>
        <v>2379</v>
      </c>
    </row>
    <row r="585" customFormat="false" ht="12.75" hidden="false" customHeight="true" outlineLevel="0" collapsed="false">
      <c r="A585" s="139" t="n">
        <v>38524</v>
      </c>
      <c r="B585" s="144" t="s">
        <v>6340</v>
      </c>
      <c r="C585" s="115" t="n">
        <v>2015</v>
      </c>
      <c r="D585" s="403" t="n">
        <v>42090</v>
      </c>
      <c r="E585" s="66" t="s">
        <v>6341</v>
      </c>
      <c r="F585" s="66" t="s">
        <v>401</v>
      </c>
      <c r="G585" s="144" t="s">
        <v>441</v>
      </c>
      <c r="H585" s="144" t="s">
        <v>471</v>
      </c>
      <c r="I585" s="403" t="n">
        <v>45629</v>
      </c>
      <c r="J585" s="66" t="n">
        <v>12</v>
      </c>
      <c r="K585" s="71" t="s">
        <v>49</v>
      </c>
      <c r="L585" s="144" t="s">
        <v>58</v>
      </c>
      <c r="M585" s="145" t="n">
        <f aca="false">I585-D585</f>
        <v>3539</v>
      </c>
    </row>
    <row r="586" customFormat="false" ht="12.75" hidden="false" customHeight="true" outlineLevel="0" collapsed="false">
      <c r="A586" s="148" t="n">
        <v>38624</v>
      </c>
      <c r="B586" s="405" t="s">
        <v>6342</v>
      </c>
      <c r="C586" s="119" t="n">
        <v>2013</v>
      </c>
      <c r="D586" s="404" t="n">
        <v>41492</v>
      </c>
      <c r="E586" s="405" t="s">
        <v>6343</v>
      </c>
      <c r="F586" s="405" t="s">
        <v>3309</v>
      </c>
      <c r="G586" s="405" t="s">
        <v>441</v>
      </c>
      <c r="H586" s="405" t="s">
        <v>471</v>
      </c>
      <c r="I586" s="404" t="n">
        <v>45629</v>
      </c>
      <c r="J586" s="68" t="n">
        <v>12</v>
      </c>
      <c r="K586" s="71" t="s">
        <v>49</v>
      </c>
      <c r="L586" s="152" t="s">
        <v>60</v>
      </c>
      <c r="M586" s="152" t="n">
        <f aca="false">I586-D586</f>
        <v>4137</v>
      </c>
    </row>
    <row r="587" customFormat="false" ht="12.75" hidden="false" customHeight="true" outlineLevel="0" collapsed="false">
      <c r="A587" s="139" t="n">
        <v>38724</v>
      </c>
      <c r="B587" s="144" t="s">
        <v>6344</v>
      </c>
      <c r="C587" s="115" t="n">
        <v>2023</v>
      </c>
      <c r="D587" s="403" t="n">
        <v>45197</v>
      </c>
      <c r="E587" s="66" t="s">
        <v>6345</v>
      </c>
      <c r="F587" s="266" t="s">
        <v>5582</v>
      </c>
      <c r="G587" s="144" t="s">
        <v>125</v>
      </c>
      <c r="H587" s="144" t="s">
        <v>3021</v>
      </c>
      <c r="I587" s="403" t="n">
        <v>45629</v>
      </c>
      <c r="J587" s="66" t="n">
        <v>12</v>
      </c>
      <c r="K587" s="406" t="s">
        <v>290</v>
      </c>
      <c r="L587" s="144" t="s">
        <v>61</v>
      </c>
      <c r="M587" s="145" t="n">
        <f aca="false">I587-D587</f>
        <v>432</v>
      </c>
    </row>
    <row r="588" customFormat="false" ht="12.75" hidden="false" customHeight="true" outlineLevel="0" collapsed="false">
      <c r="A588" s="148" t="n">
        <v>38824</v>
      </c>
      <c r="B588" s="405" t="s">
        <v>6346</v>
      </c>
      <c r="C588" s="119" t="n">
        <v>2018</v>
      </c>
      <c r="D588" s="404" t="n">
        <v>43374</v>
      </c>
      <c r="E588" s="405" t="s">
        <v>6347</v>
      </c>
      <c r="F588" s="151" t="s">
        <v>5602</v>
      </c>
      <c r="G588" s="405" t="s">
        <v>441</v>
      </c>
      <c r="H588" s="405" t="s">
        <v>4139</v>
      </c>
      <c r="I588" s="404" t="n">
        <v>45629</v>
      </c>
      <c r="J588" s="68" t="n">
        <v>12</v>
      </c>
      <c r="K588" s="71" t="s">
        <v>48</v>
      </c>
      <c r="L588" s="152" t="s">
        <v>60</v>
      </c>
      <c r="M588" s="152" t="n">
        <f aca="false">I588-D588</f>
        <v>2255</v>
      </c>
    </row>
    <row r="589" customFormat="false" ht="12.75" hidden="false" customHeight="true" outlineLevel="0" collapsed="false">
      <c r="A589" s="139" t="n">
        <v>38924</v>
      </c>
      <c r="B589" s="144" t="s">
        <v>6348</v>
      </c>
      <c r="C589" s="115" t="n">
        <v>2018</v>
      </c>
      <c r="D589" s="403" t="n">
        <v>43368</v>
      </c>
      <c r="E589" s="66" t="s">
        <v>6349</v>
      </c>
      <c r="F589" s="66" t="s">
        <v>168</v>
      </c>
      <c r="G589" s="144" t="s">
        <v>441</v>
      </c>
      <c r="H589" s="144" t="s">
        <v>129</v>
      </c>
      <c r="I589" s="403" t="n">
        <v>45629</v>
      </c>
      <c r="J589" s="66" t="n">
        <v>12</v>
      </c>
      <c r="K589" s="71" t="s">
        <v>48</v>
      </c>
      <c r="L589" s="144" t="s">
        <v>60</v>
      </c>
      <c r="M589" s="145" t="n">
        <f aca="false">I589-D589</f>
        <v>2261</v>
      </c>
    </row>
    <row r="590" customFormat="false" ht="12.75" hidden="false" customHeight="true" outlineLevel="0" collapsed="false">
      <c r="A590" s="148" t="n">
        <v>39024</v>
      </c>
      <c r="B590" s="405" t="s">
        <v>6350</v>
      </c>
      <c r="C590" s="119" t="n">
        <v>2021</v>
      </c>
      <c r="D590" s="404" t="n">
        <v>44469</v>
      </c>
      <c r="E590" s="405" t="s">
        <v>6351</v>
      </c>
      <c r="F590" s="274" t="s">
        <v>6352</v>
      </c>
      <c r="G590" s="405" t="s">
        <v>115</v>
      </c>
      <c r="H590" s="405" t="s">
        <v>1791</v>
      </c>
      <c r="I590" s="404" t="n">
        <v>45629</v>
      </c>
      <c r="J590" s="68" t="n">
        <v>12</v>
      </c>
      <c r="K590" s="406" t="s">
        <v>290</v>
      </c>
      <c r="L590" s="144" t="s">
        <v>60</v>
      </c>
      <c r="M590" s="152" t="n">
        <f aca="false">I590-D590</f>
        <v>1160</v>
      </c>
    </row>
    <row r="591" customFormat="false" ht="12.75" hidden="false" customHeight="true" outlineLevel="0" collapsed="false">
      <c r="A591" s="139" t="n">
        <v>39124</v>
      </c>
      <c r="B591" s="144" t="s">
        <v>6353</v>
      </c>
      <c r="C591" s="115" t="n">
        <v>2023</v>
      </c>
      <c r="D591" s="403" t="n">
        <v>45191</v>
      </c>
      <c r="E591" s="144" t="s">
        <v>6354</v>
      </c>
      <c r="F591" s="144" t="s">
        <v>6355</v>
      </c>
      <c r="G591" s="144" t="s">
        <v>125</v>
      </c>
      <c r="H591" s="144" t="s">
        <v>3472</v>
      </c>
      <c r="I591" s="403" t="n">
        <v>45630</v>
      </c>
      <c r="J591" s="66" t="n">
        <v>12</v>
      </c>
      <c r="K591" s="71" t="s">
        <v>49</v>
      </c>
      <c r="L591" s="144" t="s">
        <v>61</v>
      </c>
      <c r="M591" s="145" t="n">
        <f aca="false">I591-D591</f>
        <v>439</v>
      </c>
    </row>
    <row r="592" customFormat="false" ht="12.75" hidden="false" customHeight="true" outlineLevel="0" collapsed="false">
      <c r="A592" s="148" t="n">
        <v>39224</v>
      </c>
      <c r="B592" s="405" t="s">
        <v>6356</v>
      </c>
      <c r="C592" s="119" t="n">
        <v>2023</v>
      </c>
      <c r="D592" s="404" t="n">
        <v>45279</v>
      </c>
      <c r="E592" s="405" t="s">
        <v>6357</v>
      </c>
      <c r="F592" s="405" t="s">
        <v>699</v>
      </c>
      <c r="G592" s="405" t="s">
        <v>144</v>
      </c>
      <c r="H592" s="405" t="s">
        <v>6358</v>
      </c>
      <c r="I592" s="404" t="n">
        <v>45639</v>
      </c>
      <c r="J592" s="68" t="n">
        <v>12</v>
      </c>
      <c r="K592" s="406" t="s">
        <v>290</v>
      </c>
      <c r="L592" s="144" t="s">
        <v>60</v>
      </c>
      <c r="M592" s="152" t="n">
        <f aca="false">I592-D592</f>
        <v>360</v>
      </c>
    </row>
    <row r="593" customFormat="false" ht="12.75" hidden="false" customHeight="true" outlineLevel="0" collapsed="false">
      <c r="A593" s="139" t="n">
        <v>39324</v>
      </c>
      <c r="B593" s="144" t="s">
        <v>6359</v>
      </c>
      <c r="C593" s="115" t="n">
        <v>2024</v>
      </c>
      <c r="D593" s="403" t="n">
        <v>45401</v>
      </c>
      <c r="E593" s="144" t="s">
        <v>6360</v>
      </c>
      <c r="F593" s="428" t="s">
        <v>6361</v>
      </c>
      <c r="G593" s="144" t="s">
        <v>125</v>
      </c>
      <c r="H593" s="144" t="s">
        <v>5376</v>
      </c>
      <c r="I593" s="403" t="n">
        <v>45639</v>
      </c>
      <c r="J593" s="66" t="n">
        <v>12</v>
      </c>
      <c r="K593" s="406" t="s">
        <v>290</v>
      </c>
      <c r="L593" s="144" t="s">
        <v>61</v>
      </c>
      <c r="M593" s="145" t="n">
        <f aca="false">I593-D593</f>
        <v>238</v>
      </c>
    </row>
    <row r="594" customFormat="false" ht="12.75" hidden="false" customHeight="true" outlineLevel="0" collapsed="false">
      <c r="A594" s="148" t="n">
        <v>39424</v>
      </c>
      <c r="B594" s="405" t="s">
        <v>6362</v>
      </c>
      <c r="C594" s="119" t="n">
        <v>2021</v>
      </c>
      <c r="D594" s="404" t="n">
        <v>44238</v>
      </c>
      <c r="E594" s="405" t="s">
        <v>6363</v>
      </c>
      <c r="F594" s="405" t="s">
        <v>632</v>
      </c>
      <c r="G594" s="405" t="s">
        <v>441</v>
      </c>
      <c r="H594" s="405" t="s">
        <v>243</v>
      </c>
      <c r="I594" s="404" t="n">
        <v>45642</v>
      </c>
      <c r="J594" s="68" t="n">
        <v>12</v>
      </c>
      <c r="K594" s="71" t="s">
        <v>49</v>
      </c>
      <c r="L594" s="152" t="s">
        <v>58</v>
      </c>
      <c r="M594" s="152" t="n">
        <f aca="false">I594-D594</f>
        <v>1404</v>
      </c>
    </row>
    <row r="595" customFormat="false" ht="12.75" hidden="false" customHeight="true" outlineLevel="0" collapsed="false">
      <c r="A595" s="139" t="n">
        <v>39524</v>
      </c>
      <c r="B595" s="144" t="s">
        <v>6364</v>
      </c>
      <c r="C595" s="115" t="n">
        <v>2015</v>
      </c>
      <c r="D595" s="403" t="n">
        <v>42102</v>
      </c>
      <c r="E595" s="144" t="s">
        <v>6365</v>
      </c>
      <c r="F595" s="428" t="s">
        <v>401</v>
      </c>
      <c r="G595" s="144" t="s">
        <v>441</v>
      </c>
      <c r="H595" s="144" t="s">
        <v>6366</v>
      </c>
      <c r="I595" s="403" t="n">
        <v>45656</v>
      </c>
      <c r="J595" s="66" t="n">
        <v>12</v>
      </c>
      <c r="K595" s="71" t="s">
        <v>49</v>
      </c>
      <c r="L595" s="144" t="s">
        <v>60</v>
      </c>
      <c r="M595" s="145" t="n">
        <f aca="false">I595-D595</f>
        <v>3554</v>
      </c>
    </row>
    <row r="596" customFormat="false" ht="12.75" hidden="false" customHeight="true" outlineLevel="0" collapsed="false">
      <c r="A596" s="148" t="n">
        <v>39624</v>
      </c>
      <c r="B596" s="405" t="s">
        <v>6367</v>
      </c>
      <c r="C596" s="119" t="n">
        <v>2024</v>
      </c>
      <c r="D596" s="404" t="n">
        <v>45299</v>
      </c>
      <c r="E596" s="405" t="s">
        <v>6368</v>
      </c>
      <c r="F596" s="405" t="s">
        <v>636</v>
      </c>
      <c r="G596" s="405" t="s">
        <v>130</v>
      </c>
      <c r="H596" s="405" t="s">
        <v>3568</v>
      </c>
      <c r="I596" s="404" t="n">
        <v>45642</v>
      </c>
      <c r="J596" s="68" t="n">
        <v>12</v>
      </c>
      <c r="K596" s="71" t="s">
        <v>49</v>
      </c>
      <c r="L596" s="152" t="s">
        <v>61</v>
      </c>
      <c r="M596" s="152" t="n">
        <f aca="false">I596-D596</f>
        <v>343</v>
      </c>
    </row>
    <row r="597" customFormat="false" ht="12.75" hidden="false" customHeight="true" outlineLevel="0" collapsed="false">
      <c r="A597" s="139" t="n">
        <v>39724</v>
      </c>
      <c r="B597" s="144" t="s">
        <v>6369</v>
      </c>
      <c r="C597" s="115" t="n">
        <v>2023</v>
      </c>
      <c r="D597" s="403" t="n">
        <v>45191</v>
      </c>
      <c r="E597" s="144" t="s">
        <v>6370</v>
      </c>
      <c r="F597" s="428" t="s">
        <v>6371</v>
      </c>
      <c r="G597" s="144" t="s">
        <v>4747</v>
      </c>
      <c r="H597" s="144" t="s">
        <v>3472</v>
      </c>
      <c r="I597" s="403" t="n">
        <v>45643</v>
      </c>
      <c r="J597" s="66" t="n">
        <v>12</v>
      </c>
      <c r="K597" s="71" t="s">
        <v>49</v>
      </c>
      <c r="L597" s="144" t="s">
        <v>61</v>
      </c>
      <c r="M597" s="145" t="n">
        <f aca="false">I597-D597</f>
        <v>452</v>
      </c>
    </row>
    <row r="598" customFormat="false" ht="12.75" hidden="false" customHeight="true" outlineLevel="0" collapsed="false">
      <c r="A598" s="148" t="n">
        <v>39824</v>
      </c>
      <c r="B598" s="405" t="s">
        <v>6372</v>
      </c>
      <c r="C598" s="119" t="n">
        <v>2024</v>
      </c>
      <c r="D598" s="404" t="n">
        <v>45377</v>
      </c>
      <c r="E598" s="405" t="s">
        <v>6373</v>
      </c>
      <c r="F598" s="405" t="s">
        <v>876</v>
      </c>
      <c r="G598" s="405" t="s">
        <v>130</v>
      </c>
      <c r="H598" s="405" t="s">
        <v>464</v>
      </c>
      <c r="I598" s="404" t="n">
        <v>45643</v>
      </c>
      <c r="J598" s="68" t="n">
        <v>12</v>
      </c>
      <c r="K598" s="71" t="s">
        <v>49</v>
      </c>
      <c r="L598" s="152" t="s">
        <v>61</v>
      </c>
      <c r="M598" s="152" t="n">
        <f aca="false">I598-D598</f>
        <v>266</v>
      </c>
    </row>
    <row r="599" customFormat="false" ht="12.75" hidden="false" customHeight="true" outlineLevel="0" collapsed="false">
      <c r="A599" s="139" t="n">
        <v>39924</v>
      </c>
      <c r="B599" s="144" t="s">
        <v>6374</v>
      </c>
      <c r="C599" s="115" t="n">
        <v>2024</v>
      </c>
      <c r="D599" s="403" t="n">
        <v>45376</v>
      </c>
      <c r="E599" s="144" t="s">
        <v>6375</v>
      </c>
      <c r="F599" s="428" t="s">
        <v>6376</v>
      </c>
      <c r="G599" s="144" t="s">
        <v>130</v>
      </c>
      <c r="H599" s="144" t="s">
        <v>6377</v>
      </c>
      <c r="I599" s="403" t="n">
        <v>45643</v>
      </c>
      <c r="J599" s="66" t="n">
        <v>12</v>
      </c>
      <c r="K599" s="71" t="s">
        <v>49</v>
      </c>
      <c r="L599" s="144" t="s">
        <v>61</v>
      </c>
      <c r="M599" s="145" t="n">
        <f aca="false">I599-D599</f>
        <v>267</v>
      </c>
    </row>
    <row r="600" customFormat="false" ht="12.75" hidden="false" customHeight="true" outlineLevel="0" collapsed="false">
      <c r="A600" s="148" t="n">
        <v>40024</v>
      </c>
      <c r="B600" s="405" t="s">
        <v>6378</v>
      </c>
      <c r="C600" s="119" t="n">
        <v>2019</v>
      </c>
      <c r="D600" s="404" t="n">
        <v>43595</v>
      </c>
      <c r="E600" s="405" t="s">
        <v>6379</v>
      </c>
      <c r="F600" s="405" t="s">
        <v>6380</v>
      </c>
      <c r="G600" s="405" t="s">
        <v>441</v>
      </c>
      <c r="H600" s="405" t="s">
        <v>471</v>
      </c>
      <c r="I600" s="404" t="n">
        <v>45643</v>
      </c>
      <c r="J600" s="68" t="n">
        <v>12</v>
      </c>
      <c r="K600" s="71" t="s">
        <v>48</v>
      </c>
      <c r="L600" s="152" t="s">
        <v>58</v>
      </c>
      <c r="M600" s="152" t="n">
        <f aca="false">I600-D600</f>
        <v>2048</v>
      </c>
    </row>
    <row r="601" customFormat="false" ht="12.75" hidden="false" customHeight="true" outlineLevel="0" collapsed="false">
      <c r="A601" s="139" t="n">
        <v>40124</v>
      </c>
      <c r="B601" s="144" t="s">
        <v>6381</v>
      </c>
      <c r="C601" s="115" t="n">
        <v>2022</v>
      </c>
      <c r="D601" s="403" t="n">
        <v>44809</v>
      </c>
      <c r="E601" s="144" t="s">
        <v>6382</v>
      </c>
      <c r="F601" s="428" t="s">
        <v>6383</v>
      </c>
      <c r="G601" s="144" t="s">
        <v>125</v>
      </c>
      <c r="H601" s="144" t="s">
        <v>6384</v>
      </c>
      <c r="I601" s="403" t="n">
        <v>45643</v>
      </c>
      <c r="J601" s="66" t="n">
        <v>12</v>
      </c>
      <c r="K601" s="71" t="s">
        <v>49</v>
      </c>
      <c r="L601" s="144" t="s">
        <v>61</v>
      </c>
      <c r="M601" s="145" t="n">
        <f aca="false">I601-D601</f>
        <v>834</v>
      </c>
    </row>
    <row r="602" customFormat="false" ht="12.75" hidden="false" customHeight="true" outlineLevel="0" collapsed="false">
      <c r="A602" s="148" t="n">
        <v>40224</v>
      </c>
      <c r="B602" s="405" t="s">
        <v>6385</v>
      </c>
      <c r="C602" s="119" t="n">
        <v>2020</v>
      </c>
      <c r="D602" s="404" t="n">
        <v>44179</v>
      </c>
      <c r="E602" s="405" t="s">
        <v>6386</v>
      </c>
      <c r="F602" s="405" t="s">
        <v>902</v>
      </c>
      <c r="G602" s="405" t="s">
        <v>441</v>
      </c>
      <c r="H602" s="405" t="s">
        <v>139</v>
      </c>
      <c r="I602" s="404" t="n">
        <v>45643</v>
      </c>
      <c r="J602" s="68" t="n">
        <v>12</v>
      </c>
      <c r="K602" s="71" t="s">
        <v>49</v>
      </c>
      <c r="L602" s="152" t="s">
        <v>58</v>
      </c>
      <c r="M602" s="152" t="n">
        <f aca="false">I602-D602</f>
        <v>1464</v>
      </c>
    </row>
    <row r="603" customFormat="false" ht="12.75" hidden="false" customHeight="true" outlineLevel="0" collapsed="false">
      <c r="A603" s="139" t="n">
        <v>40324</v>
      </c>
      <c r="B603" s="144" t="s">
        <v>6387</v>
      </c>
      <c r="C603" s="115" t="n">
        <v>2018</v>
      </c>
      <c r="D603" s="403" t="n">
        <v>43455</v>
      </c>
      <c r="E603" s="144" t="s">
        <v>6388</v>
      </c>
      <c r="F603" s="144" t="s">
        <v>2202</v>
      </c>
      <c r="G603" s="144" t="s">
        <v>441</v>
      </c>
      <c r="H603" s="144" t="s">
        <v>706</v>
      </c>
      <c r="I603" s="403" t="n">
        <v>45643</v>
      </c>
      <c r="J603" s="66" t="n">
        <v>12</v>
      </c>
      <c r="K603" s="163" t="s">
        <v>46</v>
      </c>
      <c r="L603" s="144" t="s">
        <v>58</v>
      </c>
      <c r="M603" s="145" t="n">
        <f aca="false">I603-D603</f>
        <v>2188</v>
      </c>
    </row>
    <row r="604" customFormat="false" ht="12.75" hidden="false" customHeight="true" outlineLevel="0" collapsed="false">
      <c r="A604" s="148" t="n">
        <v>40424</v>
      </c>
      <c r="B604" s="405" t="s">
        <v>6389</v>
      </c>
      <c r="C604" s="119" t="n">
        <v>2018</v>
      </c>
      <c r="D604" s="404" t="n">
        <v>43455</v>
      </c>
      <c r="E604" s="405" t="s">
        <v>6390</v>
      </c>
      <c r="F604" s="405" t="s">
        <v>6391</v>
      </c>
      <c r="G604" s="405" t="s">
        <v>441</v>
      </c>
      <c r="H604" s="405" t="s">
        <v>706</v>
      </c>
      <c r="I604" s="404" t="n">
        <v>45643</v>
      </c>
      <c r="J604" s="68" t="n">
        <v>12</v>
      </c>
      <c r="K604" s="163" t="s">
        <v>46</v>
      </c>
      <c r="L604" s="152" t="s">
        <v>58</v>
      </c>
      <c r="M604" s="152" t="n">
        <f aca="false">I604-D604</f>
        <v>2188</v>
      </c>
    </row>
    <row r="605" customFormat="false" ht="12.75" hidden="false" customHeight="true" outlineLevel="0" collapsed="false">
      <c r="A605" s="139" t="n">
        <v>40524</v>
      </c>
      <c r="B605" s="144" t="s">
        <v>6392</v>
      </c>
      <c r="C605" s="115" t="n">
        <v>2022</v>
      </c>
      <c r="D605" s="403" t="n">
        <v>44617</v>
      </c>
      <c r="E605" s="144" t="s">
        <v>6393</v>
      </c>
      <c r="F605" s="144" t="s">
        <v>6394</v>
      </c>
      <c r="G605" s="144" t="s">
        <v>441</v>
      </c>
      <c r="H605" s="144" t="s">
        <v>208</v>
      </c>
      <c r="I605" s="403" t="n">
        <v>45645</v>
      </c>
      <c r="J605" s="66" t="n">
        <v>12</v>
      </c>
      <c r="K605" s="71" t="s">
        <v>49</v>
      </c>
      <c r="L605" s="144" t="s">
        <v>58</v>
      </c>
      <c r="M605" s="145" t="n">
        <f aca="false">I605-D605</f>
        <v>1028</v>
      </c>
    </row>
    <row r="606" customFormat="false" ht="12.75" hidden="false" customHeight="true" outlineLevel="0" collapsed="false">
      <c r="A606" s="148" t="n">
        <v>40624</v>
      </c>
      <c r="B606" s="405" t="s">
        <v>6395</v>
      </c>
      <c r="C606" s="119" t="n">
        <v>2019</v>
      </c>
      <c r="D606" s="404" t="n">
        <v>43516</v>
      </c>
      <c r="E606" s="405" t="s">
        <v>6396</v>
      </c>
      <c r="F606" s="405" t="s">
        <v>1916</v>
      </c>
      <c r="G606" s="405" t="s">
        <v>441</v>
      </c>
      <c r="H606" s="405" t="s">
        <v>109</v>
      </c>
      <c r="I606" s="404" t="n">
        <v>45645</v>
      </c>
      <c r="J606" s="68" t="n">
        <v>12</v>
      </c>
      <c r="K606" s="196" t="s">
        <v>44</v>
      </c>
      <c r="L606" s="152" t="s">
        <v>58</v>
      </c>
      <c r="M606" s="152" t="n">
        <f aca="false">I606-D606</f>
        <v>2129</v>
      </c>
    </row>
    <row r="607" customFormat="false" ht="12.75" hidden="false" customHeight="true" outlineLevel="0" collapsed="false">
      <c r="A607" s="139" t="n">
        <v>40724</v>
      </c>
      <c r="B607" s="144" t="s">
        <v>6397</v>
      </c>
      <c r="C607" s="115" t="n">
        <v>2017</v>
      </c>
      <c r="D607" s="403" t="n">
        <v>42941</v>
      </c>
      <c r="E607" s="144" t="s">
        <v>6398</v>
      </c>
      <c r="F607" s="144" t="s">
        <v>6399</v>
      </c>
      <c r="G607" s="144" t="s">
        <v>441</v>
      </c>
      <c r="H607" s="144" t="s">
        <v>706</v>
      </c>
      <c r="I607" s="403" t="n">
        <v>45645</v>
      </c>
      <c r="J607" s="66" t="n">
        <v>12</v>
      </c>
      <c r="K607" s="71" t="s">
        <v>49</v>
      </c>
      <c r="L607" s="144" t="s">
        <v>60</v>
      </c>
      <c r="M607" s="145" t="n">
        <f aca="false">I607-D607</f>
        <v>2704</v>
      </c>
    </row>
    <row r="608" customFormat="false" ht="12.75" hidden="false" customHeight="true" outlineLevel="0" collapsed="false">
      <c r="A608" s="148" t="n">
        <v>40824</v>
      </c>
      <c r="B608" s="405" t="s">
        <v>6400</v>
      </c>
      <c r="C608" s="119" t="n">
        <v>2022</v>
      </c>
      <c r="D608" s="404" t="n">
        <v>44741</v>
      </c>
      <c r="E608" s="405" t="s">
        <v>6401</v>
      </c>
      <c r="F608" s="405" t="s">
        <v>6402</v>
      </c>
      <c r="G608" s="405" t="s">
        <v>441</v>
      </c>
      <c r="H608" s="405" t="s">
        <v>3339</v>
      </c>
      <c r="I608" s="404" t="n">
        <v>45646</v>
      </c>
      <c r="J608" s="68" t="n">
        <v>12</v>
      </c>
      <c r="K608" s="71" t="s">
        <v>49</v>
      </c>
      <c r="L608" s="152" t="s">
        <v>58</v>
      </c>
      <c r="M608" s="152" t="n">
        <f aca="false">I608-D608</f>
        <v>905</v>
      </c>
    </row>
    <row r="609" customFormat="false" ht="12.75" hidden="false" customHeight="true" outlineLevel="0" collapsed="false">
      <c r="A609" s="139" t="n">
        <v>40924</v>
      </c>
      <c r="B609" s="144" t="s">
        <v>6403</v>
      </c>
      <c r="C609" s="115" t="n">
        <v>2021</v>
      </c>
      <c r="D609" s="403" t="n">
        <v>44441</v>
      </c>
      <c r="E609" s="144" t="s">
        <v>6404</v>
      </c>
      <c r="F609" s="144" t="s">
        <v>6405</v>
      </c>
      <c r="G609" s="144" t="s">
        <v>441</v>
      </c>
      <c r="H609" s="144" t="s">
        <v>350</v>
      </c>
      <c r="I609" s="403" t="n">
        <v>45646</v>
      </c>
      <c r="J609" s="66" t="n">
        <v>12</v>
      </c>
      <c r="K609" s="71" t="s">
        <v>49</v>
      </c>
      <c r="L609" s="144" t="s">
        <v>58</v>
      </c>
      <c r="M609" s="145" t="n">
        <f aca="false">I609-D609</f>
        <v>1205</v>
      </c>
    </row>
    <row r="610" customFormat="false" ht="12.75" hidden="false" customHeight="true" outlineLevel="0" collapsed="false">
      <c r="A610" s="148" t="n">
        <v>41024</v>
      </c>
      <c r="B610" s="405" t="s">
        <v>6406</v>
      </c>
      <c r="C610" s="119" t="n">
        <v>2017</v>
      </c>
      <c r="D610" s="404" t="n">
        <v>43095</v>
      </c>
      <c r="E610" s="405" t="s">
        <v>6407</v>
      </c>
      <c r="F610" s="405" t="s">
        <v>4282</v>
      </c>
      <c r="G610" s="405" t="s">
        <v>441</v>
      </c>
      <c r="H610" s="405" t="s">
        <v>471</v>
      </c>
      <c r="I610" s="404" t="n">
        <v>45646</v>
      </c>
      <c r="J610" s="68" t="n">
        <v>12</v>
      </c>
      <c r="K610" s="71" t="s">
        <v>48</v>
      </c>
      <c r="L610" s="144" t="s">
        <v>60</v>
      </c>
      <c r="M610" s="152" t="n">
        <f aca="false">I610-D610</f>
        <v>2551</v>
      </c>
    </row>
    <row r="611" customFormat="false" ht="12.75" hidden="false" customHeight="true" outlineLevel="0" collapsed="false">
      <c r="A611" s="139" t="n">
        <v>41124</v>
      </c>
      <c r="B611" s="144" t="s">
        <v>6408</v>
      </c>
      <c r="C611" s="115" t="n">
        <v>2017</v>
      </c>
      <c r="D611" s="403" t="n">
        <v>42954</v>
      </c>
      <c r="E611" s="144" t="s">
        <v>6409</v>
      </c>
      <c r="F611" s="144" t="s">
        <v>1200</v>
      </c>
      <c r="G611" s="144" t="s">
        <v>441</v>
      </c>
      <c r="H611" s="144" t="s">
        <v>263</v>
      </c>
      <c r="I611" s="403" t="n">
        <v>45646</v>
      </c>
      <c r="J611" s="66" t="n">
        <v>12</v>
      </c>
      <c r="K611" s="71" t="s">
        <v>48</v>
      </c>
      <c r="L611" s="144" t="s">
        <v>58</v>
      </c>
      <c r="M611" s="145" t="n">
        <f aca="false">I611-D611</f>
        <v>2692</v>
      </c>
    </row>
    <row r="612" customFormat="false" ht="12.75" hidden="false" customHeight="true" outlineLevel="0" collapsed="false">
      <c r="A612" s="148" t="n">
        <v>41224</v>
      </c>
      <c r="B612" s="405" t="s">
        <v>6410</v>
      </c>
      <c r="C612" s="119" t="n">
        <v>2024</v>
      </c>
      <c r="D612" s="404" t="n">
        <v>45300</v>
      </c>
      <c r="E612" s="405" t="s">
        <v>6411</v>
      </c>
      <c r="F612" s="405" t="s">
        <v>6412</v>
      </c>
      <c r="G612" s="405" t="s">
        <v>130</v>
      </c>
      <c r="H612" s="405" t="s">
        <v>3568</v>
      </c>
      <c r="I612" s="404" t="n">
        <v>45646</v>
      </c>
      <c r="J612" s="68" t="n">
        <v>12</v>
      </c>
      <c r="K612" s="71" t="s">
        <v>49</v>
      </c>
      <c r="L612" s="152" t="s">
        <v>61</v>
      </c>
      <c r="M612" s="152" t="n">
        <f aca="false">I612-D612</f>
        <v>346</v>
      </c>
    </row>
    <row r="613" customFormat="false" ht="12.75" hidden="false" customHeight="true" outlineLevel="0" collapsed="false">
      <c r="A613" s="139" t="n">
        <v>41324</v>
      </c>
      <c r="B613" s="144" t="s">
        <v>6413</v>
      </c>
      <c r="C613" s="115" t="n">
        <v>2021</v>
      </c>
      <c r="D613" s="403" t="n">
        <v>44474</v>
      </c>
      <c r="E613" s="144" t="s">
        <v>6414</v>
      </c>
      <c r="F613" s="144" t="s">
        <v>1445</v>
      </c>
      <c r="G613" s="144" t="s">
        <v>144</v>
      </c>
      <c r="H613" s="144" t="s">
        <v>119</v>
      </c>
      <c r="I613" s="403" t="n">
        <v>45646</v>
      </c>
      <c r="J613" s="66" t="n">
        <v>12</v>
      </c>
      <c r="K613" s="71" t="s">
        <v>48</v>
      </c>
      <c r="L613" s="144" t="s">
        <v>58</v>
      </c>
      <c r="M613" s="145" t="n">
        <f aca="false">I613-D613</f>
        <v>1172</v>
      </c>
    </row>
    <row r="614" customFormat="false" ht="12.75" hidden="false" customHeight="true" outlineLevel="0" collapsed="false">
      <c r="A614" s="148" t="n">
        <v>41424</v>
      </c>
      <c r="B614" s="405" t="s">
        <v>6415</v>
      </c>
      <c r="C614" s="119" t="n">
        <v>2021</v>
      </c>
      <c r="D614" s="404" t="n">
        <v>44365</v>
      </c>
      <c r="E614" s="405" t="s">
        <v>6416</v>
      </c>
      <c r="F614" s="405" t="s">
        <v>509</v>
      </c>
      <c r="G614" s="405" t="s">
        <v>441</v>
      </c>
      <c r="H614" s="405" t="s">
        <v>196</v>
      </c>
      <c r="I614" s="404" t="n">
        <v>45646</v>
      </c>
      <c r="J614" s="68" t="n">
        <v>12</v>
      </c>
      <c r="K614" s="163" t="s">
        <v>46</v>
      </c>
      <c r="L614" s="152" t="s">
        <v>58</v>
      </c>
      <c r="M614" s="152" t="n">
        <f aca="false">I614-D614</f>
        <v>1281</v>
      </c>
    </row>
    <row r="615" customFormat="false" ht="12.75" hidden="false" customHeight="true" outlineLevel="0" collapsed="false">
      <c r="A615" s="139" t="n">
        <v>41524</v>
      </c>
      <c r="B615" s="144" t="s">
        <v>6417</v>
      </c>
      <c r="C615" s="115" t="n">
        <v>2022</v>
      </c>
      <c r="D615" s="403" t="n">
        <v>44726</v>
      </c>
      <c r="E615" s="144" t="s">
        <v>6418</v>
      </c>
      <c r="F615" s="144" t="s">
        <v>172</v>
      </c>
      <c r="G615" s="144" t="s">
        <v>441</v>
      </c>
      <c r="H615" s="144" t="s">
        <v>513</v>
      </c>
      <c r="I615" s="403" t="n">
        <v>45646</v>
      </c>
      <c r="J615" s="66" t="n">
        <v>12</v>
      </c>
      <c r="K615" s="71" t="s">
        <v>48</v>
      </c>
      <c r="L615" s="144" t="s">
        <v>60</v>
      </c>
      <c r="M615" s="145" t="n">
        <f aca="false">I615-D615</f>
        <v>920</v>
      </c>
    </row>
    <row r="616" customFormat="false" ht="12.75" hidden="false" customHeight="true" outlineLevel="0" collapsed="false">
      <c r="A616" s="148" t="n">
        <v>41624</v>
      </c>
      <c r="B616" s="405" t="s">
        <v>6419</v>
      </c>
      <c r="C616" s="119" t="n">
        <v>2018</v>
      </c>
      <c r="D616" s="404" t="n">
        <v>43209</v>
      </c>
      <c r="E616" s="405" t="s">
        <v>6420</v>
      </c>
      <c r="F616" s="405" t="s">
        <v>6421</v>
      </c>
      <c r="G616" s="405" t="s">
        <v>441</v>
      </c>
      <c r="H616" s="405" t="s">
        <v>129</v>
      </c>
      <c r="I616" s="404" t="n">
        <v>45646</v>
      </c>
      <c r="J616" s="68" t="n">
        <v>12</v>
      </c>
      <c r="K616" s="406" t="s">
        <v>290</v>
      </c>
      <c r="L616" s="152" t="s">
        <v>58</v>
      </c>
      <c r="M616" s="152" t="n">
        <f aca="false">I616-D616</f>
        <v>2437</v>
      </c>
    </row>
    <row r="617" customFormat="false" ht="12.75" hidden="false" customHeight="true" outlineLevel="0" collapsed="false">
      <c r="A617" s="139" t="n">
        <v>41724</v>
      </c>
      <c r="B617" s="144" t="s">
        <v>6422</v>
      </c>
      <c r="C617" s="115" t="n">
        <v>2018</v>
      </c>
      <c r="D617" s="403" t="n">
        <v>43374</v>
      </c>
      <c r="E617" s="144" t="s">
        <v>6423</v>
      </c>
      <c r="F617" s="144" t="s">
        <v>798</v>
      </c>
      <c r="G617" s="144" t="s">
        <v>441</v>
      </c>
      <c r="H617" s="144" t="s">
        <v>250</v>
      </c>
      <c r="I617" s="403" t="n">
        <v>45646</v>
      </c>
      <c r="J617" s="66" t="n">
        <v>12</v>
      </c>
      <c r="K617" s="71" t="s">
        <v>49</v>
      </c>
      <c r="L617" s="144" t="s">
        <v>60</v>
      </c>
      <c r="M617" s="145" t="n">
        <f aca="false">I617-D617</f>
        <v>2272</v>
      </c>
    </row>
    <row r="618" customFormat="false" ht="12.75" hidden="false" customHeight="true" outlineLevel="0" collapsed="false">
      <c r="A618" s="148" t="n">
        <v>41824</v>
      </c>
      <c r="B618" s="405" t="s">
        <v>6424</v>
      </c>
      <c r="C618" s="119" t="n">
        <v>2024</v>
      </c>
      <c r="D618" s="404" t="n">
        <v>45323</v>
      </c>
      <c r="E618" s="405" t="s">
        <v>6425</v>
      </c>
      <c r="F618" s="405" t="s">
        <v>636</v>
      </c>
      <c r="G618" s="405" t="s">
        <v>130</v>
      </c>
      <c r="H618" s="405" t="s">
        <v>6426</v>
      </c>
      <c r="I618" s="404" t="n">
        <v>45646</v>
      </c>
      <c r="J618" s="68" t="n">
        <v>12</v>
      </c>
      <c r="K618" s="71" t="s">
        <v>49</v>
      </c>
      <c r="L618" s="152" t="s">
        <v>61</v>
      </c>
      <c r="M618" s="430" t="n">
        <f aca="false">I618-D618</f>
        <v>323</v>
      </c>
    </row>
    <row r="619" customFormat="false" ht="12.75" hidden="false" customHeight="true" outlineLevel="0" collapsed="false">
      <c r="A619" s="139" t="n">
        <v>41924</v>
      </c>
      <c r="B619" s="144" t="s">
        <v>6427</v>
      </c>
      <c r="C619" s="115" t="n">
        <v>2023</v>
      </c>
      <c r="D619" s="403" t="n">
        <v>45237</v>
      </c>
      <c r="E619" s="144" t="s">
        <v>6428</v>
      </c>
      <c r="F619" s="144" t="s">
        <v>6303</v>
      </c>
      <c r="G619" s="144" t="s">
        <v>130</v>
      </c>
      <c r="H619" s="144" t="s">
        <v>662</v>
      </c>
      <c r="I619" s="264" t="n">
        <v>45646</v>
      </c>
      <c r="J619" s="66" t="n">
        <v>12</v>
      </c>
      <c r="K619" s="71" t="s">
        <v>49</v>
      </c>
      <c r="L619" s="144" t="s">
        <v>61</v>
      </c>
      <c r="M619" s="431" t="n">
        <f aca="false">I619-D619</f>
        <v>409</v>
      </c>
    </row>
    <row r="620" customFormat="false" ht="12.75" hidden="false" customHeight="true" outlineLevel="0" collapsed="false">
      <c r="A620" s="148" t="n">
        <v>42024</v>
      </c>
      <c r="B620" s="405" t="s">
        <v>6429</v>
      </c>
      <c r="C620" s="119" t="n">
        <v>2019</v>
      </c>
      <c r="D620" s="404" t="n">
        <v>43728</v>
      </c>
      <c r="E620" s="405" t="s">
        <v>6430</v>
      </c>
      <c r="F620" s="405" t="s">
        <v>509</v>
      </c>
      <c r="G620" s="405" t="s">
        <v>441</v>
      </c>
      <c r="H620" s="405" t="s">
        <v>394</v>
      </c>
      <c r="I620" s="432" t="n">
        <v>45652</v>
      </c>
      <c r="J620" s="119" t="n">
        <v>12</v>
      </c>
      <c r="K620" s="71" t="s">
        <v>48</v>
      </c>
      <c r="L620" s="152" t="s">
        <v>58</v>
      </c>
      <c r="M620" s="152" t="n">
        <f aca="false">I620-D620</f>
        <v>1924</v>
      </c>
    </row>
    <row r="621" customFormat="false" ht="12.75" hidden="false" customHeight="true" outlineLevel="0" collapsed="false">
      <c r="A621" s="139" t="n">
        <v>42124</v>
      </c>
      <c r="B621" s="144" t="s">
        <v>6431</v>
      </c>
      <c r="C621" s="115" t="n">
        <v>2024</v>
      </c>
      <c r="D621" s="403" t="n">
        <v>45376</v>
      </c>
      <c r="E621" s="144" t="s">
        <v>6432</v>
      </c>
      <c r="F621" s="144" t="s">
        <v>6433</v>
      </c>
      <c r="G621" s="144" t="s">
        <v>130</v>
      </c>
      <c r="H621" s="144" t="s">
        <v>464</v>
      </c>
      <c r="I621" s="264" t="n">
        <v>45652</v>
      </c>
      <c r="J621" s="115" t="n">
        <v>12</v>
      </c>
      <c r="K621" s="71" t="s">
        <v>49</v>
      </c>
      <c r="L621" s="144" t="s">
        <v>61</v>
      </c>
      <c r="M621" s="431" t="n">
        <f aca="false">I621-D621</f>
        <v>276</v>
      </c>
    </row>
    <row r="622" customFormat="false" ht="12.75" hidden="false" customHeight="true" outlineLevel="0" collapsed="false">
      <c r="A622" s="148" t="n">
        <v>42224</v>
      </c>
      <c r="B622" s="405" t="s">
        <v>6434</v>
      </c>
      <c r="C622" s="119" t="n">
        <v>2024</v>
      </c>
      <c r="D622" s="404" t="n">
        <v>45366</v>
      </c>
      <c r="E622" s="405" t="s">
        <v>6435</v>
      </c>
      <c r="F622" s="405" t="s">
        <v>6436</v>
      </c>
      <c r="G622" s="405" t="s">
        <v>130</v>
      </c>
      <c r="H622" s="405" t="s">
        <v>6437</v>
      </c>
      <c r="I622" s="432" t="n">
        <v>45652</v>
      </c>
      <c r="J622" s="119" t="n">
        <v>12</v>
      </c>
      <c r="K622" s="71" t="s">
        <v>49</v>
      </c>
      <c r="L622" s="152" t="s">
        <v>61</v>
      </c>
      <c r="M622" s="430" t="n">
        <f aca="false">I622-D622</f>
        <v>286</v>
      </c>
    </row>
    <row r="623" customFormat="false" ht="12.75" hidden="false" customHeight="true" outlineLevel="0" collapsed="false">
      <c r="A623" s="139" t="n">
        <v>42324</v>
      </c>
      <c r="B623" s="144" t="s">
        <v>6438</v>
      </c>
      <c r="C623" s="115" t="n">
        <v>2023</v>
      </c>
      <c r="D623" s="403" t="n">
        <v>45254</v>
      </c>
      <c r="E623" s="144" t="s">
        <v>6439</v>
      </c>
      <c r="F623" s="144" t="s">
        <v>6440</v>
      </c>
      <c r="G623" s="144" t="s">
        <v>125</v>
      </c>
      <c r="H623" s="144" t="s">
        <v>873</v>
      </c>
      <c r="I623" s="264" t="n">
        <v>45652</v>
      </c>
      <c r="J623" s="115" t="n">
        <v>12</v>
      </c>
      <c r="K623" s="71" t="s">
        <v>49</v>
      </c>
      <c r="L623" s="144" t="s">
        <v>61</v>
      </c>
      <c r="M623" s="431" t="n">
        <f aca="false">I623-D623</f>
        <v>398</v>
      </c>
    </row>
    <row r="624" customFormat="false" ht="12.75" hidden="false" customHeight="true" outlineLevel="0" collapsed="false">
      <c r="A624" s="148" t="n">
        <v>42424</v>
      </c>
      <c r="B624" s="405" t="s">
        <v>6441</v>
      </c>
      <c r="C624" s="119" t="n">
        <v>2024</v>
      </c>
      <c r="D624" s="404" t="n">
        <v>45426</v>
      </c>
      <c r="E624" s="405" t="s">
        <v>6442</v>
      </c>
      <c r="F624" s="405" t="s">
        <v>6443</v>
      </c>
      <c r="G624" s="405" t="s">
        <v>130</v>
      </c>
      <c r="H624" s="405" t="s">
        <v>6444</v>
      </c>
      <c r="I624" s="432" t="n">
        <v>45652</v>
      </c>
      <c r="J624" s="119" t="n">
        <v>12</v>
      </c>
      <c r="K624" s="71" t="s">
        <v>49</v>
      </c>
      <c r="L624" s="152" t="s">
        <v>61</v>
      </c>
      <c r="M624" s="430" t="n">
        <f aca="false">I624-D624</f>
        <v>226</v>
      </c>
    </row>
    <row r="625" customFormat="false" ht="12.75" hidden="false" customHeight="true" outlineLevel="0" collapsed="false">
      <c r="A625" s="139" t="n">
        <v>42524</v>
      </c>
      <c r="B625" s="144" t="s">
        <v>6445</v>
      </c>
      <c r="C625" s="115" t="n">
        <v>2024</v>
      </c>
      <c r="D625" s="403" t="n">
        <v>45316</v>
      </c>
      <c r="E625" s="144" t="s">
        <v>6446</v>
      </c>
      <c r="F625" s="433" t="s">
        <v>6447</v>
      </c>
      <c r="G625" s="144" t="s">
        <v>130</v>
      </c>
      <c r="H625" s="144" t="s">
        <v>3234</v>
      </c>
      <c r="I625" s="264" t="n">
        <v>45652</v>
      </c>
      <c r="J625" s="115" t="n">
        <v>12</v>
      </c>
      <c r="K625" s="71" t="s">
        <v>49</v>
      </c>
      <c r="L625" s="144" t="s">
        <v>61</v>
      </c>
      <c r="M625" s="431" t="n">
        <f aca="false">I625-D625</f>
        <v>336</v>
      </c>
    </row>
    <row r="626" customFormat="false" ht="12.75" hidden="false" customHeight="true" outlineLevel="0" collapsed="false">
      <c r="A626" s="148" t="n">
        <v>42624</v>
      </c>
      <c r="B626" s="405" t="s">
        <v>6448</v>
      </c>
      <c r="C626" s="119" t="n">
        <v>2024</v>
      </c>
      <c r="D626" s="404" t="n">
        <v>45376</v>
      </c>
      <c r="E626" s="405" t="s">
        <v>6449</v>
      </c>
      <c r="F626" s="405" t="s">
        <v>636</v>
      </c>
      <c r="G626" s="405" t="s">
        <v>130</v>
      </c>
      <c r="H626" s="405" t="s">
        <v>464</v>
      </c>
      <c r="I626" s="432" t="n">
        <v>45652</v>
      </c>
      <c r="J626" s="119" t="n">
        <v>12</v>
      </c>
      <c r="K626" s="71" t="s">
        <v>49</v>
      </c>
      <c r="L626" s="152" t="s">
        <v>61</v>
      </c>
      <c r="M626" s="430" t="n">
        <f aca="false">I626-D626</f>
        <v>276</v>
      </c>
    </row>
    <row r="627" customFormat="false" ht="12.75" hidden="false" customHeight="true" outlineLevel="0" collapsed="false">
      <c r="A627" s="139" t="n">
        <v>42724</v>
      </c>
      <c r="B627" s="144" t="s">
        <v>6450</v>
      </c>
      <c r="C627" s="115" t="n">
        <v>2023</v>
      </c>
      <c r="D627" s="403" t="n">
        <v>45289</v>
      </c>
      <c r="E627" s="144" t="s">
        <v>6451</v>
      </c>
      <c r="F627" s="144" t="s">
        <v>6433</v>
      </c>
      <c r="G627" s="144" t="s">
        <v>130</v>
      </c>
      <c r="H627" s="144" t="s">
        <v>3234</v>
      </c>
      <c r="I627" s="264" t="n">
        <v>45652</v>
      </c>
      <c r="J627" s="115" t="n">
        <v>12</v>
      </c>
      <c r="K627" s="71" t="s">
        <v>49</v>
      </c>
      <c r="L627" s="144" t="s">
        <v>61</v>
      </c>
      <c r="M627" s="431" t="n">
        <f aca="false">I627-D627</f>
        <v>363</v>
      </c>
    </row>
    <row r="628" customFormat="false" ht="12.75" hidden="false" customHeight="true" outlineLevel="0" collapsed="false">
      <c r="A628" s="148" t="n">
        <v>42824</v>
      </c>
      <c r="B628" s="405" t="s">
        <v>6452</v>
      </c>
      <c r="C628" s="119" t="n">
        <v>2023</v>
      </c>
      <c r="D628" s="404" t="n">
        <v>45089</v>
      </c>
      <c r="E628" s="405" t="s">
        <v>6453</v>
      </c>
      <c r="F628" s="405" t="s">
        <v>6454</v>
      </c>
      <c r="G628" s="405" t="s">
        <v>125</v>
      </c>
      <c r="H628" s="405" t="s">
        <v>6455</v>
      </c>
      <c r="I628" s="432" t="n">
        <v>45652</v>
      </c>
      <c r="J628" s="119" t="n">
        <v>12</v>
      </c>
      <c r="K628" s="71" t="s">
        <v>49</v>
      </c>
      <c r="L628" s="152" t="s">
        <v>61</v>
      </c>
      <c r="M628" s="430" t="n">
        <f aca="false">I628-D628</f>
        <v>563</v>
      </c>
    </row>
    <row r="629" customFormat="false" ht="12.75" hidden="false" customHeight="true" outlineLevel="0" collapsed="false">
      <c r="A629" s="139" t="n">
        <v>42924</v>
      </c>
      <c r="B629" s="144" t="s">
        <v>6456</v>
      </c>
      <c r="C629" s="115" t="n">
        <v>2018</v>
      </c>
      <c r="D629" s="264" t="n">
        <v>43371</v>
      </c>
      <c r="E629" s="144" t="s">
        <v>6457</v>
      </c>
      <c r="F629" s="144" t="s">
        <v>176</v>
      </c>
      <c r="G629" s="144" t="s">
        <v>441</v>
      </c>
      <c r="H629" s="144" t="s">
        <v>2974</v>
      </c>
      <c r="I629" s="264" t="n">
        <v>45653</v>
      </c>
      <c r="J629" s="115" t="n">
        <v>12</v>
      </c>
      <c r="K629" s="71" t="s">
        <v>49</v>
      </c>
      <c r="L629" s="144" t="s">
        <v>58</v>
      </c>
      <c r="M629" s="145" t="n">
        <f aca="false">I629-D629</f>
        <v>2282</v>
      </c>
    </row>
    <row r="630" customFormat="false" ht="12.75" hidden="false" customHeight="true" outlineLevel="0" collapsed="false">
      <c r="A630" s="148" t="n">
        <v>43024</v>
      </c>
      <c r="B630" s="405" t="s">
        <v>6458</v>
      </c>
      <c r="C630" s="119" t="n">
        <v>2012</v>
      </c>
      <c r="D630" s="404" t="n">
        <v>42762</v>
      </c>
      <c r="E630" s="405" t="s">
        <v>6459</v>
      </c>
      <c r="F630" s="405" t="s">
        <v>6460</v>
      </c>
      <c r="G630" s="405" t="s">
        <v>441</v>
      </c>
      <c r="H630" s="405" t="s">
        <v>471</v>
      </c>
      <c r="I630" s="432" t="n">
        <v>45653</v>
      </c>
      <c r="J630" s="119" t="n">
        <v>12</v>
      </c>
      <c r="K630" s="71" t="s">
        <v>49</v>
      </c>
      <c r="L630" s="144" t="s">
        <v>60</v>
      </c>
      <c r="M630" s="152" t="n">
        <f aca="false">I630-D630</f>
        <v>2891</v>
      </c>
    </row>
    <row r="631" customFormat="false" ht="12.75" hidden="false" customHeight="true" outlineLevel="0" collapsed="false">
      <c r="A631" s="139" t="n">
        <v>43124</v>
      </c>
      <c r="B631" s="144" t="s">
        <v>6461</v>
      </c>
      <c r="C631" s="115" t="n">
        <v>2024</v>
      </c>
      <c r="D631" s="264" t="n">
        <v>45440</v>
      </c>
      <c r="E631" s="144" t="s">
        <v>6462</v>
      </c>
      <c r="F631" s="144" t="s">
        <v>1001</v>
      </c>
      <c r="G631" s="144" t="s">
        <v>130</v>
      </c>
      <c r="H631" s="144" t="s">
        <v>3278</v>
      </c>
      <c r="I631" s="264" t="n">
        <v>45653</v>
      </c>
      <c r="J631" s="115" t="n">
        <v>12</v>
      </c>
      <c r="K631" s="71" t="s">
        <v>49</v>
      </c>
      <c r="L631" s="144" t="s">
        <v>61</v>
      </c>
      <c r="M631" s="431" t="n">
        <f aca="false">I631-D631</f>
        <v>213</v>
      </c>
    </row>
    <row r="632" customFormat="false" ht="12.75" hidden="false" customHeight="true" outlineLevel="0" collapsed="false">
      <c r="A632" s="148" t="n">
        <v>43224</v>
      </c>
      <c r="B632" s="405" t="s">
        <v>6463</v>
      </c>
      <c r="C632" s="119" t="n">
        <v>2024</v>
      </c>
      <c r="D632" s="432" t="n">
        <v>45440</v>
      </c>
      <c r="E632" s="405" t="s">
        <v>6464</v>
      </c>
      <c r="F632" s="434" t="s">
        <v>6465</v>
      </c>
      <c r="G632" s="405" t="s">
        <v>130</v>
      </c>
      <c r="H632" s="405" t="s">
        <v>3278</v>
      </c>
      <c r="I632" s="432" t="n">
        <v>45653</v>
      </c>
      <c r="J632" s="119" t="n">
        <v>12</v>
      </c>
      <c r="K632" s="71" t="s">
        <v>49</v>
      </c>
      <c r="L632" s="152" t="s">
        <v>61</v>
      </c>
      <c r="M632" s="430" t="n">
        <f aca="false">I632-D632</f>
        <v>213</v>
      </c>
    </row>
    <row r="633" customFormat="false" ht="12.75" hidden="false" customHeight="true" outlineLevel="0" collapsed="false">
      <c r="A633" s="139" t="n">
        <v>43324</v>
      </c>
      <c r="B633" s="144" t="s">
        <v>6466</v>
      </c>
      <c r="C633" s="115" t="n">
        <v>2024</v>
      </c>
      <c r="D633" s="264" t="n">
        <v>45370</v>
      </c>
      <c r="E633" s="144" t="s">
        <v>6467</v>
      </c>
      <c r="F633" s="144" t="s">
        <v>6468</v>
      </c>
      <c r="G633" s="144" t="s">
        <v>125</v>
      </c>
      <c r="H633" s="144" t="s">
        <v>6469</v>
      </c>
      <c r="I633" s="264" t="n">
        <v>45653</v>
      </c>
      <c r="J633" s="115" t="n">
        <v>12</v>
      </c>
      <c r="K633" s="406" t="s">
        <v>290</v>
      </c>
      <c r="L633" s="144" t="s">
        <v>61</v>
      </c>
      <c r="M633" s="431" t="n">
        <f aca="false">I633-D633</f>
        <v>283</v>
      </c>
    </row>
    <row r="634" customFormat="false" ht="12.75" hidden="false" customHeight="true" outlineLevel="0" collapsed="false">
      <c r="A634" s="148" t="n">
        <v>43424</v>
      </c>
      <c r="B634" s="405" t="s">
        <v>6470</v>
      </c>
      <c r="C634" s="119" t="n">
        <v>2024</v>
      </c>
      <c r="D634" s="432" t="n">
        <v>45343</v>
      </c>
      <c r="E634" s="405" t="s">
        <v>6471</v>
      </c>
      <c r="F634" s="405" t="s">
        <v>6468</v>
      </c>
      <c r="G634" s="405" t="s">
        <v>125</v>
      </c>
      <c r="H634" s="405" t="s">
        <v>6469</v>
      </c>
      <c r="I634" s="432" t="n">
        <v>45653</v>
      </c>
      <c r="J634" s="119" t="n">
        <v>12</v>
      </c>
      <c r="K634" s="406" t="s">
        <v>290</v>
      </c>
      <c r="L634" s="152" t="s">
        <v>61</v>
      </c>
      <c r="M634" s="430" t="n">
        <f aca="false">I634-D634</f>
        <v>310</v>
      </c>
    </row>
    <row r="635" customFormat="false" ht="12.75" hidden="false" customHeight="true" outlineLevel="0" collapsed="false">
      <c r="A635" s="139" t="n">
        <v>43524</v>
      </c>
      <c r="B635" s="144" t="s">
        <v>6472</v>
      </c>
      <c r="C635" s="115" t="n">
        <v>2021</v>
      </c>
      <c r="D635" s="264" t="n">
        <v>44550</v>
      </c>
      <c r="E635" s="144" t="s">
        <v>6473</v>
      </c>
      <c r="F635" s="144" t="s">
        <v>6089</v>
      </c>
      <c r="G635" s="144" t="s">
        <v>441</v>
      </c>
      <c r="H635" s="144" t="s">
        <v>3407</v>
      </c>
      <c r="I635" s="264" t="n">
        <v>45653</v>
      </c>
      <c r="J635" s="115" t="n">
        <v>12</v>
      </c>
      <c r="K635" s="406" t="s">
        <v>290</v>
      </c>
      <c r="L635" s="144" t="s">
        <v>58</v>
      </c>
      <c r="M635" s="145" t="n">
        <f aca="false">I635-D635</f>
        <v>1103</v>
      </c>
    </row>
    <row r="636" customFormat="false" ht="12.75" hidden="false" customHeight="true" outlineLevel="0" collapsed="false">
      <c r="A636" s="148" t="n">
        <v>43624</v>
      </c>
      <c r="B636" s="405" t="s">
        <v>6474</v>
      </c>
      <c r="C636" s="119" t="n">
        <v>2020</v>
      </c>
      <c r="D636" s="432" t="n">
        <v>44098</v>
      </c>
      <c r="E636" s="405" t="s">
        <v>6475</v>
      </c>
      <c r="F636" s="405" t="s">
        <v>3558</v>
      </c>
      <c r="G636" s="405" t="s">
        <v>441</v>
      </c>
      <c r="H636" s="405" t="s">
        <v>6476</v>
      </c>
      <c r="I636" s="432" t="n">
        <v>45653</v>
      </c>
      <c r="J636" s="119" t="n">
        <v>12</v>
      </c>
      <c r="K636" s="163" t="s">
        <v>46</v>
      </c>
      <c r="L636" s="152" t="s">
        <v>58</v>
      </c>
      <c r="M636" s="152" t="n">
        <f aca="false">I636-D636</f>
        <v>1555</v>
      </c>
    </row>
    <row r="637" customFormat="false" ht="12.75" hidden="false" customHeight="true" outlineLevel="0" collapsed="false">
      <c r="A637" s="139" t="n">
        <v>43724</v>
      </c>
      <c r="B637" s="144" t="s">
        <v>6477</v>
      </c>
      <c r="C637" s="115" t="n">
        <v>2021</v>
      </c>
      <c r="D637" s="264" t="n">
        <v>44405</v>
      </c>
      <c r="E637" s="144" t="s">
        <v>6478</v>
      </c>
      <c r="F637" s="144" t="s">
        <v>6479</v>
      </c>
      <c r="G637" s="144" t="s">
        <v>144</v>
      </c>
      <c r="H637" s="144" t="s">
        <v>6480</v>
      </c>
      <c r="I637" s="264" t="n">
        <v>45653</v>
      </c>
      <c r="J637" s="115" t="n">
        <v>12</v>
      </c>
      <c r="K637" s="406" t="s">
        <v>290</v>
      </c>
      <c r="L637" s="144" t="s">
        <v>60</v>
      </c>
      <c r="M637" s="145" t="n">
        <f aca="false">I637-D637</f>
        <v>1248</v>
      </c>
    </row>
    <row r="638" customFormat="false" ht="12.75" hidden="false" customHeight="true" outlineLevel="0" collapsed="false">
      <c r="A638" s="148" t="n">
        <v>43824</v>
      </c>
      <c r="B638" s="405" t="s">
        <v>6481</v>
      </c>
      <c r="C638" s="119" t="n">
        <v>2021</v>
      </c>
      <c r="D638" s="432" t="n">
        <v>44463</v>
      </c>
      <c r="E638" s="405" t="s">
        <v>6482</v>
      </c>
      <c r="F638" s="405" t="s">
        <v>191</v>
      </c>
      <c r="G638" s="405" t="s">
        <v>441</v>
      </c>
      <c r="H638" s="405" t="s">
        <v>6483</v>
      </c>
      <c r="I638" s="432" t="n">
        <v>45653</v>
      </c>
      <c r="J638" s="119" t="n">
        <v>12</v>
      </c>
      <c r="K638" s="406" t="s">
        <v>290</v>
      </c>
      <c r="L638" s="152" t="s">
        <v>58</v>
      </c>
      <c r="M638" s="152" t="n">
        <f aca="false">I638-D638</f>
        <v>1190</v>
      </c>
    </row>
    <row r="639" customFormat="false" ht="12.75" hidden="false" customHeight="true" outlineLevel="0" collapsed="false">
      <c r="A639" s="139" t="n">
        <v>43924</v>
      </c>
      <c r="B639" s="144" t="s">
        <v>6484</v>
      </c>
      <c r="C639" s="115" t="n">
        <v>2024</v>
      </c>
      <c r="D639" s="264" t="n">
        <v>45366</v>
      </c>
      <c r="E639" s="144" t="s">
        <v>6485</v>
      </c>
      <c r="F639" s="144" t="s">
        <v>376</v>
      </c>
      <c r="G639" s="144" t="s">
        <v>130</v>
      </c>
      <c r="H639" s="144" t="s">
        <v>263</v>
      </c>
      <c r="I639" s="264" t="n">
        <v>45653</v>
      </c>
      <c r="J639" s="115" t="n">
        <v>12</v>
      </c>
      <c r="K639" s="71" t="s">
        <v>49</v>
      </c>
      <c r="L639" s="144" t="s">
        <v>61</v>
      </c>
      <c r="M639" s="431" t="n">
        <f aca="false">I639-D639</f>
        <v>287</v>
      </c>
    </row>
    <row r="640" customFormat="false" ht="12.75" hidden="false" customHeight="true" outlineLevel="0" collapsed="false">
      <c r="A640" s="148" t="n">
        <v>44024</v>
      </c>
      <c r="B640" s="405" t="s">
        <v>6486</v>
      </c>
      <c r="C640" s="119" t="n">
        <v>2024</v>
      </c>
      <c r="D640" s="432" t="n">
        <v>45448</v>
      </c>
      <c r="E640" s="405" t="s">
        <v>6487</v>
      </c>
      <c r="F640" s="405" t="s">
        <v>3908</v>
      </c>
      <c r="G640" s="405" t="s">
        <v>130</v>
      </c>
      <c r="H640" s="405" t="s">
        <v>3327</v>
      </c>
      <c r="I640" s="432" t="n">
        <v>45653</v>
      </c>
      <c r="J640" s="119" t="n">
        <v>12</v>
      </c>
      <c r="K640" s="71" t="s">
        <v>49</v>
      </c>
      <c r="L640" s="152" t="s">
        <v>61</v>
      </c>
      <c r="M640" s="430" t="n">
        <f aca="false">I640-D640</f>
        <v>205</v>
      </c>
    </row>
    <row r="641" customFormat="false" ht="12.75" hidden="false" customHeight="true" outlineLevel="0" collapsed="false">
      <c r="A641" s="139" t="n">
        <v>44124</v>
      </c>
      <c r="B641" s="144" t="s">
        <v>6488</v>
      </c>
      <c r="C641" s="115" t="n">
        <v>2021</v>
      </c>
      <c r="D641" s="264" t="n">
        <v>44410</v>
      </c>
      <c r="E641" s="144" t="s">
        <v>6489</v>
      </c>
      <c r="F641" s="144" t="s">
        <v>6490</v>
      </c>
      <c r="G641" s="144" t="s">
        <v>441</v>
      </c>
      <c r="H641" s="144" t="s">
        <v>402</v>
      </c>
      <c r="I641" s="264" t="n">
        <v>45653</v>
      </c>
      <c r="J641" s="115" t="n">
        <v>12</v>
      </c>
      <c r="K641" s="71" t="s">
        <v>48</v>
      </c>
      <c r="L641" s="144" t="s">
        <v>2848</v>
      </c>
      <c r="M641" s="145" t="n">
        <f aca="false">I641-D641</f>
        <v>1243</v>
      </c>
    </row>
    <row r="642" customFormat="false" ht="12.75" hidden="false" customHeight="true" outlineLevel="0" collapsed="false">
      <c r="A642" s="148" t="n">
        <v>44224</v>
      </c>
      <c r="B642" s="405" t="s">
        <v>6491</v>
      </c>
      <c r="C642" s="119" t="n">
        <v>2021</v>
      </c>
      <c r="D642" s="432" t="n">
        <v>44431</v>
      </c>
      <c r="E642" s="405" t="s">
        <v>6492</v>
      </c>
      <c r="F642" s="405" t="s">
        <v>1273</v>
      </c>
      <c r="G642" s="405" t="s">
        <v>441</v>
      </c>
      <c r="H642" s="405" t="s">
        <v>1072</v>
      </c>
      <c r="I642" s="432" t="n">
        <v>45653</v>
      </c>
      <c r="J642" s="119" t="n">
        <v>12</v>
      </c>
      <c r="K642" s="71" t="s">
        <v>48</v>
      </c>
      <c r="L642" s="152" t="s">
        <v>58</v>
      </c>
      <c r="M642" s="152" t="n">
        <f aca="false">I642-D642</f>
        <v>1222</v>
      </c>
    </row>
    <row r="643" customFormat="false" ht="12.75" hidden="false" customHeight="true" outlineLevel="0" collapsed="false">
      <c r="A643" s="139" t="n">
        <v>44324</v>
      </c>
      <c r="B643" s="144" t="s">
        <v>6493</v>
      </c>
      <c r="C643" s="115" t="n">
        <v>2023</v>
      </c>
      <c r="D643" s="264" t="n">
        <v>45267</v>
      </c>
      <c r="E643" s="144" t="s">
        <v>6494</v>
      </c>
      <c r="F643" s="144" t="s">
        <v>376</v>
      </c>
      <c r="G643" s="144" t="s">
        <v>130</v>
      </c>
      <c r="H643" s="144" t="s">
        <v>3568</v>
      </c>
      <c r="I643" s="264" t="n">
        <v>45653</v>
      </c>
      <c r="J643" s="115" t="n">
        <v>12</v>
      </c>
      <c r="K643" s="71" t="s">
        <v>49</v>
      </c>
      <c r="L643" s="144" t="s">
        <v>61</v>
      </c>
      <c r="M643" s="431" t="n">
        <f aca="false">I643-D643</f>
        <v>386</v>
      </c>
    </row>
    <row r="644" customFormat="false" ht="12.75" hidden="false" customHeight="true" outlineLevel="0" collapsed="false">
      <c r="A644" s="148" t="n">
        <v>44424</v>
      </c>
      <c r="B644" s="405" t="s">
        <v>6495</v>
      </c>
      <c r="C644" s="119" t="n">
        <v>2018</v>
      </c>
      <c r="D644" s="432" t="n">
        <v>43202</v>
      </c>
      <c r="E644" s="405" t="s">
        <v>6496</v>
      </c>
      <c r="F644" s="405" t="s">
        <v>1156</v>
      </c>
      <c r="G644" s="405" t="s">
        <v>441</v>
      </c>
      <c r="H644" s="405" t="s">
        <v>995</v>
      </c>
      <c r="I644" s="432" t="n">
        <v>45653</v>
      </c>
      <c r="J644" s="119" t="n">
        <v>12</v>
      </c>
      <c r="K644" s="163" t="s">
        <v>46</v>
      </c>
      <c r="L644" s="152" t="s">
        <v>58</v>
      </c>
      <c r="M644" s="152" t="n">
        <f aca="false">I644-D644</f>
        <v>2451</v>
      </c>
    </row>
    <row r="645" customFormat="false" ht="12.75" hidden="false" customHeight="true" outlineLevel="0" collapsed="false">
      <c r="A645" s="139" t="n">
        <v>44524</v>
      </c>
      <c r="B645" s="144" t="s">
        <v>6497</v>
      </c>
      <c r="C645" s="115" t="n">
        <v>2019</v>
      </c>
      <c r="D645" s="264" t="n">
        <v>43523</v>
      </c>
      <c r="E645" s="144" t="s">
        <v>6498</v>
      </c>
      <c r="F645" s="144" t="s">
        <v>6499</v>
      </c>
      <c r="G645" s="144" t="s">
        <v>441</v>
      </c>
      <c r="H645" s="144" t="s">
        <v>119</v>
      </c>
      <c r="I645" s="264" t="n">
        <v>45653</v>
      </c>
      <c r="J645" s="115" t="n">
        <v>12</v>
      </c>
      <c r="K645" s="71" t="s">
        <v>49</v>
      </c>
      <c r="L645" s="144" t="s">
        <v>58</v>
      </c>
      <c r="M645" s="145" t="n">
        <f aca="false">I645-D645</f>
        <v>2130</v>
      </c>
    </row>
    <row r="646" customFormat="false" ht="12.75" hidden="false" customHeight="true" outlineLevel="0" collapsed="false">
      <c r="A646" s="148" t="n">
        <v>44624</v>
      </c>
      <c r="B646" s="405" t="s">
        <v>6500</v>
      </c>
      <c r="C646" s="119" t="n">
        <v>2024</v>
      </c>
      <c r="D646" s="432" t="n">
        <v>45399</v>
      </c>
      <c r="E646" s="405" t="s">
        <v>6501</v>
      </c>
      <c r="F646" s="405" t="s">
        <v>3284</v>
      </c>
      <c r="G646" s="405" t="s">
        <v>130</v>
      </c>
      <c r="H646" s="405" t="s">
        <v>1042</v>
      </c>
      <c r="I646" s="432" t="n">
        <v>45653</v>
      </c>
      <c r="J646" s="119" t="n">
        <v>12</v>
      </c>
      <c r="K646" s="71" t="s">
        <v>49</v>
      </c>
      <c r="L646" s="152" t="s">
        <v>61</v>
      </c>
      <c r="M646" s="430" t="n">
        <f aca="false">I646-D646</f>
        <v>254</v>
      </c>
    </row>
    <row r="647" customFormat="false" ht="12.75" hidden="false" customHeight="true" outlineLevel="0" collapsed="false">
      <c r="A647" s="139" t="n">
        <v>44724</v>
      </c>
      <c r="B647" s="144" t="s">
        <v>6502</v>
      </c>
      <c r="C647" s="115" t="n">
        <v>2016</v>
      </c>
      <c r="D647" s="264" t="n">
        <v>42640</v>
      </c>
      <c r="E647" s="144" t="s">
        <v>6503</v>
      </c>
      <c r="F647" s="144" t="s">
        <v>6504</v>
      </c>
      <c r="G647" s="144" t="s">
        <v>441</v>
      </c>
      <c r="H647" s="144" t="s">
        <v>192</v>
      </c>
      <c r="I647" s="264" t="n">
        <v>45653</v>
      </c>
      <c r="J647" s="115" t="n">
        <v>12</v>
      </c>
      <c r="K647" s="71" t="s">
        <v>49</v>
      </c>
      <c r="L647" s="144" t="s">
        <v>58</v>
      </c>
      <c r="M647" s="145" t="n">
        <f aca="false">I647-D647</f>
        <v>3013</v>
      </c>
    </row>
    <row r="648" customFormat="false" ht="12.75" hidden="false" customHeight="true" outlineLevel="0" collapsed="false">
      <c r="A648" s="148" t="n">
        <v>44824</v>
      </c>
      <c r="B648" s="405" t="s">
        <v>6505</v>
      </c>
      <c r="C648" s="119" t="n">
        <v>2023</v>
      </c>
      <c r="D648" s="432" t="n">
        <v>45271</v>
      </c>
      <c r="E648" s="405" t="s">
        <v>6506</v>
      </c>
      <c r="F648" s="405" t="s">
        <v>6507</v>
      </c>
      <c r="G648" s="405" t="s">
        <v>130</v>
      </c>
      <c r="H648" s="405" t="s">
        <v>3568</v>
      </c>
      <c r="I648" s="432" t="n">
        <v>45656</v>
      </c>
      <c r="J648" s="119" t="n">
        <v>12</v>
      </c>
      <c r="K648" s="71" t="s">
        <v>49</v>
      </c>
      <c r="L648" s="152" t="s">
        <v>61</v>
      </c>
      <c r="M648" s="430" t="n">
        <f aca="false">I648-D648</f>
        <v>385</v>
      </c>
    </row>
    <row r="649" customFormat="false" ht="12.75" hidden="false" customHeight="true" outlineLevel="0" collapsed="false">
      <c r="A649" s="139" t="n">
        <v>44924</v>
      </c>
      <c r="B649" s="144" t="s">
        <v>6508</v>
      </c>
      <c r="C649" s="115" t="n">
        <v>2011</v>
      </c>
      <c r="D649" s="264" t="n">
        <v>40808</v>
      </c>
      <c r="E649" s="144" t="s">
        <v>6509</v>
      </c>
      <c r="F649" s="144" t="s">
        <v>1097</v>
      </c>
      <c r="G649" s="144" t="s">
        <v>441</v>
      </c>
      <c r="H649" s="144" t="s">
        <v>706</v>
      </c>
      <c r="I649" s="264" t="n">
        <v>45656</v>
      </c>
      <c r="J649" s="115" t="n">
        <v>12</v>
      </c>
      <c r="K649" s="196" t="s">
        <v>42</v>
      </c>
      <c r="L649" s="144" t="s">
        <v>60</v>
      </c>
      <c r="M649" s="145" t="n">
        <f aca="false">I649-D649</f>
        <v>4848</v>
      </c>
    </row>
    <row r="650" customFormat="false" ht="12.75" hidden="false" customHeight="true" outlineLevel="0" collapsed="false">
      <c r="A650" s="148" t="n">
        <v>45024</v>
      </c>
      <c r="B650" s="405" t="s">
        <v>6510</v>
      </c>
      <c r="C650" s="119" t="n">
        <v>2016</v>
      </c>
      <c r="D650" s="432" t="n">
        <v>42614</v>
      </c>
      <c r="E650" s="405" t="s">
        <v>6511</v>
      </c>
      <c r="F650" s="405" t="s">
        <v>3844</v>
      </c>
      <c r="G650" s="405" t="s">
        <v>441</v>
      </c>
      <c r="H650" s="405" t="s">
        <v>995</v>
      </c>
      <c r="I650" s="432" t="n">
        <v>45656</v>
      </c>
      <c r="J650" s="119" t="n">
        <v>12</v>
      </c>
      <c r="K650" s="71" t="s">
        <v>49</v>
      </c>
      <c r="L650" s="152" t="s">
        <v>58</v>
      </c>
      <c r="M650" s="152" t="n">
        <f aca="false">I650-D650</f>
        <v>3042</v>
      </c>
    </row>
    <row r="651" customFormat="false" ht="12.75" hidden="false" customHeight="true" outlineLevel="0" collapsed="false">
      <c r="A651" s="139" t="n">
        <v>45124</v>
      </c>
      <c r="B651" s="144" t="s">
        <v>6512</v>
      </c>
      <c r="C651" s="115" t="n">
        <v>2024</v>
      </c>
      <c r="D651" s="264" t="n">
        <v>45392</v>
      </c>
      <c r="E651" s="144" t="s">
        <v>6513</v>
      </c>
      <c r="F651" s="144" t="s">
        <v>6514</v>
      </c>
      <c r="G651" s="144" t="s">
        <v>130</v>
      </c>
      <c r="H651" s="144" t="s">
        <v>6515</v>
      </c>
      <c r="I651" s="264" t="n">
        <v>45656</v>
      </c>
      <c r="J651" s="115" t="n">
        <v>12</v>
      </c>
      <c r="K651" s="71" t="s">
        <v>49</v>
      </c>
      <c r="L651" s="144" t="s">
        <v>61</v>
      </c>
      <c r="M651" s="431" t="n">
        <f aca="false">I651-D651</f>
        <v>264</v>
      </c>
    </row>
    <row r="652" customFormat="false" ht="12.75" hidden="false" customHeight="true" outlineLevel="0" collapsed="false">
      <c r="A652" s="148" t="n">
        <v>45224</v>
      </c>
      <c r="B652" s="405" t="s">
        <v>6516</v>
      </c>
      <c r="C652" s="119" t="n">
        <v>2021</v>
      </c>
      <c r="D652" s="432" t="n">
        <v>44400</v>
      </c>
      <c r="E652" s="405" t="s">
        <v>6517</v>
      </c>
      <c r="F652" s="405" t="s">
        <v>509</v>
      </c>
      <c r="G652" s="405" t="s">
        <v>441</v>
      </c>
      <c r="H652" s="405" t="s">
        <v>1109</v>
      </c>
      <c r="I652" s="432" t="n">
        <v>45656</v>
      </c>
      <c r="J652" s="119" t="n">
        <v>12</v>
      </c>
      <c r="K652" s="163" t="s">
        <v>46</v>
      </c>
      <c r="L652" s="152" t="s">
        <v>58</v>
      </c>
      <c r="M652" s="152" t="n">
        <f aca="false">I652-D652</f>
        <v>1256</v>
      </c>
    </row>
    <row r="653" customFormat="false" ht="12.75" hidden="false" customHeight="true" outlineLevel="0" collapsed="false">
      <c r="A653" s="139" t="n">
        <v>45324</v>
      </c>
      <c r="B653" s="144" t="s">
        <v>6518</v>
      </c>
      <c r="C653" s="115" t="n">
        <v>2021</v>
      </c>
      <c r="D653" s="264" t="n">
        <v>44349</v>
      </c>
      <c r="E653" s="144" t="s">
        <v>6519</v>
      </c>
      <c r="F653" s="144" t="s">
        <v>1783</v>
      </c>
      <c r="G653" s="144" t="s">
        <v>441</v>
      </c>
      <c r="H653" s="144" t="s">
        <v>6520</v>
      </c>
      <c r="I653" s="264" t="n">
        <v>45656</v>
      </c>
      <c r="J653" s="115" t="n">
        <v>12</v>
      </c>
      <c r="K653" s="71" t="s">
        <v>48</v>
      </c>
      <c r="L653" s="144" t="s">
        <v>60</v>
      </c>
      <c r="M653" s="145" t="n">
        <f aca="false">I653-D653</f>
        <v>1307</v>
      </c>
    </row>
    <row r="654" customFormat="false" ht="14.15" hidden="false" customHeight="false" outlineLevel="0" collapsed="false">
      <c r="A654" s="148" t="n">
        <v>45424</v>
      </c>
      <c r="B654" s="405" t="s">
        <v>6521</v>
      </c>
      <c r="C654" s="119" t="n">
        <v>2021</v>
      </c>
      <c r="D654" s="432" t="n">
        <v>44349</v>
      </c>
      <c r="E654" s="405" t="s">
        <v>6522</v>
      </c>
      <c r="F654" s="405" t="s">
        <v>1783</v>
      </c>
      <c r="G654" s="405" t="s">
        <v>441</v>
      </c>
      <c r="H654" s="405" t="s">
        <v>706</v>
      </c>
      <c r="I654" s="432" t="n">
        <v>45656</v>
      </c>
      <c r="J654" s="119" t="n">
        <v>12</v>
      </c>
      <c r="K654" s="71" t="s">
        <v>48</v>
      </c>
      <c r="L654" s="405" t="s">
        <v>60</v>
      </c>
      <c r="M654" s="152" t="n">
        <f aca="false">I654-D654</f>
        <v>1307</v>
      </c>
    </row>
    <row r="655" customFormat="false" ht="14.15" hidden="false" customHeight="false" outlineLevel="0" collapsed="false">
      <c r="A655" s="139" t="n">
        <v>45524</v>
      </c>
      <c r="B655" s="144" t="s">
        <v>6523</v>
      </c>
      <c r="C655" s="115" t="n">
        <v>2023</v>
      </c>
      <c r="D655" s="264" t="n">
        <v>45205</v>
      </c>
      <c r="E655" s="144" t="s">
        <v>6524</v>
      </c>
      <c r="F655" s="144" t="s">
        <v>6525</v>
      </c>
      <c r="G655" s="144" t="s">
        <v>125</v>
      </c>
      <c r="H655" s="144" t="s">
        <v>662</v>
      </c>
      <c r="I655" s="264" t="n">
        <v>45656</v>
      </c>
      <c r="J655" s="115" t="n">
        <v>12</v>
      </c>
      <c r="K655" s="71" t="s">
        <v>49</v>
      </c>
      <c r="L655" s="144" t="s">
        <v>61</v>
      </c>
      <c r="M655" s="431" t="n">
        <f aca="false">I655-D655</f>
        <v>451</v>
      </c>
    </row>
    <row r="656" customFormat="false" ht="14.15" hidden="false" customHeight="false" outlineLevel="0" collapsed="false">
      <c r="A656" s="148" t="n">
        <v>45624</v>
      </c>
      <c r="B656" s="405" t="s">
        <v>6526</v>
      </c>
      <c r="C656" s="119" t="n">
        <v>2021</v>
      </c>
      <c r="D656" s="432" t="n">
        <v>44349</v>
      </c>
      <c r="E656" s="405" t="s">
        <v>6527</v>
      </c>
      <c r="F656" s="405" t="s">
        <v>1783</v>
      </c>
      <c r="G656" s="405" t="s">
        <v>441</v>
      </c>
      <c r="H656" s="405" t="s">
        <v>6520</v>
      </c>
      <c r="I656" s="432" t="n">
        <v>45656</v>
      </c>
      <c r="J656" s="119" t="n">
        <v>12</v>
      </c>
      <c r="K656" s="71" t="s">
        <v>48</v>
      </c>
      <c r="L656" s="405" t="s">
        <v>60</v>
      </c>
      <c r="M656" s="152" t="n">
        <f aca="false">I656-D656</f>
        <v>1307</v>
      </c>
    </row>
    <row r="657" customFormat="false" ht="14.15" hidden="false" customHeight="false" outlineLevel="0" collapsed="false">
      <c r="A657" s="139" t="n">
        <v>45724</v>
      </c>
      <c r="B657" s="144" t="s">
        <v>6528</v>
      </c>
      <c r="C657" s="115" t="n">
        <v>2017</v>
      </c>
      <c r="D657" s="264" t="n">
        <v>42802</v>
      </c>
      <c r="E657" s="144" t="s">
        <v>6529</v>
      </c>
      <c r="F657" s="144" t="s">
        <v>446</v>
      </c>
      <c r="G657" s="144" t="s">
        <v>144</v>
      </c>
      <c r="H657" s="144" t="s">
        <v>223</v>
      </c>
      <c r="I657" s="264" t="n">
        <v>45656</v>
      </c>
      <c r="J657" s="115" t="n">
        <v>12</v>
      </c>
      <c r="K657" s="71" t="s">
        <v>49</v>
      </c>
      <c r="L657" s="144" t="s">
        <v>60</v>
      </c>
      <c r="M657" s="145" t="n">
        <f aca="false">I657-D657</f>
        <v>2854</v>
      </c>
    </row>
    <row r="658" customFormat="false" ht="14.15" hidden="false" customHeight="false" outlineLevel="0" collapsed="false">
      <c r="A658" s="148" t="n">
        <v>45824</v>
      </c>
      <c r="B658" s="405" t="s">
        <v>6530</v>
      </c>
      <c r="C658" s="119" t="n">
        <v>2020</v>
      </c>
      <c r="D658" s="432" t="n">
        <v>44196</v>
      </c>
      <c r="E658" s="405" t="s">
        <v>6531</v>
      </c>
      <c r="F658" s="405" t="s">
        <v>467</v>
      </c>
      <c r="G658" s="405" t="s">
        <v>441</v>
      </c>
      <c r="H658" s="405" t="s">
        <v>318</v>
      </c>
      <c r="I658" s="432" t="n">
        <v>45656</v>
      </c>
      <c r="J658" s="119" t="n">
        <v>12</v>
      </c>
      <c r="K658" s="71" t="s">
        <v>49</v>
      </c>
      <c r="L658" s="152" t="s">
        <v>61</v>
      </c>
      <c r="M658" s="152" t="n">
        <f aca="false">I658-D658</f>
        <v>1460</v>
      </c>
    </row>
    <row r="659" customFormat="false" ht="14.15" hidden="false" customHeight="false" outlineLevel="0" collapsed="false">
      <c r="A659" s="139" t="n">
        <v>45924</v>
      </c>
      <c r="B659" s="144" t="s">
        <v>6532</v>
      </c>
      <c r="C659" s="115" t="n">
        <v>2020</v>
      </c>
      <c r="D659" s="264" t="n">
        <v>44195</v>
      </c>
      <c r="E659" s="144" t="s">
        <v>6533</v>
      </c>
      <c r="F659" s="435" t="s">
        <v>6534</v>
      </c>
      <c r="G659" s="144" t="s">
        <v>144</v>
      </c>
      <c r="H659" s="144" t="s">
        <v>254</v>
      </c>
      <c r="I659" s="264" t="n">
        <v>45656</v>
      </c>
      <c r="J659" s="115" t="n">
        <v>12</v>
      </c>
      <c r="K659" s="71" t="s">
        <v>49</v>
      </c>
      <c r="L659" s="144" t="s">
        <v>58</v>
      </c>
      <c r="M659" s="145" t="n">
        <f aca="false">I659-D659</f>
        <v>1461</v>
      </c>
    </row>
    <row r="660" customFormat="false" ht="14.15" hidden="false" customHeight="false" outlineLevel="0" collapsed="false">
      <c r="A660" s="148" t="n">
        <v>46024</v>
      </c>
      <c r="B660" s="405" t="s">
        <v>6535</v>
      </c>
      <c r="C660" s="119" t="n">
        <v>2017</v>
      </c>
      <c r="D660" s="432" t="n">
        <v>42817</v>
      </c>
      <c r="E660" s="405" t="s">
        <v>6536</v>
      </c>
      <c r="F660" s="405" t="s">
        <v>446</v>
      </c>
      <c r="G660" s="405" t="s">
        <v>144</v>
      </c>
      <c r="H660" s="405" t="s">
        <v>223</v>
      </c>
      <c r="I660" s="432" t="n">
        <v>45656</v>
      </c>
      <c r="J660" s="119" t="n">
        <v>12</v>
      </c>
      <c r="K660" s="71" t="s">
        <v>49</v>
      </c>
      <c r="L660" s="405" t="s">
        <v>60</v>
      </c>
      <c r="M660" s="152" t="n">
        <f aca="false">I660-D660</f>
        <v>2839</v>
      </c>
    </row>
    <row r="661" customFormat="false" ht="14.15" hidden="false" customHeight="false" outlineLevel="0" collapsed="false">
      <c r="A661" s="139" t="n">
        <v>46124</v>
      </c>
      <c r="B661" s="144" t="s">
        <v>6537</v>
      </c>
      <c r="C661" s="115" t="n">
        <v>2016</v>
      </c>
      <c r="D661" s="264" t="n">
        <v>42643</v>
      </c>
      <c r="E661" s="144" t="s">
        <v>6538</v>
      </c>
      <c r="F661" s="144" t="s">
        <v>6539</v>
      </c>
      <c r="G661" s="144" t="s">
        <v>441</v>
      </c>
      <c r="H661" s="144" t="s">
        <v>6540</v>
      </c>
      <c r="I661" s="264" t="n">
        <v>45656</v>
      </c>
      <c r="J661" s="115" t="n">
        <v>12</v>
      </c>
      <c r="K661" s="71" t="s">
        <v>49</v>
      </c>
      <c r="L661" s="144" t="s">
        <v>58</v>
      </c>
      <c r="M661" s="145" t="n">
        <f aca="false">I661-D661</f>
        <v>3013</v>
      </c>
    </row>
    <row r="662" customFormat="false" ht="14.15" hidden="false" customHeight="false" outlineLevel="0" collapsed="false">
      <c r="A662" s="148" t="n">
        <v>46224</v>
      </c>
      <c r="B662" s="405" t="s">
        <v>6541</v>
      </c>
      <c r="C662" s="119" t="n">
        <v>2024</v>
      </c>
      <c r="D662" s="432" t="n">
        <v>45439</v>
      </c>
      <c r="E662" s="405" t="s">
        <v>6542</v>
      </c>
      <c r="F662" s="427" t="s">
        <v>6543</v>
      </c>
      <c r="G662" s="405" t="s">
        <v>130</v>
      </c>
      <c r="H662" s="405" t="s">
        <v>6544</v>
      </c>
      <c r="I662" s="432" t="n">
        <v>45656</v>
      </c>
      <c r="J662" s="119" t="n">
        <v>12</v>
      </c>
      <c r="K662" s="71" t="s">
        <v>49</v>
      </c>
      <c r="L662" s="152" t="s">
        <v>61</v>
      </c>
      <c r="M662" s="430" t="n">
        <f aca="false">I662-D662</f>
        <v>217</v>
      </c>
    </row>
    <row r="663" customFormat="false" ht="14.15" hidden="false" customHeight="false" outlineLevel="0" collapsed="false">
      <c r="A663" s="139" t="n">
        <v>46324</v>
      </c>
      <c r="B663" s="144" t="s">
        <v>6545</v>
      </c>
      <c r="C663" s="115" t="n">
        <v>2021</v>
      </c>
      <c r="D663" s="264" t="n">
        <v>44306</v>
      </c>
      <c r="E663" s="144" t="s">
        <v>6546</v>
      </c>
      <c r="F663" s="144" t="s">
        <v>6547</v>
      </c>
      <c r="G663" s="144" t="s">
        <v>144</v>
      </c>
      <c r="H663" s="144" t="s">
        <v>6548</v>
      </c>
      <c r="I663" s="264" t="n">
        <v>45656</v>
      </c>
      <c r="J663" s="115" t="n">
        <v>12</v>
      </c>
      <c r="K663" s="71" t="s">
        <v>48</v>
      </c>
      <c r="L663" s="144" t="s">
        <v>60</v>
      </c>
      <c r="M663" s="145" t="n">
        <f aca="false">I663-D663</f>
        <v>1350</v>
      </c>
    </row>
    <row r="664" customFormat="false" ht="14.15" hidden="false" customHeight="false" outlineLevel="0" collapsed="false">
      <c r="A664" s="148" t="n">
        <v>46424</v>
      </c>
      <c r="B664" s="405" t="s">
        <v>6549</v>
      </c>
      <c r="C664" s="119" t="n">
        <v>2023</v>
      </c>
      <c r="D664" s="432" t="n">
        <v>45261</v>
      </c>
      <c r="E664" s="405" t="s">
        <v>6550</v>
      </c>
      <c r="F664" s="405" t="s">
        <v>376</v>
      </c>
      <c r="G664" s="405" t="s">
        <v>130</v>
      </c>
      <c r="H664" s="405" t="s">
        <v>6551</v>
      </c>
      <c r="I664" s="432" t="n">
        <v>45656</v>
      </c>
      <c r="J664" s="119" t="n">
        <v>12</v>
      </c>
      <c r="K664" s="71" t="s">
        <v>49</v>
      </c>
      <c r="L664" s="152" t="s">
        <v>61</v>
      </c>
      <c r="M664" s="430" t="n">
        <f aca="false">I664-D664</f>
        <v>395</v>
      </c>
    </row>
  </sheetData>
  <autoFilter ref="A1:M664"/>
  <mergeCells count="81">
    <mergeCell ref="O2:P2"/>
    <mergeCell ref="O14:S15"/>
    <mergeCell ref="O16:S16"/>
    <mergeCell ref="O17:S17"/>
    <mergeCell ref="O18:S18"/>
    <mergeCell ref="O19:S19"/>
    <mergeCell ref="O20:S20"/>
    <mergeCell ref="O21:S21"/>
    <mergeCell ref="O22:S22"/>
    <mergeCell ref="O23:S23"/>
    <mergeCell ref="O24:S24"/>
    <mergeCell ref="O26:S27"/>
    <mergeCell ref="P28:R28"/>
    <mergeCell ref="P29:R29"/>
    <mergeCell ref="P30:R30"/>
    <mergeCell ref="P31:R31"/>
    <mergeCell ref="P32:R32"/>
    <mergeCell ref="P33:R33"/>
    <mergeCell ref="P34:R34"/>
    <mergeCell ref="P35:R35"/>
    <mergeCell ref="P36:R36"/>
    <mergeCell ref="P37:R37"/>
    <mergeCell ref="P38:R38"/>
    <mergeCell ref="P39:R39"/>
    <mergeCell ref="P40:R40"/>
    <mergeCell ref="P41:R41"/>
    <mergeCell ref="P42:R42"/>
    <mergeCell ref="P43:R43"/>
    <mergeCell ref="P44:R44"/>
    <mergeCell ref="P45:R45"/>
    <mergeCell ref="P46:R46"/>
    <mergeCell ref="O48:S49"/>
    <mergeCell ref="P50:R50"/>
    <mergeCell ref="P51:R51"/>
    <mergeCell ref="P52:R52"/>
    <mergeCell ref="P53:R53"/>
    <mergeCell ref="P54:R54"/>
    <mergeCell ref="P55:R55"/>
    <mergeCell ref="P56:R56"/>
    <mergeCell ref="P57:R57"/>
    <mergeCell ref="P58:R58"/>
    <mergeCell ref="P59:R59"/>
    <mergeCell ref="P60:R60"/>
    <mergeCell ref="P61:R61"/>
    <mergeCell ref="P62:R62"/>
    <mergeCell ref="P63:R63"/>
    <mergeCell ref="O65:T66"/>
    <mergeCell ref="O67:R67"/>
    <mergeCell ref="O68:R68"/>
    <mergeCell ref="O69:R69"/>
    <mergeCell ref="O70:R70"/>
    <mergeCell ref="O71:R71"/>
    <mergeCell ref="O72:R72"/>
    <mergeCell ref="O73:R73"/>
    <mergeCell ref="O74:R74"/>
    <mergeCell ref="O75:R75"/>
    <mergeCell ref="O76:R76"/>
    <mergeCell ref="O77:R77"/>
    <mergeCell ref="O78:R78"/>
    <mergeCell ref="O79:R79"/>
    <mergeCell ref="O80:R80"/>
    <mergeCell ref="O81:R81"/>
    <mergeCell ref="O83:T84"/>
    <mergeCell ref="O85:R85"/>
    <mergeCell ref="O86:R86"/>
    <mergeCell ref="O87:R87"/>
    <mergeCell ref="O88:R88"/>
    <mergeCell ref="O89:R89"/>
    <mergeCell ref="O90:R90"/>
    <mergeCell ref="O92:R93"/>
    <mergeCell ref="P94:R94"/>
    <mergeCell ref="P95:R95"/>
    <mergeCell ref="P96:R96"/>
    <mergeCell ref="P97:R97"/>
    <mergeCell ref="P98:R98"/>
    <mergeCell ref="P99:R99"/>
    <mergeCell ref="P100:R100"/>
    <mergeCell ref="P101:R101"/>
    <mergeCell ref="P102:R102"/>
    <mergeCell ref="P103:R103"/>
    <mergeCell ref="P104:R104"/>
  </mergeCells>
  <conditionalFormatting sqref="I166:I188">
    <cfRule type="timePeriod" priority="2" timePeriod="today" dxfId="81"/>
  </conditionalFormatting>
  <conditionalFormatting sqref="I164">
    <cfRule type="timePeriod" priority="3" timePeriod="today" dxfId="82"/>
  </conditionalFormatting>
  <conditionalFormatting sqref="I112:I122">
    <cfRule type="timePeriod" priority="4" timePeriod="today" dxfId="83"/>
  </conditionalFormatting>
  <conditionalFormatting sqref="I110">
    <cfRule type="timePeriod" priority="5" timePeriod="today" dxfId="84"/>
  </conditionalFormatting>
  <conditionalFormatting sqref="I162">
    <cfRule type="timePeriod" priority="6" timePeriod="today" dxfId="85"/>
  </conditionalFormatting>
  <conditionalFormatting sqref="I42:I86">
    <cfRule type="timePeriod" priority="7" timePeriod="today" dxfId="86"/>
  </conditionalFormatting>
  <conditionalFormatting sqref="I40">
    <cfRule type="timePeriod" priority="8" timePeriod="today" dxfId="87"/>
  </conditionalFormatting>
  <conditionalFormatting sqref="I2:I16 I18 I20 I22 I24 I26 I28 I30 I32 I34 I36 I38 I88 I90 I92 I94 I96 I98 I100 I102 I104 I106 I108 I124 I126 I128 I130 I132 I134 I136 I138 I140 I142 I144 I146 I148 I150 I152 I154 I156 I158 I160">
    <cfRule type="timePeriod" priority="9" timePeriod="today" dxfId="88"/>
  </conditionalFormatting>
  <conditionalFormatting sqref="I190 I192:I194 I196 I198 I200">
    <cfRule type="timePeriod" priority="10" timePeriod="today" dxfId="89"/>
  </conditionalFormatting>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T65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K67" activePane="bottomRight" state="frozen"/>
      <selection pane="topLeft" activeCell="A1" activeCellId="0" sqref="A1"/>
      <selection pane="topRight" activeCell="K1" activeCellId="0" sqref="K1"/>
      <selection pane="bottomLeft" activeCell="A67" activeCellId="0" sqref="A67"/>
      <selection pane="bottomRight" activeCell="P29" activeCellId="0" sqref="P29"/>
    </sheetView>
  </sheetViews>
  <sheetFormatPr defaultColWidth="14.2890625" defaultRowHeight="12.75" customHeight="false" zeroHeight="false" outlineLevelRow="0" outlineLevelCol="0"/>
  <cols>
    <col collapsed="false" customWidth="true" hidden="false" outlineLevel="0" max="1" min="1" style="0" width="20"/>
    <col collapsed="false" customWidth="true" hidden="false" outlineLevel="0" max="2" min="2" style="0" width="27.43"/>
    <col collapsed="false" customWidth="true" hidden="false" outlineLevel="0" max="4" min="3" style="0" width="24.85"/>
    <col collapsed="false" customWidth="true" hidden="false" outlineLevel="0" max="5" min="5" style="0" width="47.71"/>
    <col collapsed="false" customWidth="true" hidden="false" outlineLevel="0" max="6" min="6" style="0" width="79.43"/>
    <col collapsed="false" customWidth="true" hidden="false" outlineLevel="0" max="7" min="7" style="0" width="15.42"/>
    <col collapsed="false" customWidth="true" hidden="false" outlineLevel="0" max="8" min="8" style="0" width="22.29"/>
    <col collapsed="false" customWidth="true" hidden="false" outlineLevel="0" max="9" min="9" style="0" width="22.42"/>
    <col collapsed="false" customWidth="true" hidden="false" outlineLevel="0" max="10" min="10" style="0" width="14.71"/>
    <col collapsed="false" customWidth="true" hidden="false" outlineLevel="0" max="11" min="11" style="0" width="82.42"/>
    <col collapsed="false" customWidth="true" hidden="false" outlineLevel="0" max="12" min="12" style="0" width="76.14"/>
    <col collapsed="false" customWidth="true" hidden="false" outlineLevel="0" max="13" min="13" style="0" width="23.58"/>
    <col collapsed="false" customWidth="true" hidden="false" outlineLevel="0" max="14" min="14" style="0" width="7.71"/>
    <col collapsed="false" customWidth="true" hidden="false" outlineLevel="0" max="15" min="15" style="0" width="27.14"/>
    <col collapsed="false" customWidth="true" hidden="false" outlineLevel="0" max="16" min="16" style="0" width="9.85"/>
    <col collapsed="false" customWidth="true" hidden="false" outlineLevel="0" max="17" min="17" style="0" width="3.42"/>
    <col collapsed="false" customWidth="true" hidden="false" outlineLevel="0" max="18" min="18" style="0" width="39"/>
    <col collapsed="false" customWidth="true" hidden="false" outlineLevel="0" max="19" min="19" style="0" width="62.85"/>
    <col collapsed="false" customWidth="true" hidden="false" outlineLevel="0" max="20" min="20" style="0" width="13.71"/>
    <col collapsed="false" customWidth="true" hidden="false" outlineLevel="0" max="21" min="21" style="0" width="18.14"/>
    <col collapsed="false" customWidth="true" hidden="true" outlineLevel="0" max="26" min="22" style="0" width="8.71"/>
  </cols>
  <sheetData>
    <row r="1" customFormat="false" ht="12.75" hidden="false" customHeight="true" outlineLevel="0" collapsed="false">
      <c r="A1" s="276" t="s">
        <v>92</v>
      </c>
      <c r="B1" s="277" t="s">
        <v>93</v>
      </c>
      <c r="C1" s="277" t="s">
        <v>89</v>
      </c>
      <c r="D1" s="278" t="s">
        <v>94</v>
      </c>
      <c r="E1" s="277" t="s">
        <v>95</v>
      </c>
      <c r="F1" s="277" t="s">
        <v>96</v>
      </c>
      <c r="G1" s="277" t="s">
        <v>97</v>
      </c>
      <c r="H1" s="277" t="s">
        <v>98</v>
      </c>
      <c r="I1" s="278" t="s">
        <v>99</v>
      </c>
      <c r="J1" s="277" t="s">
        <v>100</v>
      </c>
      <c r="K1" s="277" t="s">
        <v>101</v>
      </c>
      <c r="L1" s="277" t="s">
        <v>102</v>
      </c>
      <c r="M1" s="279" t="s">
        <v>103</v>
      </c>
      <c r="N1" s="146"/>
      <c r="O1" s="146"/>
      <c r="P1" s="146"/>
      <c r="Q1" s="146"/>
      <c r="R1" s="146"/>
      <c r="S1" s="146"/>
    </row>
    <row r="2" customFormat="false" ht="15" hidden="false" customHeight="true" outlineLevel="0" collapsed="false">
      <c r="A2" s="203" t="s">
        <v>6552</v>
      </c>
      <c r="B2" s="193" t="s">
        <v>6553</v>
      </c>
      <c r="C2" s="193" t="n">
        <v>2017</v>
      </c>
      <c r="D2" s="259" t="n">
        <v>43055</v>
      </c>
      <c r="E2" s="205" t="s">
        <v>6554</v>
      </c>
      <c r="F2" s="206" t="s">
        <v>1316</v>
      </c>
      <c r="G2" s="206" t="s">
        <v>1174</v>
      </c>
      <c r="H2" s="205" t="s">
        <v>254</v>
      </c>
      <c r="I2" s="218" t="n">
        <v>44956</v>
      </c>
      <c r="J2" s="206" t="n">
        <v>1</v>
      </c>
      <c r="K2" s="206" t="s">
        <v>53</v>
      </c>
      <c r="L2" s="206" t="s">
        <v>6555</v>
      </c>
      <c r="M2" s="206" t="n">
        <f aca="false">I2-D2</f>
        <v>1901</v>
      </c>
      <c r="N2" s="146"/>
      <c r="O2" s="280" t="s">
        <v>2140</v>
      </c>
      <c r="P2" s="280"/>
      <c r="Q2" s="146"/>
      <c r="R2" s="146"/>
      <c r="S2" s="146"/>
    </row>
    <row r="3" customFormat="false" ht="15" hidden="false" customHeight="true" outlineLevel="0" collapsed="false">
      <c r="A3" s="210" t="s">
        <v>6556</v>
      </c>
      <c r="B3" s="211" t="s">
        <v>6557</v>
      </c>
      <c r="C3" s="211" t="n">
        <v>2019</v>
      </c>
      <c r="D3" s="260" t="n">
        <v>43662</v>
      </c>
      <c r="E3" s="213" t="s">
        <v>6558</v>
      </c>
      <c r="F3" s="213" t="s">
        <v>569</v>
      </c>
      <c r="G3" s="214" t="s">
        <v>1174</v>
      </c>
      <c r="H3" s="214" t="s">
        <v>522</v>
      </c>
      <c r="I3" s="215" t="n">
        <v>44956</v>
      </c>
      <c r="J3" s="213" t="n">
        <v>1</v>
      </c>
      <c r="K3" s="213" t="s">
        <v>53</v>
      </c>
      <c r="L3" s="206" t="s">
        <v>6555</v>
      </c>
      <c r="M3" s="213" t="n">
        <f aca="false">I3-D3</f>
        <v>1294</v>
      </c>
      <c r="N3" s="146"/>
      <c r="O3" s="281" t="s">
        <v>1474</v>
      </c>
      <c r="P3" s="281" t="n">
        <f aca="false">COUNTIF(G:G,O3)</f>
        <v>0</v>
      </c>
      <c r="Q3" s="146"/>
      <c r="R3" s="146"/>
      <c r="S3" s="146"/>
    </row>
    <row r="4" customFormat="false" ht="15" hidden="false" customHeight="true" outlineLevel="0" collapsed="false">
      <c r="A4" s="203" t="s">
        <v>6559</v>
      </c>
      <c r="B4" s="193" t="s">
        <v>6560</v>
      </c>
      <c r="C4" s="193" t="n">
        <v>2022</v>
      </c>
      <c r="D4" s="259" t="n">
        <v>44764</v>
      </c>
      <c r="E4" s="205" t="s">
        <v>6561</v>
      </c>
      <c r="F4" s="206" t="s">
        <v>780</v>
      </c>
      <c r="G4" s="206" t="s">
        <v>1174</v>
      </c>
      <c r="H4" s="205" t="s">
        <v>532</v>
      </c>
      <c r="I4" s="218" t="n">
        <v>44956</v>
      </c>
      <c r="J4" s="206" t="n">
        <v>1</v>
      </c>
      <c r="K4" s="206" t="s">
        <v>53</v>
      </c>
      <c r="L4" s="206" t="s">
        <v>6562</v>
      </c>
      <c r="M4" s="206" t="n">
        <f aca="false">I4-D4</f>
        <v>192</v>
      </c>
      <c r="N4" s="153"/>
      <c r="O4" s="282" t="s">
        <v>1188</v>
      </c>
      <c r="P4" s="282" t="n">
        <f aca="false">COUNTIF(G:G,O4)</f>
        <v>11</v>
      </c>
      <c r="Q4" s="153"/>
      <c r="R4" s="153"/>
      <c r="S4" s="153"/>
    </row>
    <row r="5" customFormat="false" ht="15" hidden="false" customHeight="true" outlineLevel="0" collapsed="false">
      <c r="A5" s="210" t="s">
        <v>6563</v>
      </c>
      <c r="B5" s="211" t="s">
        <v>6564</v>
      </c>
      <c r="C5" s="211" t="n">
        <v>2019</v>
      </c>
      <c r="D5" s="260" t="n">
        <v>43578</v>
      </c>
      <c r="E5" s="213" t="s">
        <v>6565</v>
      </c>
      <c r="F5" s="213" t="s">
        <v>6566</v>
      </c>
      <c r="G5" s="214" t="s">
        <v>1174</v>
      </c>
      <c r="H5" s="214" t="s">
        <v>1258</v>
      </c>
      <c r="I5" s="215" t="n">
        <v>44956</v>
      </c>
      <c r="J5" s="213" t="n">
        <v>1</v>
      </c>
      <c r="K5" s="213" t="s">
        <v>53</v>
      </c>
      <c r="L5" s="206" t="s">
        <v>6555</v>
      </c>
      <c r="M5" s="213" t="n">
        <f aca="false">I5-D5</f>
        <v>1378</v>
      </c>
      <c r="N5" s="153"/>
      <c r="O5" s="283" t="s">
        <v>1174</v>
      </c>
      <c r="P5" s="283" t="n">
        <f aca="false">COUNTIF(G:G,O5)</f>
        <v>179</v>
      </c>
      <c r="Q5" s="153"/>
      <c r="R5" s="153"/>
      <c r="S5" s="153"/>
    </row>
    <row r="6" customFormat="false" ht="15" hidden="false" customHeight="true" outlineLevel="0" collapsed="false">
      <c r="A6" s="203" t="s">
        <v>6567</v>
      </c>
      <c r="B6" s="193" t="s">
        <v>6568</v>
      </c>
      <c r="C6" s="193" t="n">
        <v>2018</v>
      </c>
      <c r="D6" s="259" t="n">
        <v>43224</v>
      </c>
      <c r="E6" s="205" t="s">
        <v>6569</v>
      </c>
      <c r="F6" s="206" t="s">
        <v>1097</v>
      </c>
      <c r="G6" s="206" t="s">
        <v>1174</v>
      </c>
      <c r="H6" s="205" t="s">
        <v>6570</v>
      </c>
      <c r="I6" s="218" t="n">
        <v>44956</v>
      </c>
      <c r="J6" s="206" t="n">
        <v>1</v>
      </c>
      <c r="K6" s="206" t="s">
        <v>53</v>
      </c>
      <c r="L6" s="206" t="s">
        <v>6562</v>
      </c>
      <c r="M6" s="206" t="n">
        <f aca="false">I6-D6</f>
        <v>1732</v>
      </c>
      <c r="N6" s="153"/>
      <c r="O6" s="282" t="s">
        <v>8</v>
      </c>
      <c r="P6" s="282" t="n">
        <f aca="false">COUNTIF(G:G,O6)</f>
        <v>0</v>
      </c>
      <c r="Q6" s="153"/>
      <c r="R6" s="153"/>
      <c r="S6" s="153"/>
    </row>
    <row r="7" customFormat="false" ht="15" hidden="false" customHeight="true" outlineLevel="0" collapsed="false">
      <c r="A7" s="210" t="s">
        <v>6571</v>
      </c>
      <c r="B7" s="211" t="s">
        <v>6572</v>
      </c>
      <c r="C7" s="211" t="n">
        <v>2017</v>
      </c>
      <c r="D7" s="260" t="n">
        <v>42807</v>
      </c>
      <c r="E7" s="213" t="s">
        <v>6573</v>
      </c>
      <c r="F7" s="213" t="s">
        <v>1097</v>
      </c>
      <c r="G7" s="214" t="s">
        <v>1174</v>
      </c>
      <c r="H7" s="214" t="s">
        <v>192</v>
      </c>
      <c r="I7" s="215" t="n">
        <v>44956</v>
      </c>
      <c r="J7" s="213" t="n">
        <v>1</v>
      </c>
      <c r="K7" s="213" t="s">
        <v>53</v>
      </c>
      <c r="L7" s="206" t="s">
        <v>6562</v>
      </c>
      <c r="M7" s="213" t="n">
        <f aca="false">I7-D7</f>
        <v>2149</v>
      </c>
      <c r="N7" s="153"/>
      <c r="O7" s="283" t="s">
        <v>144</v>
      </c>
      <c r="P7" s="283" t="n">
        <f aca="false">COUNTIF(G:G,O7)</f>
        <v>40</v>
      </c>
      <c r="Q7" s="153"/>
      <c r="R7" s="153"/>
      <c r="S7" s="153"/>
    </row>
    <row r="8" customFormat="false" ht="15" hidden="false" customHeight="true" outlineLevel="0" collapsed="false">
      <c r="A8" s="203" t="s">
        <v>6574</v>
      </c>
      <c r="B8" s="193" t="s">
        <v>6575</v>
      </c>
      <c r="C8" s="193" t="n">
        <v>2018</v>
      </c>
      <c r="D8" s="259" t="n">
        <v>43168</v>
      </c>
      <c r="E8" s="205" t="s">
        <v>6576</v>
      </c>
      <c r="F8" s="206" t="s">
        <v>2151</v>
      </c>
      <c r="G8" s="206" t="s">
        <v>1174</v>
      </c>
      <c r="H8" s="205" t="s">
        <v>1059</v>
      </c>
      <c r="I8" s="218" t="n">
        <v>44956</v>
      </c>
      <c r="J8" s="206" t="n">
        <v>1</v>
      </c>
      <c r="K8" s="206" t="s">
        <v>53</v>
      </c>
      <c r="L8" s="206" t="s">
        <v>6555</v>
      </c>
      <c r="M8" s="206" t="n">
        <f aca="false">I8-D8</f>
        <v>1788</v>
      </c>
      <c r="N8" s="153"/>
      <c r="O8" s="282" t="s">
        <v>115</v>
      </c>
      <c r="P8" s="282" t="n">
        <f aca="false">COUNTIF(G:G,O8)</f>
        <v>20</v>
      </c>
      <c r="Q8" s="153"/>
      <c r="R8" s="153"/>
      <c r="S8" s="153"/>
    </row>
    <row r="9" customFormat="false" ht="15" hidden="false" customHeight="true" outlineLevel="0" collapsed="false">
      <c r="A9" s="210" t="s">
        <v>6577</v>
      </c>
      <c r="B9" s="211" t="s">
        <v>6578</v>
      </c>
      <c r="C9" s="211" t="n">
        <v>2017</v>
      </c>
      <c r="D9" s="260" t="n">
        <v>42797</v>
      </c>
      <c r="E9" s="213" t="s">
        <v>6579</v>
      </c>
      <c r="F9" s="213" t="s">
        <v>2151</v>
      </c>
      <c r="G9" s="214" t="s">
        <v>1174</v>
      </c>
      <c r="H9" s="214" t="s">
        <v>5263</v>
      </c>
      <c r="I9" s="215" t="n">
        <v>44956</v>
      </c>
      <c r="J9" s="213" t="n">
        <v>1</v>
      </c>
      <c r="K9" s="213" t="s">
        <v>53</v>
      </c>
      <c r="L9" s="206" t="s">
        <v>6555</v>
      </c>
      <c r="M9" s="213" t="n">
        <f aca="false">I9-D9</f>
        <v>2159</v>
      </c>
      <c r="N9" s="153"/>
      <c r="O9" s="283" t="s">
        <v>441</v>
      </c>
      <c r="P9" s="283" t="n">
        <f aca="false">COUNTIF(G:G,O9)</f>
        <v>215</v>
      </c>
      <c r="Q9" s="153"/>
      <c r="R9" s="153"/>
      <c r="S9" s="153"/>
    </row>
    <row r="10" customFormat="false" ht="15" hidden="false" customHeight="true" outlineLevel="0" collapsed="false">
      <c r="A10" s="203" t="s">
        <v>6580</v>
      </c>
      <c r="B10" s="193" t="s">
        <v>6581</v>
      </c>
      <c r="C10" s="193" t="n">
        <v>2021</v>
      </c>
      <c r="D10" s="259" t="n">
        <v>44498</v>
      </c>
      <c r="E10" s="205" t="s">
        <v>6582</v>
      </c>
      <c r="F10" s="206" t="s">
        <v>1609</v>
      </c>
      <c r="G10" s="206" t="s">
        <v>1174</v>
      </c>
      <c r="H10" s="205" t="s">
        <v>350</v>
      </c>
      <c r="I10" s="218" t="n">
        <v>44956</v>
      </c>
      <c r="J10" s="206" t="n">
        <v>1</v>
      </c>
      <c r="K10" s="206" t="s">
        <v>53</v>
      </c>
      <c r="L10" s="206" t="s">
        <v>1441</v>
      </c>
      <c r="M10" s="206" t="n">
        <f aca="false">I10-D10</f>
        <v>458</v>
      </c>
      <c r="N10" s="153"/>
      <c r="O10" s="282" t="s">
        <v>125</v>
      </c>
      <c r="P10" s="282" t="n">
        <f aca="false">COUNTIF(G:G,O10)</f>
        <v>55</v>
      </c>
      <c r="Q10" s="153"/>
      <c r="R10" s="153"/>
      <c r="S10" s="153"/>
    </row>
    <row r="11" customFormat="false" ht="15" hidden="false" customHeight="true" outlineLevel="0" collapsed="false">
      <c r="A11" s="210" t="s">
        <v>6583</v>
      </c>
      <c r="B11" s="211" t="s">
        <v>6584</v>
      </c>
      <c r="C11" s="211" t="n">
        <v>2019</v>
      </c>
      <c r="D11" s="260" t="n">
        <v>43804</v>
      </c>
      <c r="E11" s="213" t="s">
        <v>6585</v>
      </c>
      <c r="F11" s="213" t="s">
        <v>467</v>
      </c>
      <c r="G11" s="214" t="s">
        <v>1174</v>
      </c>
      <c r="H11" s="214" t="s">
        <v>570</v>
      </c>
      <c r="I11" s="215" t="n">
        <v>44957</v>
      </c>
      <c r="J11" s="213" t="n">
        <v>1</v>
      </c>
      <c r="K11" s="213" t="s">
        <v>53</v>
      </c>
      <c r="L11" s="206" t="s">
        <v>6562</v>
      </c>
      <c r="M11" s="213" t="n">
        <f aca="false">I11-D11</f>
        <v>1153</v>
      </c>
      <c r="N11" s="153"/>
      <c r="O11" s="284" t="s">
        <v>130</v>
      </c>
      <c r="P11" s="284" t="n">
        <f aca="false">COUNTIF(G:G,O11)</f>
        <v>35</v>
      </c>
      <c r="Q11" s="153"/>
      <c r="R11" s="153"/>
      <c r="S11" s="153"/>
    </row>
    <row r="12" customFormat="false" ht="15" hidden="false" customHeight="true" outlineLevel="0" collapsed="false">
      <c r="A12" s="203" t="s">
        <v>6586</v>
      </c>
      <c r="B12" s="193" t="s">
        <v>6587</v>
      </c>
      <c r="C12" s="193" t="n">
        <v>2018</v>
      </c>
      <c r="D12" s="259" t="n">
        <v>43462</v>
      </c>
      <c r="E12" s="205" t="s">
        <v>6588</v>
      </c>
      <c r="F12" s="206" t="s">
        <v>2151</v>
      </c>
      <c r="G12" s="206" t="s">
        <v>1174</v>
      </c>
      <c r="H12" s="205" t="s">
        <v>263</v>
      </c>
      <c r="I12" s="218" t="n">
        <v>44957</v>
      </c>
      <c r="J12" s="206" t="n">
        <v>1</v>
      </c>
      <c r="K12" s="206" t="s">
        <v>53</v>
      </c>
      <c r="L12" s="206" t="s">
        <v>6555</v>
      </c>
      <c r="M12" s="206" t="n">
        <f aca="false">I12-D12</f>
        <v>1495</v>
      </c>
      <c r="N12" s="153"/>
      <c r="O12" s="285" t="s">
        <v>140</v>
      </c>
      <c r="P12" s="286" t="n">
        <f aca="false">SUM(P3:P11)</f>
        <v>555</v>
      </c>
      <c r="Q12" s="153"/>
      <c r="R12" s="153"/>
      <c r="S12" s="153"/>
    </row>
    <row r="13" customFormat="false" ht="15" hidden="false" customHeight="true" outlineLevel="0" collapsed="false">
      <c r="A13" s="210" t="s">
        <v>6589</v>
      </c>
      <c r="B13" s="211" t="s">
        <v>6590</v>
      </c>
      <c r="C13" s="211" t="n">
        <v>2022</v>
      </c>
      <c r="D13" s="260" t="n">
        <v>44712</v>
      </c>
      <c r="E13" s="213" t="s">
        <v>6591</v>
      </c>
      <c r="F13" s="213" t="s">
        <v>1316</v>
      </c>
      <c r="G13" s="214" t="s">
        <v>1174</v>
      </c>
      <c r="H13" s="214" t="s">
        <v>573</v>
      </c>
      <c r="I13" s="215" t="n">
        <v>44957</v>
      </c>
      <c r="J13" s="213" t="n">
        <v>1</v>
      </c>
      <c r="K13" s="213" t="s">
        <v>53</v>
      </c>
      <c r="L13" s="206" t="s">
        <v>6555</v>
      </c>
      <c r="M13" s="213" t="n">
        <f aca="false">I13-D13</f>
        <v>245</v>
      </c>
      <c r="N13" s="160"/>
      <c r="O13" s="153"/>
      <c r="P13" s="153"/>
      <c r="Q13" s="153"/>
      <c r="R13" s="287"/>
      <c r="S13" s="287"/>
    </row>
    <row r="14" customFormat="false" ht="15" hidden="false" customHeight="true" outlineLevel="0" collapsed="false">
      <c r="A14" s="203" t="s">
        <v>6592</v>
      </c>
      <c r="B14" s="193" t="s">
        <v>6593</v>
      </c>
      <c r="C14" s="193" t="n">
        <v>2021</v>
      </c>
      <c r="D14" s="259" t="n">
        <v>44230</v>
      </c>
      <c r="E14" s="205" t="s">
        <v>6594</v>
      </c>
      <c r="F14" s="206" t="s">
        <v>467</v>
      </c>
      <c r="G14" s="206" t="s">
        <v>1174</v>
      </c>
      <c r="H14" s="205" t="s">
        <v>3727</v>
      </c>
      <c r="I14" s="218" t="n">
        <v>44957</v>
      </c>
      <c r="J14" s="206" t="n">
        <v>1</v>
      </c>
      <c r="K14" s="206" t="s">
        <v>53</v>
      </c>
      <c r="L14" s="206" t="s">
        <v>6562</v>
      </c>
      <c r="M14" s="206" t="n">
        <f aca="false">I14-D14</f>
        <v>727</v>
      </c>
      <c r="N14" s="160"/>
      <c r="O14" s="411" t="s">
        <v>151</v>
      </c>
      <c r="P14" s="411"/>
      <c r="Q14" s="411"/>
      <c r="R14" s="411"/>
      <c r="S14" s="411"/>
    </row>
    <row r="15" customFormat="false" ht="15" hidden="false" customHeight="true" outlineLevel="0" collapsed="false">
      <c r="A15" s="210" t="s">
        <v>6595</v>
      </c>
      <c r="B15" s="211" t="s">
        <v>6596</v>
      </c>
      <c r="C15" s="211" t="n">
        <v>2020</v>
      </c>
      <c r="D15" s="260" t="n">
        <v>44186</v>
      </c>
      <c r="E15" s="213" t="s">
        <v>6597</v>
      </c>
      <c r="F15" s="213" t="s">
        <v>3656</v>
      </c>
      <c r="G15" s="214" t="s">
        <v>1174</v>
      </c>
      <c r="H15" s="214" t="s">
        <v>968</v>
      </c>
      <c r="I15" s="215" t="n">
        <v>44957</v>
      </c>
      <c r="J15" s="213" t="n">
        <v>1</v>
      </c>
      <c r="K15" s="213" t="s">
        <v>53</v>
      </c>
      <c r="L15" s="206" t="s">
        <v>6562</v>
      </c>
      <c r="M15" s="213" t="n">
        <f aca="false">I15-D15</f>
        <v>771</v>
      </c>
      <c r="N15" s="153"/>
      <c r="O15" s="411"/>
      <c r="P15" s="411"/>
      <c r="Q15" s="411"/>
      <c r="R15" s="411"/>
      <c r="S15" s="411"/>
    </row>
    <row r="16" customFormat="false" ht="15" hidden="false" customHeight="true" outlineLevel="0" collapsed="false">
      <c r="A16" s="203" t="s">
        <v>6598</v>
      </c>
      <c r="B16" s="193" t="s">
        <v>6599</v>
      </c>
      <c r="C16" s="193" t="n">
        <v>2015</v>
      </c>
      <c r="D16" s="259" t="n">
        <v>42064</v>
      </c>
      <c r="E16" s="205" t="s">
        <v>6600</v>
      </c>
      <c r="F16" s="206" t="s">
        <v>1316</v>
      </c>
      <c r="G16" s="206" t="s">
        <v>1174</v>
      </c>
      <c r="H16" s="205" t="s">
        <v>1501</v>
      </c>
      <c r="I16" s="218" t="n">
        <v>44959</v>
      </c>
      <c r="J16" s="206" t="n">
        <v>2</v>
      </c>
      <c r="K16" s="206" t="s">
        <v>53</v>
      </c>
      <c r="L16" s="206" t="s">
        <v>6555</v>
      </c>
      <c r="M16" s="206" t="n">
        <f aca="false">I16-D16</f>
        <v>2895</v>
      </c>
      <c r="N16" s="153"/>
      <c r="O16" s="412" t="s">
        <v>2194</v>
      </c>
      <c r="P16" s="412"/>
      <c r="Q16" s="412"/>
      <c r="R16" s="412"/>
      <c r="S16" s="412"/>
    </row>
    <row r="17" customFormat="false" ht="15" hidden="false" customHeight="true" outlineLevel="0" collapsed="false">
      <c r="A17" s="210" t="s">
        <v>6601</v>
      </c>
      <c r="B17" s="211" t="s">
        <v>6602</v>
      </c>
      <c r="C17" s="211" t="n">
        <v>2015</v>
      </c>
      <c r="D17" s="260" t="n">
        <v>42123</v>
      </c>
      <c r="E17" s="213" t="s">
        <v>6603</v>
      </c>
      <c r="F17" s="213" t="s">
        <v>1243</v>
      </c>
      <c r="G17" s="214" t="s">
        <v>1174</v>
      </c>
      <c r="H17" s="214" t="s">
        <v>1059</v>
      </c>
      <c r="I17" s="221" t="n">
        <v>44959</v>
      </c>
      <c r="J17" s="213" t="n">
        <v>2</v>
      </c>
      <c r="K17" s="213" t="s">
        <v>53</v>
      </c>
      <c r="L17" s="206" t="s">
        <v>6562</v>
      </c>
      <c r="M17" s="213" t="n">
        <f aca="false">I17-D17</f>
        <v>2836</v>
      </c>
      <c r="N17" s="153"/>
      <c r="O17" s="413" t="s">
        <v>2198</v>
      </c>
      <c r="P17" s="413"/>
      <c r="Q17" s="413"/>
      <c r="R17" s="413"/>
      <c r="S17" s="413"/>
    </row>
    <row r="18" customFormat="false" ht="15" hidden="false" customHeight="true" outlineLevel="0" collapsed="false">
      <c r="A18" s="203" t="s">
        <v>6604</v>
      </c>
      <c r="B18" s="193" t="s">
        <v>6605</v>
      </c>
      <c r="C18" s="193" t="n">
        <v>2015</v>
      </c>
      <c r="D18" s="259" t="n">
        <v>42191</v>
      </c>
      <c r="E18" s="205" t="s">
        <v>6606</v>
      </c>
      <c r="F18" s="206" t="s">
        <v>1243</v>
      </c>
      <c r="G18" s="206" t="s">
        <v>1174</v>
      </c>
      <c r="H18" s="205" t="s">
        <v>263</v>
      </c>
      <c r="I18" s="218" t="n">
        <v>44959</v>
      </c>
      <c r="J18" s="206" t="n">
        <v>2</v>
      </c>
      <c r="K18" s="206" t="s">
        <v>53</v>
      </c>
      <c r="L18" s="206" t="s">
        <v>6562</v>
      </c>
      <c r="M18" s="206" t="n">
        <f aca="false">I18-D18</f>
        <v>2768</v>
      </c>
      <c r="N18" s="153"/>
      <c r="O18" s="414" t="s">
        <v>2203</v>
      </c>
      <c r="P18" s="414"/>
      <c r="Q18" s="414"/>
      <c r="R18" s="414"/>
      <c r="S18" s="414"/>
    </row>
    <row r="19" customFormat="false" ht="15" hidden="false" customHeight="true" outlineLevel="0" collapsed="false">
      <c r="A19" s="210" t="s">
        <v>6607</v>
      </c>
      <c r="B19" s="211" t="s">
        <v>6608</v>
      </c>
      <c r="C19" s="211" t="n">
        <v>2018</v>
      </c>
      <c r="D19" s="260" t="n">
        <v>43217</v>
      </c>
      <c r="E19" s="213" t="s">
        <v>6609</v>
      </c>
      <c r="F19" s="213" t="s">
        <v>1243</v>
      </c>
      <c r="G19" s="214" t="s">
        <v>1174</v>
      </c>
      <c r="H19" s="214" t="s">
        <v>6610</v>
      </c>
      <c r="I19" s="221" t="n">
        <v>44959</v>
      </c>
      <c r="J19" s="213" t="n">
        <v>2</v>
      </c>
      <c r="K19" s="213" t="s">
        <v>53</v>
      </c>
      <c r="L19" s="206" t="s">
        <v>6562</v>
      </c>
      <c r="M19" s="213" t="n">
        <f aca="false">I19-D19</f>
        <v>1742</v>
      </c>
      <c r="N19" s="153"/>
      <c r="O19" s="413" t="s">
        <v>2207</v>
      </c>
      <c r="P19" s="413"/>
      <c r="Q19" s="413"/>
      <c r="R19" s="413"/>
      <c r="S19" s="413"/>
    </row>
    <row r="20" customFormat="false" ht="15" hidden="false" customHeight="true" outlineLevel="0" collapsed="false">
      <c r="A20" s="203" t="s">
        <v>6611</v>
      </c>
      <c r="B20" s="193" t="s">
        <v>6612</v>
      </c>
      <c r="C20" s="193" t="n">
        <v>2021</v>
      </c>
      <c r="D20" s="259" t="n">
        <v>44496</v>
      </c>
      <c r="E20" s="205" t="s">
        <v>6613</v>
      </c>
      <c r="F20" s="206" t="s">
        <v>1609</v>
      </c>
      <c r="G20" s="206" t="s">
        <v>1174</v>
      </c>
      <c r="H20" s="205" t="s">
        <v>1557</v>
      </c>
      <c r="I20" s="218" t="n">
        <v>44959</v>
      </c>
      <c r="J20" s="206" t="n">
        <v>2</v>
      </c>
      <c r="K20" s="206" t="s">
        <v>53</v>
      </c>
      <c r="L20" s="206" t="s">
        <v>1441</v>
      </c>
      <c r="M20" s="206" t="n">
        <f aca="false">I20-D20</f>
        <v>463</v>
      </c>
      <c r="N20" s="153"/>
      <c r="O20" s="414" t="s">
        <v>2211</v>
      </c>
      <c r="P20" s="414"/>
      <c r="Q20" s="414"/>
      <c r="R20" s="414"/>
      <c r="S20" s="414"/>
    </row>
    <row r="21" customFormat="false" ht="15" hidden="false" customHeight="true" outlineLevel="0" collapsed="false">
      <c r="A21" s="210" t="s">
        <v>6614</v>
      </c>
      <c r="B21" s="211" t="s">
        <v>6615</v>
      </c>
      <c r="C21" s="211" t="n">
        <v>2018</v>
      </c>
      <c r="D21" s="260" t="n">
        <v>43354</v>
      </c>
      <c r="E21" s="213" t="s">
        <v>6616</v>
      </c>
      <c r="F21" s="213" t="s">
        <v>1068</v>
      </c>
      <c r="G21" s="214" t="s">
        <v>1174</v>
      </c>
      <c r="H21" s="214" t="s">
        <v>1258</v>
      </c>
      <c r="I21" s="221" t="n">
        <v>44959</v>
      </c>
      <c r="J21" s="213" t="n">
        <v>2</v>
      </c>
      <c r="K21" s="213" t="s">
        <v>53</v>
      </c>
      <c r="L21" s="206" t="s">
        <v>6562</v>
      </c>
      <c r="M21" s="213" t="n">
        <f aca="false">I21-D21</f>
        <v>1605</v>
      </c>
      <c r="N21" s="153"/>
      <c r="O21" s="413" t="s">
        <v>2215</v>
      </c>
      <c r="P21" s="413"/>
      <c r="Q21" s="413"/>
      <c r="R21" s="413"/>
      <c r="S21" s="413"/>
    </row>
    <row r="22" customFormat="false" ht="15" hidden="false" customHeight="true" outlineLevel="0" collapsed="false">
      <c r="A22" s="203" t="s">
        <v>6617</v>
      </c>
      <c r="B22" s="193" t="s">
        <v>6618</v>
      </c>
      <c r="C22" s="193" t="n">
        <v>2014</v>
      </c>
      <c r="D22" s="259" t="n">
        <v>41844</v>
      </c>
      <c r="E22" s="205" t="s">
        <v>6619</v>
      </c>
      <c r="F22" s="206" t="s">
        <v>1324</v>
      </c>
      <c r="G22" s="206" t="s">
        <v>1174</v>
      </c>
      <c r="H22" s="205" t="s">
        <v>1072</v>
      </c>
      <c r="I22" s="218" t="n">
        <v>44959</v>
      </c>
      <c r="J22" s="206" t="n">
        <v>2</v>
      </c>
      <c r="K22" s="206" t="s">
        <v>53</v>
      </c>
      <c r="L22" s="206" t="s">
        <v>6562</v>
      </c>
      <c r="M22" s="206" t="n">
        <f aca="false">I22-D22</f>
        <v>3115</v>
      </c>
      <c r="N22" s="153"/>
      <c r="O22" s="414" t="s">
        <v>2220</v>
      </c>
      <c r="P22" s="414"/>
      <c r="Q22" s="414"/>
      <c r="R22" s="414"/>
      <c r="S22" s="414"/>
    </row>
    <row r="23" customFormat="false" ht="15" hidden="false" customHeight="true" outlineLevel="0" collapsed="false">
      <c r="A23" s="210" t="s">
        <v>6620</v>
      </c>
      <c r="B23" s="211" t="s">
        <v>6621</v>
      </c>
      <c r="C23" s="211" t="n">
        <v>2019</v>
      </c>
      <c r="D23" s="260" t="n">
        <v>43538</v>
      </c>
      <c r="E23" s="213" t="s">
        <v>6622</v>
      </c>
      <c r="F23" s="213" t="s">
        <v>777</v>
      </c>
      <c r="G23" s="214" t="s">
        <v>1174</v>
      </c>
      <c r="H23" s="214" t="s">
        <v>471</v>
      </c>
      <c r="I23" s="221" t="n">
        <v>44959</v>
      </c>
      <c r="J23" s="213" t="n">
        <v>2</v>
      </c>
      <c r="K23" s="213" t="s">
        <v>53</v>
      </c>
      <c r="L23" s="206" t="s">
        <v>6562</v>
      </c>
      <c r="M23" s="213" t="n">
        <f aca="false">I23-D23</f>
        <v>1421</v>
      </c>
      <c r="N23" s="153"/>
      <c r="O23" s="413" t="s">
        <v>2225</v>
      </c>
      <c r="P23" s="413"/>
      <c r="Q23" s="413"/>
      <c r="R23" s="413"/>
      <c r="S23" s="413"/>
    </row>
    <row r="24" customFormat="false" ht="15" hidden="false" customHeight="true" outlineLevel="0" collapsed="false">
      <c r="A24" s="203" t="s">
        <v>6623</v>
      </c>
      <c r="B24" s="193" t="s">
        <v>6624</v>
      </c>
      <c r="C24" s="193" t="n">
        <v>2019</v>
      </c>
      <c r="D24" s="259" t="n">
        <v>43754</v>
      </c>
      <c r="E24" s="205" t="s">
        <v>6625</v>
      </c>
      <c r="F24" s="206" t="s">
        <v>379</v>
      </c>
      <c r="G24" s="206" t="s">
        <v>1174</v>
      </c>
      <c r="H24" s="205" t="s">
        <v>471</v>
      </c>
      <c r="I24" s="218" t="n">
        <v>44959</v>
      </c>
      <c r="J24" s="206" t="n">
        <v>2</v>
      </c>
      <c r="K24" s="206" t="s">
        <v>53</v>
      </c>
      <c r="L24" s="206" t="s">
        <v>6555</v>
      </c>
      <c r="M24" s="206" t="n">
        <f aca="false">I24-D24</f>
        <v>1205</v>
      </c>
      <c r="N24" s="153"/>
      <c r="O24" s="415" t="s">
        <v>2229</v>
      </c>
      <c r="P24" s="415"/>
      <c r="Q24" s="415"/>
      <c r="R24" s="415"/>
      <c r="S24" s="415"/>
    </row>
    <row r="25" customFormat="false" ht="15" hidden="false" customHeight="true" outlineLevel="0" collapsed="false">
      <c r="A25" s="210" t="s">
        <v>6626</v>
      </c>
      <c r="B25" s="211" t="s">
        <v>6627</v>
      </c>
      <c r="C25" s="211" t="n">
        <v>2019</v>
      </c>
      <c r="D25" s="260" t="n">
        <v>43662</v>
      </c>
      <c r="E25" s="213" t="s">
        <v>6628</v>
      </c>
      <c r="F25" s="213" t="s">
        <v>6566</v>
      </c>
      <c r="G25" s="214" t="s">
        <v>1174</v>
      </c>
      <c r="H25" s="214" t="s">
        <v>1231</v>
      </c>
      <c r="I25" s="221" t="n">
        <v>44960</v>
      </c>
      <c r="J25" s="213" t="n">
        <v>2</v>
      </c>
      <c r="K25" s="213" t="s">
        <v>53</v>
      </c>
      <c r="L25" s="206" t="s">
        <v>6555</v>
      </c>
      <c r="M25" s="213" t="n">
        <f aca="false">I25-D25</f>
        <v>1298</v>
      </c>
      <c r="N25" s="153"/>
      <c r="O25" s="153"/>
      <c r="P25" s="153"/>
      <c r="Q25" s="153"/>
      <c r="R25" s="153"/>
      <c r="S25" s="153"/>
    </row>
    <row r="26" customFormat="false" ht="15" hidden="false" customHeight="true" outlineLevel="0" collapsed="false">
      <c r="A26" s="203" t="s">
        <v>6629</v>
      </c>
      <c r="B26" s="193" t="s">
        <v>6630</v>
      </c>
      <c r="C26" s="193" t="n">
        <v>2009</v>
      </c>
      <c r="D26" s="259" t="n">
        <v>40149</v>
      </c>
      <c r="E26" s="205" t="s">
        <v>6631</v>
      </c>
      <c r="F26" s="206" t="s">
        <v>6632</v>
      </c>
      <c r="G26" s="206" t="s">
        <v>1188</v>
      </c>
      <c r="H26" s="205" t="s">
        <v>6633</v>
      </c>
      <c r="I26" s="218" t="n">
        <v>44966</v>
      </c>
      <c r="J26" s="206" t="n">
        <v>2</v>
      </c>
      <c r="K26" s="206" t="s">
        <v>1187</v>
      </c>
      <c r="L26" s="206" t="s">
        <v>6555</v>
      </c>
      <c r="M26" s="206" t="n">
        <f aca="false">I26-D26</f>
        <v>4817</v>
      </c>
      <c r="N26" s="153"/>
      <c r="O26" s="326" t="s">
        <v>185</v>
      </c>
      <c r="P26" s="326"/>
      <c r="Q26" s="326"/>
      <c r="R26" s="326"/>
      <c r="S26" s="326"/>
    </row>
    <row r="27" customFormat="false" ht="15" hidden="false" customHeight="true" outlineLevel="0" collapsed="false">
      <c r="A27" s="210" t="s">
        <v>6634</v>
      </c>
      <c r="B27" s="211" t="s">
        <v>6635</v>
      </c>
      <c r="C27" s="211" t="n">
        <v>2018</v>
      </c>
      <c r="D27" s="260" t="n">
        <v>43402</v>
      </c>
      <c r="E27" s="213" t="s">
        <v>6636</v>
      </c>
      <c r="F27" s="213" t="s">
        <v>793</v>
      </c>
      <c r="G27" s="214" t="s">
        <v>1174</v>
      </c>
      <c r="H27" s="214" t="s">
        <v>243</v>
      </c>
      <c r="I27" s="221" t="n">
        <v>44993</v>
      </c>
      <c r="J27" s="213" t="n">
        <v>3</v>
      </c>
      <c r="K27" s="213" t="s">
        <v>53</v>
      </c>
      <c r="L27" s="206" t="s">
        <v>6555</v>
      </c>
      <c r="M27" s="213" t="n">
        <f aca="false">I27-D27</f>
        <v>1591</v>
      </c>
      <c r="N27" s="153"/>
      <c r="O27" s="326"/>
      <c r="P27" s="326"/>
      <c r="Q27" s="326"/>
      <c r="R27" s="326"/>
      <c r="S27" s="326"/>
    </row>
    <row r="28" customFormat="false" ht="15" hidden="false" customHeight="true" outlineLevel="0" collapsed="false">
      <c r="A28" s="203" t="s">
        <v>6637</v>
      </c>
      <c r="B28" s="193" t="s">
        <v>6638</v>
      </c>
      <c r="C28" s="193" t="n">
        <v>2011</v>
      </c>
      <c r="D28" s="259" t="n">
        <v>40805</v>
      </c>
      <c r="E28" s="205" t="s">
        <v>6639</v>
      </c>
      <c r="F28" s="206" t="s">
        <v>2151</v>
      </c>
      <c r="G28" s="206" t="s">
        <v>1174</v>
      </c>
      <c r="H28" s="205" t="s">
        <v>706</v>
      </c>
      <c r="I28" s="218" t="n">
        <v>44993</v>
      </c>
      <c r="J28" s="206" t="n">
        <v>3</v>
      </c>
      <c r="K28" s="206" t="s">
        <v>53</v>
      </c>
      <c r="L28" s="206" t="s">
        <v>6555</v>
      </c>
      <c r="M28" s="206" t="n">
        <f aca="false">I28-D28</f>
        <v>4188</v>
      </c>
      <c r="N28" s="153"/>
      <c r="O28" s="309" t="s">
        <v>39</v>
      </c>
      <c r="P28" s="416" t="s">
        <v>40</v>
      </c>
      <c r="Q28" s="416"/>
      <c r="R28" s="416"/>
      <c r="S28" s="313" t="s">
        <v>41</v>
      </c>
    </row>
    <row r="29" customFormat="false" ht="15" hidden="false" customHeight="true" outlineLevel="0" collapsed="false">
      <c r="A29" s="210" t="s">
        <v>6640</v>
      </c>
      <c r="B29" s="211" t="s">
        <v>6641</v>
      </c>
      <c r="C29" s="211" t="n">
        <v>2019</v>
      </c>
      <c r="D29" s="260" t="n">
        <v>43815</v>
      </c>
      <c r="E29" s="213" t="s">
        <v>6642</v>
      </c>
      <c r="F29" s="213" t="s">
        <v>5937</v>
      </c>
      <c r="G29" s="214" t="s">
        <v>1188</v>
      </c>
      <c r="H29" s="214" t="s">
        <v>119</v>
      </c>
      <c r="I29" s="221" t="n">
        <v>44993</v>
      </c>
      <c r="J29" s="213" t="n">
        <v>3</v>
      </c>
      <c r="K29" s="213" t="s">
        <v>1187</v>
      </c>
      <c r="L29" s="206" t="s">
        <v>6555</v>
      </c>
      <c r="M29" s="213" t="n">
        <f aca="false">I29-D29</f>
        <v>1178</v>
      </c>
      <c r="N29" s="153"/>
      <c r="O29" s="283" t="n">
        <v>2008</v>
      </c>
      <c r="P29" s="314" t="n">
        <f aca="false">COUNTIF(C:C,O29)</f>
        <v>1</v>
      </c>
      <c r="Q29" s="314"/>
      <c r="R29" s="314"/>
      <c r="S29" s="315" t="n">
        <f aca="false">(P29/P45)</f>
        <v>0.0018018018018018</v>
      </c>
    </row>
    <row r="30" customFormat="false" ht="15" hidden="false" customHeight="true" outlineLevel="0" collapsed="false">
      <c r="A30" s="203" t="s">
        <v>6643</v>
      </c>
      <c r="B30" s="193" t="s">
        <v>6644</v>
      </c>
      <c r="C30" s="193" t="n">
        <v>2015</v>
      </c>
      <c r="D30" s="259" t="n">
        <v>42109</v>
      </c>
      <c r="E30" s="205" t="s">
        <v>6645</v>
      </c>
      <c r="F30" s="206" t="s">
        <v>238</v>
      </c>
      <c r="G30" s="206" t="s">
        <v>1174</v>
      </c>
      <c r="H30" s="205" t="s">
        <v>2677</v>
      </c>
      <c r="I30" s="218" t="n">
        <v>44993</v>
      </c>
      <c r="J30" s="206" t="n">
        <v>3</v>
      </c>
      <c r="K30" s="206" t="s">
        <v>53</v>
      </c>
      <c r="L30" s="206" t="s">
        <v>6555</v>
      </c>
      <c r="M30" s="206" t="n">
        <f aca="false">I30-D30</f>
        <v>2884</v>
      </c>
      <c r="N30" s="153"/>
      <c r="O30" s="282" t="n">
        <v>2009</v>
      </c>
      <c r="P30" s="282" t="n">
        <f aca="false">COUNTIF(C:C,O30)</f>
        <v>1</v>
      </c>
      <c r="Q30" s="282"/>
      <c r="R30" s="282"/>
      <c r="S30" s="316" t="n">
        <f aca="false">(P30/P45)</f>
        <v>0.0018018018018018</v>
      </c>
    </row>
    <row r="31" customFormat="false" ht="15" hidden="false" customHeight="true" outlineLevel="0" collapsed="false">
      <c r="A31" s="210" t="s">
        <v>6646</v>
      </c>
      <c r="B31" s="211" t="s">
        <v>6647</v>
      </c>
      <c r="C31" s="211" t="n">
        <v>2016</v>
      </c>
      <c r="D31" s="260" t="n">
        <v>42465</v>
      </c>
      <c r="E31" s="213" t="s">
        <v>6648</v>
      </c>
      <c r="F31" s="213" t="s">
        <v>1987</v>
      </c>
      <c r="G31" s="214" t="s">
        <v>1174</v>
      </c>
      <c r="H31" s="214" t="s">
        <v>1231</v>
      </c>
      <c r="I31" s="221" t="n">
        <v>45007</v>
      </c>
      <c r="J31" s="213" t="n">
        <v>3</v>
      </c>
      <c r="K31" s="213" t="s">
        <v>53</v>
      </c>
      <c r="L31" s="206" t="s">
        <v>6555</v>
      </c>
      <c r="M31" s="213" t="n">
        <f aca="false">I31-D31</f>
        <v>2542</v>
      </c>
      <c r="N31" s="153"/>
      <c r="O31" s="283" t="n">
        <v>2010</v>
      </c>
      <c r="P31" s="283" t="n">
        <f aca="false">COUNTIF(C:C,O31)</f>
        <v>5</v>
      </c>
      <c r="Q31" s="283"/>
      <c r="R31" s="283"/>
      <c r="S31" s="315" t="n">
        <f aca="false">(P31/P45)</f>
        <v>0.00900900900900901</v>
      </c>
    </row>
    <row r="32" customFormat="false" ht="15" hidden="false" customHeight="true" outlineLevel="0" collapsed="false">
      <c r="A32" s="203" t="s">
        <v>6649</v>
      </c>
      <c r="B32" s="193" t="s">
        <v>6650</v>
      </c>
      <c r="C32" s="193" t="n">
        <v>2019</v>
      </c>
      <c r="D32" s="222" t="n">
        <v>43818</v>
      </c>
      <c r="E32" s="205" t="s">
        <v>6651</v>
      </c>
      <c r="F32" s="206" t="s">
        <v>449</v>
      </c>
      <c r="G32" s="206" t="s">
        <v>1174</v>
      </c>
      <c r="H32" s="205" t="s">
        <v>471</v>
      </c>
      <c r="I32" s="218" t="n">
        <v>45012</v>
      </c>
      <c r="J32" s="206" t="n">
        <v>3</v>
      </c>
      <c r="K32" s="206" t="s">
        <v>53</v>
      </c>
      <c r="L32" s="206" t="s">
        <v>6555</v>
      </c>
      <c r="M32" s="206" t="n">
        <f aca="false">I32-D32</f>
        <v>1194</v>
      </c>
      <c r="N32" s="153"/>
      <c r="O32" s="282" t="n">
        <v>2011</v>
      </c>
      <c r="P32" s="282" t="n">
        <f aca="false">COUNTIF(C:C,O32)</f>
        <v>8</v>
      </c>
      <c r="Q32" s="282"/>
      <c r="R32" s="282"/>
      <c r="S32" s="316" t="n">
        <f aca="false">(P32/P45)</f>
        <v>0.0144144144144144</v>
      </c>
    </row>
    <row r="33" customFormat="false" ht="15" hidden="false" customHeight="true" outlineLevel="0" collapsed="false">
      <c r="A33" s="210" t="s">
        <v>6652</v>
      </c>
      <c r="B33" s="211" t="s">
        <v>6653</v>
      </c>
      <c r="C33" s="211" t="n">
        <v>2016</v>
      </c>
      <c r="D33" s="215" t="n">
        <v>42459</v>
      </c>
      <c r="E33" s="213" t="s">
        <v>6654</v>
      </c>
      <c r="F33" s="213" t="s">
        <v>1987</v>
      </c>
      <c r="G33" s="214" t="s">
        <v>1174</v>
      </c>
      <c r="H33" s="214" t="s">
        <v>522</v>
      </c>
      <c r="I33" s="221" t="n">
        <v>45012</v>
      </c>
      <c r="J33" s="213" t="n">
        <v>3</v>
      </c>
      <c r="K33" s="213" t="s">
        <v>53</v>
      </c>
      <c r="L33" s="206" t="s">
        <v>6555</v>
      </c>
      <c r="M33" s="213" t="n">
        <f aca="false">I33-D33</f>
        <v>2553</v>
      </c>
      <c r="N33" s="153"/>
      <c r="O33" s="283" t="n">
        <v>2012</v>
      </c>
      <c r="P33" s="283" t="n">
        <f aca="false">COUNTIF(C:C,O33)</f>
        <v>7</v>
      </c>
      <c r="Q33" s="283"/>
      <c r="R33" s="283"/>
      <c r="S33" s="315" t="n">
        <f aca="false">(P33/P45)</f>
        <v>0.0126126126126126</v>
      </c>
    </row>
    <row r="34" customFormat="false" ht="15" hidden="false" customHeight="true" outlineLevel="0" collapsed="false">
      <c r="A34" s="203" t="s">
        <v>6655</v>
      </c>
      <c r="B34" s="193" t="s">
        <v>6656</v>
      </c>
      <c r="C34" s="193" t="n">
        <v>2019</v>
      </c>
      <c r="D34" s="218" t="n">
        <v>43616</v>
      </c>
      <c r="E34" s="205" t="s">
        <v>6657</v>
      </c>
      <c r="F34" s="206" t="s">
        <v>1196</v>
      </c>
      <c r="G34" s="206" t="s">
        <v>1174</v>
      </c>
      <c r="H34" s="205" t="s">
        <v>471</v>
      </c>
      <c r="I34" s="218" t="n">
        <v>45012</v>
      </c>
      <c r="J34" s="206" t="n">
        <v>3</v>
      </c>
      <c r="K34" s="206" t="s">
        <v>53</v>
      </c>
      <c r="L34" s="206" t="s">
        <v>6555</v>
      </c>
      <c r="M34" s="206" t="n">
        <f aca="false">I34-D34</f>
        <v>1396</v>
      </c>
      <c r="N34" s="153"/>
      <c r="O34" s="282" t="n">
        <v>2013</v>
      </c>
      <c r="P34" s="282" t="n">
        <f aca="false">COUNTIF(C:C,O34)</f>
        <v>5</v>
      </c>
      <c r="Q34" s="282"/>
      <c r="R34" s="282"/>
      <c r="S34" s="316" t="n">
        <f aca="false">(P34/P45)</f>
        <v>0.00900900900900901</v>
      </c>
    </row>
    <row r="35" customFormat="false" ht="15" hidden="false" customHeight="true" outlineLevel="0" collapsed="false">
      <c r="A35" s="210" t="s">
        <v>6658</v>
      </c>
      <c r="B35" s="211" t="s">
        <v>6659</v>
      </c>
      <c r="C35" s="211" t="n">
        <v>2019</v>
      </c>
      <c r="D35" s="215" t="n">
        <v>43644</v>
      </c>
      <c r="E35" s="213" t="s">
        <v>6660</v>
      </c>
      <c r="F35" s="213" t="s">
        <v>6566</v>
      </c>
      <c r="G35" s="214" t="s">
        <v>1174</v>
      </c>
      <c r="H35" s="214" t="s">
        <v>263</v>
      </c>
      <c r="I35" s="221" t="n">
        <v>45012</v>
      </c>
      <c r="J35" s="213" t="n">
        <v>3</v>
      </c>
      <c r="K35" s="213" t="s">
        <v>53</v>
      </c>
      <c r="L35" s="206" t="s">
        <v>6555</v>
      </c>
      <c r="M35" s="213" t="n">
        <f aca="false">I35-D35</f>
        <v>1368</v>
      </c>
      <c r="N35" s="153"/>
      <c r="O35" s="283" t="n">
        <v>2014</v>
      </c>
      <c r="P35" s="283" t="n">
        <f aca="false">COUNTIF(C:C,O35)</f>
        <v>15</v>
      </c>
      <c r="Q35" s="283"/>
      <c r="R35" s="283"/>
      <c r="S35" s="315" t="n">
        <f aca="false">(P35/P45)</f>
        <v>0.027027027027027</v>
      </c>
    </row>
    <row r="36" customFormat="false" ht="15" hidden="false" customHeight="true" outlineLevel="0" collapsed="false">
      <c r="A36" s="203" t="s">
        <v>6661</v>
      </c>
      <c r="B36" s="193" t="s">
        <v>6662</v>
      </c>
      <c r="C36" s="193" t="n">
        <v>2016</v>
      </c>
      <c r="D36" s="218" t="n">
        <v>42390</v>
      </c>
      <c r="E36" s="205" t="s">
        <v>6663</v>
      </c>
      <c r="F36" s="206" t="s">
        <v>123</v>
      </c>
      <c r="G36" s="206" t="s">
        <v>1174</v>
      </c>
      <c r="H36" s="205" t="s">
        <v>1571</v>
      </c>
      <c r="I36" s="218" t="n">
        <v>45013</v>
      </c>
      <c r="J36" s="206" t="n">
        <v>3</v>
      </c>
      <c r="K36" s="206" t="s">
        <v>53</v>
      </c>
      <c r="L36" s="206" t="s">
        <v>6555</v>
      </c>
      <c r="M36" s="206" t="n">
        <f aca="false">I36-D36</f>
        <v>2623</v>
      </c>
      <c r="N36" s="153"/>
      <c r="O36" s="282" t="n">
        <v>2015</v>
      </c>
      <c r="P36" s="282" t="n">
        <f aca="false">COUNTIF(C:C,O36)</f>
        <v>28</v>
      </c>
      <c r="Q36" s="282"/>
      <c r="R36" s="282"/>
      <c r="S36" s="316" t="n">
        <f aca="false">(P36/P45)</f>
        <v>0.0504504504504505</v>
      </c>
    </row>
    <row r="37" customFormat="false" ht="15" hidden="false" customHeight="true" outlineLevel="0" collapsed="false">
      <c r="A37" s="210" t="s">
        <v>6664</v>
      </c>
      <c r="B37" s="211" t="s">
        <v>6665</v>
      </c>
      <c r="C37" s="211" t="n">
        <v>2015</v>
      </c>
      <c r="D37" s="260" t="n">
        <v>42319</v>
      </c>
      <c r="E37" s="213" t="s">
        <v>6666</v>
      </c>
      <c r="F37" s="213" t="s">
        <v>1987</v>
      </c>
      <c r="G37" s="214" t="s">
        <v>1174</v>
      </c>
      <c r="H37" s="214" t="s">
        <v>1501</v>
      </c>
      <c r="I37" s="215" t="n">
        <v>45013</v>
      </c>
      <c r="J37" s="213" t="n">
        <v>3</v>
      </c>
      <c r="K37" s="213" t="s">
        <v>53</v>
      </c>
      <c r="L37" s="206" t="s">
        <v>6562</v>
      </c>
      <c r="M37" s="213" t="n">
        <f aca="false">I37-D37</f>
        <v>2694</v>
      </c>
      <c r="N37" s="153"/>
      <c r="O37" s="283" t="n">
        <v>2016</v>
      </c>
      <c r="P37" s="283" t="n">
        <f aca="false">COUNTIF(C:C,O37)</f>
        <v>79</v>
      </c>
      <c r="Q37" s="283"/>
      <c r="R37" s="283"/>
      <c r="S37" s="315" t="n">
        <f aca="false">(P37/P45)</f>
        <v>0.142342342342342</v>
      </c>
    </row>
    <row r="38" customFormat="false" ht="15" hidden="false" customHeight="true" outlineLevel="0" collapsed="false">
      <c r="A38" s="203" t="s">
        <v>6667</v>
      </c>
      <c r="B38" s="193" t="s">
        <v>6668</v>
      </c>
      <c r="C38" s="193" t="n">
        <v>2020</v>
      </c>
      <c r="D38" s="206" t="s">
        <v>6669</v>
      </c>
      <c r="E38" s="205" t="s">
        <v>6670</v>
      </c>
      <c r="F38" s="206" t="s">
        <v>401</v>
      </c>
      <c r="G38" s="206" t="s">
        <v>1174</v>
      </c>
      <c r="H38" s="205" t="s">
        <v>139</v>
      </c>
      <c r="I38" s="218" t="n">
        <v>45174</v>
      </c>
      <c r="J38" s="206" t="n">
        <v>5</v>
      </c>
      <c r="K38" s="206" t="s">
        <v>53</v>
      </c>
      <c r="L38" s="206" t="s">
        <v>6555</v>
      </c>
      <c r="M38" s="436" t="n">
        <f aca="false">I38-D38</f>
        <v>1044</v>
      </c>
      <c r="N38" s="153"/>
      <c r="O38" s="282" t="n">
        <v>2017</v>
      </c>
      <c r="P38" s="282" t="n">
        <f aca="false">COUNTIF(C:C,O38)</f>
        <v>56</v>
      </c>
      <c r="Q38" s="282"/>
      <c r="R38" s="282"/>
      <c r="S38" s="316" t="n">
        <f aca="false">(P38/P45)</f>
        <v>0.100900900900901</v>
      </c>
    </row>
    <row r="39" customFormat="false" ht="15" hidden="false" customHeight="true" outlineLevel="0" collapsed="false">
      <c r="A39" s="210" t="s">
        <v>6671</v>
      </c>
      <c r="B39" s="211" t="s">
        <v>6672</v>
      </c>
      <c r="C39" s="211" t="n">
        <v>2016</v>
      </c>
      <c r="D39" s="260" t="n">
        <v>42405</v>
      </c>
      <c r="E39" s="213" t="s">
        <v>6673</v>
      </c>
      <c r="F39" s="213" t="s">
        <v>1987</v>
      </c>
      <c r="G39" s="214" t="s">
        <v>1174</v>
      </c>
      <c r="H39" s="214" t="s">
        <v>6674</v>
      </c>
      <c r="I39" s="225" t="n">
        <v>45204</v>
      </c>
      <c r="J39" s="213" t="n">
        <v>5</v>
      </c>
      <c r="K39" s="213" t="s">
        <v>53</v>
      </c>
      <c r="L39" s="206" t="s">
        <v>6555</v>
      </c>
      <c r="M39" s="213" t="n">
        <f aca="false">I39-D39</f>
        <v>2799</v>
      </c>
      <c r="N39" s="153"/>
      <c r="O39" s="283" t="n">
        <v>2018</v>
      </c>
      <c r="P39" s="283" t="n">
        <f aca="false">COUNTIF(C:C,O39)</f>
        <v>74</v>
      </c>
      <c r="Q39" s="283"/>
      <c r="R39" s="283"/>
      <c r="S39" s="315" t="n">
        <f aca="false">(P39/P45)</f>
        <v>0.133333333333333</v>
      </c>
    </row>
    <row r="40" customFormat="false" ht="15" hidden="false" customHeight="true" outlineLevel="0" collapsed="false">
      <c r="A40" s="203" t="s">
        <v>6675</v>
      </c>
      <c r="B40" s="193" t="s">
        <v>6676</v>
      </c>
      <c r="C40" s="193" t="n">
        <v>2017</v>
      </c>
      <c r="D40" s="259" t="n">
        <v>42834</v>
      </c>
      <c r="E40" s="205" t="s">
        <v>6677</v>
      </c>
      <c r="F40" s="206" t="s">
        <v>1068</v>
      </c>
      <c r="G40" s="206" t="s">
        <v>1174</v>
      </c>
      <c r="H40" s="205" t="s">
        <v>706</v>
      </c>
      <c r="I40" s="207" t="n">
        <v>45204</v>
      </c>
      <c r="J40" s="206" t="n">
        <v>5</v>
      </c>
      <c r="K40" s="206" t="s">
        <v>53</v>
      </c>
      <c r="L40" s="206" t="s">
        <v>6562</v>
      </c>
      <c r="M40" s="206" t="n">
        <f aca="false">I40-D40</f>
        <v>2370</v>
      </c>
      <c r="N40" s="153"/>
      <c r="O40" s="282" t="n">
        <v>2019</v>
      </c>
      <c r="P40" s="282" t="n">
        <f aca="false">COUNTIF(C:C,O40)</f>
        <v>59</v>
      </c>
      <c r="Q40" s="282"/>
      <c r="R40" s="282"/>
      <c r="S40" s="316" t="n">
        <f aca="false">(P40/P45)</f>
        <v>0.106306306306306</v>
      </c>
    </row>
    <row r="41" customFormat="false" ht="15" hidden="false" customHeight="true" outlineLevel="0" collapsed="false">
      <c r="A41" s="210" t="s">
        <v>6678</v>
      </c>
      <c r="B41" s="211" t="s">
        <v>6679</v>
      </c>
      <c r="C41" s="211" t="n">
        <v>2013</v>
      </c>
      <c r="D41" s="213" t="s">
        <v>6680</v>
      </c>
      <c r="E41" s="213" t="s">
        <v>6681</v>
      </c>
      <c r="F41" s="213" t="s">
        <v>3924</v>
      </c>
      <c r="G41" s="214" t="s">
        <v>1174</v>
      </c>
      <c r="H41" s="214" t="s">
        <v>706</v>
      </c>
      <c r="I41" s="225" t="n">
        <v>45204</v>
      </c>
      <c r="J41" s="213" t="n">
        <v>5</v>
      </c>
      <c r="K41" s="213" t="s">
        <v>53</v>
      </c>
      <c r="L41" s="206" t="s">
        <v>6555</v>
      </c>
      <c r="M41" s="437" t="n">
        <f aca="false">I41-D41</f>
        <v>3601</v>
      </c>
      <c r="N41" s="153"/>
      <c r="O41" s="283" t="n">
        <v>2020</v>
      </c>
      <c r="P41" s="283" t="n">
        <f aca="false">COUNTIF(C:C,O41)</f>
        <v>65</v>
      </c>
      <c r="Q41" s="283"/>
      <c r="R41" s="283"/>
      <c r="S41" s="315" t="n">
        <f aca="false">(P41/P45)</f>
        <v>0.117117117117117</v>
      </c>
    </row>
    <row r="42" customFormat="false" ht="15" hidden="false" customHeight="true" outlineLevel="0" collapsed="false">
      <c r="A42" s="203" t="s">
        <v>6682</v>
      </c>
      <c r="B42" s="193" t="s">
        <v>6683</v>
      </c>
      <c r="C42" s="193" t="n">
        <v>2014</v>
      </c>
      <c r="D42" s="218" t="n">
        <v>41753</v>
      </c>
      <c r="E42" s="205" t="s">
        <v>6684</v>
      </c>
      <c r="F42" s="206" t="s">
        <v>138</v>
      </c>
      <c r="G42" s="206" t="s">
        <v>1174</v>
      </c>
      <c r="H42" s="205" t="s">
        <v>706</v>
      </c>
      <c r="I42" s="207" t="n">
        <v>45204</v>
      </c>
      <c r="J42" s="206" t="n">
        <v>5</v>
      </c>
      <c r="K42" s="206" t="s">
        <v>53</v>
      </c>
      <c r="L42" s="206" t="s">
        <v>6562</v>
      </c>
      <c r="M42" s="206" t="n">
        <f aca="false">I42-D42</f>
        <v>3451</v>
      </c>
      <c r="N42" s="153"/>
      <c r="O42" s="282" t="n">
        <v>2021</v>
      </c>
      <c r="P42" s="282" t="n">
        <f aca="false">COUNTIF(C:C,O42)</f>
        <v>44</v>
      </c>
      <c r="Q42" s="282"/>
      <c r="R42" s="282"/>
      <c r="S42" s="316" t="n">
        <f aca="false">(P42/P45)</f>
        <v>0.0792792792792793</v>
      </c>
    </row>
    <row r="43" customFormat="false" ht="15" hidden="false" customHeight="true" outlineLevel="0" collapsed="false">
      <c r="A43" s="210" t="s">
        <v>6685</v>
      </c>
      <c r="B43" s="211" t="s">
        <v>6686</v>
      </c>
      <c r="C43" s="211" t="n">
        <v>2016</v>
      </c>
      <c r="D43" s="260" t="n">
        <v>42590</v>
      </c>
      <c r="E43" s="213" t="s">
        <v>6687</v>
      </c>
      <c r="F43" s="213" t="s">
        <v>793</v>
      </c>
      <c r="G43" s="214" t="s">
        <v>1174</v>
      </c>
      <c r="H43" s="214" t="s">
        <v>1501</v>
      </c>
      <c r="I43" s="225" t="n">
        <v>45204</v>
      </c>
      <c r="J43" s="213" t="n">
        <v>5</v>
      </c>
      <c r="K43" s="213" t="s">
        <v>53</v>
      </c>
      <c r="L43" s="206" t="s">
        <v>6555</v>
      </c>
      <c r="M43" s="213" t="n">
        <f aca="false">I43-D43</f>
        <v>2614</v>
      </c>
      <c r="N43" s="153"/>
      <c r="O43" s="283" t="n">
        <v>2022</v>
      </c>
      <c r="P43" s="283" t="n">
        <f aca="false">COUNTIF(C:C,O43)</f>
        <v>79</v>
      </c>
      <c r="Q43" s="283"/>
      <c r="R43" s="283"/>
      <c r="S43" s="315" t="n">
        <f aca="false">(P43/P45)</f>
        <v>0.142342342342342</v>
      </c>
    </row>
    <row r="44" customFormat="false" ht="15" hidden="false" customHeight="true" outlineLevel="0" collapsed="false">
      <c r="A44" s="203" t="s">
        <v>6688</v>
      </c>
      <c r="B44" s="193" t="s">
        <v>6689</v>
      </c>
      <c r="C44" s="193" t="n">
        <v>2017</v>
      </c>
      <c r="D44" s="218" t="n">
        <v>42853</v>
      </c>
      <c r="E44" s="205" t="s">
        <v>6690</v>
      </c>
      <c r="F44" s="206" t="s">
        <v>1200</v>
      </c>
      <c r="G44" s="206" t="s">
        <v>1174</v>
      </c>
      <c r="H44" s="205" t="s">
        <v>522</v>
      </c>
      <c r="I44" s="207" t="n">
        <v>45204</v>
      </c>
      <c r="J44" s="206" t="n">
        <v>5</v>
      </c>
      <c r="K44" s="206" t="s">
        <v>53</v>
      </c>
      <c r="L44" s="206" t="s">
        <v>6555</v>
      </c>
      <c r="M44" s="206" t="n">
        <f aca="false">I44-D44</f>
        <v>2351</v>
      </c>
      <c r="N44" s="153"/>
      <c r="O44" s="282" t="n">
        <v>2023</v>
      </c>
      <c r="P44" s="282" t="n">
        <f aca="false">COUNTIF(C:C,O44)</f>
        <v>29</v>
      </c>
      <c r="Q44" s="282"/>
      <c r="R44" s="282"/>
      <c r="S44" s="316" t="n">
        <f aca="false">(P44/P45)</f>
        <v>0.0522522522522523</v>
      </c>
    </row>
    <row r="45" customFormat="false" ht="15" hidden="false" customHeight="true" outlineLevel="0" collapsed="false">
      <c r="A45" s="210" t="s">
        <v>6691</v>
      </c>
      <c r="B45" s="211" t="s">
        <v>6692</v>
      </c>
      <c r="C45" s="211" t="n">
        <v>2015</v>
      </c>
      <c r="D45" s="213" t="s">
        <v>6693</v>
      </c>
      <c r="E45" s="213" t="s">
        <v>6694</v>
      </c>
      <c r="F45" s="213" t="s">
        <v>1200</v>
      </c>
      <c r="G45" s="214" t="s">
        <v>1174</v>
      </c>
      <c r="H45" s="214" t="s">
        <v>373</v>
      </c>
      <c r="I45" s="225" t="n">
        <v>45204</v>
      </c>
      <c r="J45" s="213" t="n">
        <v>5</v>
      </c>
      <c r="K45" s="213" t="s">
        <v>53</v>
      </c>
      <c r="L45" s="206" t="s">
        <v>6555</v>
      </c>
      <c r="M45" s="437" t="n">
        <f aca="false">I45-D45</f>
        <v>3006</v>
      </c>
      <c r="N45" s="153"/>
      <c r="O45" s="323" t="s">
        <v>56</v>
      </c>
      <c r="P45" s="418" t="n">
        <f aca="false">SUM(P29:R44)</f>
        <v>555</v>
      </c>
      <c r="Q45" s="418"/>
      <c r="R45" s="418"/>
      <c r="S45" s="325" t="n">
        <f aca="false">SUM(S29:S44)</f>
        <v>1</v>
      </c>
    </row>
    <row r="46" customFormat="false" ht="15" hidden="false" customHeight="true" outlineLevel="0" collapsed="false">
      <c r="A46" s="203" t="s">
        <v>6695</v>
      </c>
      <c r="B46" s="193" t="s">
        <v>6696</v>
      </c>
      <c r="C46" s="193" t="n">
        <v>2016</v>
      </c>
      <c r="D46" s="259" t="n">
        <v>42378</v>
      </c>
      <c r="E46" s="205" t="s">
        <v>6697</v>
      </c>
      <c r="F46" s="206" t="s">
        <v>793</v>
      </c>
      <c r="G46" s="206" t="s">
        <v>1174</v>
      </c>
      <c r="H46" s="205" t="s">
        <v>1501</v>
      </c>
      <c r="I46" s="207" t="n">
        <v>45204</v>
      </c>
      <c r="J46" s="206" t="n">
        <v>5</v>
      </c>
      <c r="K46" s="206" t="s">
        <v>53</v>
      </c>
      <c r="L46" s="206" t="s">
        <v>6555</v>
      </c>
      <c r="M46" s="206" t="n">
        <f aca="false">I46-D46</f>
        <v>2826</v>
      </c>
      <c r="N46" s="153"/>
    </row>
    <row r="47" customFormat="false" ht="15" hidden="false" customHeight="true" outlineLevel="0" collapsed="false">
      <c r="A47" s="210" t="s">
        <v>6698</v>
      </c>
      <c r="B47" s="211" t="s">
        <v>6699</v>
      </c>
      <c r="C47" s="211" t="n">
        <v>2016</v>
      </c>
      <c r="D47" s="213" t="s">
        <v>6700</v>
      </c>
      <c r="E47" s="213" t="s">
        <v>6701</v>
      </c>
      <c r="F47" s="213" t="s">
        <v>793</v>
      </c>
      <c r="G47" s="214" t="s">
        <v>1174</v>
      </c>
      <c r="H47" s="214" t="s">
        <v>267</v>
      </c>
      <c r="I47" s="225" t="n">
        <v>45204</v>
      </c>
      <c r="J47" s="213" t="n">
        <v>5</v>
      </c>
      <c r="K47" s="213" t="s">
        <v>53</v>
      </c>
      <c r="L47" s="206" t="s">
        <v>6555</v>
      </c>
      <c r="M47" s="437" t="n">
        <f aca="false">I47-D47</f>
        <v>2628</v>
      </c>
      <c r="N47" s="153"/>
    </row>
    <row r="48" customFormat="false" ht="15" hidden="false" customHeight="true" outlineLevel="0" collapsed="false">
      <c r="A48" s="203" t="s">
        <v>6702</v>
      </c>
      <c r="B48" s="193" t="s">
        <v>6703</v>
      </c>
      <c r="C48" s="193" t="n">
        <v>2016</v>
      </c>
      <c r="D48" s="206" t="s">
        <v>6704</v>
      </c>
      <c r="E48" s="205" t="s">
        <v>6705</v>
      </c>
      <c r="F48" s="206" t="s">
        <v>2010</v>
      </c>
      <c r="G48" s="206" t="s">
        <v>1174</v>
      </c>
      <c r="H48" s="205" t="s">
        <v>134</v>
      </c>
      <c r="I48" s="207" t="n">
        <v>45204</v>
      </c>
      <c r="J48" s="206" t="n">
        <v>5</v>
      </c>
      <c r="K48" s="206" t="s">
        <v>53</v>
      </c>
      <c r="L48" s="206" t="s">
        <v>6555</v>
      </c>
      <c r="M48" s="436" t="n">
        <f aca="false">I48-D48</f>
        <v>2697</v>
      </c>
      <c r="N48" s="153"/>
      <c r="O48" s="326" t="s">
        <v>272</v>
      </c>
      <c r="P48" s="326"/>
      <c r="Q48" s="326"/>
      <c r="R48" s="326"/>
      <c r="S48" s="326"/>
    </row>
    <row r="49" customFormat="false" ht="15" hidden="false" customHeight="true" outlineLevel="0" collapsed="false">
      <c r="A49" s="210" t="s">
        <v>6706</v>
      </c>
      <c r="B49" s="211" t="s">
        <v>6707</v>
      </c>
      <c r="C49" s="211" t="n">
        <v>2018</v>
      </c>
      <c r="D49" s="213" t="s">
        <v>6708</v>
      </c>
      <c r="E49" s="213" t="s">
        <v>6709</v>
      </c>
      <c r="F49" s="213" t="s">
        <v>1068</v>
      </c>
      <c r="G49" s="214" t="s">
        <v>1174</v>
      </c>
      <c r="H49" s="214" t="s">
        <v>2388</v>
      </c>
      <c r="I49" s="225" t="n">
        <v>45204</v>
      </c>
      <c r="J49" s="213" t="n">
        <v>5</v>
      </c>
      <c r="K49" s="213" t="s">
        <v>53</v>
      </c>
      <c r="L49" s="206" t="s">
        <v>6562</v>
      </c>
      <c r="M49" s="437" t="n">
        <f aca="false">I49-D49</f>
        <v>1987</v>
      </c>
      <c r="N49" s="153"/>
      <c r="O49" s="326"/>
      <c r="P49" s="326"/>
      <c r="Q49" s="326"/>
      <c r="R49" s="326"/>
      <c r="S49" s="326"/>
    </row>
    <row r="50" customFormat="false" ht="15" hidden="false" customHeight="true" outlineLevel="0" collapsed="false">
      <c r="A50" s="203" t="s">
        <v>6710</v>
      </c>
      <c r="B50" s="193" t="s">
        <v>6711</v>
      </c>
      <c r="C50" s="193" t="n">
        <v>2019</v>
      </c>
      <c r="D50" s="206" t="s">
        <v>6712</v>
      </c>
      <c r="E50" s="205" t="s">
        <v>6713</v>
      </c>
      <c r="F50" s="206" t="s">
        <v>1068</v>
      </c>
      <c r="G50" s="206" t="s">
        <v>1174</v>
      </c>
      <c r="H50" s="205" t="s">
        <v>544</v>
      </c>
      <c r="I50" s="207" t="n">
        <v>45204</v>
      </c>
      <c r="J50" s="206" t="n">
        <v>5</v>
      </c>
      <c r="K50" s="206" t="s">
        <v>53</v>
      </c>
      <c r="L50" s="206" t="s">
        <v>6562</v>
      </c>
      <c r="M50" s="436" t="n">
        <f aca="false">I50-D50</f>
        <v>1624</v>
      </c>
      <c r="N50" s="153"/>
      <c r="O50" s="309" t="s">
        <v>100</v>
      </c>
      <c r="P50" s="416" t="s">
        <v>40</v>
      </c>
      <c r="Q50" s="416"/>
      <c r="R50" s="416"/>
      <c r="S50" s="313" t="s">
        <v>41</v>
      </c>
    </row>
    <row r="51" customFormat="false" ht="15" hidden="false" customHeight="true" outlineLevel="0" collapsed="false">
      <c r="A51" s="210" t="s">
        <v>6714</v>
      </c>
      <c r="B51" s="211" t="s">
        <v>6715</v>
      </c>
      <c r="C51" s="211" t="n">
        <v>2020</v>
      </c>
      <c r="D51" s="260" t="n">
        <v>43987</v>
      </c>
      <c r="E51" s="213" t="s">
        <v>6716</v>
      </c>
      <c r="F51" s="213" t="s">
        <v>1068</v>
      </c>
      <c r="G51" s="214" t="s">
        <v>1174</v>
      </c>
      <c r="H51" s="214" t="s">
        <v>544</v>
      </c>
      <c r="I51" s="225" t="n">
        <v>45204</v>
      </c>
      <c r="J51" s="213" t="n">
        <v>5</v>
      </c>
      <c r="K51" s="213" t="s">
        <v>53</v>
      </c>
      <c r="L51" s="206" t="s">
        <v>6562</v>
      </c>
      <c r="M51" s="213" t="n">
        <f aca="false">I51-D51</f>
        <v>1217</v>
      </c>
      <c r="N51" s="153"/>
      <c r="O51" s="314" t="s">
        <v>63</v>
      </c>
      <c r="P51" s="314" t="n">
        <f aca="false">COUNTIF(J:J,"1")</f>
        <v>36</v>
      </c>
      <c r="Q51" s="314"/>
      <c r="R51" s="314"/>
      <c r="S51" s="328" t="n">
        <f aca="false">(P51/$P$63)</f>
        <v>0.0648648648648649</v>
      </c>
    </row>
    <row r="52" customFormat="false" ht="15" hidden="false" customHeight="true" outlineLevel="0" collapsed="false">
      <c r="A52" s="203" t="s">
        <v>6717</v>
      </c>
      <c r="B52" s="193" t="s">
        <v>6718</v>
      </c>
      <c r="C52" s="193" t="n">
        <v>2018</v>
      </c>
      <c r="D52" s="206" t="s">
        <v>6719</v>
      </c>
      <c r="E52" s="205" t="s">
        <v>6720</v>
      </c>
      <c r="F52" s="206" t="s">
        <v>1068</v>
      </c>
      <c r="G52" s="206" t="s">
        <v>1174</v>
      </c>
      <c r="H52" s="205" t="s">
        <v>2172</v>
      </c>
      <c r="I52" s="207" t="n">
        <v>45204</v>
      </c>
      <c r="J52" s="206" t="n">
        <v>5</v>
      </c>
      <c r="K52" s="206" t="s">
        <v>53</v>
      </c>
      <c r="L52" s="206" t="s">
        <v>6562</v>
      </c>
      <c r="M52" s="436" t="n">
        <f aca="false">I52-D52</f>
        <v>2058</v>
      </c>
      <c r="N52" s="153"/>
      <c r="O52" s="282" t="s">
        <v>64</v>
      </c>
      <c r="P52" s="282" t="n">
        <f aca="false">COUNTIF(J:J,"2")</f>
        <v>40</v>
      </c>
      <c r="Q52" s="282"/>
      <c r="R52" s="282"/>
      <c r="S52" s="329" t="n">
        <f aca="false">(P52/$P$63)</f>
        <v>0.0720720720720721</v>
      </c>
    </row>
    <row r="53" customFormat="false" ht="15" hidden="false" customHeight="true" outlineLevel="0" collapsed="false">
      <c r="A53" s="210" t="s">
        <v>6721</v>
      </c>
      <c r="B53" s="211" t="s">
        <v>6722</v>
      </c>
      <c r="C53" s="211" t="n">
        <v>2018</v>
      </c>
      <c r="D53" s="213" t="s">
        <v>6723</v>
      </c>
      <c r="E53" s="213" t="s">
        <v>6724</v>
      </c>
      <c r="F53" s="213" t="s">
        <v>1068</v>
      </c>
      <c r="G53" s="214" t="s">
        <v>1174</v>
      </c>
      <c r="H53" s="214" t="s">
        <v>263</v>
      </c>
      <c r="I53" s="225" t="n">
        <v>45204</v>
      </c>
      <c r="J53" s="213" t="n">
        <v>5</v>
      </c>
      <c r="K53" s="213" t="s">
        <v>53</v>
      </c>
      <c r="L53" s="206" t="s">
        <v>6562</v>
      </c>
      <c r="M53" s="437" t="n">
        <f aca="false">I53-D53</f>
        <v>2026</v>
      </c>
      <c r="N53" s="153"/>
      <c r="O53" s="283" t="s">
        <v>66</v>
      </c>
      <c r="P53" s="283" t="n">
        <f aca="false">COUNTIF(J:J,"3")</f>
        <v>26</v>
      </c>
      <c r="Q53" s="283"/>
      <c r="R53" s="283"/>
      <c r="S53" s="330" t="n">
        <f aca="false">(P53/$P$63)</f>
        <v>0.0468468468468469</v>
      </c>
    </row>
    <row r="54" customFormat="false" ht="15" hidden="false" customHeight="true" outlineLevel="0" collapsed="false">
      <c r="A54" s="203" t="s">
        <v>6725</v>
      </c>
      <c r="B54" s="193" t="s">
        <v>6726</v>
      </c>
      <c r="C54" s="193" t="n">
        <v>2017</v>
      </c>
      <c r="D54" s="206" t="s">
        <v>6727</v>
      </c>
      <c r="E54" s="205" t="s">
        <v>6728</v>
      </c>
      <c r="F54" s="206" t="s">
        <v>1068</v>
      </c>
      <c r="G54" s="206" t="s">
        <v>1174</v>
      </c>
      <c r="H54" s="205" t="s">
        <v>310</v>
      </c>
      <c r="I54" s="207" t="n">
        <v>45204</v>
      </c>
      <c r="J54" s="206" t="n">
        <v>5</v>
      </c>
      <c r="K54" s="206" t="s">
        <v>53</v>
      </c>
      <c r="L54" s="206" t="s">
        <v>6562</v>
      </c>
      <c r="M54" s="436" t="n">
        <f aca="false">I54-D54</f>
        <v>2176</v>
      </c>
      <c r="N54" s="153"/>
      <c r="O54" s="282" t="s">
        <v>67</v>
      </c>
      <c r="P54" s="282" t="n">
        <f aca="false">COUNTIF(J:J,"4")</f>
        <v>8</v>
      </c>
      <c r="Q54" s="282"/>
      <c r="R54" s="282"/>
      <c r="S54" s="329" t="n">
        <f aca="false">(P54/$P$63)</f>
        <v>0.0144144144144144</v>
      </c>
    </row>
    <row r="55" customFormat="false" ht="15" hidden="false" customHeight="true" outlineLevel="0" collapsed="false">
      <c r="A55" s="210" t="s">
        <v>6729</v>
      </c>
      <c r="B55" s="211" t="s">
        <v>6730</v>
      </c>
      <c r="C55" s="211" t="n">
        <v>2017</v>
      </c>
      <c r="D55" s="213" t="s">
        <v>6731</v>
      </c>
      <c r="E55" s="213" t="s">
        <v>6732</v>
      </c>
      <c r="F55" s="213" t="s">
        <v>1068</v>
      </c>
      <c r="G55" s="214" t="s">
        <v>1174</v>
      </c>
      <c r="H55" s="214" t="s">
        <v>192</v>
      </c>
      <c r="I55" s="225" t="n">
        <v>45204</v>
      </c>
      <c r="J55" s="213" t="n">
        <v>5</v>
      </c>
      <c r="K55" s="213" t="s">
        <v>53</v>
      </c>
      <c r="L55" s="206" t="s">
        <v>6562</v>
      </c>
      <c r="M55" s="437" t="n">
        <f aca="false">I55-D55</f>
        <v>2332</v>
      </c>
      <c r="N55" s="153"/>
      <c r="O55" s="283" t="s">
        <v>68</v>
      </c>
      <c r="P55" s="283" t="n">
        <f aca="false">COUNTIF(J:J,"5")</f>
        <v>60</v>
      </c>
      <c r="Q55" s="283"/>
      <c r="R55" s="283"/>
      <c r="S55" s="330" t="n">
        <f aca="false">(P55/$P$63)</f>
        <v>0.108108108108108</v>
      </c>
    </row>
    <row r="56" customFormat="false" ht="15" hidden="false" customHeight="true" outlineLevel="0" collapsed="false">
      <c r="A56" s="203" t="s">
        <v>6733</v>
      </c>
      <c r="B56" s="193" t="s">
        <v>6734</v>
      </c>
      <c r="C56" s="193" t="n">
        <v>2017</v>
      </c>
      <c r="D56" s="259" t="n">
        <v>43051</v>
      </c>
      <c r="E56" s="205" t="s">
        <v>6735</v>
      </c>
      <c r="F56" s="206" t="s">
        <v>1068</v>
      </c>
      <c r="G56" s="206" t="s">
        <v>1174</v>
      </c>
      <c r="H56" s="205" t="s">
        <v>254</v>
      </c>
      <c r="I56" s="207" t="n">
        <v>45204</v>
      </c>
      <c r="J56" s="206" t="n">
        <v>5</v>
      </c>
      <c r="K56" s="206" t="s">
        <v>53</v>
      </c>
      <c r="L56" s="206" t="s">
        <v>6562</v>
      </c>
      <c r="M56" s="206" t="n">
        <f aca="false">I56-D56</f>
        <v>2153</v>
      </c>
      <c r="N56" s="160"/>
      <c r="O56" s="282" t="s">
        <v>70</v>
      </c>
      <c r="P56" s="282" t="n">
        <f aca="false">COUNTIF(J:J,"6")</f>
        <v>45</v>
      </c>
      <c r="Q56" s="282"/>
      <c r="R56" s="282"/>
      <c r="S56" s="329" t="n">
        <f aca="false">(P56/$P$63)</f>
        <v>0.0810810810810811</v>
      </c>
    </row>
    <row r="57" customFormat="false" ht="15" hidden="false" customHeight="true" outlineLevel="0" collapsed="false">
      <c r="A57" s="210" t="s">
        <v>6736</v>
      </c>
      <c r="B57" s="211" t="s">
        <v>6737</v>
      </c>
      <c r="C57" s="211" t="n">
        <v>2018</v>
      </c>
      <c r="D57" s="260" t="n">
        <v>43351</v>
      </c>
      <c r="E57" s="213" t="s">
        <v>6738</v>
      </c>
      <c r="F57" s="213" t="s">
        <v>1068</v>
      </c>
      <c r="G57" s="214" t="s">
        <v>1174</v>
      </c>
      <c r="H57" s="214" t="s">
        <v>1059</v>
      </c>
      <c r="I57" s="225" t="n">
        <v>45204</v>
      </c>
      <c r="J57" s="213" t="n">
        <v>5</v>
      </c>
      <c r="K57" s="213" t="s">
        <v>53</v>
      </c>
      <c r="L57" s="206" t="s">
        <v>6562</v>
      </c>
      <c r="M57" s="213" t="n">
        <f aca="false">I57-D57</f>
        <v>1853</v>
      </c>
      <c r="N57" s="153"/>
      <c r="O57" s="283" t="s">
        <v>72</v>
      </c>
      <c r="P57" s="283" t="n">
        <f aca="false">COUNTIF(J:J,"7")</f>
        <v>55</v>
      </c>
      <c r="Q57" s="283"/>
      <c r="R57" s="283"/>
      <c r="S57" s="330" t="n">
        <f aca="false">(P57/$P$63)</f>
        <v>0.0990990990990991</v>
      </c>
    </row>
    <row r="58" customFormat="false" ht="15" hidden="false" customHeight="true" outlineLevel="0" collapsed="false">
      <c r="A58" s="203" t="s">
        <v>6739</v>
      </c>
      <c r="B58" s="193" t="s">
        <v>6740</v>
      </c>
      <c r="C58" s="193" t="n">
        <v>2016</v>
      </c>
      <c r="D58" s="206" t="s">
        <v>6741</v>
      </c>
      <c r="E58" s="205" t="s">
        <v>6742</v>
      </c>
      <c r="F58" s="206" t="s">
        <v>1987</v>
      </c>
      <c r="G58" s="206" t="s">
        <v>1174</v>
      </c>
      <c r="H58" s="205" t="s">
        <v>263</v>
      </c>
      <c r="I58" s="207" t="n">
        <v>45204</v>
      </c>
      <c r="J58" s="206" t="n">
        <v>5</v>
      </c>
      <c r="K58" s="206" t="s">
        <v>53</v>
      </c>
      <c r="L58" s="206" t="s">
        <v>6555</v>
      </c>
      <c r="M58" s="436" t="n">
        <f aca="false">I58-D58</f>
        <v>2530</v>
      </c>
      <c r="N58" s="153"/>
      <c r="O58" s="282" t="s">
        <v>74</v>
      </c>
      <c r="P58" s="282" t="n">
        <f aca="false">COUNTIF(J:J,"8")</f>
        <v>86</v>
      </c>
      <c r="Q58" s="282"/>
      <c r="R58" s="282"/>
      <c r="S58" s="329" t="n">
        <f aca="false">(P58/$P$63)</f>
        <v>0.154954954954955</v>
      </c>
    </row>
    <row r="59" customFormat="false" ht="15" hidden="false" customHeight="true" outlineLevel="0" collapsed="false">
      <c r="A59" s="210" t="s">
        <v>6743</v>
      </c>
      <c r="B59" s="211" t="s">
        <v>6744</v>
      </c>
      <c r="C59" s="211" t="n">
        <v>2017</v>
      </c>
      <c r="D59" s="213" t="s">
        <v>6745</v>
      </c>
      <c r="E59" s="213" t="s">
        <v>6746</v>
      </c>
      <c r="F59" s="213" t="s">
        <v>1150</v>
      </c>
      <c r="G59" s="214" t="s">
        <v>1174</v>
      </c>
      <c r="H59" s="214" t="s">
        <v>513</v>
      </c>
      <c r="I59" s="225" t="n">
        <v>45204</v>
      </c>
      <c r="J59" s="213" t="n">
        <v>5</v>
      </c>
      <c r="K59" s="213" t="s">
        <v>53</v>
      </c>
      <c r="L59" s="206" t="s">
        <v>6555</v>
      </c>
      <c r="M59" s="437" t="n">
        <f aca="false">I59-D59</f>
        <v>2380</v>
      </c>
      <c r="N59" s="153"/>
      <c r="O59" s="283" t="s">
        <v>76</v>
      </c>
      <c r="P59" s="283" t="n">
        <f aca="false">COUNTIF(J:J,"9")</f>
        <v>48</v>
      </c>
      <c r="Q59" s="283"/>
      <c r="R59" s="283"/>
      <c r="S59" s="330" t="n">
        <f aca="false">(P59/$P$63)</f>
        <v>0.0864864864864865</v>
      </c>
    </row>
    <row r="60" customFormat="false" ht="15" hidden="false" customHeight="true" outlineLevel="0" collapsed="false">
      <c r="A60" s="203" t="s">
        <v>6747</v>
      </c>
      <c r="B60" s="193" t="s">
        <v>6748</v>
      </c>
      <c r="C60" s="193" t="n">
        <v>2018</v>
      </c>
      <c r="D60" s="206" t="s">
        <v>6749</v>
      </c>
      <c r="E60" s="205" t="s">
        <v>6750</v>
      </c>
      <c r="F60" s="206" t="s">
        <v>650</v>
      </c>
      <c r="G60" s="206" t="s">
        <v>1174</v>
      </c>
      <c r="H60" s="205" t="s">
        <v>1538</v>
      </c>
      <c r="I60" s="207" t="n">
        <v>45204</v>
      </c>
      <c r="J60" s="206" t="n">
        <v>5</v>
      </c>
      <c r="K60" s="206" t="s">
        <v>53</v>
      </c>
      <c r="L60" s="206" t="s">
        <v>6555</v>
      </c>
      <c r="M60" s="436" t="n">
        <f aca="false">I60-D60</f>
        <v>1933</v>
      </c>
      <c r="N60" s="153"/>
      <c r="O60" s="282" t="s">
        <v>78</v>
      </c>
      <c r="P60" s="282" t="n">
        <f aca="false">COUNTIF(J:J,"10")</f>
        <v>29</v>
      </c>
      <c r="Q60" s="282"/>
      <c r="R60" s="282"/>
      <c r="S60" s="329" t="n">
        <f aca="false">(P60/$P$63)</f>
        <v>0.0522522522522523</v>
      </c>
    </row>
    <row r="61" customFormat="false" ht="15" hidden="false" customHeight="true" outlineLevel="0" collapsed="false">
      <c r="A61" s="210" t="s">
        <v>6751</v>
      </c>
      <c r="B61" s="211" t="s">
        <v>6752</v>
      </c>
      <c r="C61" s="211" t="n">
        <v>2014</v>
      </c>
      <c r="D61" s="213" t="s">
        <v>6753</v>
      </c>
      <c r="E61" s="213" t="s">
        <v>6754</v>
      </c>
      <c r="F61" s="213" t="s">
        <v>1243</v>
      </c>
      <c r="G61" s="214" t="s">
        <v>1174</v>
      </c>
      <c r="H61" s="214" t="s">
        <v>6755</v>
      </c>
      <c r="I61" s="225" t="n">
        <v>45204</v>
      </c>
      <c r="J61" s="213" t="n">
        <v>5</v>
      </c>
      <c r="K61" s="213" t="s">
        <v>53</v>
      </c>
      <c r="L61" s="206" t="s">
        <v>6562</v>
      </c>
      <c r="M61" s="437" t="n">
        <f aca="false">I61-D61</f>
        <v>3398</v>
      </c>
      <c r="N61" s="153"/>
      <c r="O61" s="283" t="s">
        <v>80</v>
      </c>
      <c r="P61" s="283" t="n">
        <f aca="false">COUNTIF(J:J,"11")</f>
        <v>56</v>
      </c>
      <c r="Q61" s="283"/>
      <c r="R61" s="283"/>
      <c r="S61" s="330" t="n">
        <f aca="false">(P61/$P$63)</f>
        <v>0.100900900900901</v>
      </c>
    </row>
    <row r="62" customFormat="false" ht="15" hidden="false" customHeight="true" outlineLevel="0" collapsed="false">
      <c r="A62" s="203" t="s">
        <v>6756</v>
      </c>
      <c r="B62" s="193" t="s">
        <v>6757</v>
      </c>
      <c r="C62" s="193" t="n">
        <v>2018</v>
      </c>
      <c r="D62" s="206" t="s">
        <v>6758</v>
      </c>
      <c r="E62" s="205" t="s">
        <v>6759</v>
      </c>
      <c r="F62" s="206" t="s">
        <v>6760</v>
      </c>
      <c r="G62" s="206" t="s">
        <v>1188</v>
      </c>
      <c r="H62" s="205" t="s">
        <v>373</v>
      </c>
      <c r="I62" s="206" t="s">
        <v>6761</v>
      </c>
      <c r="J62" s="206" t="n">
        <v>5</v>
      </c>
      <c r="K62" s="206" t="s">
        <v>1187</v>
      </c>
      <c r="L62" s="206" t="s">
        <v>6555</v>
      </c>
      <c r="M62" s="206" t="n">
        <f aca="false">I62-D62</f>
        <v>1934</v>
      </c>
      <c r="N62" s="153"/>
      <c r="O62" s="336" t="s">
        <v>82</v>
      </c>
      <c r="P62" s="336" t="n">
        <f aca="false">COUNTIF(J:J,"12")</f>
        <v>66</v>
      </c>
      <c r="Q62" s="336"/>
      <c r="R62" s="336"/>
      <c r="S62" s="337" t="n">
        <f aca="false">(P62/$P$63)</f>
        <v>0.118918918918919</v>
      </c>
    </row>
    <row r="63" customFormat="false" ht="15" hidden="false" customHeight="true" outlineLevel="0" collapsed="false">
      <c r="A63" s="210" t="s">
        <v>6762</v>
      </c>
      <c r="B63" s="211" t="s">
        <v>6763</v>
      </c>
      <c r="C63" s="211" t="n">
        <v>2011</v>
      </c>
      <c r="D63" s="260" t="n">
        <v>40572</v>
      </c>
      <c r="E63" s="213" t="s">
        <v>6764</v>
      </c>
      <c r="F63" s="213" t="s">
        <v>6765</v>
      </c>
      <c r="G63" s="214" t="s">
        <v>1188</v>
      </c>
      <c r="H63" s="214" t="s">
        <v>2283</v>
      </c>
      <c r="I63" s="225" t="n">
        <v>45064</v>
      </c>
      <c r="J63" s="213" t="n">
        <v>5</v>
      </c>
      <c r="K63" s="213" t="s">
        <v>1187</v>
      </c>
      <c r="L63" s="206" t="s">
        <v>6562</v>
      </c>
      <c r="M63" s="213" t="n">
        <f aca="false">I63-D63</f>
        <v>4492</v>
      </c>
      <c r="N63" s="153"/>
      <c r="O63" s="323" t="s">
        <v>54</v>
      </c>
      <c r="P63" s="418" t="n">
        <f aca="false">SUM(P51:R62)</f>
        <v>555</v>
      </c>
      <c r="Q63" s="418"/>
      <c r="R63" s="418"/>
      <c r="S63" s="325" t="n">
        <f aca="false">SUM(S51:S62)</f>
        <v>1</v>
      </c>
    </row>
    <row r="64" customFormat="false" ht="15" hidden="false" customHeight="true" outlineLevel="0" collapsed="false">
      <c r="A64" s="203" t="s">
        <v>6766</v>
      </c>
      <c r="B64" s="193" t="s">
        <v>6767</v>
      </c>
      <c r="C64" s="193" t="n">
        <v>2016</v>
      </c>
      <c r="D64" s="206" t="s">
        <v>6768</v>
      </c>
      <c r="E64" s="205" t="s">
        <v>6769</v>
      </c>
      <c r="F64" s="206" t="s">
        <v>6770</v>
      </c>
      <c r="G64" s="206" t="s">
        <v>1188</v>
      </c>
      <c r="H64" s="205" t="s">
        <v>2873</v>
      </c>
      <c r="I64" s="206" t="s">
        <v>6771</v>
      </c>
      <c r="J64" s="206" t="n">
        <v>5</v>
      </c>
      <c r="K64" s="206" t="s">
        <v>1187</v>
      </c>
      <c r="L64" s="206" t="s">
        <v>6555</v>
      </c>
      <c r="M64" s="206" t="n">
        <f aca="false">I64-D64</f>
        <v>2672</v>
      </c>
      <c r="N64" s="153"/>
      <c r="O64" s="153"/>
      <c r="P64" s="153"/>
      <c r="Q64" s="153"/>
      <c r="R64" s="153"/>
      <c r="S64" s="153"/>
    </row>
    <row r="65" customFormat="false" ht="15" hidden="false" customHeight="true" outlineLevel="0" collapsed="false">
      <c r="A65" s="210" t="s">
        <v>6772</v>
      </c>
      <c r="B65" s="211" t="s">
        <v>6773</v>
      </c>
      <c r="C65" s="211" t="n">
        <v>2019</v>
      </c>
      <c r="D65" s="260" t="n">
        <v>43466</v>
      </c>
      <c r="E65" s="213" t="s">
        <v>6774</v>
      </c>
      <c r="F65" s="213" t="s">
        <v>1068</v>
      </c>
      <c r="G65" s="214" t="s">
        <v>1174</v>
      </c>
      <c r="H65" s="214" t="s">
        <v>4850</v>
      </c>
      <c r="I65" s="213" t="s">
        <v>6771</v>
      </c>
      <c r="J65" s="213" t="n">
        <v>5</v>
      </c>
      <c r="K65" s="213" t="s">
        <v>53</v>
      </c>
      <c r="L65" s="206" t="s">
        <v>6562</v>
      </c>
      <c r="M65" s="213" t="n">
        <f aca="false">I65-D65</f>
        <v>1604</v>
      </c>
      <c r="N65" s="160"/>
      <c r="O65" s="339" t="s">
        <v>335</v>
      </c>
      <c r="P65" s="339"/>
      <c r="Q65" s="339"/>
      <c r="R65" s="339"/>
      <c r="S65" s="339"/>
      <c r="T65" s="339"/>
    </row>
    <row r="66" customFormat="false" ht="15" hidden="false" customHeight="true" outlineLevel="0" collapsed="false">
      <c r="A66" s="203" t="s">
        <v>6775</v>
      </c>
      <c r="B66" s="193" t="s">
        <v>6776</v>
      </c>
      <c r="C66" s="193" t="n">
        <v>2021</v>
      </c>
      <c r="D66" s="259" t="n">
        <v>44510</v>
      </c>
      <c r="E66" s="205" t="s">
        <v>6777</v>
      </c>
      <c r="F66" s="206" t="s">
        <v>1916</v>
      </c>
      <c r="G66" s="206" t="s">
        <v>1174</v>
      </c>
      <c r="H66" s="205" t="s">
        <v>192</v>
      </c>
      <c r="I66" s="206" t="s">
        <v>6778</v>
      </c>
      <c r="J66" s="206" t="n">
        <v>5</v>
      </c>
      <c r="K66" s="206" t="s">
        <v>53</v>
      </c>
      <c r="L66" s="206" t="s">
        <v>6555</v>
      </c>
      <c r="M66" s="206" t="n">
        <f aca="false">I66-D66</f>
        <v>562</v>
      </c>
      <c r="N66" s="153"/>
      <c r="O66" s="339"/>
      <c r="P66" s="339"/>
      <c r="Q66" s="339"/>
      <c r="R66" s="339"/>
      <c r="S66" s="339"/>
      <c r="T66" s="339"/>
    </row>
    <row r="67" customFormat="false" ht="15" hidden="false" customHeight="true" outlineLevel="0" collapsed="false">
      <c r="A67" s="210" t="s">
        <v>6779</v>
      </c>
      <c r="B67" s="211" t="s">
        <v>6780</v>
      </c>
      <c r="C67" s="211" t="n">
        <v>2021</v>
      </c>
      <c r="D67" s="213" t="s">
        <v>6781</v>
      </c>
      <c r="E67" s="213" t="s">
        <v>6782</v>
      </c>
      <c r="F67" s="213" t="s">
        <v>1338</v>
      </c>
      <c r="G67" s="214" t="s">
        <v>1174</v>
      </c>
      <c r="H67" s="214" t="s">
        <v>139</v>
      </c>
      <c r="I67" s="213" t="s">
        <v>6778</v>
      </c>
      <c r="J67" s="213" t="n">
        <v>5</v>
      </c>
      <c r="K67" s="213" t="s">
        <v>53</v>
      </c>
      <c r="L67" s="213" t="s">
        <v>1339</v>
      </c>
      <c r="M67" s="213" t="n">
        <f aca="false">I67-D67</f>
        <v>639</v>
      </c>
      <c r="N67" s="153"/>
      <c r="O67" s="340" t="s">
        <v>38</v>
      </c>
      <c r="P67" s="340"/>
      <c r="Q67" s="340"/>
      <c r="R67" s="340"/>
      <c r="S67" s="341" t="s">
        <v>343</v>
      </c>
      <c r="T67" s="342" t="s">
        <v>41</v>
      </c>
    </row>
    <row r="68" customFormat="false" ht="15" hidden="false" customHeight="true" outlineLevel="0" collapsed="false">
      <c r="A68" s="203" t="s">
        <v>6783</v>
      </c>
      <c r="B68" s="193" t="s">
        <v>6784</v>
      </c>
      <c r="C68" s="193" t="n">
        <v>2022</v>
      </c>
      <c r="D68" s="259" t="n">
        <v>44842</v>
      </c>
      <c r="E68" s="205" t="s">
        <v>6785</v>
      </c>
      <c r="F68" s="206" t="s">
        <v>509</v>
      </c>
      <c r="G68" s="206" t="s">
        <v>1174</v>
      </c>
      <c r="H68" s="205" t="s">
        <v>1557</v>
      </c>
      <c r="I68" s="206" t="s">
        <v>6778</v>
      </c>
      <c r="J68" s="206" t="n">
        <v>5</v>
      </c>
      <c r="K68" s="206" t="s">
        <v>53</v>
      </c>
      <c r="L68" s="206" t="s">
        <v>6555</v>
      </c>
      <c r="M68" s="206" t="n">
        <f aca="false">I68-D68</f>
        <v>230</v>
      </c>
      <c r="N68" s="153"/>
      <c r="O68" s="343" t="s">
        <v>42</v>
      </c>
      <c r="P68" s="343"/>
      <c r="Q68" s="343"/>
      <c r="R68" s="343"/>
      <c r="S68" s="343" t="n">
        <f aca="false">COUNTIF(K:K,O68)</f>
        <v>0</v>
      </c>
      <c r="T68" s="344" t="n">
        <f aca="false">(S68/$S$81)</f>
        <v>0</v>
      </c>
    </row>
    <row r="69" customFormat="false" ht="15" hidden="false" customHeight="true" outlineLevel="0" collapsed="false">
      <c r="A69" s="210" t="s">
        <v>6786</v>
      </c>
      <c r="B69" s="211" t="s">
        <v>6787</v>
      </c>
      <c r="C69" s="211" t="n">
        <v>2020</v>
      </c>
      <c r="D69" s="213" t="s">
        <v>6788</v>
      </c>
      <c r="E69" s="213" t="s">
        <v>6789</v>
      </c>
      <c r="F69" s="213" t="s">
        <v>509</v>
      </c>
      <c r="G69" s="214" t="s">
        <v>1174</v>
      </c>
      <c r="H69" s="214" t="s">
        <v>706</v>
      </c>
      <c r="I69" s="213" t="s">
        <v>6778</v>
      </c>
      <c r="J69" s="213" t="n">
        <v>5</v>
      </c>
      <c r="K69" s="213" t="s">
        <v>53</v>
      </c>
      <c r="L69" s="206" t="s">
        <v>6555</v>
      </c>
      <c r="M69" s="213" t="n">
        <f aca="false">I69-D69</f>
        <v>1015</v>
      </c>
      <c r="N69" s="153"/>
      <c r="O69" s="345" t="s">
        <v>43</v>
      </c>
      <c r="P69" s="345"/>
      <c r="Q69" s="345"/>
      <c r="R69" s="345"/>
      <c r="S69" s="346" t="n">
        <f aca="false">COUNTIF(K:K,O69)</f>
        <v>4</v>
      </c>
      <c r="T69" s="347" t="n">
        <f aca="false">(S69/$S$81)</f>
        <v>0.00720720720720721</v>
      </c>
    </row>
    <row r="70" customFormat="false" ht="15" hidden="false" customHeight="true" outlineLevel="0" collapsed="false">
      <c r="A70" s="203" t="s">
        <v>6790</v>
      </c>
      <c r="B70" s="193" t="s">
        <v>6791</v>
      </c>
      <c r="C70" s="193" t="n">
        <v>2018</v>
      </c>
      <c r="D70" s="259" t="n">
        <v>43164</v>
      </c>
      <c r="E70" s="205" t="s">
        <v>6792</v>
      </c>
      <c r="F70" s="206" t="s">
        <v>689</v>
      </c>
      <c r="G70" s="206" t="s">
        <v>1174</v>
      </c>
      <c r="H70" s="205" t="s">
        <v>1266</v>
      </c>
      <c r="I70" s="206" t="s">
        <v>6793</v>
      </c>
      <c r="J70" s="206" t="n">
        <v>6</v>
      </c>
      <c r="K70" s="206" t="s">
        <v>53</v>
      </c>
      <c r="L70" s="206" t="s">
        <v>6562</v>
      </c>
      <c r="M70" s="206" t="n">
        <f aca="false">I70-D70</f>
        <v>1929</v>
      </c>
      <c r="N70" s="153"/>
      <c r="O70" s="345" t="s">
        <v>44</v>
      </c>
      <c r="P70" s="345"/>
      <c r="Q70" s="345"/>
      <c r="R70" s="345"/>
      <c r="S70" s="345" t="n">
        <f aca="false">COUNTIF(K:K,O70)</f>
        <v>17</v>
      </c>
      <c r="T70" s="348" t="n">
        <f aca="false">(S70/$S$81)</f>
        <v>0.0306306306306306</v>
      </c>
    </row>
    <row r="71" customFormat="false" ht="15" hidden="false" customHeight="true" outlineLevel="0" collapsed="false">
      <c r="A71" s="210" t="s">
        <v>6794</v>
      </c>
      <c r="B71" s="211" t="s">
        <v>6795</v>
      </c>
      <c r="C71" s="211" t="n">
        <v>2016</v>
      </c>
      <c r="D71" s="213" t="s">
        <v>6796</v>
      </c>
      <c r="E71" s="213" t="s">
        <v>6797</v>
      </c>
      <c r="F71" s="213" t="s">
        <v>1490</v>
      </c>
      <c r="G71" s="214" t="s">
        <v>1174</v>
      </c>
      <c r="H71" s="214" t="s">
        <v>184</v>
      </c>
      <c r="I71" s="213" t="s">
        <v>6793</v>
      </c>
      <c r="J71" s="213" t="n">
        <v>6</v>
      </c>
      <c r="K71" s="213" t="s">
        <v>53</v>
      </c>
      <c r="L71" s="206" t="s">
        <v>6555</v>
      </c>
      <c r="M71" s="213" t="n">
        <f aca="false">I71-D71</f>
        <v>2606</v>
      </c>
      <c r="N71" s="153"/>
      <c r="O71" s="349" t="s">
        <v>45</v>
      </c>
      <c r="P71" s="349"/>
      <c r="Q71" s="349"/>
      <c r="R71" s="349"/>
      <c r="S71" s="349" t="n">
        <f aca="false">COUNTIF(K:K,O71)</f>
        <v>1</v>
      </c>
      <c r="T71" s="350" t="n">
        <f aca="false">(S71/$S$81)</f>
        <v>0.0018018018018018</v>
      </c>
    </row>
    <row r="72" customFormat="false" ht="15" hidden="false" customHeight="true" outlineLevel="0" collapsed="false">
      <c r="A72" s="203" t="s">
        <v>6798</v>
      </c>
      <c r="B72" s="193" t="s">
        <v>6799</v>
      </c>
      <c r="C72" s="193" t="n">
        <v>2018</v>
      </c>
      <c r="D72" s="259" t="n">
        <v>43322</v>
      </c>
      <c r="E72" s="205" t="s">
        <v>6800</v>
      </c>
      <c r="F72" s="206" t="s">
        <v>902</v>
      </c>
      <c r="G72" s="206" t="s">
        <v>1174</v>
      </c>
      <c r="H72" s="205" t="s">
        <v>1258</v>
      </c>
      <c r="I72" s="206" t="s">
        <v>6801</v>
      </c>
      <c r="J72" s="206" t="n">
        <v>6</v>
      </c>
      <c r="K72" s="206" t="s">
        <v>53</v>
      </c>
      <c r="L72" s="206" t="s">
        <v>6555</v>
      </c>
      <c r="M72" s="206" t="n">
        <f aca="false">I72-D72</f>
        <v>1774</v>
      </c>
      <c r="N72" s="153"/>
      <c r="O72" s="349" t="s">
        <v>46</v>
      </c>
      <c r="P72" s="349"/>
      <c r="Q72" s="349"/>
      <c r="R72" s="349"/>
      <c r="S72" s="349" t="n">
        <f aca="false">COUNTIF(K:K,O72)</f>
        <v>11</v>
      </c>
      <c r="T72" s="350" t="n">
        <f aca="false">(S72/$S$81)</f>
        <v>0.0198198198198198</v>
      </c>
    </row>
    <row r="73" customFormat="false" ht="15" hidden="false" customHeight="true" outlineLevel="0" collapsed="false">
      <c r="A73" s="210" t="s">
        <v>6802</v>
      </c>
      <c r="B73" s="211" t="s">
        <v>6803</v>
      </c>
      <c r="C73" s="211" t="n">
        <v>2015</v>
      </c>
      <c r="D73" s="260" t="n">
        <v>42251</v>
      </c>
      <c r="E73" s="213" t="s">
        <v>6804</v>
      </c>
      <c r="F73" s="213" t="s">
        <v>138</v>
      </c>
      <c r="G73" s="214" t="s">
        <v>1174</v>
      </c>
      <c r="H73" s="214" t="s">
        <v>267</v>
      </c>
      <c r="I73" s="213" t="s">
        <v>6801</v>
      </c>
      <c r="J73" s="213" t="n">
        <v>6</v>
      </c>
      <c r="K73" s="213" t="s">
        <v>53</v>
      </c>
      <c r="L73" s="206" t="s">
        <v>6562</v>
      </c>
      <c r="M73" s="213" t="n">
        <f aca="false">I73-D73</f>
        <v>2845</v>
      </c>
      <c r="N73" s="153"/>
      <c r="O73" s="351" t="s">
        <v>47</v>
      </c>
      <c r="P73" s="351"/>
      <c r="Q73" s="351"/>
      <c r="R73" s="351"/>
      <c r="S73" s="351" t="n">
        <f aca="false">COUNTIF(K:K,O73)</f>
        <v>4</v>
      </c>
      <c r="T73" s="352" t="n">
        <f aca="false">(S73/$S$81)</f>
        <v>0.00720720720720721</v>
      </c>
    </row>
    <row r="74" customFormat="false" ht="15" hidden="false" customHeight="true" outlineLevel="0" collapsed="false">
      <c r="A74" s="203" t="s">
        <v>6805</v>
      </c>
      <c r="B74" s="193" t="s">
        <v>6806</v>
      </c>
      <c r="C74" s="193" t="n">
        <v>2019</v>
      </c>
      <c r="D74" s="206" t="s">
        <v>6807</v>
      </c>
      <c r="E74" s="205" t="s">
        <v>6808</v>
      </c>
      <c r="F74" s="206" t="s">
        <v>569</v>
      </c>
      <c r="G74" s="206" t="s">
        <v>1174</v>
      </c>
      <c r="H74" s="205" t="s">
        <v>267</v>
      </c>
      <c r="I74" s="206" t="s">
        <v>6801</v>
      </c>
      <c r="J74" s="206" t="n">
        <v>6</v>
      </c>
      <c r="K74" s="206" t="s">
        <v>53</v>
      </c>
      <c r="L74" s="206" t="s">
        <v>6555</v>
      </c>
      <c r="M74" s="206" t="n">
        <f aca="false">I74-D74</f>
        <v>1431</v>
      </c>
      <c r="N74" s="153"/>
      <c r="O74" s="351" t="s">
        <v>48</v>
      </c>
      <c r="P74" s="351"/>
      <c r="Q74" s="351"/>
      <c r="R74" s="351"/>
      <c r="S74" s="351" t="n">
        <f aca="false">COUNTIF(K:K,O74)</f>
        <v>77</v>
      </c>
      <c r="T74" s="352" t="n">
        <f aca="false">(S74/$S$81)</f>
        <v>0.138738738738739</v>
      </c>
    </row>
    <row r="75" customFormat="false" ht="15" hidden="false" customHeight="true" outlineLevel="0" collapsed="false">
      <c r="A75" s="210" t="s">
        <v>6809</v>
      </c>
      <c r="B75" s="211" t="s">
        <v>6810</v>
      </c>
      <c r="C75" s="211" t="n">
        <v>2018</v>
      </c>
      <c r="D75" s="260" t="n">
        <v>43169</v>
      </c>
      <c r="E75" s="213" t="s">
        <v>6811</v>
      </c>
      <c r="F75" s="213" t="s">
        <v>902</v>
      </c>
      <c r="G75" s="214" t="s">
        <v>1174</v>
      </c>
      <c r="H75" s="214" t="s">
        <v>267</v>
      </c>
      <c r="I75" s="213" t="s">
        <v>6801</v>
      </c>
      <c r="J75" s="213" t="n">
        <v>6</v>
      </c>
      <c r="K75" s="213" t="s">
        <v>53</v>
      </c>
      <c r="L75" s="206" t="s">
        <v>6555</v>
      </c>
      <c r="M75" s="213" t="n">
        <f aca="false">I75-D75</f>
        <v>1927</v>
      </c>
      <c r="N75" s="153"/>
      <c r="O75" s="351" t="s">
        <v>49</v>
      </c>
      <c r="P75" s="351"/>
      <c r="Q75" s="351"/>
      <c r="R75" s="351"/>
      <c r="S75" s="351" t="n">
        <f aca="false">COUNTIF(K:K,O75)</f>
        <v>214</v>
      </c>
      <c r="T75" s="352" t="n">
        <f aca="false">(S75/$S$81)</f>
        <v>0.385585585585586</v>
      </c>
    </row>
    <row r="76" customFormat="false" ht="15" hidden="false" customHeight="true" outlineLevel="0" collapsed="false">
      <c r="A76" s="203" t="s">
        <v>6812</v>
      </c>
      <c r="B76" s="193" t="s">
        <v>6813</v>
      </c>
      <c r="C76" s="193" t="n">
        <v>2018</v>
      </c>
      <c r="D76" s="206" t="s">
        <v>6814</v>
      </c>
      <c r="E76" s="205" t="s">
        <v>6815</v>
      </c>
      <c r="F76" s="206" t="s">
        <v>1068</v>
      </c>
      <c r="G76" s="206" t="s">
        <v>1174</v>
      </c>
      <c r="H76" s="206" t="s">
        <v>1231</v>
      </c>
      <c r="I76" s="206" t="s">
        <v>6816</v>
      </c>
      <c r="J76" s="206" t="n">
        <v>6</v>
      </c>
      <c r="K76" s="206" t="s">
        <v>53</v>
      </c>
      <c r="L76" s="206" t="s">
        <v>6562</v>
      </c>
      <c r="M76" s="206" t="n">
        <f aca="false">I76-D76</f>
        <v>1922</v>
      </c>
      <c r="N76" s="153"/>
      <c r="O76" s="353" t="s">
        <v>50</v>
      </c>
      <c r="P76" s="353"/>
      <c r="Q76" s="353"/>
      <c r="R76" s="353"/>
      <c r="S76" s="353" t="n">
        <f aca="false">COUNTIF(K:K,O76)</f>
        <v>0</v>
      </c>
      <c r="T76" s="354" t="n">
        <f aca="false">(S76/$S$81)</f>
        <v>0</v>
      </c>
    </row>
    <row r="77" customFormat="false" ht="15" hidden="false" customHeight="true" outlineLevel="0" collapsed="false">
      <c r="A77" s="210" t="s">
        <v>6817</v>
      </c>
      <c r="B77" s="211" t="s">
        <v>6818</v>
      </c>
      <c r="C77" s="211" t="n">
        <v>2021</v>
      </c>
      <c r="D77" s="213" t="s">
        <v>6819</v>
      </c>
      <c r="E77" s="213" t="s">
        <v>6820</v>
      </c>
      <c r="F77" s="213" t="s">
        <v>1097</v>
      </c>
      <c r="G77" s="214" t="s">
        <v>1174</v>
      </c>
      <c r="H77" s="214" t="s">
        <v>1231</v>
      </c>
      <c r="I77" s="213" t="s">
        <v>6816</v>
      </c>
      <c r="J77" s="213" t="n">
        <v>6</v>
      </c>
      <c r="K77" s="213" t="s">
        <v>53</v>
      </c>
      <c r="L77" s="206" t="s">
        <v>6562</v>
      </c>
      <c r="M77" s="213" t="n">
        <f aca="false">I77-D77</f>
        <v>892</v>
      </c>
      <c r="N77" s="153"/>
      <c r="O77" s="353" t="s">
        <v>51</v>
      </c>
      <c r="P77" s="353"/>
      <c r="Q77" s="353"/>
      <c r="R77" s="353"/>
      <c r="S77" s="353" t="n">
        <f aca="false">COUNTIF(K:K,O77)</f>
        <v>37</v>
      </c>
      <c r="T77" s="354" t="n">
        <f aca="false">(S77/$S$81)</f>
        <v>0.0666666666666667</v>
      </c>
    </row>
    <row r="78" customFormat="false" ht="15" hidden="false" customHeight="true" outlineLevel="0" collapsed="false">
      <c r="A78" s="203" t="s">
        <v>6821</v>
      </c>
      <c r="B78" s="193" t="s">
        <v>6822</v>
      </c>
      <c r="C78" s="193" t="n">
        <v>2017</v>
      </c>
      <c r="D78" s="259" t="n">
        <v>43043</v>
      </c>
      <c r="E78" s="205" t="s">
        <v>6823</v>
      </c>
      <c r="F78" s="206" t="s">
        <v>902</v>
      </c>
      <c r="G78" s="206" t="s">
        <v>1174</v>
      </c>
      <c r="H78" s="205" t="s">
        <v>192</v>
      </c>
      <c r="I78" s="206" t="s">
        <v>6816</v>
      </c>
      <c r="J78" s="206" t="n">
        <v>6</v>
      </c>
      <c r="K78" s="206" t="s">
        <v>53</v>
      </c>
      <c r="L78" s="206" t="s">
        <v>6555</v>
      </c>
      <c r="M78" s="206" t="n">
        <f aca="false">I78-D78</f>
        <v>2064</v>
      </c>
      <c r="N78" s="153"/>
      <c r="O78" s="353" t="s">
        <v>2407</v>
      </c>
      <c r="P78" s="353"/>
      <c r="Q78" s="353"/>
      <c r="R78" s="353"/>
      <c r="S78" s="353" t="n">
        <f aca="false">COUNTIF(K:K,O78)</f>
        <v>0</v>
      </c>
      <c r="T78" s="354" t="n">
        <f aca="false">(S78/$S$81)</f>
        <v>0</v>
      </c>
    </row>
    <row r="79" customFormat="false" ht="15" hidden="false" customHeight="true" outlineLevel="0" collapsed="false">
      <c r="A79" s="210" t="s">
        <v>6824</v>
      </c>
      <c r="B79" s="211" t="s">
        <v>6825</v>
      </c>
      <c r="C79" s="211" t="n">
        <v>2021</v>
      </c>
      <c r="D79" s="213" t="s">
        <v>6826</v>
      </c>
      <c r="E79" s="213" t="s">
        <v>6827</v>
      </c>
      <c r="F79" s="213" t="s">
        <v>346</v>
      </c>
      <c r="G79" s="214" t="s">
        <v>1174</v>
      </c>
      <c r="H79" s="214" t="s">
        <v>2744</v>
      </c>
      <c r="I79" s="213" t="s">
        <v>6816</v>
      </c>
      <c r="J79" s="213" t="n">
        <v>6</v>
      </c>
      <c r="K79" s="213" t="s">
        <v>53</v>
      </c>
      <c r="L79" s="206" t="s">
        <v>6555</v>
      </c>
      <c r="M79" s="213" t="n">
        <f aca="false">I79-D79</f>
        <v>884</v>
      </c>
      <c r="N79" s="153"/>
      <c r="O79" s="356" t="s">
        <v>53</v>
      </c>
      <c r="P79" s="356"/>
      <c r="Q79" s="356"/>
      <c r="R79" s="356"/>
      <c r="S79" s="356" t="n">
        <f aca="false">COUNTIF(K:K,O79)</f>
        <v>179</v>
      </c>
      <c r="T79" s="357" t="n">
        <f aca="false">(S79/$S$81)</f>
        <v>0.322522522522523</v>
      </c>
    </row>
    <row r="80" customFormat="false" ht="15" hidden="false" customHeight="true" outlineLevel="0" collapsed="false">
      <c r="A80" s="203" t="s">
        <v>6828</v>
      </c>
      <c r="B80" s="193" t="s">
        <v>6829</v>
      </c>
      <c r="C80" s="193" t="n">
        <v>2020</v>
      </c>
      <c r="D80" s="259" t="n">
        <v>44048</v>
      </c>
      <c r="E80" s="205" t="s">
        <v>6830</v>
      </c>
      <c r="F80" s="206" t="s">
        <v>365</v>
      </c>
      <c r="G80" s="206" t="s">
        <v>1174</v>
      </c>
      <c r="H80" s="205" t="s">
        <v>522</v>
      </c>
      <c r="I80" s="206" t="s">
        <v>6816</v>
      </c>
      <c r="J80" s="206" t="n">
        <v>6</v>
      </c>
      <c r="K80" s="206" t="s">
        <v>53</v>
      </c>
      <c r="L80" s="206" t="s">
        <v>6562</v>
      </c>
      <c r="M80" s="206" t="n">
        <f aca="false">I80-D80</f>
        <v>1059</v>
      </c>
      <c r="N80" s="153"/>
      <c r="O80" s="358" t="s">
        <v>1187</v>
      </c>
      <c r="P80" s="358"/>
      <c r="Q80" s="358"/>
      <c r="R80" s="358"/>
      <c r="S80" s="358" t="n">
        <f aca="false">COUNTIF(K:K,O80)</f>
        <v>11</v>
      </c>
      <c r="T80" s="359" t="n">
        <f aca="false">(S80/$S$81)</f>
        <v>0.0198198198198198</v>
      </c>
    </row>
    <row r="81" customFormat="false" ht="15" hidden="false" customHeight="true" outlineLevel="0" collapsed="false">
      <c r="A81" s="210" t="s">
        <v>6831</v>
      </c>
      <c r="B81" s="211" t="s">
        <v>6832</v>
      </c>
      <c r="C81" s="211" t="n">
        <v>2018</v>
      </c>
      <c r="D81" s="213" t="s">
        <v>6833</v>
      </c>
      <c r="E81" s="213" t="s">
        <v>6834</v>
      </c>
      <c r="F81" s="213" t="s">
        <v>207</v>
      </c>
      <c r="G81" s="214" t="s">
        <v>1174</v>
      </c>
      <c r="H81" s="214" t="s">
        <v>267</v>
      </c>
      <c r="I81" s="213" t="s">
        <v>6816</v>
      </c>
      <c r="J81" s="213" t="n">
        <v>6</v>
      </c>
      <c r="K81" s="213" t="s">
        <v>53</v>
      </c>
      <c r="L81" s="206" t="s">
        <v>6555</v>
      </c>
      <c r="M81" s="213" t="n">
        <f aca="false">I81-D81</f>
        <v>1673</v>
      </c>
      <c r="N81" s="153"/>
      <c r="O81" s="438" t="s">
        <v>54</v>
      </c>
      <c r="P81" s="438"/>
      <c r="Q81" s="438"/>
      <c r="R81" s="438"/>
      <c r="S81" s="363" t="n">
        <f aca="false">SUM(S68:S80)</f>
        <v>555</v>
      </c>
      <c r="T81" s="364" t="n">
        <f aca="false">(S81/S81)</f>
        <v>1</v>
      </c>
    </row>
    <row r="82" customFormat="false" ht="15" hidden="false" customHeight="true" outlineLevel="0" collapsed="false">
      <c r="A82" s="203" t="s">
        <v>6835</v>
      </c>
      <c r="B82" s="193" t="s">
        <v>6836</v>
      </c>
      <c r="C82" s="193" t="n">
        <v>2015</v>
      </c>
      <c r="D82" s="259" t="n">
        <v>42134</v>
      </c>
      <c r="E82" s="205" t="s">
        <v>6837</v>
      </c>
      <c r="F82" s="206" t="s">
        <v>1097</v>
      </c>
      <c r="G82" s="206" t="s">
        <v>1174</v>
      </c>
      <c r="H82" s="205" t="s">
        <v>693</v>
      </c>
      <c r="I82" s="206" t="s">
        <v>6838</v>
      </c>
      <c r="J82" s="206" t="n">
        <v>7</v>
      </c>
      <c r="K82" s="206" t="s">
        <v>53</v>
      </c>
      <c r="L82" s="206" t="s">
        <v>6562</v>
      </c>
      <c r="M82" s="206" t="n">
        <f aca="false">I82-D82</f>
        <v>2998</v>
      </c>
      <c r="N82" s="153"/>
      <c r="O82" s="153"/>
      <c r="P82" s="153"/>
      <c r="Q82" s="153"/>
      <c r="R82" s="153"/>
      <c r="S82" s="153"/>
      <c r="T82" s="153"/>
    </row>
    <row r="83" customFormat="false" ht="15" hidden="false" customHeight="true" outlineLevel="0" collapsed="false">
      <c r="A83" s="210" t="s">
        <v>6839</v>
      </c>
      <c r="B83" s="211" t="s">
        <v>6840</v>
      </c>
      <c r="C83" s="211" t="n">
        <v>2020</v>
      </c>
      <c r="D83" s="213" t="s">
        <v>6841</v>
      </c>
      <c r="E83" s="213" t="s">
        <v>6842</v>
      </c>
      <c r="F83" s="213" t="s">
        <v>138</v>
      </c>
      <c r="G83" s="214" t="s">
        <v>1174</v>
      </c>
      <c r="H83" s="214" t="s">
        <v>968</v>
      </c>
      <c r="I83" s="213" t="s">
        <v>6838</v>
      </c>
      <c r="J83" s="213" t="n">
        <v>7</v>
      </c>
      <c r="K83" s="213" t="s">
        <v>53</v>
      </c>
      <c r="L83" s="206" t="s">
        <v>6562</v>
      </c>
      <c r="M83" s="213" t="n">
        <f aca="false">I83-D83</f>
        <v>999</v>
      </c>
      <c r="N83" s="153"/>
      <c r="O83" s="339" t="s">
        <v>102</v>
      </c>
      <c r="P83" s="339"/>
      <c r="Q83" s="339"/>
      <c r="R83" s="339"/>
      <c r="S83" s="339"/>
      <c r="T83" s="339"/>
    </row>
    <row r="84" customFormat="false" ht="15" hidden="false" customHeight="true" outlineLevel="0" collapsed="false">
      <c r="A84" s="203" t="s">
        <v>6843</v>
      </c>
      <c r="B84" s="193" t="s">
        <v>6844</v>
      </c>
      <c r="C84" s="193" t="n">
        <v>2020</v>
      </c>
      <c r="D84" s="206" t="s">
        <v>6845</v>
      </c>
      <c r="E84" s="205" t="s">
        <v>6815</v>
      </c>
      <c r="F84" s="206" t="s">
        <v>1068</v>
      </c>
      <c r="G84" s="206" t="s">
        <v>1174</v>
      </c>
      <c r="H84" s="205" t="s">
        <v>1231</v>
      </c>
      <c r="I84" s="206" t="s">
        <v>6838</v>
      </c>
      <c r="J84" s="206" t="n">
        <v>7</v>
      </c>
      <c r="K84" s="206" t="s">
        <v>53</v>
      </c>
      <c r="L84" s="206" t="s">
        <v>6562</v>
      </c>
      <c r="M84" s="206" t="n">
        <f aca="false">I84-D84</f>
        <v>1218</v>
      </c>
      <c r="N84" s="153"/>
      <c r="O84" s="339"/>
      <c r="P84" s="339"/>
      <c r="Q84" s="339"/>
      <c r="R84" s="339"/>
      <c r="S84" s="339"/>
      <c r="T84" s="339"/>
    </row>
    <row r="85" customFormat="false" ht="15" hidden="false" customHeight="true" outlineLevel="0" collapsed="false">
      <c r="A85" s="210" t="s">
        <v>6846</v>
      </c>
      <c r="B85" s="211" t="s">
        <v>6847</v>
      </c>
      <c r="C85" s="211" t="n">
        <v>2015</v>
      </c>
      <c r="D85" s="213" t="s">
        <v>6848</v>
      </c>
      <c r="E85" s="213" t="s">
        <v>6849</v>
      </c>
      <c r="F85" s="213" t="s">
        <v>1262</v>
      </c>
      <c r="G85" s="214" t="s">
        <v>1174</v>
      </c>
      <c r="H85" s="214" t="s">
        <v>471</v>
      </c>
      <c r="I85" s="213" t="s">
        <v>6838</v>
      </c>
      <c r="J85" s="213" t="n">
        <v>7</v>
      </c>
      <c r="K85" s="213" t="s">
        <v>53</v>
      </c>
      <c r="L85" s="206" t="s">
        <v>6555</v>
      </c>
      <c r="M85" s="213" t="n">
        <f aca="false">I85-D85</f>
        <v>2902</v>
      </c>
      <c r="N85" s="153"/>
      <c r="O85" s="340" t="s">
        <v>38</v>
      </c>
      <c r="P85" s="340"/>
      <c r="Q85" s="340"/>
      <c r="R85" s="340"/>
      <c r="S85" s="374" t="s">
        <v>343</v>
      </c>
      <c r="T85" s="375" t="s">
        <v>41</v>
      </c>
    </row>
    <row r="86" customFormat="false" ht="15" hidden="false" customHeight="true" outlineLevel="0" collapsed="false">
      <c r="A86" s="203" t="s">
        <v>6850</v>
      </c>
      <c r="B86" s="193" t="s">
        <v>6851</v>
      </c>
      <c r="C86" s="193" t="n">
        <v>2017</v>
      </c>
      <c r="D86" s="259" t="n">
        <v>42837</v>
      </c>
      <c r="E86" s="205" t="s">
        <v>6852</v>
      </c>
      <c r="F86" s="206" t="s">
        <v>1068</v>
      </c>
      <c r="G86" s="206" t="s">
        <v>1174</v>
      </c>
      <c r="H86" s="205" t="s">
        <v>383</v>
      </c>
      <c r="I86" s="206" t="s">
        <v>6838</v>
      </c>
      <c r="J86" s="206" t="n">
        <v>7</v>
      </c>
      <c r="K86" s="206" t="s">
        <v>53</v>
      </c>
      <c r="L86" s="206" t="s">
        <v>6562</v>
      </c>
      <c r="M86" s="206" t="n">
        <f aca="false">I86-D86</f>
        <v>2295</v>
      </c>
      <c r="N86" s="153"/>
      <c r="O86" s="376" t="s">
        <v>57</v>
      </c>
      <c r="P86" s="376"/>
      <c r="Q86" s="376"/>
      <c r="R86" s="376"/>
      <c r="S86" s="376" t="n">
        <f aca="false">COUNTIF(L:L,"*"&amp;O86)</f>
        <v>8</v>
      </c>
      <c r="T86" s="377" t="n">
        <f aca="false">(S86/S90)</f>
        <v>0.0144144144144144</v>
      </c>
    </row>
    <row r="87" customFormat="false" ht="15" hidden="false" customHeight="true" outlineLevel="0" collapsed="false">
      <c r="A87" s="210" t="s">
        <v>6853</v>
      </c>
      <c r="B87" s="211" t="s">
        <v>6854</v>
      </c>
      <c r="C87" s="211" t="n">
        <v>2022</v>
      </c>
      <c r="D87" s="260" t="n">
        <v>44873</v>
      </c>
      <c r="E87" s="213" t="s">
        <v>6855</v>
      </c>
      <c r="F87" s="213" t="s">
        <v>1097</v>
      </c>
      <c r="G87" s="214" t="s">
        <v>1174</v>
      </c>
      <c r="H87" s="214" t="s">
        <v>243</v>
      </c>
      <c r="I87" s="213" t="s">
        <v>6838</v>
      </c>
      <c r="J87" s="213" t="n">
        <v>7</v>
      </c>
      <c r="K87" s="213" t="s">
        <v>53</v>
      </c>
      <c r="L87" s="206" t="s">
        <v>6562</v>
      </c>
      <c r="M87" s="213" t="n">
        <f aca="false">I87-D87</f>
        <v>259</v>
      </c>
      <c r="N87" s="153"/>
      <c r="O87" s="378" t="s">
        <v>58</v>
      </c>
      <c r="P87" s="378"/>
      <c r="Q87" s="378"/>
      <c r="R87" s="378"/>
      <c r="S87" s="378" t="n">
        <f aca="false">COUNTIF(L:L,"*"&amp;O87)</f>
        <v>237</v>
      </c>
      <c r="T87" s="379" t="n">
        <f aca="false">(S87/S90)</f>
        <v>0.427027027027027</v>
      </c>
    </row>
    <row r="88" customFormat="false" ht="15" hidden="false" customHeight="true" outlineLevel="0" collapsed="false">
      <c r="A88" s="203" t="s">
        <v>6856</v>
      </c>
      <c r="B88" s="193" t="s">
        <v>6857</v>
      </c>
      <c r="C88" s="193" t="n">
        <v>2019</v>
      </c>
      <c r="D88" s="206" t="s">
        <v>6858</v>
      </c>
      <c r="E88" s="205" t="s">
        <v>6859</v>
      </c>
      <c r="F88" s="206" t="s">
        <v>1068</v>
      </c>
      <c r="G88" s="206" t="s">
        <v>1174</v>
      </c>
      <c r="H88" s="205" t="s">
        <v>2172</v>
      </c>
      <c r="I88" s="206" t="s">
        <v>6838</v>
      </c>
      <c r="J88" s="206" t="n">
        <v>7</v>
      </c>
      <c r="K88" s="206" t="s">
        <v>53</v>
      </c>
      <c r="L88" s="206" t="s">
        <v>6562</v>
      </c>
      <c r="M88" s="206" t="n">
        <f aca="false">I88-D88</f>
        <v>1519</v>
      </c>
      <c r="N88" s="153"/>
      <c r="O88" s="380" t="s">
        <v>60</v>
      </c>
      <c r="P88" s="380"/>
      <c r="Q88" s="380"/>
      <c r="R88" s="380"/>
      <c r="S88" s="380" t="n">
        <f aca="false">COUNTIF(L:L,"*"&amp;O88)</f>
        <v>201</v>
      </c>
      <c r="T88" s="377" t="n">
        <f aca="false">(S88/S90)</f>
        <v>0.362162162162162</v>
      </c>
    </row>
    <row r="89" customFormat="false" ht="15" hidden="false" customHeight="true" outlineLevel="0" collapsed="false">
      <c r="A89" s="210" t="s">
        <v>6860</v>
      </c>
      <c r="B89" s="211" t="s">
        <v>6861</v>
      </c>
      <c r="C89" s="211" t="n">
        <v>2018</v>
      </c>
      <c r="D89" s="213" t="s">
        <v>6862</v>
      </c>
      <c r="E89" s="213" t="s">
        <v>6863</v>
      </c>
      <c r="F89" s="213" t="s">
        <v>823</v>
      </c>
      <c r="G89" s="214" t="s">
        <v>1174</v>
      </c>
      <c r="H89" s="214" t="s">
        <v>267</v>
      </c>
      <c r="I89" s="213" t="s">
        <v>6838</v>
      </c>
      <c r="J89" s="213" t="n">
        <v>7</v>
      </c>
      <c r="K89" s="213" t="s">
        <v>53</v>
      </c>
      <c r="L89" s="206" t="s">
        <v>6555</v>
      </c>
      <c r="M89" s="213" t="n">
        <f aca="false">I89-D89</f>
        <v>1799</v>
      </c>
      <c r="N89" s="153"/>
      <c r="O89" s="378" t="s">
        <v>61</v>
      </c>
      <c r="P89" s="378"/>
      <c r="Q89" s="378"/>
      <c r="R89" s="378"/>
      <c r="S89" s="381" t="n">
        <f aca="false">COUNTIF(L:L,"*"&amp;O89)</f>
        <v>109</v>
      </c>
      <c r="T89" s="379" t="n">
        <f aca="false">(S89/S90)</f>
        <v>0.196396396396396</v>
      </c>
    </row>
    <row r="90" customFormat="false" ht="15" hidden="false" customHeight="true" outlineLevel="0" collapsed="false">
      <c r="A90" s="203" t="s">
        <v>6864</v>
      </c>
      <c r="B90" s="193" t="s">
        <v>6865</v>
      </c>
      <c r="C90" s="193" t="n">
        <v>2020</v>
      </c>
      <c r="D90" s="206" t="s">
        <v>6866</v>
      </c>
      <c r="E90" s="205" t="s">
        <v>6867</v>
      </c>
      <c r="F90" s="206" t="s">
        <v>1068</v>
      </c>
      <c r="G90" s="206" t="s">
        <v>1174</v>
      </c>
      <c r="H90" s="205" t="s">
        <v>1557</v>
      </c>
      <c r="I90" s="206" t="s">
        <v>6838</v>
      </c>
      <c r="J90" s="206" t="n">
        <v>7</v>
      </c>
      <c r="K90" s="206" t="s">
        <v>53</v>
      </c>
      <c r="L90" s="206" t="s">
        <v>6562</v>
      </c>
      <c r="M90" s="206" t="n">
        <f aca="false">I90-D90</f>
        <v>1121</v>
      </c>
      <c r="N90" s="153"/>
      <c r="O90" s="420" t="s">
        <v>54</v>
      </c>
      <c r="P90" s="420"/>
      <c r="Q90" s="420"/>
      <c r="R90" s="420"/>
      <c r="S90" s="363" t="n">
        <f aca="false">SUM(S86:S89)</f>
        <v>555</v>
      </c>
      <c r="T90" s="364" t="n">
        <f aca="false">(S90/S90)</f>
        <v>1</v>
      </c>
    </row>
    <row r="91" customFormat="false" ht="15" hidden="false" customHeight="true" outlineLevel="0" collapsed="false">
      <c r="A91" s="210" t="s">
        <v>6868</v>
      </c>
      <c r="B91" s="211" t="s">
        <v>6869</v>
      </c>
      <c r="C91" s="211" t="n">
        <v>2017</v>
      </c>
      <c r="D91" s="260" t="n">
        <v>42862</v>
      </c>
      <c r="E91" s="213" t="s">
        <v>6870</v>
      </c>
      <c r="F91" s="213" t="s">
        <v>823</v>
      </c>
      <c r="G91" s="214" t="s">
        <v>1174</v>
      </c>
      <c r="H91" s="214" t="s">
        <v>6871</v>
      </c>
      <c r="I91" s="213" t="s">
        <v>6838</v>
      </c>
      <c r="J91" s="213" t="n">
        <v>7</v>
      </c>
      <c r="K91" s="213" t="s">
        <v>53</v>
      </c>
      <c r="L91" s="206" t="s">
        <v>6555</v>
      </c>
      <c r="M91" s="213" t="n">
        <f aca="false">I91-D91</f>
        <v>2270</v>
      </c>
      <c r="N91" s="153"/>
      <c r="O91" s="153"/>
      <c r="P91" s="153"/>
      <c r="Q91" s="153"/>
      <c r="R91" s="153"/>
      <c r="S91" s="153"/>
      <c r="T91" s="153"/>
    </row>
    <row r="92" customFormat="false" ht="15" hidden="false" customHeight="true" outlineLevel="0" collapsed="false">
      <c r="A92" s="203" t="s">
        <v>6872</v>
      </c>
      <c r="B92" s="193" t="s">
        <v>6873</v>
      </c>
      <c r="C92" s="193" t="n">
        <v>2014</v>
      </c>
      <c r="D92" s="206" t="s">
        <v>6874</v>
      </c>
      <c r="E92" s="205" t="s">
        <v>6875</v>
      </c>
      <c r="F92" s="206" t="s">
        <v>823</v>
      </c>
      <c r="G92" s="206" t="s">
        <v>1174</v>
      </c>
      <c r="H92" s="205" t="s">
        <v>192</v>
      </c>
      <c r="I92" s="206" t="s">
        <v>6876</v>
      </c>
      <c r="J92" s="206" t="n">
        <v>7</v>
      </c>
      <c r="K92" s="206" t="s">
        <v>53</v>
      </c>
      <c r="L92" s="206" t="s">
        <v>6555</v>
      </c>
      <c r="M92" s="206" t="n">
        <f aca="false">I92-D92</f>
        <v>3134</v>
      </c>
      <c r="N92" s="153"/>
      <c r="O92" s="421" t="s">
        <v>425</v>
      </c>
      <c r="P92" s="421"/>
      <c r="Q92" s="421"/>
      <c r="R92" s="421"/>
      <c r="S92" s="153"/>
      <c r="T92" s="153"/>
    </row>
    <row r="93" customFormat="false" ht="15" hidden="false" customHeight="true" outlineLevel="0" collapsed="false">
      <c r="A93" s="210" t="s">
        <v>6877</v>
      </c>
      <c r="B93" s="211" t="s">
        <v>6878</v>
      </c>
      <c r="C93" s="211" t="n">
        <v>2018</v>
      </c>
      <c r="D93" s="213" t="s">
        <v>6758</v>
      </c>
      <c r="E93" s="213" t="s">
        <v>6879</v>
      </c>
      <c r="F93" s="213" t="s">
        <v>6760</v>
      </c>
      <c r="G93" s="214" t="s">
        <v>1188</v>
      </c>
      <c r="H93" s="214" t="s">
        <v>6880</v>
      </c>
      <c r="I93" s="213" t="s">
        <v>6876</v>
      </c>
      <c r="J93" s="213" t="n">
        <v>7</v>
      </c>
      <c r="K93" s="213" t="s">
        <v>1187</v>
      </c>
      <c r="L93" s="206" t="s">
        <v>6555</v>
      </c>
      <c r="M93" s="213" t="n">
        <f aca="false">I93-D93</f>
        <v>2003</v>
      </c>
      <c r="N93" s="153"/>
      <c r="O93" s="421"/>
      <c r="P93" s="421"/>
      <c r="Q93" s="421"/>
      <c r="R93" s="421"/>
      <c r="S93" s="153"/>
      <c r="T93" s="153"/>
    </row>
    <row r="94" customFormat="false" ht="15" hidden="false" customHeight="true" outlineLevel="0" collapsed="false">
      <c r="A94" s="203" t="s">
        <v>6881</v>
      </c>
      <c r="B94" s="193" t="s">
        <v>6882</v>
      </c>
      <c r="C94" s="193" t="n">
        <v>2017</v>
      </c>
      <c r="D94" s="206" t="s">
        <v>6883</v>
      </c>
      <c r="E94" s="205" t="s">
        <v>6884</v>
      </c>
      <c r="F94" s="206" t="s">
        <v>2003</v>
      </c>
      <c r="G94" s="206" t="s">
        <v>1174</v>
      </c>
      <c r="H94" s="205" t="s">
        <v>3056</v>
      </c>
      <c r="I94" s="206" t="s">
        <v>6885</v>
      </c>
      <c r="J94" s="206" t="n">
        <v>7</v>
      </c>
      <c r="K94" s="206" t="s">
        <v>53</v>
      </c>
      <c r="L94" s="206" t="s">
        <v>6555</v>
      </c>
      <c r="M94" s="206" t="n">
        <f aca="false">I94-D94</f>
        <v>2171</v>
      </c>
      <c r="N94" s="153"/>
      <c r="O94" s="390" t="s">
        <v>69</v>
      </c>
      <c r="P94" s="422" t="s">
        <v>433</v>
      </c>
      <c r="Q94" s="422"/>
      <c r="R94" s="422"/>
      <c r="S94" s="153"/>
      <c r="T94" s="153"/>
    </row>
    <row r="95" customFormat="false" ht="15" hidden="false" customHeight="true" outlineLevel="0" collapsed="false">
      <c r="A95" s="210" t="s">
        <v>6886</v>
      </c>
      <c r="B95" s="211" t="s">
        <v>6887</v>
      </c>
      <c r="C95" s="211" t="n">
        <v>2019</v>
      </c>
      <c r="D95" s="213" t="s">
        <v>6888</v>
      </c>
      <c r="E95" s="213" t="s">
        <v>6889</v>
      </c>
      <c r="F95" s="213" t="s">
        <v>2003</v>
      </c>
      <c r="G95" s="214" t="s">
        <v>1174</v>
      </c>
      <c r="H95" s="214" t="s">
        <v>2388</v>
      </c>
      <c r="I95" s="213" t="s">
        <v>6885</v>
      </c>
      <c r="J95" s="213" t="n">
        <v>7</v>
      </c>
      <c r="K95" s="213" t="s">
        <v>53</v>
      </c>
      <c r="L95" s="206" t="s">
        <v>6555</v>
      </c>
      <c r="M95" s="213" t="n">
        <f aca="false">I95-D95</f>
        <v>1505</v>
      </c>
      <c r="N95" s="153"/>
      <c r="O95" s="394" t="s">
        <v>1474</v>
      </c>
      <c r="P95" s="394" t="str">
        <f aca="false">IFERROR(AVERAGEIF(G:G,O95,M:M), "Sem dados")</f>
        <v>Sem dados</v>
      </c>
      <c r="Q95" s="394"/>
      <c r="R95" s="394"/>
      <c r="S95" s="153"/>
      <c r="T95" s="153"/>
    </row>
    <row r="96" customFormat="false" ht="15" hidden="false" customHeight="true" outlineLevel="0" collapsed="false">
      <c r="A96" s="203" t="s">
        <v>6890</v>
      </c>
      <c r="B96" s="193" t="s">
        <v>6891</v>
      </c>
      <c r="C96" s="193" t="n">
        <v>2019</v>
      </c>
      <c r="D96" s="259" t="n">
        <v>43476</v>
      </c>
      <c r="E96" s="205" t="s">
        <v>6892</v>
      </c>
      <c r="F96" s="206" t="s">
        <v>2003</v>
      </c>
      <c r="G96" s="206" t="s">
        <v>1174</v>
      </c>
      <c r="H96" s="205" t="s">
        <v>267</v>
      </c>
      <c r="I96" s="206" t="s">
        <v>6885</v>
      </c>
      <c r="J96" s="206" t="n">
        <v>7</v>
      </c>
      <c r="K96" s="206" t="s">
        <v>53</v>
      </c>
      <c r="L96" s="206" t="s">
        <v>6555</v>
      </c>
      <c r="M96" s="206" t="n">
        <f aca="false">I96-D96</f>
        <v>1659</v>
      </c>
      <c r="N96" s="153"/>
      <c r="O96" s="396" t="s">
        <v>1188</v>
      </c>
      <c r="P96" s="423" t="n">
        <f aca="false">IFERROR(AVERAGEIF(G:G,O96,M:M), "Sem dados")</f>
        <v>2684.09090909091</v>
      </c>
      <c r="Q96" s="423"/>
      <c r="R96" s="423"/>
      <c r="S96" s="153"/>
      <c r="T96" s="153"/>
    </row>
    <row r="97" customFormat="false" ht="15" hidden="false" customHeight="true" outlineLevel="0" collapsed="false">
      <c r="A97" s="210" t="s">
        <v>6893</v>
      </c>
      <c r="B97" s="211" t="s">
        <v>6894</v>
      </c>
      <c r="C97" s="211" t="n">
        <v>2020</v>
      </c>
      <c r="D97" s="260" t="n">
        <v>43836</v>
      </c>
      <c r="E97" s="213" t="s">
        <v>6895</v>
      </c>
      <c r="F97" s="213" t="s">
        <v>1068</v>
      </c>
      <c r="G97" s="214" t="s">
        <v>1174</v>
      </c>
      <c r="H97" s="214" t="s">
        <v>1244</v>
      </c>
      <c r="I97" s="213" t="s">
        <v>6885</v>
      </c>
      <c r="J97" s="213" t="n">
        <v>7</v>
      </c>
      <c r="K97" s="213" t="s">
        <v>53</v>
      </c>
      <c r="L97" s="206" t="s">
        <v>6562</v>
      </c>
      <c r="M97" s="213" t="n">
        <f aca="false">I97-D97</f>
        <v>1299</v>
      </c>
      <c r="N97" s="153"/>
      <c r="O97" s="394" t="s">
        <v>1174</v>
      </c>
      <c r="P97" s="423" t="n">
        <f aca="false">IFERROR(AVERAGEIF(G:G,O97,M:M), "Sem dados")</f>
        <v>1760.82681564246</v>
      </c>
      <c r="Q97" s="423"/>
      <c r="R97" s="423"/>
      <c r="S97" s="153"/>
      <c r="T97" s="153"/>
    </row>
    <row r="98" customFormat="false" ht="15" hidden="false" customHeight="true" outlineLevel="0" collapsed="false">
      <c r="A98" s="203" t="s">
        <v>6896</v>
      </c>
      <c r="B98" s="193" t="s">
        <v>6897</v>
      </c>
      <c r="C98" s="193" t="n">
        <v>2016</v>
      </c>
      <c r="D98" s="206" t="s">
        <v>6898</v>
      </c>
      <c r="E98" s="205" t="s">
        <v>6899</v>
      </c>
      <c r="F98" s="206" t="s">
        <v>6900</v>
      </c>
      <c r="G98" s="206" t="s">
        <v>1188</v>
      </c>
      <c r="H98" s="205" t="s">
        <v>697</v>
      </c>
      <c r="I98" s="206" t="s">
        <v>6901</v>
      </c>
      <c r="J98" s="206" t="n">
        <v>7</v>
      </c>
      <c r="K98" s="206" t="s">
        <v>1187</v>
      </c>
      <c r="L98" s="206" t="s">
        <v>6562</v>
      </c>
      <c r="M98" s="206" t="n">
        <f aca="false">I98-D98</f>
        <v>2588</v>
      </c>
      <c r="N98" s="153"/>
      <c r="O98" s="396" t="s">
        <v>8</v>
      </c>
      <c r="P98" s="423" t="str">
        <f aca="false">IFERROR(AVERAGEIF(G:G,O98,M:M), "Sem dados")</f>
        <v>Sem dados</v>
      </c>
      <c r="Q98" s="423"/>
      <c r="R98" s="423"/>
      <c r="S98" s="153"/>
    </row>
    <row r="99" customFormat="false" ht="15" hidden="false" customHeight="true" outlineLevel="0" collapsed="false">
      <c r="A99" s="210" t="s">
        <v>6902</v>
      </c>
      <c r="B99" s="211" t="s">
        <v>6903</v>
      </c>
      <c r="C99" s="211" t="n">
        <v>2022</v>
      </c>
      <c r="D99" s="213" t="s">
        <v>6904</v>
      </c>
      <c r="E99" s="213" t="s">
        <v>6905</v>
      </c>
      <c r="F99" s="213" t="s">
        <v>1097</v>
      </c>
      <c r="G99" s="214" t="s">
        <v>1174</v>
      </c>
      <c r="H99" s="214" t="s">
        <v>522</v>
      </c>
      <c r="I99" s="213" t="s">
        <v>6901</v>
      </c>
      <c r="J99" s="213" t="n">
        <v>7</v>
      </c>
      <c r="K99" s="213" t="s">
        <v>53</v>
      </c>
      <c r="L99" s="206" t="s">
        <v>6562</v>
      </c>
      <c r="M99" s="213" t="n">
        <f aca="false">I99-D99</f>
        <v>459</v>
      </c>
      <c r="N99" s="153"/>
      <c r="O99" s="394" t="s">
        <v>144</v>
      </c>
      <c r="P99" s="423" t="n">
        <f aca="false">IFERROR(AVERAGEIF(G:G,O99,M:M), "Sem dados")</f>
        <v>1423.325</v>
      </c>
      <c r="Q99" s="423"/>
      <c r="R99" s="423"/>
      <c r="S99" s="153"/>
    </row>
    <row r="100" customFormat="false" ht="15" hidden="false" customHeight="true" outlineLevel="0" collapsed="false">
      <c r="A100" s="203" t="s">
        <v>6906</v>
      </c>
      <c r="B100" s="193" t="s">
        <v>6907</v>
      </c>
      <c r="C100" s="193" t="n">
        <v>2017</v>
      </c>
      <c r="D100" s="206" t="s">
        <v>6908</v>
      </c>
      <c r="E100" s="205" t="s">
        <v>6909</v>
      </c>
      <c r="F100" s="206" t="s">
        <v>1097</v>
      </c>
      <c r="G100" s="206" t="s">
        <v>1174</v>
      </c>
      <c r="H100" s="205" t="s">
        <v>192</v>
      </c>
      <c r="I100" s="206" t="s">
        <v>6901</v>
      </c>
      <c r="J100" s="206" t="n">
        <v>7</v>
      </c>
      <c r="K100" s="206" t="s">
        <v>53</v>
      </c>
      <c r="L100" s="206" t="s">
        <v>6562</v>
      </c>
      <c r="M100" s="206" t="n">
        <f aca="false">I100-D100</f>
        <v>2191</v>
      </c>
      <c r="N100" s="153"/>
      <c r="O100" s="396" t="s">
        <v>115</v>
      </c>
      <c r="P100" s="423" t="n">
        <f aca="false">IFERROR(AVERAGEIF(G:G,O100,M:M), "Sem dados")</f>
        <v>2221</v>
      </c>
      <c r="Q100" s="423"/>
      <c r="R100" s="423"/>
      <c r="S100" s="153"/>
    </row>
    <row r="101" customFormat="false" ht="15" hidden="false" customHeight="true" outlineLevel="0" collapsed="false">
      <c r="A101" s="210" t="s">
        <v>6910</v>
      </c>
      <c r="B101" s="211" t="s">
        <v>6911</v>
      </c>
      <c r="C101" s="211" t="n">
        <v>2020</v>
      </c>
      <c r="D101" s="213" t="s">
        <v>6912</v>
      </c>
      <c r="E101" s="213" t="s">
        <v>6913</v>
      </c>
      <c r="F101" s="213" t="s">
        <v>1097</v>
      </c>
      <c r="G101" s="214" t="s">
        <v>1174</v>
      </c>
      <c r="H101" s="214" t="s">
        <v>522</v>
      </c>
      <c r="I101" s="213" t="s">
        <v>6901</v>
      </c>
      <c r="J101" s="213" t="n">
        <v>7</v>
      </c>
      <c r="K101" s="213" t="s">
        <v>53</v>
      </c>
      <c r="L101" s="206" t="s">
        <v>6562</v>
      </c>
      <c r="M101" s="213" t="n">
        <f aca="false">I101-D101</f>
        <v>1035</v>
      </c>
      <c r="N101" s="153"/>
      <c r="O101" s="394" t="s">
        <v>441</v>
      </c>
      <c r="P101" s="423" t="n">
        <f aca="false">IFERROR(AVERAGEIF(G:G,O101,M:M), "Sem dados")</f>
        <v>2095.62325581395</v>
      </c>
      <c r="Q101" s="423"/>
      <c r="R101" s="423"/>
      <c r="S101" s="153"/>
    </row>
    <row r="102" customFormat="false" ht="15" hidden="false" customHeight="true" outlineLevel="0" collapsed="false">
      <c r="A102" s="203" t="s">
        <v>6914</v>
      </c>
      <c r="B102" s="193" t="s">
        <v>6915</v>
      </c>
      <c r="C102" s="193" t="n">
        <v>2020</v>
      </c>
      <c r="D102" s="206" t="s">
        <v>6916</v>
      </c>
      <c r="E102" s="205" t="s">
        <v>6917</v>
      </c>
      <c r="F102" s="206" t="s">
        <v>1097</v>
      </c>
      <c r="G102" s="206" t="s">
        <v>1174</v>
      </c>
      <c r="H102" s="205" t="s">
        <v>1571</v>
      </c>
      <c r="I102" s="206" t="s">
        <v>6901</v>
      </c>
      <c r="J102" s="206" t="n">
        <v>7</v>
      </c>
      <c r="K102" s="206" t="s">
        <v>53</v>
      </c>
      <c r="L102" s="206" t="s">
        <v>6562</v>
      </c>
      <c r="M102" s="206" t="n">
        <f aca="false">I102-D102</f>
        <v>959</v>
      </c>
      <c r="N102" s="153"/>
      <c r="O102" s="396" t="s">
        <v>125</v>
      </c>
      <c r="P102" s="423" t="n">
        <f aca="false">IFERROR(AVERAGEIF(G:G,O102,M:M), "Sem dados")</f>
        <v>345.454545454545</v>
      </c>
      <c r="Q102" s="423"/>
      <c r="R102" s="423"/>
      <c r="S102" s="153"/>
    </row>
    <row r="103" customFormat="false" ht="15" hidden="false" customHeight="true" outlineLevel="0" collapsed="false">
      <c r="A103" s="210" t="s">
        <v>6918</v>
      </c>
      <c r="B103" s="211" t="s">
        <v>6919</v>
      </c>
      <c r="C103" s="211" t="n">
        <v>2018</v>
      </c>
      <c r="D103" s="213" t="s">
        <v>6920</v>
      </c>
      <c r="E103" s="213" t="s">
        <v>6921</v>
      </c>
      <c r="F103" s="213" t="s">
        <v>138</v>
      </c>
      <c r="G103" s="214" t="s">
        <v>1174</v>
      </c>
      <c r="H103" s="214" t="s">
        <v>2388</v>
      </c>
      <c r="I103" s="213" t="s">
        <v>6901</v>
      </c>
      <c r="J103" s="213" t="n">
        <v>7</v>
      </c>
      <c r="K103" s="213" t="s">
        <v>53</v>
      </c>
      <c r="L103" s="206" t="s">
        <v>6562</v>
      </c>
      <c r="M103" s="213" t="n">
        <f aca="false">I103-D103</f>
        <v>1811</v>
      </c>
      <c r="N103" s="153"/>
      <c r="O103" s="394" t="s">
        <v>130</v>
      </c>
      <c r="P103" s="423" t="n">
        <f aca="false">IFERROR(AVERAGEIF(G:G,O103,M:M), "Sem dados")</f>
        <v>241.457142857143</v>
      </c>
      <c r="Q103" s="423"/>
      <c r="R103" s="423"/>
      <c r="S103" s="153"/>
    </row>
    <row r="104" customFormat="false" ht="15" hidden="false" customHeight="true" outlineLevel="0" collapsed="false">
      <c r="A104" s="203" t="s">
        <v>6922</v>
      </c>
      <c r="B104" s="193" t="s">
        <v>6923</v>
      </c>
      <c r="C104" s="193" t="n">
        <v>2021</v>
      </c>
      <c r="D104" s="206" t="s">
        <v>6924</v>
      </c>
      <c r="E104" s="205" t="s">
        <v>6925</v>
      </c>
      <c r="F104" s="206" t="s">
        <v>1068</v>
      </c>
      <c r="G104" s="206" t="s">
        <v>1174</v>
      </c>
      <c r="H104" s="205" t="s">
        <v>2506</v>
      </c>
      <c r="I104" s="206" t="s">
        <v>6901</v>
      </c>
      <c r="J104" s="206" t="n">
        <v>7</v>
      </c>
      <c r="K104" s="206" t="s">
        <v>53</v>
      </c>
      <c r="L104" s="206" t="s">
        <v>6562</v>
      </c>
      <c r="M104" s="206" t="n">
        <f aca="false">I104-D104</f>
        <v>928</v>
      </c>
      <c r="N104" s="153"/>
      <c r="O104" s="398" t="s">
        <v>86</v>
      </c>
      <c r="P104" s="399" t="n">
        <f aca="false">AVERAGE(P95:R103)</f>
        <v>1538.82538126557</v>
      </c>
      <c r="Q104" s="399"/>
      <c r="R104" s="399"/>
    </row>
    <row r="105" customFormat="false" ht="15" hidden="false" customHeight="true" outlineLevel="0" collapsed="false">
      <c r="A105" s="210" t="s">
        <v>6926</v>
      </c>
      <c r="B105" s="211" t="s">
        <v>6927</v>
      </c>
      <c r="C105" s="211" t="n">
        <v>2019</v>
      </c>
      <c r="D105" s="213" t="s">
        <v>6928</v>
      </c>
      <c r="E105" s="213" t="s">
        <v>6929</v>
      </c>
      <c r="F105" s="213" t="s">
        <v>1068</v>
      </c>
      <c r="G105" s="214" t="s">
        <v>1174</v>
      </c>
      <c r="H105" s="214" t="s">
        <v>1059</v>
      </c>
      <c r="I105" s="213" t="s">
        <v>6901</v>
      </c>
      <c r="J105" s="213" t="n">
        <v>7</v>
      </c>
      <c r="K105" s="213" t="s">
        <v>53</v>
      </c>
      <c r="L105" s="206" t="s">
        <v>6562</v>
      </c>
      <c r="M105" s="213" t="n">
        <f aca="false">I105-D105</f>
        <v>1585</v>
      </c>
      <c r="N105" s="153"/>
      <c r="O105" s="153"/>
      <c r="P105" s="153"/>
      <c r="Q105" s="153"/>
      <c r="R105" s="153"/>
    </row>
    <row r="106" customFormat="false" ht="15" hidden="false" customHeight="true" outlineLevel="0" collapsed="false">
      <c r="A106" s="203" t="s">
        <v>6930</v>
      </c>
      <c r="B106" s="193" t="s">
        <v>6931</v>
      </c>
      <c r="C106" s="193" t="n">
        <v>2019</v>
      </c>
      <c r="D106" s="206" t="s">
        <v>6932</v>
      </c>
      <c r="E106" s="205" t="s">
        <v>6933</v>
      </c>
      <c r="F106" s="206" t="s">
        <v>138</v>
      </c>
      <c r="G106" s="206" t="s">
        <v>1174</v>
      </c>
      <c r="H106" s="205" t="s">
        <v>192</v>
      </c>
      <c r="I106" s="206" t="s">
        <v>6901</v>
      </c>
      <c r="J106" s="206" t="n">
        <v>7</v>
      </c>
      <c r="K106" s="206" t="s">
        <v>53</v>
      </c>
      <c r="L106" s="206" t="s">
        <v>6562</v>
      </c>
      <c r="M106" s="206" t="n">
        <f aca="false">I106-D106</f>
        <v>1403</v>
      </c>
      <c r="N106" s="153"/>
      <c r="O106" s="153"/>
      <c r="P106" s="153"/>
      <c r="Q106" s="153"/>
      <c r="R106" s="153"/>
    </row>
    <row r="107" customFormat="false" ht="15" hidden="false" customHeight="true" outlineLevel="0" collapsed="false">
      <c r="A107" s="210" t="s">
        <v>6934</v>
      </c>
      <c r="B107" s="211" t="s">
        <v>6935</v>
      </c>
      <c r="C107" s="211" t="n">
        <v>2016</v>
      </c>
      <c r="D107" s="213" t="s">
        <v>6936</v>
      </c>
      <c r="E107" s="213" t="s">
        <v>6937</v>
      </c>
      <c r="F107" s="213" t="s">
        <v>207</v>
      </c>
      <c r="G107" s="214" t="s">
        <v>1174</v>
      </c>
      <c r="H107" s="214" t="s">
        <v>6938</v>
      </c>
      <c r="I107" s="213" t="s">
        <v>6901</v>
      </c>
      <c r="J107" s="213" t="n">
        <v>7</v>
      </c>
      <c r="K107" s="213" t="s">
        <v>53</v>
      </c>
      <c r="L107" s="206" t="s">
        <v>6555</v>
      </c>
      <c r="M107" s="213" t="n">
        <f aca="false">I107-D107</f>
        <v>2482</v>
      </c>
      <c r="N107" s="153"/>
      <c r="O107" s="153"/>
      <c r="P107" s="153"/>
      <c r="Q107" s="153"/>
      <c r="R107" s="153"/>
    </row>
    <row r="108" customFormat="false" ht="15" hidden="false" customHeight="true" outlineLevel="0" collapsed="false">
      <c r="A108" s="203" t="s">
        <v>6939</v>
      </c>
      <c r="B108" s="193" t="s">
        <v>6940</v>
      </c>
      <c r="C108" s="193" t="n">
        <v>2019</v>
      </c>
      <c r="D108" s="259" t="n">
        <v>43476</v>
      </c>
      <c r="E108" s="205" t="s">
        <v>6941</v>
      </c>
      <c r="F108" s="206" t="s">
        <v>1068</v>
      </c>
      <c r="G108" s="206" t="s">
        <v>1174</v>
      </c>
      <c r="H108" s="205" t="s">
        <v>267</v>
      </c>
      <c r="I108" s="206" t="s">
        <v>6901</v>
      </c>
      <c r="J108" s="206" t="n">
        <v>7</v>
      </c>
      <c r="K108" s="206" t="s">
        <v>53</v>
      </c>
      <c r="L108" s="206" t="s">
        <v>6562</v>
      </c>
      <c r="M108" s="206" t="n">
        <f aca="false">I108-D108</f>
        <v>1662</v>
      </c>
      <c r="N108" s="153"/>
      <c r="O108" s="153"/>
      <c r="P108" s="153"/>
      <c r="Q108" s="153"/>
      <c r="R108" s="153"/>
    </row>
    <row r="109" customFormat="false" ht="15" hidden="false" customHeight="true" outlineLevel="0" collapsed="false">
      <c r="A109" s="210" t="s">
        <v>6942</v>
      </c>
      <c r="B109" s="211" t="s">
        <v>6943</v>
      </c>
      <c r="C109" s="211" t="n">
        <v>2019</v>
      </c>
      <c r="D109" s="260" t="n">
        <v>43476</v>
      </c>
      <c r="E109" s="213" t="s">
        <v>6944</v>
      </c>
      <c r="F109" s="213" t="s">
        <v>1068</v>
      </c>
      <c r="G109" s="214" t="s">
        <v>1174</v>
      </c>
      <c r="H109" s="214" t="s">
        <v>2388</v>
      </c>
      <c r="I109" s="213" t="s">
        <v>6901</v>
      </c>
      <c r="J109" s="213" t="n">
        <v>7</v>
      </c>
      <c r="K109" s="213" t="s">
        <v>53</v>
      </c>
      <c r="L109" s="206" t="s">
        <v>6562</v>
      </c>
      <c r="M109" s="213" t="n">
        <f aca="false">I109-D109</f>
        <v>1662</v>
      </c>
      <c r="N109" s="153"/>
      <c r="O109" s="153"/>
      <c r="P109" s="153"/>
      <c r="Q109" s="153"/>
      <c r="R109" s="153"/>
    </row>
    <row r="110" customFormat="false" ht="15" hidden="false" customHeight="true" outlineLevel="0" collapsed="false">
      <c r="A110" s="203" t="s">
        <v>6945</v>
      </c>
      <c r="B110" s="193" t="s">
        <v>6946</v>
      </c>
      <c r="C110" s="193" t="n">
        <v>2020</v>
      </c>
      <c r="D110" s="206" t="s">
        <v>6947</v>
      </c>
      <c r="E110" s="205" t="s">
        <v>6948</v>
      </c>
      <c r="F110" s="206" t="s">
        <v>401</v>
      </c>
      <c r="G110" s="206" t="s">
        <v>1174</v>
      </c>
      <c r="H110" s="205" t="s">
        <v>4999</v>
      </c>
      <c r="I110" s="206" t="s">
        <v>6901</v>
      </c>
      <c r="J110" s="206" t="n">
        <v>7</v>
      </c>
      <c r="K110" s="206" t="s">
        <v>53</v>
      </c>
      <c r="L110" s="206" t="s">
        <v>6555</v>
      </c>
      <c r="M110" s="206" t="n">
        <f aca="false">I110-D110</f>
        <v>1260</v>
      </c>
      <c r="N110" s="153"/>
      <c r="O110" s="153"/>
      <c r="P110" s="153"/>
      <c r="Q110" s="153"/>
      <c r="R110" s="153"/>
    </row>
    <row r="111" customFormat="false" ht="15" hidden="false" customHeight="true" outlineLevel="0" collapsed="false">
      <c r="A111" s="210" t="s">
        <v>6949</v>
      </c>
      <c r="B111" s="211" t="s">
        <v>6950</v>
      </c>
      <c r="C111" s="211" t="n">
        <v>2015</v>
      </c>
      <c r="D111" s="213" t="s">
        <v>6951</v>
      </c>
      <c r="E111" s="213" t="s">
        <v>6952</v>
      </c>
      <c r="F111" s="213" t="s">
        <v>1243</v>
      </c>
      <c r="G111" s="214" t="s">
        <v>1174</v>
      </c>
      <c r="H111" s="214" t="s">
        <v>192</v>
      </c>
      <c r="I111" s="213" t="s">
        <v>6953</v>
      </c>
      <c r="J111" s="213" t="n">
        <v>8</v>
      </c>
      <c r="K111" s="213" t="s">
        <v>53</v>
      </c>
      <c r="L111" s="206" t="s">
        <v>6562</v>
      </c>
      <c r="M111" s="213" t="n">
        <f aca="false">I111-D111</f>
        <v>3034</v>
      </c>
      <c r="N111" s="153"/>
      <c r="O111" s="153"/>
      <c r="P111" s="153"/>
      <c r="Q111" s="153"/>
      <c r="R111" s="153"/>
    </row>
    <row r="112" customFormat="false" ht="15" hidden="false" customHeight="true" outlineLevel="0" collapsed="false">
      <c r="A112" s="203" t="s">
        <v>6954</v>
      </c>
      <c r="B112" s="193" t="s">
        <v>6955</v>
      </c>
      <c r="C112" s="193" t="n">
        <v>2015</v>
      </c>
      <c r="D112" s="259" t="n">
        <v>42037</v>
      </c>
      <c r="E112" s="205" t="s">
        <v>6956</v>
      </c>
      <c r="F112" s="206" t="s">
        <v>671</v>
      </c>
      <c r="G112" s="206" t="s">
        <v>1174</v>
      </c>
      <c r="H112" s="205" t="s">
        <v>192</v>
      </c>
      <c r="I112" s="206" t="s">
        <v>6953</v>
      </c>
      <c r="J112" s="206" t="n">
        <v>8</v>
      </c>
      <c r="K112" s="206" t="s">
        <v>53</v>
      </c>
      <c r="L112" s="206" t="s">
        <v>1441</v>
      </c>
      <c r="M112" s="206" t="n">
        <f aca="false">I112-D112</f>
        <v>3115</v>
      </c>
      <c r="N112" s="153"/>
      <c r="O112" s="153"/>
      <c r="P112" s="153"/>
      <c r="Q112" s="153"/>
      <c r="R112" s="153"/>
    </row>
    <row r="113" customFormat="false" ht="15" hidden="false" customHeight="true" outlineLevel="0" collapsed="false">
      <c r="A113" s="210" t="s">
        <v>6957</v>
      </c>
      <c r="B113" s="211" t="s">
        <v>6958</v>
      </c>
      <c r="C113" s="211" t="n">
        <v>2016</v>
      </c>
      <c r="D113" s="260" t="n">
        <v>42561</v>
      </c>
      <c r="E113" s="213" t="s">
        <v>6959</v>
      </c>
      <c r="F113" s="213" t="s">
        <v>1987</v>
      </c>
      <c r="G113" s="214" t="s">
        <v>1174</v>
      </c>
      <c r="H113" s="214" t="s">
        <v>192</v>
      </c>
      <c r="I113" s="213" t="s">
        <v>6960</v>
      </c>
      <c r="J113" s="213" t="n">
        <v>8</v>
      </c>
      <c r="K113" s="213" t="s">
        <v>53</v>
      </c>
      <c r="L113" s="206" t="s">
        <v>6555</v>
      </c>
      <c r="M113" s="213" t="n">
        <f aca="false">I113-D113</f>
        <v>2594</v>
      </c>
      <c r="O113" s="153"/>
      <c r="P113" s="153"/>
      <c r="Q113" s="153"/>
      <c r="R113" s="153"/>
    </row>
    <row r="114" customFormat="false" ht="15" hidden="false" customHeight="true" outlineLevel="0" collapsed="false">
      <c r="A114" s="203" t="s">
        <v>6961</v>
      </c>
      <c r="B114" s="193" t="s">
        <v>6962</v>
      </c>
      <c r="C114" s="193" t="n">
        <v>2016</v>
      </c>
      <c r="D114" s="206" t="s">
        <v>6963</v>
      </c>
      <c r="E114" s="205" t="s">
        <v>6964</v>
      </c>
      <c r="F114" s="206" t="s">
        <v>211</v>
      </c>
      <c r="G114" s="206" t="s">
        <v>1174</v>
      </c>
      <c r="H114" s="205" t="s">
        <v>471</v>
      </c>
      <c r="I114" s="206" t="s">
        <v>6960</v>
      </c>
      <c r="J114" s="206" t="n">
        <v>8</v>
      </c>
      <c r="K114" s="206" t="s">
        <v>53</v>
      </c>
      <c r="L114" s="206" t="s">
        <v>6555</v>
      </c>
      <c r="M114" s="206" t="n">
        <f aca="false">I114-D114</f>
        <v>2611</v>
      </c>
    </row>
    <row r="115" customFormat="false" ht="15" hidden="false" customHeight="true" outlineLevel="0" collapsed="false">
      <c r="A115" s="210" t="s">
        <v>6965</v>
      </c>
      <c r="B115" s="211" t="s">
        <v>6966</v>
      </c>
      <c r="C115" s="211" t="n">
        <v>2020</v>
      </c>
      <c r="D115" s="260" t="n">
        <v>44022</v>
      </c>
      <c r="E115" s="213" t="s">
        <v>6967</v>
      </c>
      <c r="F115" s="213" t="s">
        <v>207</v>
      </c>
      <c r="G115" s="214" t="s">
        <v>1174</v>
      </c>
      <c r="H115" s="214" t="s">
        <v>1231</v>
      </c>
      <c r="I115" s="213" t="s">
        <v>6960</v>
      </c>
      <c r="J115" s="213" t="n">
        <v>8</v>
      </c>
      <c r="K115" s="213" t="s">
        <v>53</v>
      </c>
      <c r="L115" s="206" t="s">
        <v>6555</v>
      </c>
      <c r="M115" s="213" t="n">
        <f aca="false">I115-D115</f>
        <v>1133</v>
      </c>
    </row>
    <row r="116" customFormat="false" ht="15" hidden="false" customHeight="true" outlineLevel="0" collapsed="false">
      <c r="A116" s="203" t="s">
        <v>6968</v>
      </c>
      <c r="B116" s="193" t="s">
        <v>6969</v>
      </c>
      <c r="C116" s="193" t="n">
        <v>2017</v>
      </c>
      <c r="D116" s="259" t="n">
        <v>42897</v>
      </c>
      <c r="E116" s="205" t="s">
        <v>6970</v>
      </c>
      <c r="F116" s="206" t="s">
        <v>1068</v>
      </c>
      <c r="G116" s="206" t="s">
        <v>1174</v>
      </c>
      <c r="H116" s="205" t="s">
        <v>1231</v>
      </c>
      <c r="I116" s="206" t="s">
        <v>6960</v>
      </c>
      <c r="J116" s="206" t="n">
        <v>8</v>
      </c>
      <c r="K116" s="206" t="s">
        <v>53</v>
      </c>
      <c r="L116" s="206" t="s">
        <v>6562</v>
      </c>
      <c r="M116" s="206" t="n">
        <f aca="false">I116-D116</f>
        <v>2258</v>
      </c>
    </row>
    <row r="117" customFormat="false" ht="15" hidden="false" customHeight="true" outlineLevel="0" collapsed="false">
      <c r="A117" s="210" t="s">
        <v>6971</v>
      </c>
      <c r="B117" s="211" t="s">
        <v>6972</v>
      </c>
      <c r="C117" s="211" t="n">
        <v>2019</v>
      </c>
      <c r="D117" s="213" t="s">
        <v>6973</v>
      </c>
      <c r="E117" s="213" t="s">
        <v>6974</v>
      </c>
      <c r="F117" s="213" t="s">
        <v>2003</v>
      </c>
      <c r="G117" s="214" t="s">
        <v>1174</v>
      </c>
      <c r="H117" s="214" t="s">
        <v>243</v>
      </c>
      <c r="I117" s="213" t="s">
        <v>6975</v>
      </c>
      <c r="J117" s="213" t="n">
        <v>8</v>
      </c>
      <c r="K117" s="213" t="s">
        <v>53</v>
      </c>
      <c r="L117" s="206" t="s">
        <v>6555</v>
      </c>
      <c r="M117" s="213" t="n">
        <f aca="false">I117-D117</f>
        <v>1515</v>
      </c>
    </row>
    <row r="118" customFormat="false" ht="15" hidden="false" customHeight="true" outlineLevel="0" collapsed="false">
      <c r="A118" s="203" t="s">
        <v>6976</v>
      </c>
      <c r="B118" s="193" t="s">
        <v>6977</v>
      </c>
      <c r="C118" s="193" t="n">
        <v>2018</v>
      </c>
      <c r="D118" s="206" t="s">
        <v>6978</v>
      </c>
      <c r="E118" s="205" t="s">
        <v>6979</v>
      </c>
      <c r="F118" s="206" t="s">
        <v>1324</v>
      </c>
      <c r="G118" s="206" t="s">
        <v>1174</v>
      </c>
      <c r="H118" s="205" t="s">
        <v>192</v>
      </c>
      <c r="I118" s="206" t="s">
        <v>6975</v>
      </c>
      <c r="J118" s="206" t="n">
        <v>8</v>
      </c>
      <c r="K118" s="206" t="s">
        <v>53</v>
      </c>
      <c r="L118" s="206" t="s">
        <v>6562</v>
      </c>
      <c r="M118" s="206" t="n">
        <f aca="false">I118-D118</f>
        <v>1946</v>
      </c>
    </row>
    <row r="119" customFormat="false" ht="15" hidden="false" customHeight="true" outlineLevel="0" collapsed="false">
      <c r="A119" s="210" t="s">
        <v>6980</v>
      </c>
      <c r="B119" s="211" t="s">
        <v>6981</v>
      </c>
      <c r="C119" s="211" t="n">
        <v>2018</v>
      </c>
      <c r="D119" s="213" t="s">
        <v>6982</v>
      </c>
      <c r="E119" s="213" t="s">
        <v>6983</v>
      </c>
      <c r="F119" s="213" t="s">
        <v>1068</v>
      </c>
      <c r="G119" s="214" t="s">
        <v>1174</v>
      </c>
      <c r="H119" s="214" t="s">
        <v>109</v>
      </c>
      <c r="I119" s="213" t="s">
        <v>6975</v>
      </c>
      <c r="J119" s="213" t="n">
        <v>8</v>
      </c>
      <c r="K119" s="213" t="s">
        <v>53</v>
      </c>
      <c r="L119" s="206" t="s">
        <v>6562</v>
      </c>
      <c r="M119" s="213" t="n">
        <f aca="false">I119-D119</f>
        <v>1880</v>
      </c>
    </row>
    <row r="120" customFormat="false" ht="15" hidden="false" customHeight="true" outlineLevel="0" collapsed="false">
      <c r="A120" s="203" t="s">
        <v>6984</v>
      </c>
      <c r="B120" s="193" t="s">
        <v>6985</v>
      </c>
      <c r="C120" s="193" t="n">
        <v>2017</v>
      </c>
      <c r="D120" s="206" t="s">
        <v>6986</v>
      </c>
      <c r="E120" s="205" t="s">
        <v>6987</v>
      </c>
      <c r="F120" s="206" t="s">
        <v>1068</v>
      </c>
      <c r="G120" s="206" t="s">
        <v>1174</v>
      </c>
      <c r="H120" s="205" t="s">
        <v>192</v>
      </c>
      <c r="I120" s="206" t="s">
        <v>6975</v>
      </c>
      <c r="J120" s="206" t="n">
        <v>8</v>
      </c>
      <c r="K120" s="206" t="s">
        <v>53</v>
      </c>
      <c r="L120" s="206" t="s">
        <v>6562</v>
      </c>
      <c r="M120" s="206" t="n">
        <f aca="false">I120-D120</f>
        <v>2181</v>
      </c>
    </row>
    <row r="121" customFormat="false" ht="15" hidden="false" customHeight="true" outlineLevel="0" collapsed="false">
      <c r="A121" s="210" t="s">
        <v>6988</v>
      </c>
      <c r="B121" s="211" t="s">
        <v>6989</v>
      </c>
      <c r="C121" s="211" t="n">
        <v>2019</v>
      </c>
      <c r="D121" s="260" t="n">
        <v>43476</v>
      </c>
      <c r="E121" s="213" t="s">
        <v>6990</v>
      </c>
      <c r="F121" s="213" t="s">
        <v>1068</v>
      </c>
      <c r="G121" s="214" t="s">
        <v>1174</v>
      </c>
      <c r="H121" s="214" t="s">
        <v>2388</v>
      </c>
      <c r="I121" s="213" t="s">
        <v>6975</v>
      </c>
      <c r="J121" s="213" t="n">
        <v>8</v>
      </c>
      <c r="K121" s="213" t="s">
        <v>53</v>
      </c>
      <c r="L121" s="206" t="s">
        <v>6562</v>
      </c>
      <c r="M121" s="213" t="n">
        <f aca="false">I121-D121</f>
        <v>1680</v>
      </c>
    </row>
    <row r="122" customFormat="false" ht="15" hidden="false" customHeight="true" outlineLevel="0" collapsed="false">
      <c r="A122" s="203" t="s">
        <v>6991</v>
      </c>
      <c r="B122" s="193" t="s">
        <v>6992</v>
      </c>
      <c r="C122" s="193" t="n">
        <v>2020</v>
      </c>
      <c r="D122" s="259" t="n">
        <v>43989</v>
      </c>
      <c r="E122" s="205" t="s">
        <v>6993</v>
      </c>
      <c r="F122" s="206" t="s">
        <v>1097</v>
      </c>
      <c r="G122" s="206" t="s">
        <v>1174</v>
      </c>
      <c r="H122" s="205" t="s">
        <v>1258</v>
      </c>
      <c r="I122" s="206" t="s">
        <v>6975</v>
      </c>
      <c r="J122" s="206" t="n">
        <v>8</v>
      </c>
      <c r="K122" s="206" t="s">
        <v>53</v>
      </c>
      <c r="L122" s="206" t="s">
        <v>6562</v>
      </c>
      <c r="M122" s="206" t="n">
        <f aca="false">I122-D122</f>
        <v>1167</v>
      </c>
    </row>
    <row r="123" customFormat="false" ht="15" hidden="false" customHeight="true" outlineLevel="0" collapsed="false">
      <c r="A123" s="210" t="s">
        <v>6994</v>
      </c>
      <c r="B123" s="211" t="s">
        <v>6995</v>
      </c>
      <c r="C123" s="211" t="n">
        <v>2020</v>
      </c>
      <c r="D123" s="213" t="s">
        <v>6996</v>
      </c>
      <c r="E123" s="213" t="s">
        <v>6997</v>
      </c>
      <c r="F123" s="213" t="s">
        <v>238</v>
      </c>
      <c r="G123" s="214" t="s">
        <v>1174</v>
      </c>
      <c r="H123" s="214" t="s">
        <v>243</v>
      </c>
      <c r="I123" s="213" t="s">
        <v>6975</v>
      </c>
      <c r="J123" s="213" t="n">
        <v>8</v>
      </c>
      <c r="K123" s="213" t="s">
        <v>53</v>
      </c>
      <c r="L123" s="206" t="s">
        <v>6555</v>
      </c>
      <c r="M123" s="213" t="n">
        <f aca="false">I123-D123</f>
        <v>1065</v>
      </c>
    </row>
    <row r="124" customFormat="false" ht="15" hidden="false" customHeight="true" outlineLevel="0" collapsed="false">
      <c r="A124" s="203" t="s">
        <v>6998</v>
      </c>
      <c r="B124" s="193" t="s">
        <v>6999</v>
      </c>
      <c r="C124" s="193" t="n">
        <v>2019</v>
      </c>
      <c r="D124" s="206" t="s">
        <v>7000</v>
      </c>
      <c r="E124" s="205" t="s">
        <v>7001</v>
      </c>
      <c r="F124" s="206" t="s">
        <v>3072</v>
      </c>
      <c r="G124" s="206" t="s">
        <v>1174</v>
      </c>
      <c r="H124" s="205" t="s">
        <v>192</v>
      </c>
      <c r="I124" s="206" t="s">
        <v>7002</v>
      </c>
      <c r="J124" s="206" t="n">
        <v>8</v>
      </c>
      <c r="K124" s="206" t="s">
        <v>53</v>
      </c>
      <c r="L124" s="206" t="s">
        <v>6562</v>
      </c>
      <c r="M124" s="206" t="n">
        <f aca="false">I124-D124</f>
        <v>1529</v>
      </c>
    </row>
    <row r="125" customFormat="false" ht="15" hidden="false" customHeight="true" outlineLevel="0" collapsed="false">
      <c r="A125" s="210" t="s">
        <v>7003</v>
      </c>
      <c r="B125" s="211" t="s">
        <v>7004</v>
      </c>
      <c r="C125" s="211" t="n">
        <v>2020</v>
      </c>
      <c r="D125" s="213" t="s">
        <v>7005</v>
      </c>
      <c r="E125" s="213" t="s">
        <v>7006</v>
      </c>
      <c r="F125" s="213" t="s">
        <v>3072</v>
      </c>
      <c r="G125" s="214" t="s">
        <v>1174</v>
      </c>
      <c r="H125" s="214" t="s">
        <v>192</v>
      </c>
      <c r="I125" s="213" t="s">
        <v>7002</v>
      </c>
      <c r="J125" s="213" t="n">
        <v>8</v>
      </c>
      <c r="K125" s="213" t="s">
        <v>53</v>
      </c>
      <c r="L125" s="206" t="s">
        <v>6562</v>
      </c>
      <c r="M125" s="213" t="n">
        <f aca="false">I125-D125</f>
        <v>1184</v>
      </c>
    </row>
    <row r="126" customFormat="false" ht="15" hidden="false" customHeight="true" outlineLevel="0" collapsed="false">
      <c r="A126" s="203" t="s">
        <v>7007</v>
      </c>
      <c r="B126" s="193" t="s">
        <v>7008</v>
      </c>
      <c r="C126" s="193" t="n">
        <v>2015</v>
      </c>
      <c r="D126" s="206" t="s">
        <v>7009</v>
      </c>
      <c r="E126" s="205" t="s">
        <v>7010</v>
      </c>
      <c r="F126" s="206" t="s">
        <v>1490</v>
      </c>
      <c r="G126" s="206" t="s">
        <v>1174</v>
      </c>
      <c r="H126" s="206" t="s">
        <v>192</v>
      </c>
      <c r="I126" s="206" t="s">
        <v>7002</v>
      </c>
      <c r="J126" s="206" t="n">
        <v>8</v>
      </c>
      <c r="K126" s="206" t="s">
        <v>53</v>
      </c>
      <c r="L126" s="206" t="s">
        <v>6555</v>
      </c>
      <c r="M126" s="206" t="n">
        <f aca="false">I126-D126</f>
        <v>2825</v>
      </c>
    </row>
    <row r="127" customFormat="false" ht="15" hidden="false" customHeight="true" outlineLevel="0" collapsed="false">
      <c r="A127" s="210" t="s">
        <v>7011</v>
      </c>
      <c r="B127" s="211" t="s">
        <v>7012</v>
      </c>
      <c r="C127" s="211" t="n">
        <v>2019</v>
      </c>
      <c r="D127" s="260" t="n">
        <v>43773</v>
      </c>
      <c r="E127" s="213" t="s">
        <v>7013</v>
      </c>
      <c r="F127" s="213" t="s">
        <v>3072</v>
      </c>
      <c r="G127" s="214" t="s">
        <v>1174</v>
      </c>
      <c r="H127" s="214" t="s">
        <v>1266</v>
      </c>
      <c r="I127" s="213" t="s">
        <v>7002</v>
      </c>
      <c r="J127" s="213" t="n">
        <v>8</v>
      </c>
      <c r="K127" s="213" t="s">
        <v>53</v>
      </c>
      <c r="L127" s="206" t="s">
        <v>6562</v>
      </c>
      <c r="M127" s="213" t="n">
        <f aca="false">I127-D127</f>
        <v>1390</v>
      </c>
    </row>
    <row r="128" customFormat="false" ht="15" hidden="false" customHeight="true" outlineLevel="0" collapsed="false">
      <c r="A128" s="203" t="s">
        <v>7014</v>
      </c>
      <c r="B128" s="193" t="s">
        <v>7015</v>
      </c>
      <c r="C128" s="193" t="n">
        <v>2020</v>
      </c>
      <c r="D128" s="206" t="s">
        <v>7016</v>
      </c>
      <c r="E128" s="205" t="s">
        <v>7017</v>
      </c>
      <c r="F128" s="206" t="s">
        <v>238</v>
      </c>
      <c r="G128" s="206" t="s">
        <v>1174</v>
      </c>
      <c r="H128" s="205" t="s">
        <v>522</v>
      </c>
      <c r="I128" s="206" t="s">
        <v>7002</v>
      </c>
      <c r="J128" s="206" t="n">
        <v>8</v>
      </c>
      <c r="K128" s="206" t="s">
        <v>53</v>
      </c>
      <c r="L128" s="206" t="s">
        <v>6555</v>
      </c>
      <c r="M128" s="206" t="n">
        <f aca="false">I128-D128</f>
        <v>1001</v>
      </c>
    </row>
    <row r="129" customFormat="false" ht="15" hidden="false" customHeight="true" outlineLevel="0" collapsed="false">
      <c r="A129" s="210" t="s">
        <v>7018</v>
      </c>
      <c r="B129" s="211" t="s">
        <v>7019</v>
      </c>
      <c r="C129" s="211" t="n">
        <v>2020</v>
      </c>
      <c r="D129" s="213" t="s">
        <v>7020</v>
      </c>
      <c r="E129" s="213" t="s">
        <v>7021</v>
      </c>
      <c r="F129" s="213" t="s">
        <v>3072</v>
      </c>
      <c r="G129" s="214" t="s">
        <v>1174</v>
      </c>
      <c r="H129" s="214" t="s">
        <v>134</v>
      </c>
      <c r="I129" s="213" t="s">
        <v>7002</v>
      </c>
      <c r="J129" s="213" t="n">
        <v>8</v>
      </c>
      <c r="K129" s="213" t="s">
        <v>53</v>
      </c>
      <c r="L129" s="206" t="s">
        <v>6562</v>
      </c>
      <c r="M129" s="213" t="n">
        <f aca="false">I129-D129</f>
        <v>1302</v>
      </c>
    </row>
    <row r="130" customFormat="false" ht="15" hidden="false" customHeight="true" outlineLevel="0" collapsed="false">
      <c r="A130" s="203" t="s">
        <v>7022</v>
      </c>
      <c r="B130" s="193" t="s">
        <v>7023</v>
      </c>
      <c r="C130" s="193" t="n">
        <v>2018</v>
      </c>
      <c r="D130" s="259" t="n">
        <v>43197</v>
      </c>
      <c r="E130" s="205" t="s">
        <v>7024</v>
      </c>
      <c r="F130" s="206" t="s">
        <v>777</v>
      </c>
      <c r="G130" s="206" t="s">
        <v>1174</v>
      </c>
      <c r="H130" s="205" t="s">
        <v>109</v>
      </c>
      <c r="I130" s="206" t="s">
        <v>7002</v>
      </c>
      <c r="J130" s="206" t="n">
        <v>8</v>
      </c>
      <c r="K130" s="206" t="s">
        <v>53</v>
      </c>
      <c r="L130" s="206" t="s">
        <v>6562</v>
      </c>
      <c r="M130" s="206" t="n">
        <f aca="false">I130-D130</f>
        <v>1966</v>
      </c>
    </row>
    <row r="131" customFormat="false" ht="15" hidden="false" customHeight="true" outlineLevel="0" collapsed="false">
      <c r="A131" s="210" t="s">
        <v>7025</v>
      </c>
      <c r="B131" s="211" t="s">
        <v>7026</v>
      </c>
      <c r="C131" s="211" t="n">
        <v>2021</v>
      </c>
      <c r="D131" s="213" t="s">
        <v>7027</v>
      </c>
      <c r="E131" s="213" t="s">
        <v>7028</v>
      </c>
      <c r="F131" s="213" t="s">
        <v>3072</v>
      </c>
      <c r="G131" s="214" t="s">
        <v>1174</v>
      </c>
      <c r="H131" s="214" t="s">
        <v>471</v>
      </c>
      <c r="I131" s="213" t="s">
        <v>7029</v>
      </c>
      <c r="J131" s="213" t="n">
        <v>8</v>
      </c>
      <c r="K131" s="213" t="s">
        <v>53</v>
      </c>
      <c r="L131" s="206" t="s">
        <v>6562</v>
      </c>
      <c r="M131" s="213" t="n">
        <f aca="false">I131-D131</f>
        <v>642</v>
      </c>
    </row>
    <row r="132" customFormat="false" ht="15" hidden="false" customHeight="true" outlineLevel="0" collapsed="false">
      <c r="A132" s="203" t="s">
        <v>7030</v>
      </c>
      <c r="B132" s="193" t="s">
        <v>7031</v>
      </c>
      <c r="C132" s="193" t="n">
        <v>2020</v>
      </c>
      <c r="D132" s="206" t="s">
        <v>7032</v>
      </c>
      <c r="E132" s="205" t="s">
        <v>7033</v>
      </c>
      <c r="F132" s="206" t="s">
        <v>777</v>
      </c>
      <c r="G132" s="206" t="s">
        <v>1174</v>
      </c>
      <c r="H132" s="205" t="s">
        <v>250</v>
      </c>
      <c r="I132" s="206" t="s">
        <v>7029</v>
      </c>
      <c r="J132" s="206" t="n">
        <v>8</v>
      </c>
      <c r="K132" s="206" t="s">
        <v>53</v>
      </c>
      <c r="L132" s="206" t="s">
        <v>6562</v>
      </c>
      <c r="M132" s="206" t="n">
        <f aca="false">I132-D132</f>
        <v>1262</v>
      </c>
    </row>
    <row r="133" customFormat="false" ht="15" hidden="false" customHeight="true" outlineLevel="0" collapsed="false">
      <c r="A133" s="210" t="s">
        <v>7034</v>
      </c>
      <c r="B133" s="211" t="s">
        <v>7035</v>
      </c>
      <c r="C133" s="211" t="n">
        <v>2017</v>
      </c>
      <c r="D133" s="213" t="s">
        <v>7036</v>
      </c>
      <c r="E133" s="213" t="s">
        <v>7037</v>
      </c>
      <c r="F133" s="213" t="s">
        <v>123</v>
      </c>
      <c r="G133" s="214" t="s">
        <v>1174</v>
      </c>
      <c r="H133" s="214" t="s">
        <v>2278</v>
      </c>
      <c r="I133" s="213" t="s">
        <v>7029</v>
      </c>
      <c r="J133" s="213" t="n">
        <v>8</v>
      </c>
      <c r="K133" s="213" t="s">
        <v>53</v>
      </c>
      <c r="L133" s="206" t="s">
        <v>6555</v>
      </c>
      <c r="M133" s="213" t="n">
        <f aca="false">I133-D133</f>
        <v>2323</v>
      </c>
    </row>
    <row r="134" customFormat="false" ht="15" hidden="false" customHeight="true" outlineLevel="0" collapsed="false">
      <c r="A134" s="203" t="s">
        <v>7038</v>
      </c>
      <c r="B134" s="193" t="s">
        <v>7039</v>
      </c>
      <c r="C134" s="193" t="n">
        <v>2017</v>
      </c>
      <c r="D134" s="206" t="s">
        <v>7040</v>
      </c>
      <c r="E134" s="205" t="s">
        <v>7041</v>
      </c>
      <c r="F134" s="206" t="s">
        <v>123</v>
      </c>
      <c r="G134" s="206" t="s">
        <v>1174</v>
      </c>
      <c r="H134" s="205" t="s">
        <v>1538</v>
      </c>
      <c r="I134" s="206" t="s">
        <v>7029</v>
      </c>
      <c r="J134" s="206" t="n">
        <v>8</v>
      </c>
      <c r="K134" s="206" t="s">
        <v>53</v>
      </c>
      <c r="L134" s="206" t="s">
        <v>6555</v>
      </c>
      <c r="M134" s="206" t="n">
        <f aca="false">I134-D134</f>
        <v>2287</v>
      </c>
    </row>
    <row r="135" customFormat="false" ht="15" hidden="false" customHeight="true" outlineLevel="0" collapsed="false">
      <c r="A135" s="210" t="s">
        <v>7042</v>
      </c>
      <c r="B135" s="211" t="s">
        <v>7043</v>
      </c>
      <c r="C135" s="211" t="n">
        <v>2021</v>
      </c>
      <c r="D135" s="213" t="s">
        <v>7044</v>
      </c>
      <c r="E135" s="213" t="s">
        <v>7045</v>
      </c>
      <c r="F135" s="213" t="s">
        <v>123</v>
      </c>
      <c r="G135" s="214" t="s">
        <v>1174</v>
      </c>
      <c r="H135" s="214" t="s">
        <v>522</v>
      </c>
      <c r="I135" s="213" t="s">
        <v>7029</v>
      </c>
      <c r="J135" s="213" t="n">
        <v>8</v>
      </c>
      <c r="K135" s="213" t="s">
        <v>53</v>
      </c>
      <c r="L135" s="206" t="s">
        <v>6555</v>
      </c>
      <c r="M135" s="213" t="n">
        <f aca="false">I135-D135</f>
        <v>859</v>
      </c>
    </row>
    <row r="136" customFormat="false" ht="15" hidden="false" customHeight="true" outlineLevel="0" collapsed="false">
      <c r="A136" s="203" t="s">
        <v>7046</v>
      </c>
      <c r="B136" s="193" t="s">
        <v>7047</v>
      </c>
      <c r="C136" s="193" t="n">
        <v>2018</v>
      </c>
      <c r="D136" s="259" t="n">
        <v>43348</v>
      </c>
      <c r="E136" s="205" t="s">
        <v>7048</v>
      </c>
      <c r="F136" s="206" t="s">
        <v>207</v>
      </c>
      <c r="G136" s="206" t="s">
        <v>1174</v>
      </c>
      <c r="H136" s="205" t="s">
        <v>1266</v>
      </c>
      <c r="I136" s="206" t="s">
        <v>7029</v>
      </c>
      <c r="J136" s="206" t="n">
        <v>8</v>
      </c>
      <c r="K136" s="206" t="s">
        <v>53</v>
      </c>
      <c r="L136" s="206" t="s">
        <v>6555</v>
      </c>
      <c r="M136" s="206" t="n">
        <f aca="false">I136-D136</f>
        <v>1820</v>
      </c>
    </row>
    <row r="137" customFormat="false" ht="15" hidden="false" customHeight="true" outlineLevel="0" collapsed="false">
      <c r="A137" s="210" t="s">
        <v>7049</v>
      </c>
      <c r="B137" s="211" t="s">
        <v>7050</v>
      </c>
      <c r="C137" s="211" t="n">
        <v>2020</v>
      </c>
      <c r="D137" s="213" t="s">
        <v>7051</v>
      </c>
      <c r="E137" s="213" t="s">
        <v>7052</v>
      </c>
      <c r="F137" s="213" t="s">
        <v>207</v>
      </c>
      <c r="G137" s="214" t="s">
        <v>1174</v>
      </c>
      <c r="H137" s="214" t="s">
        <v>2677</v>
      </c>
      <c r="I137" s="213" t="s">
        <v>7029</v>
      </c>
      <c r="J137" s="213" t="n">
        <v>8</v>
      </c>
      <c r="K137" s="213" t="s">
        <v>53</v>
      </c>
      <c r="L137" s="206" t="s">
        <v>6555</v>
      </c>
      <c r="M137" s="213" t="n">
        <f aca="false">I137-D137</f>
        <v>1010</v>
      </c>
    </row>
    <row r="138" customFormat="false" ht="15" hidden="false" customHeight="true" outlineLevel="0" collapsed="false">
      <c r="A138" s="203" t="s">
        <v>7053</v>
      </c>
      <c r="B138" s="193" t="s">
        <v>7054</v>
      </c>
      <c r="C138" s="193" t="n">
        <v>2021</v>
      </c>
      <c r="D138" s="206" t="s">
        <v>7055</v>
      </c>
      <c r="E138" s="205" t="s">
        <v>7056</v>
      </c>
      <c r="F138" s="206" t="s">
        <v>3072</v>
      </c>
      <c r="G138" s="206" t="s">
        <v>1174</v>
      </c>
      <c r="H138" s="205" t="s">
        <v>254</v>
      </c>
      <c r="I138" s="206" t="s">
        <v>7029</v>
      </c>
      <c r="J138" s="206" t="n">
        <v>8</v>
      </c>
      <c r="K138" s="206" t="s">
        <v>53</v>
      </c>
      <c r="L138" s="206" t="s">
        <v>6562</v>
      </c>
      <c r="M138" s="206" t="n">
        <f aca="false">I138-D138</f>
        <v>685</v>
      </c>
    </row>
    <row r="139" customFormat="false" ht="15" hidden="false" customHeight="true" outlineLevel="0" collapsed="false">
      <c r="A139" s="210" t="s">
        <v>7057</v>
      </c>
      <c r="B139" s="211" t="s">
        <v>7058</v>
      </c>
      <c r="C139" s="211" t="n">
        <v>2016</v>
      </c>
      <c r="D139" s="213" t="s">
        <v>7059</v>
      </c>
      <c r="E139" s="213" t="s">
        <v>7060</v>
      </c>
      <c r="F139" s="213" t="s">
        <v>7061</v>
      </c>
      <c r="G139" s="214" t="s">
        <v>1174</v>
      </c>
      <c r="H139" s="214" t="s">
        <v>471</v>
      </c>
      <c r="I139" s="213" t="s">
        <v>7029</v>
      </c>
      <c r="J139" s="213" t="n">
        <v>8</v>
      </c>
      <c r="K139" s="213" t="s">
        <v>53</v>
      </c>
      <c r="L139" s="206" t="s">
        <v>6555</v>
      </c>
      <c r="M139" s="213" t="n">
        <f aca="false">I139-D139</f>
        <v>2589</v>
      </c>
    </row>
    <row r="140" customFormat="false" ht="15" hidden="false" customHeight="true" outlineLevel="0" collapsed="false">
      <c r="A140" s="203" t="s">
        <v>7062</v>
      </c>
      <c r="B140" s="193" t="s">
        <v>7063</v>
      </c>
      <c r="C140" s="193" t="n">
        <v>2021</v>
      </c>
      <c r="D140" s="206" t="s">
        <v>7064</v>
      </c>
      <c r="E140" s="205" t="s">
        <v>7065</v>
      </c>
      <c r="F140" s="206" t="s">
        <v>238</v>
      </c>
      <c r="G140" s="206" t="s">
        <v>1174</v>
      </c>
      <c r="H140" s="205" t="s">
        <v>192</v>
      </c>
      <c r="I140" s="206" t="s">
        <v>7066</v>
      </c>
      <c r="J140" s="206" t="n">
        <v>8</v>
      </c>
      <c r="K140" s="206" t="s">
        <v>53</v>
      </c>
      <c r="L140" s="206" t="s">
        <v>6555</v>
      </c>
      <c r="M140" s="206" t="n">
        <f aca="false">I140-D140</f>
        <v>764</v>
      </c>
    </row>
    <row r="141" customFormat="false" ht="15" hidden="false" customHeight="true" outlineLevel="0" collapsed="false">
      <c r="A141" s="210" t="s">
        <v>7067</v>
      </c>
      <c r="B141" s="211" t="s">
        <v>7068</v>
      </c>
      <c r="C141" s="211" t="n">
        <v>2020</v>
      </c>
      <c r="D141" s="213" t="s">
        <v>7069</v>
      </c>
      <c r="E141" s="213" t="s">
        <v>7070</v>
      </c>
      <c r="F141" s="213" t="s">
        <v>207</v>
      </c>
      <c r="G141" s="214" t="s">
        <v>1174</v>
      </c>
      <c r="H141" s="214" t="s">
        <v>350</v>
      </c>
      <c r="I141" s="213" t="s">
        <v>7066</v>
      </c>
      <c r="J141" s="213" t="n">
        <v>8</v>
      </c>
      <c r="K141" s="213" t="s">
        <v>53</v>
      </c>
      <c r="L141" s="206" t="s">
        <v>6555</v>
      </c>
      <c r="M141" s="213" t="n">
        <f aca="false">I141-D141</f>
        <v>1193</v>
      </c>
    </row>
    <row r="142" customFormat="false" ht="15" hidden="false" customHeight="true" outlineLevel="0" collapsed="false">
      <c r="A142" s="203" t="s">
        <v>7071</v>
      </c>
      <c r="B142" s="193" t="s">
        <v>7072</v>
      </c>
      <c r="C142" s="193" t="n">
        <v>2017</v>
      </c>
      <c r="D142" s="206" t="s">
        <v>7073</v>
      </c>
      <c r="E142" s="205" t="s">
        <v>7074</v>
      </c>
      <c r="F142" s="206" t="s">
        <v>1068</v>
      </c>
      <c r="G142" s="206" t="s">
        <v>1174</v>
      </c>
      <c r="H142" s="205" t="s">
        <v>2176</v>
      </c>
      <c r="I142" s="206" t="s">
        <v>7066</v>
      </c>
      <c r="J142" s="206" t="n">
        <v>8</v>
      </c>
      <c r="K142" s="206" t="s">
        <v>53</v>
      </c>
      <c r="L142" s="206" t="s">
        <v>6562</v>
      </c>
      <c r="M142" s="206" t="n">
        <f aca="false">I142-D142</f>
        <v>2135</v>
      </c>
    </row>
    <row r="143" customFormat="false" ht="15" hidden="false" customHeight="true" outlineLevel="0" collapsed="false">
      <c r="A143" s="210" t="s">
        <v>7075</v>
      </c>
      <c r="B143" s="211" t="s">
        <v>7076</v>
      </c>
      <c r="C143" s="211" t="n">
        <v>2017</v>
      </c>
      <c r="D143" s="215" t="n">
        <v>42833</v>
      </c>
      <c r="E143" s="213" t="s">
        <v>7077</v>
      </c>
      <c r="F143" s="213" t="s">
        <v>1068</v>
      </c>
      <c r="G143" s="214" t="s">
        <v>1174</v>
      </c>
      <c r="H143" s="214" t="s">
        <v>7078</v>
      </c>
      <c r="I143" s="213" t="s">
        <v>7066</v>
      </c>
      <c r="J143" s="213" t="n">
        <v>8</v>
      </c>
      <c r="K143" s="213" t="s">
        <v>53</v>
      </c>
      <c r="L143" s="206" t="s">
        <v>6562</v>
      </c>
      <c r="M143" s="213" t="n">
        <f aca="false">I143-D143</f>
        <v>2336</v>
      </c>
    </row>
    <row r="144" customFormat="false" ht="15" hidden="false" customHeight="true" outlineLevel="0" collapsed="false">
      <c r="A144" s="203" t="s">
        <v>7079</v>
      </c>
      <c r="B144" s="193" t="s">
        <v>7080</v>
      </c>
      <c r="C144" s="193" t="n">
        <v>2022</v>
      </c>
      <c r="D144" s="206" t="s">
        <v>7081</v>
      </c>
      <c r="E144" s="205" t="s">
        <v>7082</v>
      </c>
      <c r="F144" s="206" t="s">
        <v>1324</v>
      </c>
      <c r="G144" s="206" t="s">
        <v>1174</v>
      </c>
      <c r="H144" s="205" t="s">
        <v>573</v>
      </c>
      <c r="I144" s="207" t="n">
        <v>45170</v>
      </c>
      <c r="J144" s="206" t="n">
        <v>9</v>
      </c>
      <c r="K144" s="206" t="s">
        <v>53</v>
      </c>
      <c r="L144" s="206" t="s">
        <v>6562</v>
      </c>
      <c r="M144" s="436" t="n">
        <f aca="false">I144-D144</f>
        <v>520</v>
      </c>
    </row>
    <row r="145" customFormat="false" ht="15" hidden="false" customHeight="true" outlineLevel="0" collapsed="false">
      <c r="A145" s="210" t="s">
        <v>7083</v>
      </c>
      <c r="B145" s="211" t="s">
        <v>7084</v>
      </c>
      <c r="C145" s="211" t="n">
        <v>2017</v>
      </c>
      <c r="D145" s="260" t="n">
        <v>42861</v>
      </c>
      <c r="E145" s="213" t="s">
        <v>7085</v>
      </c>
      <c r="F145" s="213" t="s">
        <v>1689</v>
      </c>
      <c r="G145" s="214" t="s">
        <v>1174</v>
      </c>
      <c r="H145" s="214" t="s">
        <v>1081</v>
      </c>
      <c r="I145" s="225" t="n">
        <v>45170</v>
      </c>
      <c r="J145" s="213" t="n">
        <v>9</v>
      </c>
      <c r="K145" s="213" t="s">
        <v>53</v>
      </c>
      <c r="L145" s="206" t="s">
        <v>6555</v>
      </c>
      <c r="M145" s="213" t="n">
        <f aca="false">I145-D145</f>
        <v>2309</v>
      </c>
    </row>
    <row r="146" customFormat="false" ht="15" hidden="false" customHeight="true" outlineLevel="0" collapsed="false">
      <c r="A146" s="203" t="s">
        <v>7086</v>
      </c>
      <c r="B146" s="193" t="s">
        <v>7087</v>
      </c>
      <c r="C146" s="193" t="n">
        <v>2017</v>
      </c>
      <c r="D146" s="206" t="s">
        <v>7088</v>
      </c>
      <c r="E146" s="205" t="s">
        <v>7089</v>
      </c>
      <c r="F146" s="206" t="s">
        <v>1324</v>
      </c>
      <c r="G146" s="206" t="s">
        <v>1174</v>
      </c>
      <c r="H146" s="205" t="s">
        <v>706</v>
      </c>
      <c r="I146" s="207" t="n">
        <v>45170</v>
      </c>
      <c r="J146" s="206" t="n">
        <v>9</v>
      </c>
      <c r="K146" s="206" t="s">
        <v>53</v>
      </c>
      <c r="L146" s="206" t="s">
        <v>6562</v>
      </c>
      <c r="M146" s="436" t="n">
        <f aca="false">I146-D146</f>
        <v>2321</v>
      </c>
    </row>
    <row r="147" customFormat="false" ht="15" hidden="false" customHeight="true" outlineLevel="0" collapsed="false">
      <c r="A147" s="210" t="s">
        <v>7090</v>
      </c>
      <c r="B147" s="211" t="s">
        <v>7091</v>
      </c>
      <c r="C147" s="211" t="n">
        <v>2021</v>
      </c>
      <c r="D147" s="260" t="n">
        <v>44411</v>
      </c>
      <c r="E147" s="213" t="s">
        <v>7092</v>
      </c>
      <c r="F147" s="213" t="s">
        <v>1324</v>
      </c>
      <c r="G147" s="214" t="s">
        <v>1174</v>
      </c>
      <c r="H147" s="214" t="s">
        <v>2388</v>
      </c>
      <c r="I147" s="225" t="n">
        <v>45170</v>
      </c>
      <c r="J147" s="213" t="n">
        <v>9</v>
      </c>
      <c r="K147" s="213" t="s">
        <v>53</v>
      </c>
      <c r="L147" s="206" t="s">
        <v>6562</v>
      </c>
      <c r="M147" s="213" t="n">
        <f aca="false">I147-D147</f>
        <v>759</v>
      </c>
    </row>
    <row r="148" customFormat="false" ht="15" hidden="false" customHeight="true" outlineLevel="0" collapsed="false">
      <c r="A148" s="203" t="s">
        <v>7093</v>
      </c>
      <c r="B148" s="193" t="s">
        <v>7094</v>
      </c>
      <c r="C148" s="193" t="n">
        <v>2023</v>
      </c>
      <c r="D148" s="206" t="s">
        <v>7095</v>
      </c>
      <c r="E148" s="205" t="s">
        <v>7096</v>
      </c>
      <c r="F148" s="206" t="s">
        <v>1324</v>
      </c>
      <c r="G148" s="206" t="s">
        <v>1174</v>
      </c>
      <c r="H148" s="205" t="s">
        <v>1258</v>
      </c>
      <c r="I148" s="207" t="n">
        <v>45170</v>
      </c>
      <c r="J148" s="206" t="n">
        <v>9</v>
      </c>
      <c r="K148" s="206" t="s">
        <v>53</v>
      </c>
      <c r="L148" s="206" t="s">
        <v>6562</v>
      </c>
      <c r="M148" s="436" t="n">
        <f aca="false">I148-D148</f>
        <v>190</v>
      </c>
    </row>
    <row r="149" customFormat="false" ht="15" hidden="false" customHeight="true" outlineLevel="0" collapsed="false">
      <c r="A149" s="210" t="s">
        <v>7097</v>
      </c>
      <c r="B149" s="211" t="s">
        <v>7098</v>
      </c>
      <c r="C149" s="211" t="n">
        <v>2020</v>
      </c>
      <c r="D149" s="260" t="n">
        <v>43987</v>
      </c>
      <c r="E149" s="213" t="s">
        <v>7099</v>
      </c>
      <c r="F149" s="213" t="s">
        <v>207</v>
      </c>
      <c r="G149" s="214" t="s">
        <v>1174</v>
      </c>
      <c r="H149" s="214" t="s">
        <v>254</v>
      </c>
      <c r="I149" s="225" t="n">
        <v>45170</v>
      </c>
      <c r="J149" s="213" t="n">
        <v>9</v>
      </c>
      <c r="K149" s="213" t="s">
        <v>53</v>
      </c>
      <c r="L149" s="206" t="s">
        <v>6555</v>
      </c>
      <c r="M149" s="213" t="n">
        <f aca="false">I149-D149</f>
        <v>1183</v>
      </c>
    </row>
    <row r="150" customFormat="false" ht="15" hidden="false" customHeight="true" outlineLevel="0" collapsed="false">
      <c r="A150" s="203" t="s">
        <v>7100</v>
      </c>
      <c r="B150" s="193" t="s">
        <v>7101</v>
      </c>
      <c r="C150" s="193" t="n">
        <v>2018</v>
      </c>
      <c r="D150" s="206" t="s">
        <v>7102</v>
      </c>
      <c r="E150" s="205" t="s">
        <v>7103</v>
      </c>
      <c r="F150" s="206" t="s">
        <v>1068</v>
      </c>
      <c r="G150" s="206" t="s">
        <v>1174</v>
      </c>
      <c r="H150" s="205" t="s">
        <v>1258</v>
      </c>
      <c r="I150" s="207" t="n">
        <v>45170</v>
      </c>
      <c r="J150" s="206" t="n">
        <v>9</v>
      </c>
      <c r="K150" s="206" t="s">
        <v>53</v>
      </c>
      <c r="L150" s="206" t="s">
        <v>6562</v>
      </c>
      <c r="M150" s="436" t="n">
        <f aca="false">I150-D150</f>
        <v>1722</v>
      </c>
    </row>
    <row r="151" customFormat="false" ht="15" hidden="false" customHeight="true" outlineLevel="0" collapsed="false">
      <c r="A151" s="210" t="s">
        <v>7104</v>
      </c>
      <c r="B151" s="211" t="s">
        <v>7105</v>
      </c>
      <c r="C151" s="211" t="n">
        <v>2019</v>
      </c>
      <c r="D151" s="213" t="s">
        <v>7106</v>
      </c>
      <c r="E151" s="213" t="s">
        <v>7107</v>
      </c>
      <c r="F151" s="213" t="s">
        <v>2193</v>
      </c>
      <c r="G151" s="214" t="s">
        <v>1174</v>
      </c>
      <c r="H151" s="214" t="s">
        <v>471</v>
      </c>
      <c r="I151" s="225" t="n">
        <v>45170</v>
      </c>
      <c r="J151" s="213" t="n">
        <v>9</v>
      </c>
      <c r="K151" s="213" t="s">
        <v>53</v>
      </c>
      <c r="L151" s="206" t="s">
        <v>6562</v>
      </c>
      <c r="M151" s="437" t="n">
        <f aca="false">I151-D151</f>
        <v>1600</v>
      </c>
    </row>
    <row r="152" customFormat="false" ht="15" hidden="false" customHeight="true" outlineLevel="0" collapsed="false">
      <c r="A152" s="203" t="s">
        <v>7108</v>
      </c>
      <c r="B152" s="193" t="s">
        <v>7109</v>
      </c>
      <c r="C152" s="193" t="n">
        <v>2016</v>
      </c>
      <c r="D152" s="259" t="n">
        <v>42485</v>
      </c>
      <c r="E152" s="205" t="s">
        <v>7110</v>
      </c>
      <c r="F152" s="206" t="s">
        <v>1243</v>
      </c>
      <c r="G152" s="206" t="s">
        <v>1174</v>
      </c>
      <c r="H152" s="205" t="s">
        <v>1231</v>
      </c>
      <c r="I152" s="207" t="n">
        <v>45210</v>
      </c>
      <c r="J152" s="206" t="n">
        <v>10</v>
      </c>
      <c r="K152" s="206" t="s">
        <v>53</v>
      </c>
      <c r="L152" s="206" t="s">
        <v>6562</v>
      </c>
      <c r="M152" s="206" t="n">
        <f aca="false">I152-D152</f>
        <v>2725</v>
      </c>
    </row>
    <row r="153" customFormat="false" ht="15" hidden="false" customHeight="true" outlineLevel="0" collapsed="false">
      <c r="A153" s="210" t="s">
        <v>7111</v>
      </c>
      <c r="B153" s="211" t="s">
        <v>7112</v>
      </c>
      <c r="C153" s="211" t="n">
        <v>2018</v>
      </c>
      <c r="D153" s="260" t="n">
        <v>43158</v>
      </c>
      <c r="E153" s="213" t="s">
        <v>7113</v>
      </c>
      <c r="F153" s="213" t="s">
        <v>569</v>
      </c>
      <c r="G153" s="214" t="s">
        <v>1174</v>
      </c>
      <c r="H153" s="214" t="s">
        <v>223</v>
      </c>
      <c r="I153" s="225" t="n">
        <v>45210</v>
      </c>
      <c r="J153" s="213" t="n">
        <v>10</v>
      </c>
      <c r="K153" s="213" t="s">
        <v>53</v>
      </c>
      <c r="L153" s="206" t="s">
        <v>6555</v>
      </c>
      <c r="M153" s="213" t="n">
        <f aca="false">I153-D153</f>
        <v>2052</v>
      </c>
    </row>
    <row r="154" customFormat="false" ht="15" hidden="false" customHeight="true" outlineLevel="0" collapsed="false">
      <c r="A154" s="203" t="s">
        <v>7114</v>
      </c>
      <c r="B154" s="193" t="s">
        <v>7115</v>
      </c>
      <c r="C154" s="193" t="n">
        <v>2022</v>
      </c>
      <c r="D154" s="259" t="n">
        <v>44830</v>
      </c>
      <c r="E154" s="205" t="s">
        <v>7116</v>
      </c>
      <c r="F154" s="206" t="s">
        <v>569</v>
      </c>
      <c r="G154" s="206" t="s">
        <v>1174</v>
      </c>
      <c r="H154" s="205" t="s">
        <v>7117</v>
      </c>
      <c r="I154" s="207" t="n">
        <v>45210</v>
      </c>
      <c r="J154" s="206" t="n">
        <v>10</v>
      </c>
      <c r="K154" s="206" t="s">
        <v>53</v>
      </c>
      <c r="L154" s="206" t="s">
        <v>6555</v>
      </c>
      <c r="M154" s="206" t="n">
        <f aca="false">I154-D154</f>
        <v>380</v>
      </c>
    </row>
    <row r="155" customFormat="false" ht="15" hidden="false" customHeight="true" outlineLevel="0" collapsed="false">
      <c r="A155" s="210" t="s">
        <v>7118</v>
      </c>
      <c r="B155" s="211" t="s">
        <v>7119</v>
      </c>
      <c r="C155" s="211" t="n">
        <v>2017</v>
      </c>
      <c r="D155" s="260" t="n">
        <v>43007</v>
      </c>
      <c r="E155" s="213" t="s">
        <v>7120</v>
      </c>
      <c r="F155" s="213" t="s">
        <v>569</v>
      </c>
      <c r="G155" s="214" t="s">
        <v>1174</v>
      </c>
      <c r="H155" s="214" t="s">
        <v>310</v>
      </c>
      <c r="I155" s="225" t="n">
        <v>45210</v>
      </c>
      <c r="J155" s="213" t="n">
        <v>10</v>
      </c>
      <c r="K155" s="213" t="s">
        <v>53</v>
      </c>
      <c r="L155" s="206" t="s">
        <v>6555</v>
      </c>
      <c r="M155" s="213" t="n">
        <f aca="false">I155-D155</f>
        <v>2203</v>
      </c>
    </row>
    <row r="156" customFormat="false" ht="15" hidden="false" customHeight="true" outlineLevel="0" collapsed="false">
      <c r="A156" s="203" t="s">
        <v>7121</v>
      </c>
      <c r="B156" s="193" t="s">
        <v>7122</v>
      </c>
      <c r="C156" s="193" t="n">
        <v>2020</v>
      </c>
      <c r="D156" s="259" t="n">
        <v>43978</v>
      </c>
      <c r="E156" s="205" t="s">
        <v>7123</v>
      </c>
      <c r="F156" s="206" t="s">
        <v>569</v>
      </c>
      <c r="G156" s="206" t="s">
        <v>1174</v>
      </c>
      <c r="H156" s="205" t="s">
        <v>243</v>
      </c>
      <c r="I156" s="207" t="n">
        <v>45210</v>
      </c>
      <c r="J156" s="206" t="n">
        <v>10</v>
      </c>
      <c r="K156" s="213" t="s">
        <v>53</v>
      </c>
      <c r="L156" s="206" t="s">
        <v>6555</v>
      </c>
      <c r="M156" s="206" t="n">
        <f aca="false">I156-D156</f>
        <v>1232</v>
      </c>
    </row>
    <row r="157" customFormat="false" ht="15" hidden="false" customHeight="true" outlineLevel="0" collapsed="false">
      <c r="A157" s="210" t="s">
        <v>7124</v>
      </c>
      <c r="B157" s="211" t="s">
        <v>7125</v>
      </c>
      <c r="C157" s="211" t="n">
        <v>2017</v>
      </c>
      <c r="D157" s="260" t="n">
        <v>42863</v>
      </c>
      <c r="E157" s="213" t="s">
        <v>7126</v>
      </c>
      <c r="F157" s="213" t="s">
        <v>7127</v>
      </c>
      <c r="G157" s="214" t="s">
        <v>1174</v>
      </c>
      <c r="H157" s="214" t="s">
        <v>1538</v>
      </c>
      <c r="I157" s="225" t="n">
        <v>45210</v>
      </c>
      <c r="J157" s="213" t="n">
        <v>10</v>
      </c>
      <c r="K157" s="213" t="s">
        <v>53</v>
      </c>
      <c r="L157" s="206" t="s">
        <v>6562</v>
      </c>
      <c r="M157" s="213" t="n">
        <f aca="false">I157-D157</f>
        <v>2347</v>
      </c>
    </row>
    <row r="158" customFormat="false" ht="15" hidden="false" customHeight="true" outlineLevel="0" collapsed="false">
      <c r="A158" s="203" t="s">
        <v>7128</v>
      </c>
      <c r="B158" s="193" t="s">
        <v>7129</v>
      </c>
      <c r="C158" s="193" t="n">
        <v>2017</v>
      </c>
      <c r="D158" s="259" t="n">
        <v>43049</v>
      </c>
      <c r="E158" s="205" t="s">
        <v>7130</v>
      </c>
      <c r="F158" s="206" t="s">
        <v>1262</v>
      </c>
      <c r="G158" s="206" t="s">
        <v>1174</v>
      </c>
      <c r="H158" s="205" t="s">
        <v>192</v>
      </c>
      <c r="I158" s="207" t="n">
        <v>45210</v>
      </c>
      <c r="J158" s="206" t="n">
        <v>10</v>
      </c>
      <c r="K158" s="206" t="s">
        <v>53</v>
      </c>
      <c r="L158" s="206" t="s">
        <v>6555</v>
      </c>
      <c r="M158" s="206" t="n">
        <f aca="false">I158-D158</f>
        <v>2161</v>
      </c>
    </row>
    <row r="159" customFormat="false" ht="15" hidden="false" customHeight="true" outlineLevel="0" collapsed="false">
      <c r="A159" s="210" t="s">
        <v>7131</v>
      </c>
      <c r="B159" s="211" t="s">
        <v>7132</v>
      </c>
      <c r="C159" s="211" t="n">
        <v>2017</v>
      </c>
      <c r="D159" s="260" t="n">
        <v>43049</v>
      </c>
      <c r="E159" s="213" t="s">
        <v>7133</v>
      </c>
      <c r="F159" s="213" t="s">
        <v>2202</v>
      </c>
      <c r="G159" s="214" t="s">
        <v>1174</v>
      </c>
      <c r="H159" s="214" t="s">
        <v>706</v>
      </c>
      <c r="I159" s="225" t="n">
        <v>45210</v>
      </c>
      <c r="J159" s="213" t="n">
        <v>10</v>
      </c>
      <c r="K159" s="213" t="s">
        <v>53</v>
      </c>
      <c r="L159" s="206" t="s">
        <v>6555</v>
      </c>
      <c r="M159" s="213" t="n">
        <f aca="false">I159-D159</f>
        <v>2161</v>
      </c>
    </row>
    <row r="160" customFormat="false" ht="15" hidden="false" customHeight="true" outlineLevel="0" collapsed="false">
      <c r="A160" s="203" t="s">
        <v>7134</v>
      </c>
      <c r="B160" s="193" t="s">
        <v>7135</v>
      </c>
      <c r="C160" s="193" t="n">
        <v>2020</v>
      </c>
      <c r="D160" s="259" t="n">
        <v>43906</v>
      </c>
      <c r="E160" s="205" t="s">
        <v>7136</v>
      </c>
      <c r="F160" s="206" t="s">
        <v>1635</v>
      </c>
      <c r="G160" s="206" t="s">
        <v>1174</v>
      </c>
      <c r="H160" s="205" t="s">
        <v>471</v>
      </c>
      <c r="I160" s="207" t="n">
        <v>45210</v>
      </c>
      <c r="J160" s="206" t="n">
        <v>10</v>
      </c>
      <c r="K160" s="206" t="s">
        <v>53</v>
      </c>
      <c r="L160" s="206" t="s">
        <v>6562</v>
      </c>
      <c r="M160" s="206" t="n">
        <f aca="false">I160-D160</f>
        <v>1304</v>
      </c>
    </row>
    <row r="161" customFormat="false" ht="15" hidden="false" customHeight="true" outlineLevel="0" collapsed="false">
      <c r="A161" s="210" t="s">
        <v>7137</v>
      </c>
      <c r="B161" s="211" t="s">
        <v>7138</v>
      </c>
      <c r="C161" s="211" t="n">
        <v>2017</v>
      </c>
      <c r="D161" s="260" t="n">
        <v>42943</v>
      </c>
      <c r="E161" s="213" t="s">
        <v>7139</v>
      </c>
      <c r="F161" s="213" t="s">
        <v>1068</v>
      </c>
      <c r="G161" s="214" t="s">
        <v>1174</v>
      </c>
      <c r="H161" s="214" t="s">
        <v>522</v>
      </c>
      <c r="I161" s="225" t="n">
        <v>45210</v>
      </c>
      <c r="J161" s="213" t="n">
        <v>10</v>
      </c>
      <c r="K161" s="213" t="s">
        <v>53</v>
      </c>
      <c r="L161" s="206" t="s">
        <v>6562</v>
      </c>
      <c r="M161" s="213" t="n">
        <f aca="false">I161-D161</f>
        <v>2267</v>
      </c>
    </row>
    <row r="162" customFormat="false" ht="15" hidden="false" customHeight="true" outlineLevel="0" collapsed="false">
      <c r="A162" s="203" t="s">
        <v>7140</v>
      </c>
      <c r="B162" s="193" t="s">
        <v>7141</v>
      </c>
      <c r="C162" s="193" t="n">
        <v>2017</v>
      </c>
      <c r="D162" s="259" t="n">
        <v>43049</v>
      </c>
      <c r="E162" s="205" t="s">
        <v>7142</v>
      </c>
      <c r="F162" s="206" t="s">
        <v>1243</v>
      </c>
      <c r="G162" s="206" t="s">
        <v>1174</v>
      </c>
      <c r="H162" s="205" t="s">
        <v>580</v>
      </c>
      <c r="I162" s="207" t="n">
        <v>45210</v>
      </c>
      <c r="J162" s="206" t="n">
        <v>10</v>
      </c>
      <c r="K162" s="206" t="s">
        <v>53</v>
      </c>
      <c r="L162" s="206" t="s">
        <v>6562</v>
      </c>
      <c r="M162" s="206" t="n">
        <f aca="false">I162-D162</f>
        <v>2161</v>
      </c>
    </row>
    <row r="163" customFormat="false" ht="15" hidden="false" customHeight="true" outlineLevel="0" collapsed="false">
      <c r="A163" s="210" t="s">
        <v>7143</v>
      </c>
      <c r="B163" s="211" t="s">
        <v>7144</v>
      </c>
      <c r="C163" s="211" t="n">
        <v>2020</v>
      </c>
      <c r="D163" s="260" t="n">
        <v>43977</v>
      </c>
      <c r="E163" s="213" t="s">
        <v>7145</v>
      </c>
      <c r="F163" s="213" t="s">
        <v>1262</v>
      </c>
      <c r="G163" s="214" t="s">
        <v>1174</v>
      </c>
      <c r="H163" s="214" t="s">
        <v>267</v>
      </c>
      <c r="I163" s="225" t="n">
        <v>45210</v>
      </c>
      <c r="J163" s="213" t="n">
        <v>10</v>
      </c>
      <c r="K163" s="213" t="s">
        <v>53</v>
      </c>
      <c r="L163" s="206" t="s">
        <v>6555</v>
      </c>
      <c r="M163" s="213" t="n">
        <f aca="false">I163-D163</f>
        <v>1233</v>
      </c>
    </row>
    <row r="164" customFormat="false" ht="15" hidden="false" customHeight="true" outlineLevel="0" collapsed="false">
      <c r="A164" s="203" t="s">
        <v>7146</v>
      </c>
      <c r="B164" s="193" t="s">
        <v>7147</v>
      </c>
      <c r="C164" s="193" t="n">
        <v>2020</v>
      </c>
      <c r="D164" s="259" t="n">
        <v>44026</v>
      </c>
      <c r="E164" s="205" t="s">
        <v>7148</v>
      </c>
      <c r="F164" s="206" t="s">
        <v>1262</v>
      </c>
      <c r="G164" s="206" t="s">
        <v>1174</v>
      </c>
      <c r="H164" s="205" t="s">
        <v>544</v>
      </c>
      <c r="I164" s="207" t="n">
        <v>45210</v>
      </c>
      <c r="J164" s="206" t="n">
        <v>10</v>
      </c>
      <c r="K164" s="206" t="s">
        <v>53</v>
      </c>
      <c r="L164" s="206" t="s">
        <v>6555</v>
      </c>
      <c r="M164" s="206" t="n">
        <f aca="false">I164-D164</f>
        <v>1184</v>
      </c>
    </row>
    <row r="165" customFormat="false" ht="15" hidden="false" customHeight="true" outlineLevel="0" collapsed="false">
      <c r="A165" s="210" t="s">
        <v>7149</v>
      </c>
      <c r="B165" s="211" t="s">
        <v>7150</v>
      </c>
      <c r="C165" s="211" t="n">
        <v>2017</v>
      </c>
      <c r="D165" s="213" t="s">
        <v>7151</v>
      </c>
      <c r="E165" s="213" t="s">
        <v>7152</v>
      </c>
      <c r="F165" s="213" t="s">
        <v>7153</v>
      </c>
      <c r="G165" s="214" t="s">
        <v>1174</v>
      </c>
      <c r="H165" s="214" t="s">
        <v>267</v>
      </c>
      <c r="I165" s="213" t="s">
        <v>7154</v>
      </c>
      <c r="J165" s="213" t="n">
        <v>10</v>
      </c>
      <c r="K165" s="213" t="s">
        <v>53</v>
      </c>
      <c r="L165" s="206" t="s">
        <v>6555</v>
      </c>
      <c r="M165" s="213" t="n">
        <f aca="false">I165-D165</f>
        <v>2220</v>
      </c>
    </row>
    <row r="166" customFormat="false" ht="15" hidden="false" customHeight="true" outlineLevel="0" collapsed="false">
      <c r="A166" s="203" t="s">
        <v>7155</v>
      </c>
      <c r="B166" s="193" t="s">
        <v>7156</v>
      </c>
      <c r="C166" s="193" t="n">
        <v>2019</v>
      </c>
      <c r="D166" s="259" t="n">
        <v>43717</v>
      </c>
      <c r="E166" s="205" t="s">
        <v>7157</v>
      </c>
      <c r="F166" s="206" t="s">
        <v>793</v>
      </c>
      <c r="G166" s="206" t="s">
        <v>1174</v>
      </c>
      <c r="H166" s="205" t="s">
        <v>267</v>
      </c>
      <c r="I166" s="206" t="s">
        <v>7154</v>
      </c>
      <c r="J166" s="206" t="n">
        <v>10</v>
      </c>
      <c r="K166" s="206" t="s">
        <v>53</v>
      </c>
      <c r="L166" s="206" t="s">
        <v>6555</v>
      </c>
      <c r="M166" s="206" t="n">
        <f aca="false">I166-D166</f>
        <v>1506</v>
      </c>
    </row>
    <row r="167" customFormat="false" ht="15" hidden="false" customHeight="true" outlineLevel="0" collapsed="false">
      <c r="A167" s="210" t="s">
        <v>7158</v>
      </c>
      <c r="B167" s="211" t="s">
        <v>7159</v>
      </c>
      <c r="C167" s="211" t="n">
        <v>2018</v>
      </c>
      <c r="D167" s="213" t="s">
        <v>7160</v>
      </c>
      <c r="E167" s="213" t="s">
        <v>7161</v>
      </c>
      <c r="F167" s="213" t="s">
        <v>569</v>
      </c>
      <c r="G167" s="214" t="s">
        <v>1174</v>
      </c>
      <c r="H167" s="214" t="s">
        <v>267</v>
      </c>
      <c r="I167" s="213" t="s">
        <v>7154</v>
      </c>
      <c r="J167" s="213" t="n">
        <v>10</v>
      </c>
      <c r="K167" s="213" t="s">
        <v>53</v>
      </c>
      <c r="L167" s="206" t="s">
        <v>6555</v>
      </c>
      <c r="M167" s="213" t="n">
        <f aca="false">I167-D167</f>
        <v>1770</v>
      </c>
    </row>
    <row r="168" customFormat="false" ht="15" hidden="false" customHeight="true" outlineLevel="0" collapsed="false">
      <c r="A168" s="203" t="s">
        <v>7162</v>
      </c>
      <c r="B168" s="193" t="s">
        <v>7163</v>
      </c>
      <c r="C168" s="193" t="n">
        <v>2021</v>
      </c>
      <c r="D168" s="206" t="s">
        <v>7164</v>
      </c>
      <c r="E168" s="205" t="s">
        <v>7165</v>
      </c>
      <c r="F168" s="206" t="s">
        <v>3072</v>
      </c>
      <c r="G168" s="206" t="s">
        <v>1174</v>
      </c>
      <c r="H168" s="205" t="s">
        <v>267</v>
      </c>
      <c r="I168" s="206" t="s">
        <v>7166</v>
      </c>
      <c r="J168" s="206" t="n">
        <v>10</v>
      </c>
      <c r="K168" s="206" t="s">
        <v>53</v>
      </c>
      <c r="L168" s="206" t="s">
        <v>6562</v>
      </c>
      <c r="M168" s="206" t="n">
        <f aca="false">I168-D168</f>
        <v>971</v>
      </c>
    </row>
    <row r="169" customFormat="false" ht="15" hidden="false" customHeight="true" outlineLevel="0" collapsed="false">
      <c r="A169" s="210" t="s">
        <v>7167</v>
      </c>
      <c r="B169" s="211" t="s">
        <v>7168</v>
      </c>
      <c r="C169" s="211" t="n">
        <v>2019</v>
      </c>
      <c r="D169" s="260" t="n">
        <v>43772</v>
      </c>
      <c r="E169" s="213" t="s">
        <v>7169</v>
      </c>
      <c r="F169" s="213" t="s">
        <v>793</v>
      </c>
      <c r="G169" s="214" t="s">
        <v>1174</v>
      </c>
      <c r="H169" s="214" t="s">
        <v>223</v>
      </c>
      <c r="I169" s="213" t="s">
        <v>7166</v>
      </c>
      <c r="J169" s="213" t="n">
        <v>10</v>
      </c>
      <c r="K169" s="213" t="s">
        <v>53</v>
      </c>
      <c r="L169" s="206" t="s">
        <v>6555</v>
      </c>
      <c r="M169" s="213" t="n">
        <f aca="false">I169-D169</f>
        <v>1453</v>
      </c>
    </row>
    <row r="170" customFormat="false" ht="15" hidden="false" customHeight="true" outlineLevel="0" collapsed="false">
      <c r="A170" s="203" t="s">
        <v>7170</v>
      </c>
      <c r="B170" s="193" t="s">
        <v>7171</v>
      </c>
      <c r="C170" s="193" t="n">
        <v>2015</v>
      </c>
      <c r="D170" s="206" t="s">
        <v>7172</v>
      </c>
      <c r="E170" s="205" t="s">
        <v>7173</v>
      </c>
      <c r="F170" s="206" t="s">
        <v>793</v>
      </c>
      <c r="G170" s="206" t="s">
        <v>1174</v>
      </c>
      <c r="H170" s="205" t="s">
        <v>192</v>
      </c>
      <c r="I170" s="206" t="s">
        <v>7166</v>
      </c>
      <c r="J170" s="206" t="n">
        <v>10</v>
      </c>
      <c r="K170" s="206" t="s">
        <v>53</v>
      </c>
      <c r="L170" s="206" t="s">
        <v>6555</v>
      </c>
      <c r="M170" s="206" t="n">
        <f aca="false">I170-D170</f>
        <v>2922</v>
      </c>
    </row>
    <row r="171" customFormat="false" ht="15" hidden="false" customHeight="true" outlineLevel="0" collapsed="false">
      <c r="A171" s="210" t="s">
        <v>7174</v>
      </c>
      <c r="B171" s="211" t="s">
        <v>7175</v>
      </c>
      <c r="C171" s="211" t="n">
        <v>2018</v>
      </c>
      <c r="D171" s="213" t="s">
        <v>7176</v>
      </c>
      <c r="E171" s="213" t="s">
        <v>7177</v>
      </c>
      <c r="F171" s="213" t="s">
        <v>569</v>
      </c>
      <c r="G171" s="214" t="s">
        <v>1174</v>
      </c>
      <c r="H171" s="214" t="s">
        <v>522</v>
      </c>
      <c r="I171" s="213" t="s">
        <v>7166</v>
      </c>
      <c r="J171" s="213" t="n">
        <v>10</v>
      </c>
      <c r="K171" s="213" t="s">
        <v>53</v>
      </c>
      <c r="L171" s="206" t="s">
        <v>6555</v>
      </c>
      <c r="M171" s="213" t="n">
        <f aca="false">I171-D171</f>
        <v>1869</v>
      </c>
    </row>
    <row r="172" customFormat="false" ht="15" hidden="false" customHeight="true" outlineLevel="0" collapsed="false">
      <c r="A172" s="203" t="s">
        <v>7178</v>
      </c>
      <c r="B172" s="193" t="s">
        <v>7179</v>
      </c>
      <c r="C172" s="193" t="n">
        <v>2018</v>
      </c>
      <c r="D172" s="206" t="s">
        <v>7180</v>
      </c>
      <c r="E172" s="205" t="s">
        <v>7181</v>
      </c>
      <c r="F172" s="206" t="s">
        <v>793</v>
      </c>
      <c r="G172" s="206" t="s">
        <v>1174</v>
      </c>
      <c r="H172" s="205" t="s">
        <v>2388</v>
      </c>
      <c r="I172" s="206" t="s">
        <v>7182</v>
      </c>
      <c r="J172" s="206" t="n">
        <v>10</v>
      </c>
      <c r="K172" s="206" t="s">
        <v>53</v>
      </c>
      <c r="L172" s="206" t="s">
        <v>6555</v>
      </c>
      <c r="M172" s="206" t="n">
        <f aca="false">I172-D172</f>
        <v>1960</v>
      </c>
    </row>
    <row r="173" customFormat="false" ht="15" hidden="false" customHeight="true" outlineLevel="0" collapsed="false">
      <c r="A173" s="210" t="s">
        <v>7183</v>
      </c>
      <c r="B173" s="211" t="s">
        <v>7184</v>
      </c>
      <c r="C173" s="211" t="n">
        <v>2018</v>
      </c>
      <c r="D173" s="260" t="n">
        <v>43434</v>
      </c>
      <c r="E173" s="213" t="s">
        <v>7185</v>
      </c>
      <c r="F173" s="213" t="s">
        <v>569</v>
      </c>
      <c r="G173" s="214" t="s">
        <v>1174</v>
      </c>
      <c r="H173" s="214" t="s">
        <v>570</v>
      </c>
      <c r="I173" s="225" t="n">
        <v>45251</v>
      </c>
      <c r="J173" s="213" t="n">
        <v>11</v>
      </c>
      <c r="K173" s="213" t="s">
        <v>53</v>
      </c>
      <c r="L173" s="206" t="s">
        <v>6555</v>
      </c>
      <c r="M173" s="213" t="n">
        <f aca="false">I173-D173</f>
        <v>1817</v>
      </c>
    </row>
    <row r="174" customFormat="false" ht="12.75" hidden="false" customHeight="true" outlineLevel="0" collapsed="false">
      <c r="A174" s="203" t="s">
        <v>7186</v>
      </c>
      <c r="B174" s="193" t="s">
        <v>7187</v>
      </c>
      <c r="C174" s="193" t="n">
        <v>2023</v>
      </c>
      <c r="D174" s="259" t="n">
        <v>44970</v>
      </c>
      <c r="E174" s="205" t="s">
        <v>7188</v>
      </c>
      <c r="F174" s="206" t="s">
        <v>7189</v>
      </c>
      <c r="G174" s="206" t="s">
        <v>1174</v>
      </c>
      <c r="H174" s="205" t="s">
        <v>544</v>
      </c>
      <c r="I174" s="207" t="n">
        <v>45258</v>
      </c>
      <c r="J174" s="206" t="n">
        <v>11</v>
      </c>
      <c r="K174" s="206" t="s">
        <v>53</v>
      </c>
      <c r="L174" s="206" t="s">
        <v>6555</v>
      </c>
      <c r="M174" s="206" t="n">
        <f aca="false">I174-D174</f>
        <v>288</v>
      </c>
    </row>
    <row r="175" customFormat="false" ht="12.75" hidden="false" customHeight="true" outlineLevel="0" collapsed="false">
      <c r="A175" s="210" t="s">
        <v>7190</v>
      </c>
      <c r="B175" s="211" t="s">
        <v>7191</v>
      </c>
      <c r="C175" s="211" t="n">
        <v>2020</v>
      </c>
      <c r="D175" s="260" t="n">
        <v>43950</v>
      </c>
      <c r="E175" s="213" t="s">
        <v>7192</v>
      </c>
      <c r="F175" s="213" t="s">
        <v>5519</v>
      </c>
      <c r="G175" s="214" t="s">
        <v>1188</v>
      </c>
      <c r="H175" s="214" t="s">
        <v>373</v>
      </c>
      <c r="I175" s="225" t="n">
        <v>45258</v>
      </c>
      <c r="J175" s="213" t="n">
        <v>11</v>
      </c>
      <c r="K175" s="213" t="s">
        <v>1187</v>
      </c>
      <c r="L175" s="206" t="s">
        <v>6555</v>
      </c>
      <c r="M175" s="213" t="n">
        <f aca="false">I175-D175</f>
        <v>1308</v>
      </c>
    </row>
    <row r="176" customFormat="false" ht="12.75" hidden="false" customHeight="true" outlineLevel="0" collapsed="false">
      <c r="A176" s="203" t="s">
        <v>7193</v>
      </c>
      <c r="B176" s="193" t="s">
        <v>7194</v>
      </c>
      <c r="C176" s="193" t="n">
        <v>2021</v>
      </c>
      <c r="D176" s="259" t="n">
        <v>44252</v>
      </c>
      <c r="E176" s="205" t="s">
        <v>7195</v>
      </c>
      <c r="F176" s="206" t="s">
        <v>650</v>
      </c>
      <c r="G176" s="206" t="s">
        <v>1174</v>
      </c>
      <c r="H176" s="205" t="s">
        <v>522</v>
      </c>
      <c r="I176" s="207" t="n">
        <v>45258</v>
      </c>
      <c r="J176" s="206" t="n">
        <v>11</v>
      </c>
      <c r="K176" s="206" t="s">
        <v>53</v>
      </c>
      <c r="L176" s="206" t="s">
        <v>6555</v>
      </c>
      <c r="M176" s="206" t="n">
        <f aca="false">I176-D176</f>
        <v>1006</v>
      </c>
    </row>
    <row r="177" customFormat="false" ht="12.75" hidden="false" customHeight="true" outlineLevel="0" collapsed="false">
      <c r="A177" s="210" t="s">
        <v>7196</v>
      </c>
      <c r="B177" s="211" t="s">
        <v>7197</v>
      </c>
      <c r="C177" s="211" t="n">
        <v>2020</v>
      </c>
      <c r="D177" s="260" t="n">
        <v>44139</v>
      </c>
      <c r="E177" s="213" t="s">
        <v>7198</v>
      </c>
      <c r="F177" s="213" t="s">
        <v>650</v>
      </c>
      <c r="G177" s="214" t="s">
        <v>1174</v>
      </c>
      <c r="H177" s="214" t="s">
        <v>1571</v>
      </c>
      <c r="I177" s="225" t="n">
        <v>45258</v>
      </c>
      <c r="J177" s="213" t="n">
        <v>11</v>
      </c>
      <c r="K177" s="213" t="s">
        <v>53</v>
      </c>
      <c r="L177" s="206" t="s">
        <v>6555</v>
      </c>
      <c r="M177" s="213" t="n">
        <f aca="false">I177-D177</f>
        <v>1119</v>
      </c>
    </row>
    <row r="178" customFormat="false" ht="12.75" hidden="false" customHeight="true" outlineLevel="0" collapsed="false">
      <c r="A178" s="203" t="s">
        <v>7199</v>
      </c>
      <c r="B178" s="193" t="s">
        <v>7200</v>
      </c>
      <c r="C178" s="193" t="n">
        <v>2018</v>
      </c>
      <c r="D178" s="259" t="n">
        <v>43208</v>
      </c>
      <c r="E178" s="205" t="s">
        <v>7201</v>
      </c>
      <c r="F178" s="206" t="s">
        <v>7202</v>
      </c>
      <c r="G178" s="206" t="s">
        <v>1188</v>
      </c>
      <c r="H178" s="205" t="s">
        <v>7203</v>
      </c>
      <c r="I178" s="207" t="n">
        <v>45258</v>
      </c>
      <c r="J178" s="206" t="n">
        <v>11</v>
      </c>
      <c r="K178" s="206" t="s">
        <v>1187</v>
      </c>
      <c r="L178" s="206" t="s">
        <v>6562</v>
      </c>
      <c r="M178" s="206" t="n">
        <f aca="false">I178-D178</f>
        <v>2050</v>
      </c>
    </row>
    <row r="179" customFormat="false" ht="15" hidden="false" customHeight="true" outlineLevel="0" collapsed="false">
      <c r="A179" s="210" t="s">
        <v>7204</v>
      </c>
      <c r="B179" s="211" t="s">
        <v>7205</v>
      </c>
      <c r="C179" s="211" t="n">
        <v>2015</v>
      </c>
      <c r="D179" s="260" t="n">
        <v>42184</v>
      </c>
      <c r="E179" s="213" t="s">
        <v>7206</v>
      </c>
      <c r="F179" s="213" t="s">
        <v>7207</v>
      </c>
      <c r="G179" s="214" t="s">
        <v>1188</v>
      </c>
      <c r="H179" s="214" t="s">
        <v>254</v>
      </c>
      <c r="I179" s="225" t="n">
        <v>45258</v>
      </c>
      <c r="J179" s="213" t="n">
        <v>11</v>
      </c>
      <c r="K179" s="213" t="s">
        <v>1187</v>
      </c>
      <c r="L179" s="206" t="s">
        <v>6555</v>
      </c>
      <c r="M179" s="213" t="n">
        <f aca="false">I179-D179</f>
        <v>3074</v>
      </c>
    </row>
    <row r="180" customFormat="false" ht="15" hidden="false" customHeight="true" outlineLevel="0" collapsed="false">
      <c r="A180" s="203" t="s">
        <v>7208</v>
      </c>
      <c r="B180" s="193" t="s">
        <v>7209</v>
      </c>
      <c r="C180" s="193" t="n">
        <v>2014</v>
      </c>
      <c r="D180" s="259" t="n">
        <v>41851</v>
      </c>
      <c r="E180" s="205" t="s">
        <v>7210</v>
      </c>
      <c r="F180" s="206" t="s">
        <v>1050</v>
      </c>
      <c r="G180" s="206" t="s">
        <v>1188</v>
      </c>
      <c r="H180" s="205" t="s">
        <v>697</v>
      </c>
      <c r="I180" s="207" t="n">
        <v>45260</v>
      </c>
      <c r="J180" s="206" t="n">
        <v>11</v>
      </c>
      <c r="K180" s="206" t="s">
        <v>1187</v>
      </c>
      <c r="L180" s="206" t="s">
        <v>6555</v>
      </c>
      <c r="M180" s="206" t="n">
        <f aca="false">I180-D180</f>
        <v>3409</v>
      </c>
    </row>
    <row r="181" customFormat="false" ht="12.75" hidden="false" customHeight="true" outlineLevel="0" collapsed="false">
      <c r="A181" s="210" t="s">
        <v>7211</v>
      </c>
      <c r="B181" s="211" t="s">
        <v>7212</v>
      </c>
      <c r="C181" s="211" t="n">
        <v>2021</v>
      </c>
      <c r="D181" s="260" t="n">
        <v>44435</v>
      </c>
      <c r="E181" s="213" t="s">
        <v>7213</v>
      </c>
      <c r="F181" s="213" t="s">
        <v>3072</v>
      </c>
      <c r="G181" s="214" t="s">
        <v>1174</v>
      </c>
      <c r="H181" s="214" t="s">
        <v>354</v>
      </c>
      <c r="I181" s="225" t="n">
        <v>45265</v>
      </c>
      <c r="J181" s="213" t="n">
        <v>12</v>
      </c>
      <c r="K181" s="213" t="s">
        <v>53</v>
      </c>
      <c r="L181" s="206" t="s">
        <v>6562</v>
      </c>
      <c r="M181" s="213" t="n">
        <f aca="false">I181-D181</f>
        <v>830</v>
      </c>
    </row>
    <row r="182" customFormat="false" ht="12.75" hidden="false" customHeight="true" outlineLevel="0" collapsed="false">
      <c r="A182" s="203" t="s">
        <v>7214</v>
      </c>
      <c r="B182" s="193" t="s">
        <v>7215</v>
      </c>
      <c r="C182" s="193" t="n">
        <v>2019</v>
      </c>
      <c r="D182" s="259" t="n">
        <v>43627</v>
      </c>
      <c r="E182" s="205" t="s">
        <v>7216</v>
      </c>
      <c r="F182" s="206" t="s">
        <v>3072</v>
      </c>
      <c r="G182" s="206" t="s">
        <v>1174</v>
      </c>
      <c r="H182" s="205" t="s">
        <v>471</v>
      </c>
      <c r="I182" s="207" t="n">
        <v>45265</v>
      </c>
      <c r="J182" s="206" t="n">
        <v>12</v>
      </c>
      <c r="K182" s="206" t="s">
        <v>53</v>
      </c>
      <c r="L182" s="206" t="s">
        <v>6562</v>
      </c>
      <c r="M182" s="206" t="n">
        <f aca="false">I182-D182</f>
        <v>1638</v>
      </c>
    </row>
    <row r="183" customFormat="false" ht="12.75" hidden="false" customHeight="true" outlineLevel="0" collapsed="false">
      <c r="A183" s="210" t="s">
        <v>7217</v>
      </c>
      <c r="B183" s="211" t="s">
        <v>7218</v>
      </c>
      <c r="C183" s="211" t="n">
        <v>2016</v>
      </c>
      <c r="D183" s="260" t="n">
        <v>42585</v>
      </c>
      <c r="E183" s="213" t="s">
        <v>7219</v>
      </c>
      <c r="F183" s="213" t="s">
        <v>569</v>
      </c>
      <c r="G183" s="214" t="s">
        <v>1174</v>
      </c>
      <c r="H183" s="214" t="s">
        <v>354</v>
      </c>
      <c r="I183" s="225" t="n">
        <v>45265</v>
      </c>
      <c r="J183" s="213" t="n">
        <v>12</v>
      </c>
      <c r="K183" s="213" t="s">
        <v>53</v>
      </c>
      <c r="L183" s="206" t="s">
        <v>6555</v>
      </c>
      <c r="M183" s="213" t="n">
        <f aca="false">I183-D183</f>
        <v>2680</v>
      </c>
    </row>
    <row r="184" customFormat="false" ht="12.75" hidden="false" customHeight="true" outlineLevel="0" collapsed="false">
      <c r="A184" s="203" t="s">
        <v>7220</v>
      </c>
      <c r="B184" s="193" t="s">
        <v>7221</v>
      </c>
      <c r="C184" s="193" t="n">
        <v>2019</v>
      </c>
      <c r="D184" s="259" t="n">
        <v>43798</v>
      </c>
      <c r="E184" s="205" t="s">
        <v>7222</v>
      </c>
      <c r="F184" s="206" t="s">
        <v>650</v>
      </c>
      <c r="G184" s="206" t="s">
        <v>1174</v>
      </c>
      <c r="H184" s="205" t="s">
        <v>354</v>
      </c>
      <c r="I184" s="207" t="n">
        <v>45265</v>
      </c>
      <c r="J184" s="206" t="n">
        <v>12</v>
      </c>
      <c r="K184" s="206" t="s">
        <v>53</v>
      </c>
      <c r="L184" s="206" t="s">
        <v>6555</v>
      </c>
      <c r="M184" s="206" t="n">
        <f aca="false">I184-D184</f>
        <v>1467</v>
      </c>
    </row>
    <row r="185" customFormat="false" ht="12.75" hidden="false" customHeight="true" outlineLevel="0" collapsed="false">
      <c r="A185" s="210" t="s">
        <v>7223</v>
      </c>
      <c r="B185" s="211" t="s">
        <v>7224</v>
      </c>
      <c r="C185" s="211" t="n">
        <v>2019</v>
      </c>
      <c r="D185" s="260" t="n">
        <v>43696</v>
      </c>
      <c r="E185" s="213" t="s">
        <v>7225</v>
      </c>
      <c r="F185" s="213" t="s">
        <v>650</v>
      </c>
      <c r="G185" s="214" t="s">
        <v>1174</v>
      </c>
      <c r="H185" s="214" t="s">
        <v>192</v>
      </c>
      <c r="I185" s="225" t="n">
        <v>45265</v>
      </c>
      <c r="J185" s="213" t="n">
        <v>12</v>
      </c>
      <c r="K185" s="213" t="s">
        <v>53</v>
      </c>
      <c r="L185" s="206" t="s">
        <v>6555</v>
      </c>
      <c r="M185" s="213" t="n">
        <f aca="false">I185-D185</f>
        <v>1569</v>
      </c>
    </row>
    <row r="186" customFormat="false" ht="12.75" hidden="false" customHeight="true" outlineLevel="0" collapsed="false">
      <c r="A186" s="203" t="s">
        <v>7226</v>
      </c>
      <c r="B186" s="193" t="s">
        <v>7227</v>
      </c>
      <c r="C186" s="193" t="n">
        <v>2021</v>
      </c>
      <c r="D186" s="259" t="n">
        <v>44281</v>
      </c>
      <c r="E186" s="205" t="s">
        <v>7228</v>
      </c>
      <c r="F186" s="206" t="s">
        <v>123</v>
      </c>
      <c r="G186" s="206" t="s">
        <v>1174</v>
      </c>
      <c r="H186" s="205" t="s">
        <v>1740</v>
      </c>
      <c r="I186" s="207" t="n">
        <v>45265</v>
      </c>
      <c r="J186" s="206" t="n">
        <v>12</v>
      </c>
      <c r="K186" s="206" t="s">
        <v>53</v>
      </c>
      <c r="L186" s="206" t="s">
        <v>6555</v>
      </c>
      <c r="M186" s="206" t="n">
        <f aca="false">I186-D186</f>
        <v>984</v>
      </c>
    </row>
    <row r="187" customFormat="false" ht="15.75" hidden="false" customHeight="true" outlineLevel="0" collapsed="false">
      <c r="A187" s="210" t="s">
        <v>7229</v>
      </c>
      <c r="B187" s="211" t="s">
        <v>7230</v>
      </c>
      <c r="C187" s="211" t="n">
        <v>2017</v>
      </c>
      <c r="D187" s="260" t="n">
        <v>42997</v>
      </c>
      <c r="E187" s="213" t="s">
        <v>7231</v>
      </c>
      <c r="F187" s="213" t="s">
        <v>7189</v>
      </c>
      <c r="G187" s="214" t="s">
        <v>1174</v>
      </c>
      <c r="H187" s="214" t="s">
        <v>3046</v>
      </c>
      <c r="I187" s="225" t="n">
        <v>45265</v>
      </c>
      <c r="J187" s="213" t="n">
        <v>12</v>
      </c>
      <c r="K187" s="213" t="s">
        <v>53</v>
      </c>
      <c r="L187" s="206" t="s">
        <v>6555</v>
      </c>
      <c r="M187" s="213" t="n">
        <f aca="false">I187-D187</f>
        <v>2268</v>
      </c>
    </row>
    <row r="188" customFormat="false" ht="12.75" hidden="false" customHeight="true" outlineLevel="0" collapsed="false">
      <c r="A188" s="203" t="s">
        <v>7232</v>
      </c>
      <c r="B188" s="193" t="s">
        <v>7233</v>
      </c>
      <c r="C188" s="193" t="n">
        <v>2017</v>
      </c>
      <c r="D188" s="259" t="n">
        <v>43042</v>
      </c>
      <c r="E188" s="205" t="s">
        <v>7234</v>
      </c>
      <c r="F188" s="206" t="s">
        <v>793</v>
      </c>
      <c r="G188" s="206" t="s">
        <v>1174</v>
      </c>
      <c r="H188" s="205" t="s">
        <v>263</v>
      </c>
      <c r="I188" s="207" t="n">
        <v>45265</v>
      </c>
      <c r="J188" s="206" t="n">
        <v>12</v>
      </c>
      <c r="K188" s="206" t="s">
        <v>53</v>
      </c>
      <c r="L188" s="206" t="s">
        <v>6555</v>
      </c>
      <c r="M188" s="206" t="n">
        <f aca="false">I188-D188</f>
        <v>2223</v>
      </c>
    </row>
    <row r="189" customFormat="false" ht="12.75" hidden="false" customHeight="true" outlineLevel="0" collapsed="false">
      <c r="A189" s="210" t="s">
        <v>7235</v>
      </c>
      <c r="B189" s="211" t="s">
        <v>7236</v>
      </c>
      <c r="C189" s="211" t="n">
        <v>2017</v>
      </c>
      <c r="D189" s="260" t="n">
        <v>42998</v>
      </c>
      <c r="E189" s="213" t="s">
        <v>7237</v>
      </c>
      <c r="F189" s="213" t="s">
        <v>1068</v>
      </c>
      <c r="G189" s="214" t="s">
        <v>1174</v>
      </c>
      <c r="H189" s="214" t="s">
        <v>3901</v>
      </c>
      <c r="I189" s="225" t="n">
        <v>45265</v>
      </c>
      <c r="J189" s="213" t="n">
        <v>12</v>
      </c>
      <c r="K189" s="213" t="s">
        <v>53</v>
      </c>
      <c r="L189" s="206" t="s">
        <v>6562</v>
      </c>
      <c r="M189" s="213" t="n">
        <f aca="false">I189-D189</f>
        <v>2267</v>
      </c>
    </row>
    <row r="190" customFormat="false" ht="12.75" hidden="false" customHeight="true" outlineLevel="0" collapsed="false">
      <c r="A190" s="203" t="s">
        <v>7238</v>
      </c>
      <c r="B190" s="193" t="s">
        <v>7239</v>
      </c>
      <c r="C190" s="193" t="n">
        <v>2018</v>
      </c>
      <c r="D190" s="259" t="n">
        <v>43152</v>
      </c>
      <c r="E190" s="205" t="s">
        <v>7240</v>
      </c>
      <c r="F190" s="206" t="s">
        <v>569</v>
      </c>
      <c r="G190" s="206" t="s">
        <v>1174</v>
      </c>
      <c r="H190" s="205" t="s">
        <v>192</v>
      </c>
      <c r="I190" s="207" t="n">
        <v>45288</v>
      </c>
      <c r="J190" s="206" t="n">
        <v>12</v>
      </c>
      <c r="K190" s="213" t="s">
        <v>53</v>
      </c>
      <c r="L190" s="206" t="s">
        <v>6555</v>
      </c>
      <c r="M190" s="206" t="n">
        <f aca="false">I190-D190</f>
        <v>2136</v>
      </c>
    </row>
    <row r="191" customFormat="false" ht="12.75" hidden="false" customHeight="true" outlineLevel="0" collapsed="false">
      <c r="A191" s="210" t="s">
        <v>7241</v>
      </c>
      <c r="B191" s="211" t="s">
        <v>7242</v>
      </c>
      <c r="C191" s="211" t="n">
        <v>2022</v>
      </c>
      <c r="D191" s="260" t="n">
        <v>44876</v>
      </c>
      <c r="E191" s="213" t="s">
        <v>7243</v>
      </c>
      <c r="F191" s="213" t="s">
        <v>1068</v>
      </c>
      <c r="G191" s="214" t="s">
        <v>1174</v>
      </c>
      <c r="H191" s="214" t="s">
        <v>522</v>
      </c>
      <c r="I191" s="225" t="n">
        <v>45288</v>
      </c>
      <c r="J191" s="213" t="n">
        <v>12</v>
      </c>
      <c r="K191" s="213" t="s">
        <v>53</v>
      </c>
      <c r="L191" s="206" t="s">
        <v>6562</v>
      </c>
      <c r="M191" s="213" t="n">
        <f aca="false">I191-D191</f>
        <v>412</v>
      </c>
    </row>
    <row r="192" customFormat="false" ht="12.75" hidden="false" customHeight="true" outlineLevel="0" collapsed="false">
      <c r="A192" s="139" t="n">
        <v>123</v>
      </c>
      <c r="B192" s="140" t="s">
        <v>7244</v>
      </c>
      <c r="C192" s="140" t="n">
        <v>2019</v>
      </c>
      <c r="D192" s="141" t="n">
        <v>43546</v>
      </c>
      <c r="E192" s="66" t="s">
        <v>7245</v>
      </c>
      <c r="F192" s="142" t="s">
        <v>7246</v>
      </c>
      <c r="G192" s="66" t="s">
        <v>144</v>
      </c>
      <c r="H192" s="142" t="s">
        <v>119</v>
      </c>
      <c r="I192" s="141" t="n">
        <v>44929</v>
      </c>
      <c r="J192" s="66" t="n">
        <v>1</v>
      </c>
      <c r="K192" s="143" t="s">
        <v>48</v>
      </c>
      <c r="L192" s="142" t="s">
        <v>58</v>
      </c>
      <c r="M192" s="66" t="n">
        <f aca="false">I192-D192</f>
        <v>1383</v>
      </c>
    </row>
    <row r="193" customFormat="false" ht="15" hidden="false" customHeight="true" outlineLevel="0" collapsed="false">
      <c r="A193" s="148" t="n">
        <v>223</v>
      </c>
      <c r="B193" s="149" t="s">
        <v>7247</v>
      </c>
      <c r="C193" s="149" t="n">
        <v>2017</v>
      </c>
      <c r="D193" s="150" t="n">
        <v>42745</v>
      </c>
      <c r="E193" s="68" t="s">
        <v>7248</v>
      </c>
      <c r="F193" s="151" t="s">
        <v>3444</v>
      </c>
      <c r="G193" s="68" t="s">
        <v>441</v>
      </c>
      <c r="H193" s="151" t="s">
        <v>192</v>
      </c>
      <c r="I193" s="150" t="n">
        <v>44932</v>
      </c>
      <c r="J193" s="68" t="n">
        <v>1</v>
      </c>
      <c r="K193" s="143" t="s">
        <v>49</v>
      </c>
      <c r="L193" s="151" t="s">
        <v>58</v>
      </c>
      <c r="M193" s="68" t="n">
        <f aca="false">I193-D193</f>
        <v>2187</v>
      </c>
    </row>
    <row r="194" customFormat="false" ht="12.75" hidden="false" customHeight="true" outlineLevel="0" collapsed="false">
      <c r="A194" s="139" t="n">
        <v>323</v>
      </c>
      <c r="B194" s="140" t="s">
        <v>7249</v>
      </c>
      <c r="C194" s="140" t="n">
        <v>2016</v>
      </c>
      <c r="D194" s="141" t="n">
        <v>42461</v>
      </c>
      <c r="E194" s="66" t="s">
        <v>7250</v>
      </c>
      <c r="F194" s="142" t="s">
        <v>512</v>
      </c>
      <c r="G194" s="66" t="s">
        <v>441</v>
      </c>
      <c r="H194" s="142" t="s">
        <v>192</v>
      </c>
      <c r="I194" s="141" t="n">
        <v>44567</v>
      </c>
      <c r="J194" s="66" t="n">
        <v>1</v>
      </c>
      <c r="K194" s="143" t="s">
        <v>49</v>
      </c>
      <c r="L194" s="142" t="s">
        <v>60</v>
      </c>
      <c r="M194" s="66" t="n">
        <f aca="false">I194-D194</f>
        <v>2106</v>
      </c>
    </row>
    <row r="195" customFormat="false" ht="12.75" hidden="false" customHeight="true" outlineLevel="0" collapsed="false">
      <c r="A195" s="148" t="n">
        <v>423</v>
      </c>
      <c r="B195" s="149" t="s">
        <v>7251</v>
      </c>
      <c r="C195" s="149" t="n">
        <v>2019</v>
      </c>
      <c r="D195" s="150" t="n">
        <v>43819</v>
      </c>
      <c r="E195" s="68" t="s">
        <v>7252</v>
      </c>
      <c r="F195" s="151" t="s">
        <v>1273</v>
      </c>
      <c r="G195" s="68" t="s">
        <v>441</v>
      </c>
      <c r="H195" s="151" t="s">
        <v>532</v>
      </c>
      <c r="I195" s="150" t="n">
        <v>44932</v>
      </c>
      <c r="J195" s="68" t="n">
        <v>1</v>
      </c>
      <c r="K195" s="143" t="s">
        <v>48</v>
      </c>
      <c r="L195" s="151" t="s">
        <v>60</v>
      </c>
      <c r="M195" s="68" t="n">
        <f aca="false">I195-D195</f>
        <v>1113</v>
      </c>
    </row>
    <row r="196" customFormat="false" ht="12.75" hidden="false" customHeight="true" outlineLevel="0" collapsed="false">
      <c r="A196" s="139" t="n">
        <v>523</v>
      </c>
      <c r="B196" s="140" t="s">
        <v>7253</v>
      </c>
      <c r="C196" s="140" t="n">
        <v>2018</v>
      </c>
      <c r="D196" s="141" t="n">
        <v>43343</v>
      </c>
      <c r="E196" s="66" t="s">
        <v>7254</v>
      </c>
      <c r="F196" s="142" t="s">
        <v>1277</v>
      </c>
      <c r="G196" s="66" t="s">
        <v>441</v>
      </c>
      <c r="H196" s="142" t="s">
        <v>781</v>
      </c>
      <c r="I196" s="141" t="n">
        <v>44937</v>
      </c>
      <c r="J196" s="66" t="n">
        <v>1</v>
      </c>
      <c r="K196" s="178" t="s">
        <v>46</v>
      </c>
      <c r="L196" s="142" t="s">
        <v>58</v>
      </c>
      <c r="M196" s="66" t="n">
        <f aca="false">I196-D196</f>
        <v>1594</v>
      </c>
    </row>
    <row r="197" customFormat="false" ht="12.75" hidden="false" customHeight="true" outlineLevel="0" collapsed="false">
      <c r="A197" s="148" t="n">
        <v>623</v>
      </c>
      <c r="B197" s="149" t="s">
        <v>7255</v>
      </c>
      <c r="C197" s="149" t="n">
        <v>2011</v>
      </c>
      <c r="D197" s="157" t="n">
        <v>40745</v>
      </c>
      <c r="E197" s="68" t="s">
        <v>7256</v>
      </c>
      <c r="F197" s="151" t="s">
        <v>5826</v>
      </c>
      <c r="G197" s="68" t="s">
        <v>441</v>
      </c>
      <c r="H197" s="151" t="s">
        <v>254</v>
      </c>
      <c r="I197" s="150" t="n">
        <v>44937</v>
      </c>
      <c r="J197" s="68" t="n">
        <v>1</v>
      </c>
      <c r="K197" s="197" t="s">
        <v>44</v>
      </c>
      <c r="L197" s="151" t="s">
        <v>58</v>
      </c>
      <c r="M197" s="68" t="n">
        <f aca="false">I197-D197</f>
        <v>4192</v>
      </c>
    </row>
    <row r="198" customFormat="false" ht="12.75" hidden="false" customHeight="true" outlineLevel="0" collapsed="false">
      <c r="A198" s="139" t="n">
        <v>723</v>
      </c>
      <c r="B198" s="140" t="s">
        <v>7257</v>
      </c>
      <c r="C198" s="140" t="n">
        <v>2011</v>
      </c>
      <c r="D198" s="141" t="n">
        <v>40550</v>
      </c>
      <c r="E198" s="66" t="s">
        <v>7258</v>
      </c>
      <c r="F198" s="142" t="s">
        <v>7259</v>
      </c>
      <c r="G198" s="66" t="s">
        <v>441</v>
      </c>
      <c r="H198" s="142" t="s">
        <v>267</v>
      </c>
      <c r="I198" s="141" t="n">
        <v>44946</v>
      </c>
      <c r="J198" s="66" t="n">
        <v>1</v>
      </c>
      <c r="K198" s="178" t="s">
        <v>45</v>
      </c>
      <c r="L198" s="142" t="s">
        <v>58</v>
      </c>
      <c r="M198" s="66" t="n">
        <f aca="false">I198-D198</f>
        <v>4396</v>
      </c>
    </row>
    <row r="199" customFormat="false" ht="15.75" hidden="false" customHeight="true" outlineLevel="0" collapsed="false">
      <c r="A199" s="148" t="n">
        <v>823</v>
      </c>
      <c r="B199" s="149" t="s">
        <v>7260</v>
      </c>
      <c r="C199" s="149" t="n">
        <v>2022</v>
      </c>
      <c r="D199" s="150" t="n">
        <v>44573</v>
      </c>
      <c r="E199" s="68" t="s">
        <v>7261</v>
      </c>
      <c r="F199" s="151" t="s">
        <v>7262</v>
      </c>
      <c r="G199" s="68" t="s">
        <v>125</v>
      </c>
      <c r="H199" s="151" t="s">
        <v>7263</v>
      </c>
      <c r="I199" s="150" t="n">
        <v>44946</v>
      </c>
      <c r="J199" s="68" t="n">
        <v>1</v>
      </c>
      <c r="K199" s="143" t="s">
        <v>49</v>
      </c>
      <c r="L199" s="151" t="s">
        <v>61</v>
      </c>
      <c r="M199" s="68" t="n">
        <f aca="false">I199-D199</f>
        <v>373</v>
      </c>
    </row>
    <row r="200" customFormat="false" ht="12.75" hidden="false" customHeight="true" outlineLevel="0" collapsed="false">
      <c r="A200" s="139" t="n">
        <v>923</v>
      </c>
      <c r="B200" s="140" t="s">
        <v>7264</v>
      </c>
      <c r="C200" s="140" t="n">
        <v>2022</v>
      </c>
      <c r="D200" s="141" t="n">
        <v>44573</v>
      </c>
      <c r="E200" s="66" t="s">
        <v>7265</v>
      </c>
      <c r="F200" s="142" t="s">
        <v>7262</v>
      </c>
      <c r="G200" s="66" t="s">
        <v>125</v>
      </c>
      <c r="H200" s="142" t="s">
        <v>7263</v>
      </c>
      <c r="I200" s="141" t="n">
        <v>44946</v>
      </c>
      <c r="J200" s="66" t="n">
        <v>1</v>
      </c>
      <c r="K200" s="143" t="s">
        <v>49</v>
      </c>
      <c r="L200" s="142" t="s">
        <v>61</v>
      </c>
      <c r="M200" s="66" t="n">
        <f aca="false">I200-D200</f>
        <v>373</v>
      </c>
    </row>
    <row r="201" customFormat="false" ht="15.75" hidden="false" customHeight="true" outlineLevel="0" collapsed="false">
      <c r="A201" s="148" t="n">
        <v>1023</v>
      </c>
      <c r="B201" s="149" t="s">
        <v>7266</v>
      </c>
      <c r="C201" s="149" t="n">
        <v>2018</v>
      </c>
      <c r="D201" s="150" t="n">
        <v>43370</v>
      </c>
      <c r="E201" s="68" t="s">
        <v>7267</v>
      </c>
      <c r="F201" s="151" t="s">
        <v>7268</v>
      </c>
      <c r="G201" s="68" t="s">
        <v>441</v>
      </c>
      <c r="H201" s="151" t="s">
        <v>184</v>
      </c>
      <c r="I201" s="150" t="n">
        <v>44946</v>
      </c>
      <c r="J201" s="68" t="n">
        <v>1</v>
      </c>
      <c r="K201" s="143" t="s">
        <v>49</v>
      </c>
      <c r="L201" s="151" t="s">
        <v>60</v>
      </c>
      <c r="M201" s="68" t="n">
        <f aca="false">I201-D201</f>
        <v>1576</v>
      </c>
    </row>
    <row r="202" customFormat="false" ht="12.75" hidden="false" customHeight="true" outlineLevel="0" collapsed="false">
      <c r="A202" s="139" t="n">
        <v>1123</v>
      </c>
      <c r="B202" s="140" t="s">
        <v>7269</v>
      </c>
      <c r="C202" s="140" t="n">
        <v>2020</v>
      </c>
      <c r="D202" s="141" t="n">
        <v>44054</v>
      </c>
      <c r="E202" s="66" t="s">
        <v>7270</v>
      </c>
      <c r="F202" s="142" t="s">
        <v>1783</v>
      </c>
      <c r="G202" s="66" t="s">
        <v>441</v>
      </c>
      <c r="H202" s="142" t="s">
        <v>544</v>
      </c>
      <c r="I202" s="141" t="n">
        <v>44946</v>
      </c>
      <c r="J202" s="66" t="n">
        <v>1</v>
      </c>
      <c r="K202" s="197" t="s">
        <v>44</v>
      </c>
      <c r="L202" s="142" t="s">
        <v>60</v>
      </c>
      <c r="M202" s="66" t="n">
        <f aca="false">I202-D202</f>
        <v>892</v>
      </c>
    </row>
    <row r="203" customFormat="false" ht="14.25" hidden="false" customHeight="true" outlineLevel="0" collapsed="false">
      <c r="A203" s="148" t="n">
        <v>1223</v>
      </c>
      <c r="B203" s="149" t="s">
        <v>7271</v>
      </c>
      <c r="C203" s="149" t="n">
        <v>2016</v>
      </c>
      <c r="D203" s="150" t="n">
        <v>42557</v>
      </c>
      <c r="E203" s="68" t="s">
        <v>7272</v>
      </c>
      <c r="F203" s="151" t="s">
        <v>485</v>
      </c>
      <c r="G203" s="68" t="s">
        <v>441</v>
      </c>
      <c r="H203" s="151" t="s">
        <v>471</v>
      </c>
      <c r="I203" s="150" t="n">
        <v>44946</v>
      </c>
      <c r="J203" s="68" t="n">
        <v>1</v>
      </c>
      <c r="K203" s="143" t="s">
        <v>48</v>
      </c>
      <c r="L203" s="151" t="s">
        <v>58</v>
      </c>
      <c r="M203" s="68" t="n">
        <f aca="false">I203-D203</f>
        <v>2389</v>
      </c>
    </row>
    <row r="204" customFormat="false" ht="12.75" hidden="false" customHeight="true" outlineLevel="0" collapsed="false">
      <c r="A204" s="139" t="n">
        <v>1323</v>
      </c>
      <c r="B204" s="140" t="s">
        <v>7273</v>
      </c>
      <c r="C204" s="140" t="n">
        <v>2016</v>
      </c>
      <c r="D204" s="141" t="n">
        <v>42675</v>
      </c>
      <c r="E204" s="66" t="s">
        <v>7274</v>
      </c>
      <c r="F204" s="142" t="s">
        <v>671</v>
      </c>
      <c r="G204" s="66" t="s">
        <v>441</v>
      </c>
      <c r="H204" s="142" t="s">
        <v>354</v>
      </c>
      <c r="I204" s="141" t="n">
        <v>44946</v>
      </c>
      <c r="J204" s="66" t="n">
        <v>1</v>
      </c>
      <c r="K204" s="143" t="s">
        <v>49</v>
      </c>
      <c r="L204" s="142" t="s">
        <v>58</v>
      </c>
      <c r="M204" s="66" t="n">
        <f aca="false">I204-D204</f>
        <v>2271</v>
      </c>
    </row>
    <row r="205" customFormat="false" ht="12.75" hidden="false" customHeight="true" outlineLevel="0" collapsed="false">
      <c r="A205" s="148" t="n">
        <v>1423</v>
      </c>
      <c r="B205" s="149" t="s">
        <v>7275</v>
      </c>
      <c r="C205" s="149" t="n">
        <v>2022</v>
      </c>
      <c r="D205" s="150" t="n">
        <v>44678</v>
      </c>
      <c r="E205" s="68" t="s">
        <v>7276</v>
      </c>
      <c r="F205" s="151" t="s">
        <v>7277</v>
      </c>
      <c r="G205" s="68" t="s">
        <v>125</v>
      </c>
      <c r="H205" s="151" t="s">
        <v>373</v>
      </c>
      <c r="I205" s="150" t="n">
        <v>44946</v>
      </c>
      <c r="J205" s="68" t="n">
        <v>1</v>
      </c>
      <c r="K205" s="409" t="s">
        <v>290</v>
      </c>
      <c r="L205" s="151" t="s">
        <v>61</v>
      </c>
      <c r="M205" s="68" t="n">
        <f aca="false">I205-D205</f>
        <v>268</v>
      </c>
    </row>
    <row r="206" customFormat="false" ht="12.75" hidden="false" customHeight="true" outlineLevel="0" collapsed="false">
      <c r="A206" s="139" t="n">
        <v>1523</v>
      </c>
      <c r="B206" s="140" t="s">
        <v>7278</v>
      </c>
      <c r="C206" s="140" t="n">
        <v>2022</v>
      </c>
      <c r="D206" s="141" t="n">
        <v>44845</v>
      </c>
      <c r="E206" s="66" t="s">
        <v>7279</v>
      </c>
      <c r="F206" s="142" t="s">
        <v>856</v>
      </c>
      <c r="G206" s="66" t="s">
        <v>130</v>
      </c>
      <c r="H206" s="142" t="s">
        <v>662</v>
      </c>
      <c r="I206" s="141" t="n">
        <v>44946</v>
      </c>
      <c r="J206" s="66" t="n">
        <v>1</v>
      </c>
      <c r="K206" s="143" t="s">
        <v>49</v>
      </c>
      <c r="L206" s="142" t="s">
        <v>61</v>
      </c>
      <c r="M206" s="66" t="n">
        <f aca="false">I206-D206</f>
        <v>101</v>
      </c>
    </row>
    <row r="207" customFormat="false" ht="12.75" hidden="false" customHeight="true" outlineLevel="0" collapsed="false">
      <c r="A207" s="148" t="n">
        <v>1623</v>
      </c>
      <c r="B207" s="149" t="s">
        <v>7280</v>
      </c>
      <c r="C207" s="149" t="n">
        <v>2022</v>
      </c>
      <c r="D207" s="150" t="n">
        <v>44817</v>
      </c>
      <c r="E207" s="68" t="s">
        <v>7281</v>
      </c>
      <c r="F207" s="151" t="s">
        <v>876</v>
      </c>
      <c r="G207" s="68" t="s">
        <v>130</v>
      </c>
      <c r="H207" s="151" t="s">
        <v>676</v>
      </c>
      <c r="I207" s="150" t="n">
        <v>44946</v>
      </c>
      <c r="J207" s="68" t="n">
        <v>1</v>
      </c>
      <c r="K207" s="143" t="s">
        <v>49</v>
      </c>
      <c r="L207" s="151" t="s">
        <v>61</v>
      </c>
      <c r="M207" s="68" t="n">
        <f aca="false">I207-D207</f>
        <v>129</v>
      </c>
    </row>
    <row r="208" customFormat="false" ht="12.75" hidden="false" customHeight="true" outlineLevel="0" collapsed="false">
      <c r="A208" s="139" t="n">
        <v>1723</v>
      </c>
      <c r="B208" s="140" t="s">
        <v>7282</v>
      </c>
      <c r="C208" s="140" t="n">
        <v>2022</v>
      </c>
      <c r="D208" s="141" t="n">
        <v>44858</v>
      </c>
      <c r="E208" s="66" t="s">
        <v>7283</v>
      </c>
      <c r="F208" s="142" t="s">
        <v>376</v>
      </c>
      <c r="G208" s="66" t="s">
        <v>130</v>
      </c>
      <c r="H208" s="142" t="s">
        <v>7284</v>
      </c>
      <c r="I208" s="141" t="n">
        <v>44946</v>
      </c>
      <c r="J208" s="66" t="n">
        <v>1</v>
      </c>
      <c r="K208" s="143" t="s">
        <v>49</v>
      </c>
      <c r="L208" s="142" t="s">
        <v>61</v>
      </c>
      <c r="M208" s="66" t="n">
        <f aca="false">I208-D208</f>
        <v>88</v>
      </c>
    </row>
    <row r="209" customFormat="false" ht="12.75" hidden="false" customHeight="true" outlineLevel="0" collapsed="false">
      <c r="A209" s="148" t="n">
        <v>1823</v>
      </c>
      <c r="B209" s="149" t="s">
        <v>7285</v>
      </c>
      <c r="C209" s="149" t="n">
        <v>2022</v>
      </c>
      <c r="D209" s="150" t="n">
        <v>44859</v>
      </c>
      <c r="E209" s="68" t="s">
        <v>7286</v>
      </c>
      <c r="F209" s="151" t="s">
        <v>7287</v>
      </c>
      <c r="G209" s="68" t="s">
        <v>130</v>
      </c>
      <c r="H209" s="151" t="s">
        <v>7288</v>
      </c>
      <c r="I209" s="150" t="n">
        <v>44946</v>
      </c>
      <c r="J209" s="68" t="n">
        <v>1</v>
      </c>
      <c r="K209" s="143" t="s">
        <v>49</v>
      </c>
      <c r="L209" s="151" t="s">
        <v>61</v>
      </c>
      <c r="M209" s="68" t="n">
        <f aca="false">I209-D209</f>
        <v>87</v>
      </c>
    </row>
    <row r="210" customFormat="false" ht="12.75" hidden="false" customHeight="true" outlineLevel="0" collapsed="false">
      <c r="A210" s="139" t="n">
        <v>1923</v>
      </c>
      <c r="B210" s="140" t="s">
        <v>7289</v>
      </c>
      <c r="C210" s="140" t="n">
        <v>2020</v>
      </c>
      <c r="D210" s="141" t="n">
        <v>44186</v>
      </c>
      <c r="E210" s="66" t="s">
        <v>7290</v>
      </c>
      <c r="F210" s="142" t="s">
        <v>7291</v>
      </c>
      <c r="G210" s="66" t="s">
        <v>441</v>
      </c>
      <c r="H210" s="142" t="s">
        <v>7292</v>
      </c>
      <c r="I210" s="141" t="n">
        <v>44952</v>
      </c>
      <c r="J210" s="66" t="n">
        <v>1</v>
      </c>
      <c r="K210" s="143" t="s">
        <v>49</v>
      </c>
      <c r="L210" s="142" t="s">
        <v>58</v>
      </c>
      <c r="M210" s="66" t="n">
        <f aca="false">I210-D210</f>
        <v>766</v>
      </c>
    </row>
    <row r="211" customFormat="false" ht="12.75" hidden="false" customHeight="true" outlineLevel="0" collapsed="false">
      <c r="A211" s="148" t="n">
        <v>2023</v>
      </c>
      <c r="B211" s="149" t="s">
        <v>7293</v>
      </c>
      <c r="C211" s="149" t="n">
        <v>2022</v>
      </c>
      <c r="D211" s="150" t="n">
        <v>44655</v>
      </c>
      <c r="E211" s="68" t="s">
        <v>7294</v>
      </c>
      <c r="F211" s="151" t="s">
        <v>7295</v>
      </c>
      <c r="G211" s="68" t="s">
        <v>125</v>
      </c>
      <c r="H211" s="151" t="s">
        <v>3506</v>
      </c>
      <c r="I211" s="150" t="n">
        <v>44952</v>
      </c>
      <c r="J211" s="68" t="n">
        <v>1</v>
      </c>
      <c r="K211" s="409" t="s">
        <v>290</v>
      </c>
      <c r="L211" s="151" t="s">
        <v>61</v>
      </c>
      <c r="M211" s="68" t="n">
        <f aca="false">I211-D211</f>
        <v>297</v>
      </c>
    </row>
    <row r="212" customFormat="false" ht="12.75" hidden="false" customHeight="true" outlineLevel="0" collapsed="false">
      <c r="A212" s="139" t="n">
        <v>2123</v>
      </c>
      <c r="B212" s="140" t="s">
        <v>7296</v>
      </c>
      <c r="C212" s="140" t="n">
        <v>2019</v>
      </c>
      <c r="D212" s="141" t="n">
        <v>43500</v>
      </c>
      <c r="E212" s="66" t="s">
        <v>7297</v>
      </c>
      <c r="F212" s="142" t="s">
        <v>7202</v>
      </c>
      <c r="G212" s="66" t="s">
        <v>144</v>
      </c>
      <c r="H212" s="142" t="s">
        <v>697</v>
      </c>
      <c r="I212" s="141" t="n">
        <v>44957</v>
      </c>
      <c r="J212" s="66" t="n">
        <v>1</v>
      </c>
      <c r="K212" s="143" t="s">
        <v>49</v>
      </c>
      <c r="L212" s="142" t="s">
        <v>60</v>
      </c>
      <c r="M212" s="66" t="n">
        <f aca="false">I212-D212</f>
        <v>1457</v>
      </c>
    </row>
    <row r="213" customFormat="false" ht="12.75" hidden="false" customHeight="true" outlineLevel="0" collapsed="false">
      <c r="A213" s="148" t="n">
        <v>2223</v>
      </c>
      <c r="B213" s="149" t="s">
        <v>7298</v>
      </c>
      <c r="C213" s="149" t="n">
        <v>2018</v>
      </c>
      <c r="D213" s="150" t="n">
        <v>43448</v>
      </c>
      <c r="E213" s="68" t="s">
        <v>7299</v>
      </c>
      <c r="F213" s="151" t="s">
        <v>7202</v>
      </c>
      <c r="G213" s="68" t="s">
        <v>144</v>
      </c>
      <c r="H213" s="151" t="s">
        <v>697</v>
      </c>
      <c r="I213" s="150" t="n">
        <v>44957</v>
      </c>
      <c r="J213" s="68" t="n">
        <v>1</v>
      </c>
      <c r="K213" s="143" t="s">
        <v>49</v>
      </c>
      <c r="L213" s="151" t="s">
        <v>60</v>
      </c>
      <c r="M213" s="68" t="n">
        <f aca="false">I213-D213</f>
        <v>1509</v>
      </c>
    </row>
    <row r="214" customFormat="false" ht="12.75" hidden="false" customHeight="true" outlineLevel="0" collapsed="false">
      <c r="A214" s="139" t="n">
        <v>2323</v>
      </c>
      <c r="B214" s="140" t="s">
        <v>7300</v>
      </c>
      <c r="C214" s="140" t="n">
        <v>2022</v>
      </c>
      <c r="D214" s="141" t="n">
        <v>44833</v>
      </c>
      <c r="E214" s="66" t="s">
        <v>7301</v>
      </c>
      <c r="F214" s="142" t="s">
        <v>3552</v>
      </c>
      <c r="G214" s="66" t="s">
        <v>130</v>
      </c>
      <c r="H214" s="142" t="s">
        <v>3553</v>
      </c>
      <c r="I214" s="141" t="n">
        <v>44967</v>
      </c>
      <c r="J214" s="66" t="n">
        <v>2</v>
      </c>
      <c r="K214" s="409" t="s">
        <v>290</v>
      </c>
      <c r="L214" s="142" t="s">
        <v>61</v>
      </c>
      <c r="M214" s="66" t="n">
        <f aca="false">I214-D214</f>
        <v>134</v>
      </c>
    </row>
    <row r="215" customFormat="false" ht="12.75" hidden="false" customHeight="true" outlineLevel="0" collapsed="false">
      <c r="A215" s="148" t="n">
        <v>2423</v>
      </c>
      <c r="B215" s="149" t="s">
        <v>7302</v>
      </c>
      <c r="C215" s="149" t="n">
        <v>2022</v>
      </c>
      <c r="D215" s="150" t="n">
        <v>44804</v>
      </c>
      <c r="E215" s="68" t="s">
        <v>7303</v>
      </c>
      <c r="F215" s="151" t="s">
        <v>7287</v>
      </c>
      <c r="G215" s="68" t="s">
        <v>130</v>
      </c>
      <c r="H215" s="151" t="s">
        <v>7304</v>
      </c>
      <c r="I215" s="150" t="n">
        <v>44967</v>
      </c>
      <c r="J215" s="68" t="n">
        <v>2</v>
      </c>
      <c r="K215" s="143" t="s">
        <v>49</v>
      </c>
      <c r="L215" s="151" t="s">
        <v>61</v>
      </c>
      <c r="M215" s="68" t="n">
        <f aca="false">I215-D215</f>
        <v>163</v>
      </c>
    </row>
    <row r="216" customFormat="false" ht="12.75" hidden="false" customHeight="true" outlineLevel="0" collapsed="false">
      <c r="A216" s="139" t="n">
        <v>2523</v>
      </c>
      <c r="B216" s="140" t="s">
        <v>7305</v>
      </c>
      <c r="C216" s="140" t="n">
        <v>2022</v>
      </c>
      <c r="D216" s="141" t="n">
        <v>44824</v>
      </c>
      <c r="E216" s="66" t="s">
        <v>7306</v>
      </c>
      <c r="F216" s="142" t="s">
        <v>636</v>
      </c>
      <c r="G216" s="66" t="s">
        <v>130</v>
      </c>
      <c r="H216" s="142" t="s">
        <v>7307</v>
      </c>
      <c r="I216" s="141" t="n">
        <v>44967</v>
      </c>
      <c r="J216" s="66" t="n">
        <v>2</v>
      </c>
      <c r="K216" s="143" t="s">
        <v>49</v>
      </c>
      <c r="L216" s="142" t="s">
        <v>61</v>
      </c>
      <c r="M216" s="66" t="n">
        <f aca="false">I216-D216</f>
        <v>143</v>
      </c>
    </row>
    <row r="217" customFormat="false" ht="12.75" hidden="false" customHeight="true" outlineLevel="0" collapsed="false">
      <c r="A217" s="148" t="n">
        <v>2623</v>
      </c>
      <c r="B217" s="149" t="s">
        <v>7308</v>
      </c>
      <c r="C217" s="149" t="n">
        <v>2018</v>
      </c>
      <c r="D217" s="150" t="n">
        <v>43129</v>
      </c>
      <c r="E217" s="68" t="s">
        <v>7309</v>
      </c>
      <c r="F217" s="151" t="s">
        <v>242</v>
      </c>
      <c r="G217" s="68" t="s">
        <v>144</v>
      </c>
      <c r="H217" s="151" t="s">
        <v>1791</v>
      </c>
      <c r="I217" s="150" t="n">
        <v>44967</v>
      </c>
      <c r="J217" s="68" t="n">
        <v>2</v>
      </c>
      <c r="K217" s="143" t="s">
        <v>49</v>
      </c>
      <c r="L217" s="151" t="s">
        <v>58</v>
      </c>
      <c r="M217" s="68" t="n">
        <f aca="false">I217-D217</f>
        <v>1838</v>
      </c>
    </row>
    <row r="218" customFormat="false" ht="12.75" hidden="false" customHeight="true" outlineLevel="0" collapsed="false">
      <c r="A218" s="139" t="n">
        <v>2723</v>
      </c>
      <c r="B218" s="140" t="s">
        <v>7310</v>
      </c>
      <c r="C218" s="140" t="n">
        <v>2021</v>
      </c>
      <c r="D218" s="141" t="n">
        <v>44463</v>
      </c>
      <c r="E218" s="66" t="s">
        <v>7311</v>
      </c>
      <c r="F218" s="142" t="s">
        <v>566</v>
      </c>
      <c r="G218" s="66" t="s">
        <v>144</v>
      </c>
      <c r="H218" s="142" t="s">
        <v>373</v>
      </c>
      <c r="I218" s="141" t="n">
        <v>44967</v>
      </c>
      <c r="J218" s="66" t="n">
        <v>2</v>
      </c>
      <c r="K218" s="409" t="s">
        <v>290</v>
      </c>
      <c r="L218" s="142" t="s">
        <v>60</v>
      </c>
      <c r="M218" s="66" t="n">
        <f aca="false">I218-D218</f>
        <v>504</v>
      </c>
    </row>
    <row r="219" customFormat="false" ht="12.75" hidden="false" customHeight="true" outlineLevel="0" collapsed="false">
      <c r="A219" s="148" t="n">
        <v>2823</v>
      </c>
      <c r="B219" s="149" t="s">
        <v>7312</v>
      </c>
      <c r="C219" s="149" t="n">
        <v>2022</v>
      </c>
      <c r="D219" s="150" t="n">
        <v>44614</v>
      </c>
      <c r="E219" s="68" t="s">
        <v>7313</v>
      </c>
      <c r="F219" s="151" t="s">
        <v>7314</v>
      </c>
      <c r="G219" s="68" t="s">
        <v>144</v>
      </c>
      <c r="H219" s="151" t="s">
        <v>254</v>
      </c>
      <c r="I219" s="150" t="n">
        <v>44967</v>
      </c>
      <c r="J219" s="68" t="n">
        <v>2</v>
      </c>
      <c r="K219" s="143" t="s">
        <v>49</v>
      </c>
      <c r="L219" s="151" t="s">
        <v>61</v>
      </c>
      <c r="M219" s="68" t="n">
        <f aca="false">I219-D219</f>
        <v>353</v>
      </c>
    </row>
    <row r="220" customFormat="false" ht="12.75" hidden="false" customHeight="true" outlineLevel="0" collapsed="false">
      <c r="A220" s="139" t="n">
        <v>2923</v>
      </c>
      <c r="B220" s="140" t="s">
        <v>7315</v>
      </c>
      <c r="C220" s="140" t="n">
        <v>2014</v>
      </c>
      <c r="D220" s="141" t="n">
        <v>44208</v>
      </c>
      <c r="E220" s="66" t="s">
        <v>7316</v>
      </c>
      <c r="F220" s="142" t="s">
        <v>4270</v>
      </c>
      <c r="G220" s="66" t="s">
        <v>441</v>
      </c>
      <c r="H220" s="142" t="s">
        <v>192</v>
      </c>
      <c r="I220" s="141" t="n">
        <v>44967</v>
      </c>
      <c r="J220" s="66" t="n">
        <v>2</v>
      </c>
      <c r="K220" s="197" t="s">
        <v>44</v>
      </c>
      <c r="L220" s="142" t="s">
        <v>58</v>
      </c>
      <c r="M220" s="66" t="n">
        <f aca="false">I220-D220</f>
        <v>759</v>
      </c>
    </row>
    <row r="221" customFormat="false" ht="12.75" hidden="false" customHeight="true" outlineLevel="0" collapsed="false">
      <c r="A221" s="148" t="n">
        <v>3023</v>
      </c>
      <c r="B221" s="149" t="s">
        <v>7317</v>
      </c>
      <c r="C221" s="149" t="n">
        <v>2016</v>
      </c>
      <c r="D221" s="150" t="n">
        <v>42642</v>
      </c>
      <c r="E221" s="68" t="s">
        <v>7318</v>
      </c>
      <c r="F221" s="151" t="s">
        <v>5585</v>
      </c>
      <c r="G221" s="68" t="s">
        <v>441</v>
      </c>
      <c r="H221" s="151" t="s">
        <v>1501</v>
      </c>
      <c r="I221" s="150" t="n">
        <v>44967</v>
      </c>
      <c r="J221" s="68" t="n">
        <v>2</v>
      </c>
      <c r="K221" s="143" t="s">
        <v>49</v>
      </c>
      <c r="L221" s="151" t="s">
        <v>60</v>
      </c>
      <c r="M221" s="68" t="n">
        <f aca="false">I221-D221</f>
        <v>2325</v>
      </c>
    </row>
    <row r="222" customFormat="false" ht="12.75" hidden="false" customHeight="true" outlineLevel="0" collapsed="false">
      <c r="A222" s="139" t="n">
        <v>3123</v>
      </c>
      <c r="B222" s="140" t="s">
        <v>7319</v>
      </c>
      <c r="C222" s="140" t="n">
        <v>2010</v>
      </c>
      <c r="D222" s="141" t="n">
        <v>40485</v>
      </c>
      <c r="E222" s="66" t="s">
        <v>7320</v>
      </c>
      <c r="F222" s="142" t="s">
        <v>365</v>
      </c>
      <c r="G222" s="66" t="s">
        <v>441</v>
      </c>
      <c r="H222" s="142" t="s">
        <v>192</v>
      </c>
      <c r="I222" s="141" t="n">
        <v>44967</v>
      </c>
      <c r="J222" s="66" t="n">
        <v>2</v>
      </c>
      <c r="K222" s="197" t="s">
        <v>44</v>
      </c>
      <c r="L222" s="142" t="s">
        <v>60</v>
      </c>
      <c r="M222" s="66" t="n">
        <f aca="false">I222-D222</f>
        <v>4482</v>
      </c>
    </row>
    <row r="223" customFormat="false" ht="15" hidden="false" customHeight="true" outlineLevel="0" collapsed="false">
      <c r="A223" s="148" t="n">
        <v>3223</v>
      </c>
      <c r="B223" s="149" t="s">
        <v>7321</v>
      </c>
      <c r="C223" s="149" t="n">
        <v>2008</v>
      </c>
      <c r="D223" s="150" t="n">
        <v>39805</v>
      </c>
      <c r="E223" s="68" t="s">
        <v>7322</v>
      </c>
      <c r="F223" s="151" t="s">
        <v>7323</v>
      </c>
      <c r="G223" s="68" t="s">
        <v>441</v>
      </c>
      <c r="H223" s="151" t="s">
        <v>373</v>
      </c>
      <c r="I223" s="150" t="n">
        <v>44967</v>
      </c>
      <c r="J223" s="68" t="n">
        <v>2</v>
      </c>
      <c r="K223" s="143" t="s">
        <v>48</v>
      </c>
      <c r="L223" s="151" t="s">
        <v>58</v>
      </c>
      <c r="M223" s="68" t="n">
        <f aca="false">I223-D223</f>
        <v>5162</v>
      </c>
    </row>
    <row r="224" customFormat="false" ht="15" hidden="false" customHeight="true" outlineLevel="0" collapsed="false">
      <c r="A224" s="139" t="n">
        <v>3323</v>
      </c>
      <c r="B224" s="140" t="s">
        <v>7324</v>
      </c>
      <c r="C224" s="140" t="n">
        <v>2022</v>
      </c>
      <c r="D224" s="141" t="n">
        <v>44691</v>
      </c>
      <c r="E224" s="66" t="s">
        <v>7325</v>
      </c>
      <c r="F224" s="142" t="s">
        <v>7326</v>
      </c>
      <c r="G224" s="66" t="s">
        <v>130</v>
      </c>
      <c r="H224" s="142" t="s">
        <v>3988</v>
      </c>
      <c r="I224" s="141" t="n">
        <v>44967</v>
      </c>
      <c r="J224" s="66" t="n">
        <v>2</v>
      </c>
      <c r="K224" s="143" t="s">
        <v>49</v>
      </c>
      <c r="L224" s="142" t="s">
        <v>61</v>
      </c>
      <c r="M224" s="66" t="n">
        <f aca="false">I224-D224</f>
        <v>276</v>
      </c>
    </row>
    <row r="225" customFormat="false" ht="12.75" hidden="false" customHeight="true" outlineLevel="0" collapsed="false">
      <c r="A225" s="148" t="n">
        <v>3423</v>
      </c>
      <c r="B225" s="149" t="s">
        <v>7327</v>
      </c>
      <c r="C225" s="149" t="n">
        <v>2021</v>
      </c>
      <c r="D225" s="150" t="n">
        <v>44484</v>
      </c>
      <c r="E225" s="68" t="s">
        <v>7328</v>
      </c>
      <c r="F225" s="151" t="s">
        <v>7329</v>
      </c>
      <c r="G225" s="68" t="s">
        <v>125</v>
      </c>
      <c r="H225" s="151" t="s">
        <v>7330</v>
      </c>
      <c r="I225" s="150" t="n">
        <v>44967</v>
      </c>
      <c r="J225" s="68" t="n">
        <v>2</v>
      </c>
      <c r="K225" s="143" t="s">
        <v>49</v>
      </c>
      <c r="L225" s="151" t="s">
        <v>61</v>
      </c>
      <c r="M225" s="68" t="n">
        <f aca="false">I225-D225</f>
        <v>483</v>
      </c>
    </row>
    <row r="226" customFormat="false" ht="12.75" hidden="false" customHeight="true" outlineLevel="0" collapsed="false">
      <c r="A226" s="139" t="n">
        <v>3523</v>
      </c>
      <c r="B226" s="140" t="s">
        <v>7331</v>
      </c>
      <c r="C226" s="140" t="n">
        <v>2022</v>
      </c>
      <c r="D226" s="141" t="n">
        <v>44806</v>
      </c>
      <c r="E226" s="66" t="s">
        <v>7332</v>
      </c>
      <c r="F226" s="142" t="s">
        <v>7333</v>
      </c>
      <c r="G226" s="66" t="s">
        <v>130</v>
      </c>
      <c r="H226" s="142" t="s">
        <v>7334</v>
      </c>
      <c r="I226" s="141" t="n">
        <v>44980</v>
      </c>
      <c r="J226" s="66" t="n">
        <v>2</v>
      </c>
      <c r="K226" s="409" t="s">
        <v>290</v>
      </c>
      <c r="L226" s="142" t="s">
        <v>61</v>
      </c>
      <c r="M226" s="66" t="n">
        <f aca="false">I226-D226</f>
        <v>174</v>
      </c>
    </row>
    <row r="227" customFormat="false" ht="12.75" hidden="false" customHeight="true" outlineLevel="0" collapsed="false">
      <c r="A227" s="148" t="n">
        <v>3623</v>
      </c>
      <c r="B227" s="149" t="s">
        <v>7335</v>
      </c>
      <c r="C227" s="149" t="n">
        <v>2019</v>
      </c>
      <c r="D227" s="150" t="n">
        <v>43644</v>
      </c>
      <c r="E227" s="68" t="s">
        <v>7336</v>
      </c>
      <c r="F227" s="151" t="s">
        <v>3931</v>
      </c>
      <c r="G227" s="68" t="s">
        <v>441</v>
      </c>
      <c r="H227" s="151" t="s">
        <v>471</v>
      </c>
      <c r="I227" s="150" t="n">
        <v>44980</v>
      </c>
      <c r="J227" s="68" t="n">
        <v>2</v>
      </c>
      <c r="K227" s="143" t="s">
        <v>49</v>
      </c>
      <c r="L227" s="151" t="s">
        <v>60</v>
      </c>
      <c r="M227" s="68" t="n">
        <f aca="false">I227-D227</f>
        <v>1336</v>
      </c>
    </row>
    <row r="228" customFormat="false" ht="12.75" hidden="false" customHeight="true" outlineLevel="0" collapsed="false">
      <c r="A228" s="139" t="n">
        <v>3723</v>
      </c>
      <c r="B228" s="140" t="s">
        <v>7337</v>
      </c>
      <c r="C228" s="140" t="n">
        <v>2018</v>
      </c>
      <c r="D228" s="141" t="n">
        <v>43188</v>
      </c>
      <c r="E228" s="66" t="s">
        <v>7338</v>
      </c>
      <c r="F228" s="142" t="s">
        <v>7339</v>
      </c>
      <c r="G228" s="66" t="s">
        <v>144</v>
      </c>
      <c r="H228" s="142" t="s">
        <v>119</v>
      </c>
      <c r="I228" s="141" t="n">
        <v>44980</v>
      </c>
      <c r="J228" s="66" t="n">
        <v>2</v>
      </c>
      <c r="K228" s="143" t="s">
        <v>48</v>
      </c>
      <c r="L228" s="142" t="s">
        <v>58</v>
      </c>
      <c r="M228" s="66" t="n">
        <f aca="false">I228-D228</f>
        <v>1792</v>
      </c>
    </row>
    <row r="229" customFormat="false" ht="12.75" hidden="false" customHeight="true" outlineLevel="0" collapsed="false">
      <c r="A229" s="148" t="n">
        <v>3823</v>
      </c>
      <c r="B229" s="149" t="s">
        <v>7340</v>
      </c>
      <c r="C229" s="149" t="n">
        <v>2013</v>
      </c>
      <c r="D229" s="150" t="n">
        <v>41425</v>
      </c>
      <c r="E229" s="68" t="s">
        <v>7341</v>
      </c>
      <c r="F229" s="151" t="s">
        <v>7342</v>
      </c>
      <c r="G229" s="68" t="s">
        <v>115</v>
      </c>
      <c r="H229" s="151" t="s">
        <v>7343</v>
      </c>
      <c r="I229" s="150" t="n">
        <v>44980</v>
      </c>
      <c r="J229" s="68" t="n">
        <v>2</v>
      </c>
      <c r="K229" s="143" t="s">
        <v>49</v>
      </c>
      <c r="L229" s="151" t="s">
        <v>60</v>
      </c>
      <c r="M229" s="68" t="n">
        <f aca="false">I229-D229</f>
        <v>3555</v>
      </c>
    </row>
    <row r="230" customFormat="false" ht="15" hidden="false" customHeight="true" outlineLevel="0" collapsed="false">
      <c r="A230" s="139" t="n">
        <v>3923</v>
      </c>
      <c r="B230" s="140" t="s">
        <v>7344</v>
      </c>
      <c r="C230" s="140" t="n">
        <v>2012</v>
      </c>
      <c r="D230" s="141" t="n">
        <v>40940</v>
      </c>
      <c r="E230" s="66" t="s">
        <v>7345</v>
      </c>
      <c r="F230" s="142" t="s">
        <v>7342</v>
      </c>
      <c r="G230" s="66" t="s">
        <v>115</v>
      </c>
      <c r="H230" s="142" t="s">
        <v>5589</v>
      </c>
      <c r="I230" s="141" t="n">
        <v>44980</v>
      </c>
      <c r="J230" s="66" t="n">
        <v>2</v>
      </c>
      <c r="K230" s="143" t="s">
        <v>49</v>
      </c>
      <c r="L230" s="142" t="s">
        <v>60</v>
      </c>
      <c r="M230" s="66" t="n">
        <f aca="false">I230-D230</f>
        <v>4040</v>
      </c>
    </row>
    <row r="231" customFormat="false" ht="12.75" hidden="false" customHeight="true" outlineLevel="0" collapsed="false">
      <c r="A231" s="148" t="n">
        <v>4023</v>
      </c>
      <c r="B231" s="149" t="s">
        <v>7346</v>
      </c>
      <c r="C231" s="149" t="n">
        <v>2020</v>
      </c>
      <c r="D231" s="150" t="n">
        <v>44070</v>
      </c>
      <c r="E231" s="68" t="s">
        <v>7347</v>
      </c>
      <c r="F231" s="151" t="s">
        <v>720</v>
      </c>
      <c r="G231" s="68" t="s">
        <v>441</v>
      </c>
      <c r="H231" s="151" t="s">
        <v>1059</v>
      </c>
      <c r="I231" s="150" t="n">
        <v>44980</v>
      </c>
      <c r="J231" s="68" t="n">
        <v>2</v>
      </c>
      <c r="K231" s="143" t="s">
        <v>49</v>
      </c>
      <c r="L231" s="151" t="s">
        <v>58</v>
      </c>
      <c r="M231" s="68" t="n">
        <f aca="false">I231-D231</f>
        <v>910</v>
      </c>
    </row>
    <row r="232" customFormat="false" ht="12.75" hidden="false" customHeight="true" outlineLevel="0" collapsed="false">
      <c r="A232" s="139" t="n">
        <v>4123</v>
      </c>
      <c r="B232" s="140" t="s">
        <v>7348</v>
      </c>
      <c r="C232" s="140" t="n">
        <v>2016</v>
      </c>
      <c r="D232" s="141" t="n">
        <v>42460</v>
      </c>
      <c r="E232" s="66" t="s">
        <v>7349</v>
      </c>
      <c r="F232" s="142" t="s">
        <v>361</v>
      </c>
      <c r="G232" s="66" t="s">
        <v>441</v>
      </c>
      <c r="H232" s="142" t="s">
        <v>1059</v>
      </c>
      <c r="I232" s="141" t="n">
        <v>44980</v>
      </c>
      <c r="J232" s="66" t="n">
        <v>2</v>
      </c>
      <c r="K232" s="143" t="s">
        <v>49</v>
      </c>
      <c r="L232" s="142" t="s">
        <v>58</v>
      </c>
      <c r="M232" s="66" t="n">
        <f aca="false">I232-D232</f>
        <v>2520</v>
      </c>
    </row>
    <row r="233" customFormat="false" ht="12.75" hidden="false" customHeight="true" outlineLevel="0" collapsed="false">
      <c r="A233" s="148" t="n">
        <v>4223</v>
      </c>
      <c r="B233" s="149" t="s">
        <v>7350</v>
      </c>
      <c r="C233" s="149" t="n">
        <v>2019</v>
      </c>
      <c r="D233" s="150" t="n">
        <v>43825</v>
      </c>
      <c r="E233" s="68" t="s">
        <v>7351</v>
      </c>
      <c r="F233" s="151" t="s">
        <v>7352</v>
      </c>
      <c r="G233" s="68" t="s">
        <v>441</v>
      </c>
      <c r="H233" s="151" t="s">
        <v>134</v>
      </c>
      <c r="I233" s="150" t="n">
        <v>44980</v>
      </c>
      <c r="J233" s="68" t="n">
        <v>2</v>
      </c>
      <c r="K233" s="143" t="s">
        <v>48</v>
      </c>
      <c r="L233" s="151" t="s">
        <v>58</v>
      </c>
      <c r="M233" s="68" t="n">
        <f aca="false">I233-D233</f>
        <v>1155</v>
      </c>
    </row>
    <row r="234" customFormat="false" ht="12.75" hidden="false" customHeight="true" outlineLevel="0" collapsed="false">
      <c r="A234" s="139" t="n">
        <v>4323</v>
      </c>
      <c r="B234" s="140" t="s">
        <v>7353</v>
      </c>
      <c r="C234" s="140" t="n">
        <v>2016</v>
      </c>
      <c r="D234" s="141" t="n">
        <v>42514</v>
      </c>
      <c r="E234" s="66" t="s">
        <v>7354</v>
      </c>
      <c r="F234" s="142" t="s">
        <v>7355</v>
      </c>
      <c r="G234" s="66" t="s">
        <v>441</v>
      </c>
      <c r="H234" s="142" t="s">
        <v>192</v>
      </c>
      <c r="I234" s="141" t="n">
        <v>44980</v>
      </c>
      <c r="J234" s="66" t="n">
        <v>2</v>
      </c>
      <c r="K234" s="143" t="s">
        <v>49</v>
      </c>
      <c r="L234" s="142" t="s">
        <v>60</v>
      </c>
      <c r="M234" s="66" t="n">
        <f aca="false">I234-D234</f>
        <v>2466</v>
      </c>
    </row>
    <row r="235" customFormat="false" ht="12.75" hidden="false" customHeight="true" outlineLevel="0" collapsed="false">
      <c r="A235" s="148" t="n">
        <v>4423</v>
      </c>
      <c r="B235" s="149" t="s">
        <v>7356</v>
      </c>
      <c r="C235" s="149" t="n">
        <v>2016</v>
      </c>
      <c r="D235" s="150" t="n">
        <v>42508</v>
      </c>
      <c r="E235" s="68" t="s">
        <v>7357</v>
      </c>
      <c r="F235" s="151" t="s">
        <v>823</v>
      </c>
      <c r="G235" s="68" t="s">
        <v>441</v>
      </c>
      <c r="H235" s="151" t="s">
        <v>250</v>
      </c>
      <c r="I235" s="150" t="n">
        <v>44980</v>
      </c>
      <c r="J235" s="68" t="n">
        <v>2</v>
      </c>
      <c r="K235" s="143" t="s">
        <v>49</v>
      </c>
      <c r="L235" s="151" t="s">
        <v>60</v>
      </c>
      <c r="M235" s="68" t="n">
        <f aca="false">I235-D235</f>
        <v>2472</v>
      </c>
    </row>
    <row r="236" customFormat="false" ht="12.75" hidden="false" customHeight="true" outlineLevel="0" collapsed="false">
      <c r="A236" s="139" t="n">
        <v>4523</v>
      </c>
      <c r="B236" s="140" t="s">
        <v>7358</v>
      </c>
      <c r="C236" s="140" t="n">
        <v>2016</v>
      </c>
      <c r="D236" s="141" t="n">
        <v>42461</v>
      </c>
      <c r="E236" s="66" t="s">
        <v>7359</v>
      </c>
      <c r="F236" s="142" t="s">
        <v>7360</v>
      </c>
      <c r="G236" s="66" t="s">
        <v>441</v>
      </c>
      <c r="H236" s="142" t="s">
        <v>4676</v>
      </c>
      <c r="I236" s="141" t="n">
        <v>44985</v>
      </c>
      <c r="J236" s="66" t="n">
        <v>2</v>
      </c>
      <c r="K236" s="143" t="s">
        <v>49</v>
      </c>
      <c r="L236" s="142" t="s">
        <v>60</v>
      </c>
      <c r="M236" s="66" t="n">
        <f aca="false">I236-D236</f>
        <v>2524</v>
      </c>
    </row>
    <row r="237" customFormat="false" ht="12.75" hidden="false" customHeight="true" outlineLevel="0" collapsed="false">
      <c r="A237" s="148" t="n">
        <v>4623</v>
      </c>
      <c r="B237" s="149" t="s">
        <v>7361</v>
      </c>
      <c r="C237" s="149" t="n">
        <v>2016</v>
      </c>
      <c r="D237" s="150" t="n">
        <v>42503</v>
      </c>
      <c r="E237" s="68" t="s">
        <v>7362</v>
      </c>
      <c r="F237" s="151" t="s">
        <v>705</v>
      </c>
      <c r="G237" s="68" t="s">
        <v>441</v>
      </c>
      <c r="H237" s="151" t="s">
        <v>7363</v>
      </c>
      <c r="I237" s="150" t="n">
        <v>44985</v>
      </c>
      <c r="J237" s="68" t="n">
        <v>2</v>
      </c>
      <c r="K237" s="143" t="s">
        <v>48</v>
      </c>
      <c r="L237" s="151" t="s">
        <v>58</v>
      </c>
      <c r="M237" s="68" t="n">
        <f aca="false">I237-D237</f>
        <v>2482</v>
      </c>
    </row>
    <row r="238" customFormat="false" ht="12.75" hidden="false" customHeight="true" outlineLevel="0" collapsed="false">
      <c r="A238" s="139" t="n">
        <v>4723</v>
      </c>
      <c r="B238" s="140" t="s">
        <v>7364</v>
      </c>
      <c r="C238" s="140" t="n">
        <v>2019</v>
      </c>
      <c r="D238" s="141" t="n">
        <v>43822</v>
      </c>
      <c r="E238" s="66" t="s">
        <v>7365</v>
      </c>
      <c r="F238" s="142" t="s">
        <v>456</v>
      </c>
      <c r="G238" s="66" t="s">
        <v>441</v>
      </c>
      <c r="H238" s="142" t="s">
        <v>267</v>
      </c>
      <c r="I238" s="141" t="n">
        <v>44985</v>
      </c>
      <c r="J238" s="66" t="n">
        <v>2</v>
      </c>
      <c r="K238" s="143" t="s">
        <v>48</v>
      </c>
      <c r="L238" s="142" t="s">
        <v>58</v>
      </c>
      <c r="M238" s="66" t="n">
        <f aca="false">I238-D238</f>
        <v>1163</v>
      </c>
    </row>
    <row r="239" customFormat="false" ht="12.75" hidden="false" customHeight="true" outlineLevel="0" collapsed="false">
      <c r="A239" s="148" t="n">
        <v>4823</v>
      </c>
      <c r="B239" s="149" t="s">
        <v>7366</v>
      </c>
      <c r="C239" s="149" t="n">
        <v>2021</v>
      </c>
      <c r="D239" s="150" t="n">
        <v>44315</v>
      </c>
      <c r="E239" s="68" t="s">
        <v>7367</v>
      </c>
      <c r="F239" s="151" t="s">
        <v>7368</v>
      </c>
      <c r="G239" s="68" t="s">
        <v>441</v>
      </c>
      <c r="H239" s="151" t="s">
        <v>139</v>
      </c>
      <c r="I239" s="150" t="n">
        <v>44985</v>
      </c>
      <c r="J239" s="68" t="n">
        <v>2</v>
      </c>
      <c r="K239" s="143" t="s">
        <v>49</v>
      </c>
      <c r="L239" s="151" t="s">
        <v>58</v>
      </c>
      <c r="M239" s="68" t="n">
        <f aca="false">I239-D239</f>
        <v>670</v>
      </c>
    </row>
    <row r="240" customFormat="false" ht="12.75" hidden="false" customHeight="true" outlineLevel="0" collapsed="false">
      <c r="A240" s="139" t="n">
        <v>4923</v>
      </c>
      <c r="B240" s="140" t="s">
        <v>7369</v>
      </c>
      <c r="C240" s="140" t="n">
        <v>2016</v>
      </c>
      <c r="D240" s="141" t="n">
        <v>42557</v>
      </c>
      <c r="E240" s="66" t="s">
        <v>7370</v>
      </c>
      <c r="F240" s="142" t="s">
        <v>705</v>
      </c>
      <c r="G240" s="66" t="s">
        <v>441</v>
      </c>
      <c r="H240" s="142" t="s">
        <v>267</v>
      </c>
      <c r="I240" s="141" t="n">
        <v>44985</v>
      </c>
      <c r="J240" s="66" t="n">
        <v>2</v>
      </c>
      <c r="K240" s="143" t="s">
        <v>48</v>
      </c>
      <c r="L240" s="142" t="s">
        <v>58</v>
      </c>
      <c r="M240" s="66" t="n">
        <f aca="false">I240-D240</f>
        <v>2428</v>
      </c>
    </row>
    <row r="241" customFormat="false" ht="12.75" hidden="false" customHeight="true" outlineLevel="0" collapsed="false">
      <c r="A241" s="148" t="n">
        <v>5023</v>
      </c>
      <c r="B241" s="149" t="s">
        <v>7371</v>
      </c>
      <c r="C241" s="149" t="n">
        <v>2016</v>
      </c>
      <c r="D241" s="150" t="n">
        <v>42429</v>
      </c>
      <c r="E241" s="68" t="s">
        <v>7372</v>
      </c>
      <c r="F241" s="151" t="s">
        <v>7373</v>
      </c>
      <c r="G241" s="68" t="s">
        <v>441</v>
      </c>
      <c r="H241" s="151" t="s">
        <v>3763</v>
      </c>
      <c r="I241" s="150" t="n">
        <v>44985</v>
      </c>
      <c r="J241" s="68" t="n">
        <v>2</v>
      </c>
      <c r="K241" s="143" t="s">
        <v>49</v>
      </c>
      <c r="L241" s="151" t="s">
        <v>58</v>
      </c>
      <c r="M241" s="68" t="n">
        <f aca="false">I241-D241</f>
        <v>2556</v>
      </c>
    </row>
    <row r="242" customFormat="false" ht="12.75" hidden="false" customHeight="true" outlineLevel="0" collapsed="false">
      <c r="A242" s="139" t="n">
        <v>5123</v>
      </c>
      <c r="B242" s="140" t="s">
        <v>7374</v>
      </c>
      <c r="C242" s="140" t="n">
        <v>2014</v>
      </c>
      <c r="D242" s="141" t="n">
        <v>42003</v>
      </c>
      <c r="E242" s="66" t="s">
        <v>7375</v>
      </c>
      <c r="F242" s="142" t="s">
        <v>4463</v>
      </c>
      <c r="G242" s="66" t="s">
        <v>441</v>
      </c>
      <c r="H242" s="142" t="s">
        <v>706</v>
      </c>
      <c r="I242" s="141" t="n">
        <v>44985</v>
      </c>
      <c r="J242" s="66" t="n">
        <v>2</v>
      </c>
      <c r="K242" s="143" t="s">
        <v>49</v>
      </c>
      <c r="L242" s="142" t="s">
        <v>60</v>
      </c>
      <c r="M242" s="66" t="n">
        <f aca="false">I242-D242</f>
        <v>2982</v>
      </c>
    </row>
    <row r="243" customFormat="false" ht="12.75" hidden="false" customHeight="true" outlineLevel="0" collapsed="false">
      <c r="A243" s="148" t="n">
        <v>5223</v>
      </c>
      <c r="B243" s="149" t="s">
        <v>7376</v>
      </c>
      <c r="C243" s="149" t="n">
        <v>2012</v>
      </c>
      <c r="D243" s="150" t="n">
        <v>40998</v>
      </c>
      <c r="E243" s="68" t="s">
        <v>7377</v>
      </c>
      <c r="F243" s="151" t="s">
        <v>138</v>
      </c>
      <c r="G243" s="68" t="s">
        <v>144</v>
      </c>
      <c r="H243" s="151" t="s">
        <v>223</v>
      </c>
      <c r="I243" s="150" t="n">
        <v>44987</v>
      </c>
      <c r="J243" s="68" t="n">
        <v>3</v>
      </c>
      <c r="K243" s="143" t="s">
        <v>49</v>
      </c>
      <c r="L243" s="151" t="s">
        <v>60</v>
      </c>
      <c r="M243" s="68" t="n">
        <f aca="false">I243-D243</f>
        <v>3989</v>
      </c>
    </row>
    <row r="244" customFormat="false" ht="12.75" hidden="false" customHeight="true" outlineLevel="0" collapsed="false">
      <c r="A244" s="139" t="n">
        <v>5323</v>
      </c>
      <c r="B244" s="140" t="s">
        <v>7378</v>
      </c>
      <c r="C244" s="140" t="n">
        <v>2011</v>
      </c>
      <c r="D244" s="141" t="n">
        <v>40805</v>
      </c>
      <c r="E244" s="66" t="s">
        <v>7379</v>
      </c>
      <c r="F244" s="142" t="s">
        <v>7342</v>
      </c>
      <c r="G244" s="66" t="s">
        <v>144</v>
      </c>
      <c r="H244" s="142" t="s">
        <v>7343</v>
      </c>
      <c r="I244" s="141" t="n">
        <v>44992</v>
      </c>
      <c r="J244" s="66" t="n">
        <v>3</v>
      </c>
      <c r="K244" s="143" t="s">
        <v>49</v>
      </c>
      <c r="L244" s="142" t="s">
        <v>60</v>
      </c>
      <c r="M244" s="66" t="n">
        <f aca="false">I244-D244</f>
        <v>4187</v>
      </c>
    </row>
    <row r="245" customFormat="false" ht="12.75" hidden="false" customHeight="true" outlineLevel="0" collapsed="false">
      <c r="A245" s="148" t="n">
        <v>5423</v>
      </c>
      <c r="B245" s="149" t="s">
        <v>7380</v>
      </c>
      <c r="C245" s="149" t="n">
        <v>2022</v>
      </c>
      <c r="D245" s="150" t="n">
        <v>44692</v>
      </c>
      <c r="E245" s="68" t="s">
        <v>7381</v>
      </c>
      <c r="F245" s="151" t="s">
        <v>7382</v>
      </c>
      <c r="G245" s="68" t="s">
        <v>125</v>
      </c>
      <c r="H245" s="151" t="s">
        <v>7383</v>
      </c>
      <c r="I245" s="150" t="n">
        <v>44994</v>
      </c>
      <c r="J245" s="68" t="n">
        <v>3</v>
      </c>
      <c r="K245" s="409" t="s">
        <v>290</v>
      </c>
      <c r="L245" s="151" t="s">
        <v>61</v>
      </c>
      <c r="M245" s="68" t="n">
        <f aca="false">I245-D245</f>
        <v>302</v>
      </c>
    </row>
    <row r="246" customFormat="false" ht="12.75" hidden="false" customHeight="true" outlineLevel="0" collapsed="false">
      <c r="A246" s="139" t="n">
        <v>5523</v>
      </c>
      <c r="B246" s="140" t="s">
        <v>7384</v>
      </c>
      <c r="C246" s="140" t="n">
        <v>2020</v>
      </c>
      <c r="D246" s="141" t="n">
        <v>43864</v>
      </c>
      <c r="E246" s="66" t="s">
        <v>7385</v>
      </c>
      <c r="F246" s="142" t="s">
        <v>7386</v>
      </c>
      <c r="G246" s="66" t="s">
        <v>441</v>
      </c>
      <c r="H246" s="142" t="s">
        <v>6322</v>
      </c>
      <c r="I246" s="141" t="n">
        <v>45000</v>
      </c>
      <c r="J246" s="66" t="n">
        <v>3</v>
      </c>
      <c r="K246" s="143" t="s">
        <v>49</v>
      </c>
      <c r="L246" s="142" t="s">
        <v>60</v>
      </c>
      <c r="M246" s="66" t="n">
        <f aca="false">I246-D246</f>
        <v>1136</v>
      </c>
    </row>
    <row r="247" customFormat="false" ht="12.75" hidden="false" customHeight="true" outlineLevel="0" collapsed="false">
      <c r="A247" s="148" t="n">
        <v>5623</v>
      </c>
      <c r="B247" s="149" t="s">
        <v>7387</v>
      </c>
      <c r="C247" s="149" t="n">
        <v>2015</v>
      </c>
      <c r="D247" s="150" t="n">
        <v>42124</v>
      </c>
      <c r="E247" s="68" t="s">
        <v>7388</v>
      </c>
      <c r="F247" s="151" t="s">
        <v>382</v>
      </c>
      <c r="G247" s="68" t="s">
        <v>441</v>
      </c>
      <c r="H247" s="151" t="s">
        <v>471</v>
      </c>
      <c r="I247" s="150" t="n">
        <v>45000</v>
      </c>
      <c r="J247" s="68" t="n">
        <v>3</v>
      </c>
      <c r="K247" s="143" t="s">
        <v>49</v>
      </c>
      <c r="L247" s="151" t="s">
        <v>60</v>
      </c>
      <c r="M247" s="68" t="n">
        <f aca="false">I247-D247</f>
        <v>2876</v>
      </c>
    </row>
    <row r="248" customFormat="false" ht="12.75" hidden="false" customHeight="true" outlineLevel="0" collapsed="false">
      <c r="A248" s="139" t="n">
        <v>5723</v>
      </c>
      <c r="B248" s="140" t="s">
        <v>7389</v>
      </c>
      <c r="C248" s="140" t="n">
        <v>2011</v>
      </c>
      <c r="D248" s="141" t="n">
        <v>40770</v>
      </c>
      <c r="E248" s="66" t="s">
        <v>7390</v>
      </c>
      <c r="F248" s="142" t="s">
        <v>709</v>
      </c>
      <c r="G248" s="66" t="s">
        <v>441</v>
      </c>
      <c r="H248" s="142" t="s">
        <v>2677</v>
      </c>
      <c r="I248" s="141" t="n">
        <v>45000</v>
      </c>
      <c r="J248" s="66" t="n">
        <v>3</v>
      </c>
      <c r="K248" s="178" t="s">
        <v>46</v>
      </c>
      <c r="L248" s="142" t="s">
        <v>58</v>
      </c>
      <c r="M248" s="66" t="n">
        <f aca="false">I248-D248</f>
        <v>4230</v>
      </c>
    </row>
    <row r="249" customFormat="false" ht="12.75" hidden="false" customHeight="true" outlineLevel="0" collapsed="false">
      <c r="A249" s="148" t="n">
        <v>5823</v>
      </c>
      <c r="B249" s="149" t="s">
        <v>7391</v>
      </c>
      <c r="C249" s="149" t="n">
        <v>2016</v>
      </c>
      <c r="D249" s="150" t="n">
        <v>42443</v>
      </c>
      <c r="E249" s="68" t="s">
        <v>7392</v>
      </c>
      <c r="F249" s="151" t="s">
        <v>7393</v>
      </c>
      <c r="G249" s="68" t="s">
        <v>441</v>
      </c>
      <c r="H249" s="151" t="s">
        <v>354</v>
      </c>
      <c r="I249" s="150" t="n">
        <v>45005</v>
      </c>
      <c r="J249" s="68" t="n">
        <v>3</v>
      </c>
      <c r="K249" s="143" t="s">
        <v>49</v>
      </c>
      <c r="L249" s="151" t="s">
        <v>60</v>
      </c>
      <c r="M249" s="68" t="n">
        <f aca="false">I249-D249</f>
        <v>2562</v>
      </c>
    </row>
    <row r="250" customFormat="false" ht="12.75" hidden="false" customHeight="true" outlineLevel="0" collapsed="false">
      <c r="A250" s="139" t="n">
        <v>5923</v>
      </c>
      <c r="B250" s="140" t="s">
        <v>7394</v>
      </c>
      <c r="C250" s="140" t="n">
        <v>2021</v>
      </c>
      <c r="D250" s="141" t="n">
        <v>44357</v>
      </c>
      <c r="E250" s="66" t="s">
        <v>7395</v>
      </c>
      <c r="F250" s="142" t="s">
        <v>7396</v>
      </c>
      <c r="G250" s="66" t="s">
        <v>441</v>
      </c>
      <c r="H250" s="142" t="s">
        <v>243</v>
      </c>
      <c r="I250" s="141" t="n">
        <v>45005</v>
      </c>
      <c r="J250" s="66" t="n">
        <v>3</v>
      </c>
      <c r="K250" s="143" t="s">
        <v>49</v>
      </c>
      <c r="L250" s="142" t="s">
        <v>60</v>
      </c>
      <c r="M250" s="66" t="n">
        <f aca="false">I250-D250</f>
        <v>648</v>
      </c>
    </row>
    <row r="251" customFormat="false" ht="12.75" hidden="false" customHeight="true" outlineLevel="0" collapsed="false">
      <c r="A251" s="148" t="n">
        <v>6023</v>
      </c>
      <c r="B251" s="149" t="s">
        <v>7397</v>
      </c>
      <c r="C251" s="149" t="n">
        <v>2016</v>
      </c>
      <c r="D251" s="150" t="n">
        <v>42521</v>
      </c>
      <c r="E251" s="68" t="s">
        <v>7398</v>
      </c>
      <c r="F251" s="151" t="s">
        <v>1817</v>
      </c>
      <c r="G251" s="68" t="s">
        <v>441</v>
      </c>
      <c r="H251" s="151" t="s">
        <v>354</v>
      </c>
      <c r="I251" s="150" t="n">
        <v>45005</v>
      </c>
      <c r="J251" s="68" t="n">
        <v>3</v>
      </c>
      <c r="K251" s="143" t="s">
        <v>49</v>
      </c>
      <c r="L251" s="151" t="s">
        <v>58</v>
      </c>
      <c r="M251" s="68" t="n">
        <f aca="false">I251-D251</f>
        <v>2484</v>
      </c>
    </row>
    <row r="252" customFormat="false" ht="12.75" hidden="false" customHeight="true" outlineLevel="0" collapsed="false">
      <c r="A252" s="139" t="n">
        <v>6123</v>
      </c>
      <c r="B252" s="140" t="s">
        <v>7399</v>
      </c>
      <c r="C252" s="140" t="n">
        <v>2022</v>
      </c>
      <c r="D252" s="141" t="n">
        <v>44651</v>
      </c>
      <c r="E252" s="66" t="s">
        <v>7400</v>
      </c>
      <c r="F252" s="142" t="s">
        <v>7401</v>
      </c>
      <c r="G252" s="66" t="s">
        <v>144</v>
      </c>
      <c r="H252" s="142" t="s">
        <v>373</v>
      </c>
      <c r="I252" s="141" t="n">
        <v>45014</v>
      </c>
      <c r="J252" s="66" t="n">
        <v>3</v>
      </c>
      <c r="K252" s="143" t="s">
        <v>48</v>
      </c>
      <c r="L252" s="142" t="s">
        <v>58</v>
      </c>
      <c r="M252" s="66" t="n">
        <f aca="false">I252-D252</f>
        <v>363</v>
      </c>
    </row>
    <row r="253" customFormat="false" ht="12.75" hidden="false" customHeight="true" outlineLevel="0" collapsed="false">
      <c r="A253" s="148" t="n">
        <v>6223</v>
      </c>
      <c r="B253" s="149" t="s">
        <v>7402</v>
      </c>
      <c r="C253" s="149" t="n">
        <v>2020</v>
      </c>
      <c r="D253" s="150" t="n">
        <v>44189</v>
      </c>
      <c r="E253" s="68" t="s">
        <v>7403</v>
      </c>
      <c r="F253" s="151" t="s">
        <v>5536</v>
      </c>
      <c r="G253" s="68" t="s">
        <v>441</v>
      </c>
      <c r="H253" s="151" t="s">
        <v>471</v>
      </c>
      <c r="I253" s="150" t="n">
        <v>45014</v>
      </c>
      <c r="J253" s="68" t="n">
        <v>3</v>
      </c>
      <c r="K253" s="409" t="s">
        <v>290</v>
      </c>
      <c r="L253" s="151" t="s">
        <v>60</v>
      </c>
      <c r="M253" s="68" t="n">
        <f aca="false">I253-D253</f>
        <v>825</v>
      </c>
    </row>
    <row r="254" customFormat="false" ht="12.75" hidden="false" customHeight="true" outlineLevel="0" collapsed="false">
      <c r="A254" s="139" t="n">
        <v>6323</v>
      </c>
      <c r="B254" s="140" t="s">
        <v>7404</v>
      </c>
      <c r="C254" s="140" t="n">
        <v>2015</v>
      </c>
      <c r="D254" s="141" t="n">
        <v>42305</v>
      </c>
      <c r="E254" s="66" t="s">
        <v>7405</v>
      </c>
      <c r="F254" s="142" t="s">
        <v>1710</v>
      </c>
      <c r="G254" s="66" t="s">
        <v>441</v>
      </c>
      <c r="H254" s="142" t="s">
        <v>1567</v>
      </c>
      <c r="I254" s="141" t="n">
        <v>45014</v>
      </c>
      <c r="J254" s="66" t="n">
        <v>3</v>
      </c>
      <c r="K254" s="143" t="s">
        <v>49</v>
      </c>
      <c r="L254" s="142" t="s">
        <v>58</v>
      </c>
      <c r="M254" s="66" t="n">
        <f aca="false">I254-D254</f>
        <v>2709</v>
      </c>
    </row>
    <row r="255" customFormat="false" ht="12.75" hidden="false" customHeight="true" outlineLevel="0" collapsed="false">
      <c r="A255" s="148" t="n">
        <v>6423</v>
      </c>
      <c r="B255" s="149" t="s">
        <v>7406</v>
      </c>
      <c r="C255" s="149" t="n">
        <v>2012</v>
      </c>
      <c r="D255" s="150" t="n">
        <v>41058</v>
      </c>
      <c r="E255" s="68" t="s">
        <v>7407</v>
      </c>
      <c r="F255" s="151" t="s">
        <v>7408</v>
      </c>
      <c r="G255" s="68" t="s">
        <v>441</v>
      </c>
      <c r="H255" s="151" t="s">
        <v>254</v>
      </c>
      <c r="I255" s="150" t="n">
        <v>45014</v>
      </c>
      <c r="J255" s="68" t="n">
        <v>3</v>
      </c>
      <c r="K255" s="143" t="s">
        <v>48</v>
      </c>
      <c r="L255" s="151" t="s">
        <v>58</v>
      </c>
      <c r="M255" s="68" t="n">
        <f aca="false">I255-D255</f>
        <v>3956</v>
      </c>
    </row>
    <row r="256" customFormat="false" ht="12.75" hidden="false" customHeight="true" outlineLevel="0" collapsed="false">
      <c r="A256" s="139" t="n">
        <v>6523</v>
      </c>
      <c r="B256" s="140" t="s">
        <v>7409</v>
      </c>
      <c r="C256" s="140" t="n">
        <v>2018</v>
      </c>
      <c r="D256" s="141" t="n">
        <v>43215</v>
      </c>
      <c r="E256" s="66" t="s">
        <v>7410</v>
      </c>
      <c r="F256" s="142" t="s">
        <v>7411</v>
      </c>
      <c r="G256" s="66" t="s">
        <v>144</v>
      </c>
      <c r="H256" s="142" t="s">
        <v>7412</v>
      </c>
      <c r="I256" s="141" t="n">
        <v>45014</v>
      </c>
      <c r="J256" s="66" t="n">
        <v>3</v>
      </c>
      <c r="K256" s="143" t="s">
        <v>48</v>
      </c>
      <c r="L256" s="142" t="s">
        <v>60</v>
      </c>
      <c r="M256" s="66" t="n">
        <f aca="false">I256-D256</f>
        <v>1799</v>
      </c>
    </row>
    <row r="257" customFormat="false" ht="12.75" hidden="false" customHeight="true" outlineLevel="0" collapsed="false">
      <c r="A257" s="439" t="n">
        <v>6623</v>
      </c>
      <c r="B257" s="149" t="s">
        <v>7413</v>
      </c>
      <c r="C257" s="149" t="n">
        <v>2016</v>
      </c>
      <c r="D257" s="150" t="n">
        <v>42480</v>
      </c>
      <c r="E257" s="68" t="s">
        <v>7414</v>
      </c>
      <c r="F257" s="151" t="s">
        <v>157</v>
      </c>
      <c r="G257" s="68" t="s">
        <v>441</v>
      </c>
      <c r="H257" s="151" t="s">
        <v>471</v>
      </c>
      <c r="I257" s="150" t="n">
        <v>45014</v>
      </c>
      <c r="J257" s="68" t="n">
        <v>3</v>
      </c>
      <c r="K257" s="143" t="s">
        <v>48</v>
      </c>
      <c r="L257" s="151" t="s">
        <v>58</v>
      </c>
      <c r="M257" s="68" t="n">
        <f aca="false">I257-D257</f>
        <v>2534</v>
      </c>
    </row>
    <row r="258" customFormat="false" ht="12.75" hidden="false" customHeight="true" outlineLevel="0" collapsed="false">
      <c r="A258" s="139" t="n">
        <v>6723</v>
      </c>
      <c r="B258" s="140" t="s">
        <v>7415</v>
      </c>
      <c r="C258" s="140" t="n">
        <v>2019</v>
      </c>
      <c r="D258" s="141" t="n">
        <v>43735</v>
      </c>
      <c r="E258" s="66" t="s">
        <v>7416</v>
      </c>
      <c r="F258" s="142" t="s">
        <v>7417</v>
      </c>
      <c r="G258" s="66" t="s">
        <v>441</v>
      </c>
      <c r="H258" s="142" t="s">
        <v>3056</v>
      </c>
      <c r="I258" s="141" t="n">
        <v>45042</v>
      </c>
      <c r="J258" s="66" t="n">
        <v>4</v>
      </c>
      <c r="K258" s="143" t="s">
        <v>49</v>
      </c>
      <c r="L258" s="142" t="s">
        <v>60</v>
      </c>
      <c r="M258" s="66" t="n">
        <f aca="false">I258-D258</f>
        <v>1307</v>
      </c>
    </row>
    <row r="259" customFormat="false" ht="12.75" hidden="false" customHeight="true" outlineLevel="0" collapsed="false">
      <c r="A259" s="148" t="n">
        <v>6823</v>
      </c>
      <c r="B259" s="149" t="s">
        <v>7418</v>
      </c>
      <c r="C259" s="149" t="n">
        <v>2018</v>
      </c>
      <c r="D259" s="150" t="n">
        <v>43237</v>
      </c>
      <c r="E259" s="68" t="s">
        <v>7419</v>
      </c>
      <c r="F259" s="151" t="s">
        <v>7420</v>
      </c>
      <c r="G259" s="68" t="s">
        <v>144</v>
      </c>
      <c r="H259" s="151" t="s">
        <v>7421</v>
      </c>
      <c r="I259" s="150" t="n">
        <v>45042</v>
      </c>
      <c r="J259" s="68" t="n">
        <v>4</v>
      </c>
      <c r="K259" s="143" t="s">
        <v>49</v>
      </c>
      <c r="L259" s="151" t="s">
        <v>58</v>
      </c>
      <c r="M259" s="68" t="n">
        <f aca="false">I259-D259</f>
        <v>1805</v>
      </c>
    </row>
    <row r="260" customFormat="false" ht="12.75" hidden="false" customHeight="true" outlineLevel="0" collapsed="false">
      <c r="A260" s="139" t="n">
        <v>6923</v>
      </c>
      <c r="B260" s="140" t="s">
        <v>7422</v>
      </c>
      <c r="C260" s="140" t="n">
        <v>2018</v>
      </c>
      <c r="D260" s="141" t="n">
        <v>43237</v>
      </c>
      <c r="E260" s="66" t="s">
        <v>7423</v>
      </c>
      <c r="F260" s="142" t="s">
        <v>7420</v>
      </c>
      <c r="G260" s="66" t="s">
        <v>144</v>
      </c>
      <c r="H260" s="142" t="s">
        <v>5907</v>
      </c>
      <c r="I260" s="141" t="n">
        <v>45042</v>
      </c>
      <c r="J260" s="66" t="n">
        <v>4</v>
      </c>
      <c r="K260" s="143" t="s">
        <v>49</v>
      </c>
      <c r="L260" s="142" t="s">
        <v>58</v>
      </c>
      <c r="M260" s="66" t="n">
        <f aca="false">I260-D260</f>
        <v>1805</v>
      </c>
    </row>
    <row r="261" customFormat="false" ht="12.75" hidden="false" customHeight="true" outlineLevel="0" collapsed="false">
      <c r="A261" s="148" t="n">
        <v>7023</v>
      </c>
      <c r="B261" s="149" t="s">
        <v>7424</v>
      </c>
      <c r="C261" s="149" t="n">
        <v>2015</v>
      </c>
      <c r="D261" s="150" t="n">
        <v>42361</v>
      </c>
      <c r="E261" s="68" t="s">
        <v>7425</v>
      </c>
      <c r="F261" s="151" t="s">
        <v>7426</v>
      </c>
      <c r="G261" s="68" t="s">
        <v>441</v>
      </c>
      <c r="H261" s="151" t="s">
        <v>3339</v>
      </c>
      <c r="I261" s="150" t="n">
        <v>45042</v>
      </c>
      <c r="J261" s="68" t="n">
        <v>4</v>
      </c>
      <c r="K261" s="143" t="s">
        <v>49</v>
      </c>
      <c r="L261" s="151" t="s">
        <v>58</v>
      </c>
      <c r="M261" s="68" t="n">
        <f aca="false">I261-D261</f>
        <v>2681</v>
      </c>
    </row>
    <row r="262" customFormat="false" ht="12.75" hidden="false" customHeight="true" outlineLevel="0" collapsed="false">
      <c r="A262" s="139" t="n">
        <v>7123</v>
      </c>
      <c r="B262" s="140" t="s">
        <v>7427</v>
      </c>
      <c r="C262" s="140" t="n">
        <v>2022</v>
      </c>
      <c r="D262" s="141" t="n">
        <v>44700</v>
      </c>
      <c r="E262" s="66" t="s">
        <v>7428</v>
      </c>
      <c r="F262" s="142" t="s">
        <v>7429</v>
      </c>
      <c r="G262" s="66" t="s">
        <v>125</v>
      </c>
      <c r="H262" s="142" t="s">
        <v>1042</v>
      </c>
      <c r="I262" s="141" t="n">
        <v>45042</v>
      </c>
      <c r="J262" s="66" t="n">
        <v>4</v>
      </c>
      <c r="K262" s="143" t="s">
        <v>49</v>
      </c>
      <c r="L262" s="142" t="s">
        <v>61</v>
      </c>
      <c r="M262" s="66" t="n">
        <f aca="false">I262-D262</f>
        <v>342</v>
      </c>
    </row>
    <row r="263" customFormat="false" ht="12.75" hidden="false" customHeight="true" outlineLevel="0" collapsed="false">
      <c r="A263" s="148" t="n">
        <v>7223</v>
      </c>
      <c r="B263" s="149" t="s">
        <v>7430</v>
      </c>
      <c r="C263" s="149" t="n">
        <v>2015</v>
      </c>
      <c r="D263" s="150" t="n">
        <v>42356</v>
      </c>
      <c r="E263" s="68" t="s">
        <v>7431</v>
      </c>
      <c r="F263" s="151" t="s">
        <v>7432</v>
      </c>
      <c r="G263" s="68" t="s">
        <v>441</v>
      </c>
      <c r="H263" s="151" t="s">
        <v>471</v>
      </c>
      <c r="I263" s="150" t="n">
        <v>45042</v>
      </c>
      <c r="J263" s="68" t="n">
        <v>4</v>
      </c>
      <c r="K263" s="143" t="s">
        <v>49</v>
      </c>
      <c r="L263" s="151" t="s">
        <v>58</v>
      </c>
      <c r="M263" s="68" t="n">
        <f aca="false">I263-D263</f>
        <v>2686</v>
      </c>
    </row>
    <row r="264" customFormat="false" ht="12.75" hidden="false" customHeight="true" outlineLevel="0" collapsed="false">
      <c r="A264" s="139" t="n">
        <v>7323</v>
      </c>
      <c r="B264" s="140" t="s">
        <v>7433</v>
      </c>
      <c r="C264" s="140" t="n">
        <v>2018</v>
      </c>
      <c r="D264" s="141" t="n">
        <v>43188</v>
      </c>
      <c r="E264" s="66" t="s">
        <v>7434</v>
      </c>
      <c r="F264" s="142" t="s">
        <v>7435</v>
      </c>
      <c r="G264" s="66" t="s">
        <v>441</v>
      </c>
      <c r="H264" s="142" t="s">
        <v>119</v>
      </c>
      <c r="I264" s="141" t="n">
        <v>45042</v>
      </c>
      <c r="J264" s="66" t="n">
        <v>4</v>
      </c>
      <c r="K264" s="143" t="s">
        <v>48</v>
      </c>
      <c r="L264" s="142" t="s">
        <v>57</v>
      </c>
      <c r="M264" s="66" t="n">
        <f aca="false">I264-D264</f>
        <v>1854</v>
      </c>
    </row>
    <row r="265" customFormat="false" ht="12.75" hidden="false" customHeight="true" outlineLevel="0" collapsed="false">
      <c r="A265" s="148" t="n">
        <v>7423</v>
      </c>
      <c r="B265" s="149" t="s">
        <v>7436</v>
      </c>
      <c r="C265" s="149" t="n">
        <v>2018</v>
      </c>
      <c r="D265" s="150" t="n">
        <v>43347</v>
      </c>
      <c r="E265" s="68" t="s">
        <v>7437</v>
      </c>
      <c r="F265" s="151" t="s">
        <v>168</v>
      </c>
      <c r="G265" s="68" t="s">
        <v>441</v>
      </c>
      <c r="H265" s="151" t="s">
        <v>1231</v>
      </c>
      <c r="I265" s="150" t="n">
        <v>45043</v>
      </c>
      <c r="J265" s="68" t="n">
        <v>4</v>
      </c>
      <c r="K265" s="197" t="s">
        <v>44</v>
      </c>
      <c r="L265" s="151" t="s">
        <v>60</v>
      </c>
      <c r="M265" s="68" t="n">
        <f aca="false">I265-D265</f>
        <v>1696</v>
      </c>
    </row>
    <row r="266" customFormat="false" ht="12.75" hidden="false" customHeight="true" outlineLevel="0" collapsed="false">
      <c r="A266" s="139" t="n">
        <v>7523</v>
      </c>
      <c r="B266" s="140" t="s">
        <v>7438</v>
      </c>
      <c r="C266" s="140" t="n">
        <v>2018</v>
      </c>
      <c r="D266" s="141" t="n">
        <v>43188</v>
      </c>
      <c r="E266" s="66" t="s">
        <v>7439</v>
      </c>
      <c r="F266" s="142" t="s">
        <v>242</v>
      </c>
      <c r="G266" s="66" t="s">
        <v>144</v>
      </c>
      <c r="H266" s="142" t="s">
        <v>134</v>
      </c>
      <c r="I266" s="141" t="n">
        <v>45054</v>
      </c>
      <c r="J266" s="66" t="n">
        <v>5</v>
      </c>
      <c r="K266" s="143" t="s">
        <v>49</v>
      </c>
      <c r="L266" s="142" t="s">
        <v>58</v>
      </c>
      <c r="M266" s="66" t="n">
        <f aca="false">I266-D266</f>
        <v>1866</v>
      </c>
    </row>
    <row r="267" customFormat="false" ht="12.75" hidden="false" customHeight="true" outlineLevel="0" collapsed="false">
      <c r="A267" s="148" t="n">
        <v>7623</v>
      </c>
      <c r="B267" s="149" t="s">
        <v>7440</v>
      </c>
      <c r="C267" s="149" t="n">
        <v>2018</v>
      </c>
      <c r="D267" s="150" t="n">
        <v>43235</v>
      </c>
      <c r="E267" s="68" t="s">
        <v>7441</v>
      </c>
      <c r="F267" s="151" t="s">
        <v>7202</v>
      </c>
      <c r="G267" s="68" t="s">
        <v>144</v>
      </c>
      <c r="H267" s="151" t="s">
        <v>697</v>
      </c>
      <c r="I267" s="150" t="n">
        <v>45054</v>
      </c>
      <c r="J267" s="68" t="n">
        <v>5</v>
      </c>
      <c r="K267" s="143" t="s">
        <v>49</v>
      </c>
      <c r="L267" s="151" t="s">
        <v>60</v>
      </c>
      <c r="M267" s="68" t="n">
        <f aca="false">I267-D267</f>
        <v>1819</v>
      </c>
    </row>
    <row r="268" customFormat="false" ht="12.75" hidden="false" customHeight="true" outlineLevel="0" collapsed="false">
      <c r="A268" s="139" t="n">
        <v>7723</v>
      </c>
      <c r="B268" s="140" t="s">
        <v>7442</v>
      </c>
      <c r="C268" s="140" t="n">
        <v>2021</v>
      </c>
      <c r="D268" s="141" t="n">
        <v>44319</v>
      </c>
      <c r="E268" s="66" t="s">
        <v>7443</v>
      </c>
      <c r="F268" s="142" t="s">
        <v>509</v>
      </c>
      <c r="G268" s="66" t="s">
        <v>441</v>
      </c>
      <c r="H268" s="142" t="s">
        <v>570</v>
      </c>
      <c r="I268" s="141" t="n">
        <v>45054</v>
      </c>
      <c r="J268" s="66" t="n">
        <v>5</v>
      </c>
      <c r="K268" s="178" t="s">
        <v>46</v>
      </c>
      <c r="L268" s="142" t="s">
        <v>58</v>
      </c>
      <c r="M268" s="66" t="n">
        <f aca="false">I268-D268</f>
        <v>735</v>
      </c>
    </row>
    <row r="269" customFormat="false" ht="12.75" hidden="false" customHeight="true" outlineLevel="0" collapsed="false">
      <c r="A269" s="148" t="n">
        <v>7823</v>
      </c>
      <c r="B269" s="149" t="s">
        <v>7444</v>
      </c>
      <c r="C269" s="149" t="n">
        <v>2020</v>
      </c>
      <c r="D269" s="150" t="n">
        <v>43888</v>
      </c>
      <c r="E269" s="68" t="s">
        <v>7445</v>
      </c>
      <c r="F269" s="151" t="s">
        <v>7446</v>
      </c>
      <c r="G269" s="68" t="s">
        <v>441</v>
      </c>
      <c r="H269" s="151" t="s">
        <v>7447</v>
      </c>
      <c r="I269" s="150" t="n">
        <v>45054</v>
      </c>
      <c r="J269" s="68" t="n">
        <v>5</v>
      </c>
      <c r="K269" s="143" t="s">
        <v>49</v>
      </c>
      <c r="L269" s="151" t="s">
        <v>58</v>
      </c>
      <c r="M269" s="68" t="n">
        <f aca="false">I269-D269</f>
        <v>1166</v>
      </c>
    </row>
    <row r="270" customFormat="false" ht="15" hidden="false" customHeight="true" outlineLevel="0" collapsed="false">
      <c r="A270" s="139" t="n">
        <v>7923</v>
      </c>
      <c r="B270" s="140" t="s">
        <v>7448</v>
      </c>
      <c r="C270" s="140" t="n">
        <v>2022</v>
      </c>
      <c r="D270" s="141" t="n">
        <v>44713</v>
      </c>
      <c r="E270" s="66" t="s">
        <v>7449</v>
      </c>
      <c r="F270" s="142" t="s">
        <v>7450</v>
      </c>
      <c r="G270" s="66" t="s">
        <v>125</v>
      </c>
      <c r="H270" s="142" t="s">
        <v>6469</v>
      </c>
      <c r="I270" s="141" t="n">
        <v>45054</v>
      </c>
      <c r="J270" s="66" t="n">
        <v>5</v>
      </c>
      <c r="K270" s="409" t="s">
        <v>290</v>
      </c>
      <c r="L270" s="142" t="s">
        <v>61</v>
      </c>
      <c r="M270" s="66" t="n">
        <f aca="false">I270-D270</f>
        <v>341</v>
      </c>
    </row>
    <row r="271" customFormat="false" ht="12.75" hidden="false" customHeight="true" outlineLevel="0" collapsed="false">
      <c r="A271" s="148" t="n">
        <v>8023</v>
      </c>
      <c r="B271" s="149" t="s">
        <v>7451</v>
      </c>
      <c r="C271" s="149" t="n">
        <v>2021</v>
      </c>
      <c r="D271" s="150" t="n">
        <v>44378</v>
      </c>
      <c r="E271" s="68" t="s">
        <v>7452</v>
      </c>
      <c r="F271" s="440" t="s">
        <v>7453</v>
      </c>
      <c r="G271" s="68" t="s">
        <v>125</v>
      </c>
      <c r="H271" s="151" t="s">
        <v>7454</v>
      </c>
      <c r="I271" s="150" t="n">
        <v>45054</v>
      </c>
      <c r="J271" s="158" t="n">
        <v>5</v>
      </c>
      <c r="K271" s="169" t="s">
        <v>290</v>
      </c>
      <c r="L271" s="189" t="s">
        <v>61</v>
      </c>
      <c r="M271" s="158" t="n">
        <f aca="false">I271-D271</f>
        <v>676</v>
      </c>
    </row>
    <row r="272" customFormat="false" ht="12.75" hidden="false" customHeight="true" outlineLevel="0" collapsed="false">
      <c r="A272" s="139" t="n">
        <v>8123</v>
      </c>
      <c r="B272" s="140" t="s">
        <v>7455</v>
      </c>
      <c r="C272" s="140" t="n">
        <v>2022</v>
      </c>
      <c r="D272" s="141" t="n">
        <v>44693</v>
      </c>
      <c r="E272" s="66" t="s">
        <v>7456</v>
      </c>
      <c r="F272" s="142" t="s">
        <v>7457</v>
      </c>
      <c r="G272" s="66" t="s">
        <v>125</v>
      </c>
      <c r="H272" s="142" t="s">
        <v>7458</v>
      </c>
      <c r="I272" s="141" t="n">
        <v>45056</v>
      </c>
      <c r="J272" s="66" t="n">
        <v>5</v>
      </c>
      <c r="K272" s="169" t="s">
        <v>290</v>
      </c>
      <c r="L272" s="142" t="s">
        <v>61</v>
      </c>
      <c r="M272" s="66" t="n">
        <f aca="false">I272-D272</f>
        <v>363</v>
      </c>
    </row>
    <row r="273" customFormat="false" ht="12.75" hidden="false" customHeight="true" outlineLevel="0" collapsed="false">
      <c r="A273" s="148" t="n">
        <v>8223</v>
      </c>
      <c r="B273" s="149" t="s">
        <v>7459</v>
      </c>
      <c r="C273" s="149" t="n">
        <v>2022</v>
      </c>
      <c r="D273" s="150" t="n">
        <v>44862</v>
      </c>
      <c r="E273" s="68" t="s">
        <v>7460</v>
      </c>
      <c r="F273" s="151" t="s">
        <v>7461</v>
      </c>
      <c r="G273" s="68" t="s">
        <v>130</v>
      </c>
      <c r="H273" s="151" t="s">
        <v>7462</v>
      </c>
      <c r="I273" s="150" t="n">
        <v>45056</v>
      </c>
      <c r="J273" s="68" t="n">
        <v>5</v>
      </c>
      <c r="K273" s="143" t="s">
        <v>49</v>
      </c>
      <c r="L273" s="189" t="s">
        <v>61</v>
      </c>
      <c r="M273" s="68" t="n">
        <f aca="false">I273-D273</f>
        <v>194</v>
      </c>
    </row>
    <row r="274" customFormat="false" ht="12.75" hidden="false" customHeight="true" outlineLevel="0" collapsed="false">
      <c r="A274" s="139" t="n">
        <v>8323</v>
      </c>
      <c r="B274" s="140" t="s">
        <v>7463</v>
      </c>
      <c r="C274" s="140" t="n">
        <v>2022</v>
      </c>
      <c r="D274" s="141" t="n">
        <v>44861</v>
      </c>
      <c r="E274" s="66" t="s">
        <v>7464</v>
      </c>
      <c r="F274" s="142" t="s">
        <v>7465</v>
      </c>
      <c r="G274" s="66" t="s">
        <v>130</v>
      </c>
      <c r="H274" s="142" t="s">
        <v>7466</v>
      </c>
      <c r="I274" s="141" t="n">
        <v>45056</v>
      </c>
      <c r="J274" s="66" t="n">
        <v>5</v>
      </c>
      <c r="K274" s="143" t="s">
        <v>49</v>
      </c>
      <c r="L274" s="142" t="s">
        <v>61</v>
      </c>
      <c r="M274" s="66" t="n">
        <f aca="false">I274-D274</f>
        <v>195</v>
      </c>
    </row>
    <row r="275" customFormat="false" ht="12.75" hidden="false" customHeight="true" outlineLevel="0" collapsed="false">
      <c r="A275" s="148" t="n">
        <v>8423</v>
      </c>
      <c r="B275" s="149" t="s">
        <v>7467</v>
      </c>
      <c r="C275" s="149" t="n">
        <v>2021</v>
      </c>
      <c r="D275" s="150" t="n">
        <v>44418</v>
      </c>
      <c r="E275" s="68" t="s">
        <v>7468</v>
      </c>
      <c r="F275" s="151" t="s">
        <v>876</v>
      </c>
      <c r="G275" s="68" t="s">
        <v>130</v>
      </c>
      <c r="H275" s="151" t="s">
        <v>7469</v>
      </c>
      <c r="I275" s="150" t="n">
        <v>45056</v>
      </c>
      <c r="J275" s="68" t="n">
        <v>5</v>
      </c>
      <c r="K275" s="143" t="s">
        <v>49</v>
      </c>
      <c r="L275" s="189" t="s">
        <v>61</v>
      </c>
      <c r="M275" s="68" t="n">
        <f aca="false">I275-D275</f>
        <v>638</v>
      </c>
    </row>
    <row r="276" customFormat="false" ht="15" hidden="false" customHeight="true" outlineLevel="0" collapsed="false">
      <c r="A276" s="139" t="n">
        <v>8523</v>
      </c>
      <c r="B276" s="140" t="s">
        <v>7470</v>
      </c>
      <c r="C276" s="140" t="n">
        <v>2021</v>
      </c>
      <c r="D276" s="141" t="n">
        <v>44364</v>
      </c>
      <c r="E276" s="66" t="s">
        <v>7471</v>
      </c>
      <c r="F276" s="142" t="s">
        <v>446</v>
      </c>
      <c r="G276" s="66" t="s">
        <v>441</v>
      </c>
      <c r="H276" s="142" t="s">
        <v>7472</v>
      </c>
      <c r="I276" s="141" t="n">
        <v>45056</v>
      </c>
      <c r="J276" s="66" t="n">
        <v>5</v>
      </c>
      <c r="K276" s="143" t="s">
        <v>49</v>
      </c>
      <c r="L276" s="142" t="s">
        <v>60</v>
      </c>
      <c r="M276" s="66" t="n">
        <f aca="false">I276-D276</f>
        <v>692</v>
      </c>
    </row>
    <row r="277" customFormat="false" ht="12.75" hidden="false" customHeight="true" outlineLevel="0" collapsed="false">
      <c r="A277" s="148" t="n">
        <v>8623</v>
      </c>
      <c r="B277" s="149" t="s">
        <v>7473</v>
      </c>
      <c r="C277" s="149" t="n">
        <v>2016</v>
      </c>
      <c r="D277" s="150" t="n">
        <v>42480</v>
      </c>
      <c r="E277" s="68" t="s">
        <v>7474</v>
      </c>
      <c r="F277" s="151" t="s">
        <v>1277</v>
      </c>
      <c r="G277" s="68" t="s">
        <v>441</v>
      </c>
      <c r="H277" s="151" t="s">
        <v>7475</v>
      </c>
      <c r="I277" s="150" t="n">
        <v>45056</v>
      </c>
      <c r="J277" s="68" t="n">
        <v>5</v>
      </c>
      <c r="K277" s="197" t="s">
        <v>44</v>
      </c>
      <c r="L277" s="151" t="s">
        <v>58</v>
      </c>
      <c r="M277" s="68" t="n">
        <f aca="false">I277-D277</f>
        <v>2576</v>
      </c>
    </row>
    <row r="278" customFormat="false" ht="12.75" hidden="false" customHeight="true" outlineLevel="0" collapsed="false">
      <c r="A278" s="139" t="n">
        <v>8723</v>
      </c>
      <c r="B278" s="140" t="s">
        <v>7476</v>
      </c>
      <c r="C278" s="140" t="n">
        <v>2016</v>
      </c>
      <c r="D278" s="141" t="n">
        <v>42685</v>
      </c>
      <c r="E278" s="66" t="s">
        <v>7477</v>
      </c>
      <c r="F278" s="142" t="s">
        <v>7478</v>
      </c>
      <c r="G278" s="66" t="s">
        <v>441</v>
      </c>
      <c r="H278" s="142" t="s">
        <v>1567</v>
      </c>
      <c r="I278" s="141" t="n">
        <v>45056</v>
      </c>
      <c r="J278" s="66" t="n">
        <v>5</v>
      </c>
      <c r="K278" s="143" t="s">
        <v>49</v>
      </c>
      <c r="L278" s="142" t="s">
        <v>58</v>
      </c>
      <c r="M278" s="66" t="n">
        <f aca="false">I278-D278</f>
        <v>2371</v>
      </c>
    </row>
    <row r="279" customFormat="false" ht="12.75" hidden="false" customHeight="true" outlineLevel="0" collapsed="false">
      <c r="A279" s="148" t="n">
        <v>8823</v>
      </c>
      <c r="B279" s="149" t="s">
        <v>7479</v>
      </c>
      <c r="C279" s="149" t="n">
        <v>2013</v>
      </c>
      <c r="D279" s="150" t="n">
        <v>43283</v>
      </c>
      <c r="E279" s="68" t="s">
        <v>7480</v>
      </c>
      <c r="F279" s="151" t="s">
        <v>5359</v>
      </c>
      <c r="G279" s="68" t="s">
        <v>441</v>
      </c>
      <c r="H279" s="151" t="s">
        <v>471</v>
      </c>
      <c r="I279" s="150" t="n">
        <v>45075</v>
      </c>
      <c r="J279" s="68" t="n">
        <v>5</v>
      </c>
      <c r="K279" s="143" t="s">
        <v>48</v>
      </c>
      <c r="L279" s="151" t="s">
        <v>58</v>
      </c>
      <c r="M279" s="68" t="n">
        <f aca="false">I279-D279</f>
        <v>1792</v>
      </c>
    </row>
    <row r="280" customFormat="false" ht="12.75" hidden="false" customHeight="true" outlineLevel="0" collapsed="false">
      <c r="A280" s="139" t="n">
        <v>8923</v>
      </c>
      <c r="B280" s="140" t="s">
        <v>7481</v>
      </c>
      <c r="C280" s="140" t="n">
        <v>2022</v>
      </c>
      <c r="D280" s="141" t="n">
        <v>44713</v>
      </c>
      <c r="E280" s="66" t="s">
        <v>7482</v>
      </c>
      <c r="F280" s="142" t="s">
        <v>1727</v>
      </c>
      <c r="G280" s="66" t="s">
        <v>441</v>
      </c>
      <c r="H280" s="142" t="s">
        <v>453</v>
      </c>
      <c r="I280" s="141" t="n">
        <v>45075</v>
      </c>
      <c r="J280" s="66" t="n">
        <v>5</v>
      </c>
      <c r="K280" s="143" t="s">
        <v>48</v>
      </c>
      <c r="L280" s="142" t="s">
        <v>58</v>
      </c>
      <c r="M280" s="66" t="n">
        <f aca="false">I280-D280</f>
        <v>362</v>
      </c>
    </row>
    <row r="281" customFormat="false" ht="12.75" hidden="false" customHeight="true" outlineLevel="0" collapsed="false">
      <c r="A281" s="148" t="n">
        <v>9023</v>
      </c>
      <c r="B281" s="149" t="s">
        <v>7483</v>
      </c>
      <c r="C281" s="149" t="n">
        <v>2015</v>
      </c>
      <c r="D281" s="150" t="n">
        <v>42360</v>
      </c>
      <c r="E281" s="68" t="s">
        <v>7484</v>
      </c>
      <c r="F281" s="151" t="s">
        <v>569</v>
      </c>
      <c r="G281" s="68" t="s">
        <v>441</v>
      </c>
      <c r="H281" s="151" t="s">
        <v>1042</v>
      </c>
      <c r="I281" s="150" t="n">
        <v>45075</v>
      </c>
      <c r="J281" s="68" t="n">
        <v>5</v>
      </c>
      <c r="K281" s="143" t="s">
        <v>48</v>
      </c>
      <c r="L281" s="151" t="s">
        <v>58</v>
      </c>
      <c r="M281" s="68" t="n">
        <f aca="false">I281-D281</f>
        <v>2715</v>
      </c>
    </row>
    <row r="282" customFormat="false" ht="12.75" hidden="false" customHeight="true" outlineLevel="0" collapsed="false">
      <c r="A282" s="139" t="n">
        <v>9123</v>
      </c>
      <c r="B282" s="140" t="s">
        <v>7485</v>
      </c>
      <c r="C282" s="140" t="n">
        <v>2018</v>
      </c>
      <c r="D282" s="141" t="n">
        <v>43312</v>
      </c>
      <c r="E282" s="66" t="s">
        <v>7486</v>
      </c>
      <c r="F282" s="142" t="s">
        <v>242</v>
      </c>
      <c r="G282" s="66" t="s">
        <v>144</v>
      </c>
      <c r="H282" s="142" t="s">
        <v>134</v>
      </c>
      <c r="I282" s="141" t="n">
        <v>45075</v>
      </c>
      <c r="J282" s="66" t="n">
        <v>5</v>
      </c>
      <c r="K282" s="143" t="s">
        <v>49</v>
      </c>
      <c r="L282" s="142" t="s">
        <v>58</v>
      </c>
      <c r="M282" s="66" t="n">
        <f aca="false">I282-D282</f>
        <v>1763</v>
      </c>
    </row>
    <row r="283" customFormat="false" ht="12.75" hidden="false" customHeight="true" outlineLevel="0" collapsed="false">
      <c r="A283" s="148" t="n">
        <v>9223</v>
      </c>
      <c r="B283" s="149" t="s">
        <v>7487</v>
      </c>
      <c r="C283" s="149" t="n">
        <v>2016</v>
      </c>
      <c r="D283" s="150" t="n">
        <v>42648</v>
      </c>
      <c r="E283" s="68" t="s">
        <v>7488</v>
      </c>
      <c r="F283" s="151" t="s">
        <v>798</v>
      </c>
      <c r="G283" s="68" t="s">
        <v>441</v>
      </c>
      <c r="H283" s="151" t="s">
        <v>2677</v>
      </c>
      <c r="I283" s="150" t="n">
        <v>45075</v>
      </c>
      <c r="J283" s="68" t="n">
        <v>5</v>
      </c>
      <c r="K283" s="143" t="s">
        <v>49</v>
      </c>
      <c r="L283" s="151" t="s">
        <v>60</v>
      </c>
      <c r="M283" s="68" t="n">
        <f aca="false">I283-D283</f>
        <v>2427</v>
      </c>
    </row>
    <row r="284" customFormat="false" ht="12.75" hidden="false" customHeight="true" outlineLevel="0" collapsed="false">
      <c r="A284" s="139" t="n">
        <v>9323</v>
      </c>
      <c r="B284" s="140" t="s">
        <v>7489</v>
      </c>
      <c r="C284" s="140" t="n">
        <v>2015</v>
      </c>
      <c r="D284" s="141" t="n">
        <v>42124</v>
      </c>
      <c r="E284" s="66" t="s">
        <v>7490</v>
      </c>
      <c r="F284" s="142" t="s">
        <v>798</v>
      </c>
      <c r="G284" s="66" t="s">
        <v>441</v>
      </c>
      <c r="H284" s="142" t="s">
        <v>1567</v>
      </c>
      <c r="I284" s="141" t="n">
        <v>45075</v>
      </c>
      <c r="J284" s="66" t="n">
        <v>5</v>
      </c>
      <c r="K284" s="143" t="s">
        <v>49</v>
      </c>
      <c r="L284" s="142" t="s">
        <v>60</v>
      </c>
      <c r="M284" s="66" t="n">
        <f aca="false">I284-D284</f>
        <v>2951</v>
      </c>
    </row>
    <row r="285" customFormat="false" ht="12.75" hidden="false" customHeight="true" outlineLevel="0" collapsed="false">
      <c r="A285" s="148" t="n">
        <v>9423</v>
      </c>
      <c r="B285" s="149" t="s">
        <v>7491</v>
      </c>
      <c r="C285" s="149" t="n">
        <v>2021</v>
      </c>
      <c r="D285" s="150" t="n">
        <v>44253</v>
      </c>
      <c r="E285" s="68" t="s">
        <v>7492</v>
      </c>
      <c r="F285" s="151" t="s">
        <v>7493</v>
      </c>
      <c r="G285" s="68" t="s">
        <v>441</v>
      </c>
      <c r="H285" s="151" t="s">
        <v>267</v>
      </c>
      <c r="I285" s="150" t="n">
        <v>45075</v>
      </c>
      <c r="J285" s="68" t="n">
        <v>5</v>
      </c>
      <c r="K285" s="197" t="s">
        <v>44</v>
      </c>
      <c r="L285" s="151" t="s">
        <v>58</v>
      </c>
      <c r="M285" s="68" t="n">
        <f aca="false">I285-D285</f>
        <v>822</v>
      </c>
    </row>
    <row r="286" customFormat="false" ht="12.75" hidden="false" customHeight="true" outlineLevel="0" collapsed="false">
      <c r="A286" s="139" t="n">
        <v>9523</v>
      </c>
      <c r="B286" s="140" t="s">
        <v>7494</v>
      </c>
      <c r="C286" s="140" t="n">
        <v>2019</v>
      </c>
      <c r="D286" s="141" t="n">
        <v>43669</v>
      </c>
      <c r="E286" s="66" t="s">
        <v>7495</v>
      </c>
      <c r="F286" s="142" t="s">
        <v>723</v>
      </c>
      <c r="G286" s="66" t="s">
        <v>441</v>
      </c>
      <c r="H286" s="142" t="s">
        <v>3727</v>
      </c>
      <c r="I286" s="141" t="n">
        <v>45075</v>
      </c>
      <c r="J286" s="66" t="n">
        <v>5</v>
      </c>
      <c r="K286" s="197" t="s">
        <v>44</v>
      </c>
      <c r="L286" s="142" t="s">
        <v>60</v>
      </c>
      <c r="M286" s="66" t="n">
        <f aca="false">I286-D286</f>
        <v>1406</v>
      </c>
    </row>
    <row r="287" customFormat="false" ht="12.75" hidden="false" customHeight="true" outlineLevel="0" collapsed="false">
      <c r="A287" s="148" t="n">
        <v>9623</v>
      </c>
      <c r="B287" s="149" t="s">
        <v>7496</v>
      </c>
      <c r="C287" s="149" t="n">
        <v>2021</v>
      </c>
      <c r="D287" s="150" t="n">
        <v>44330</v>
      </c>
      <c r="E287" s="68" t="s">
        <v>7497</v>
      </c>
      <c r="F287" s="151" t="s">
        <v>188</v>
      </c>
      <c r="G287" s="68" t="s">
        <v>441</v>
      </c>
      <c r="H287" s="151" t="s">
        <v>208</v>
      </c>
      <c r="I287" s="150" t="n">
        <v>45075</v>
      </c>
      <c r="J287" s="68" t="n">
        <v>5</v>
      </c>
      <c r="K287" s="143" t="s">
        <v>49</v>
      </c>
      <c r="L287" s="151" t="s">
        <v>60</v>
      </c>
      <c r="M287" s="68" t="n">
        <f aca="false">I287-D287</f>
        <v>745</v>
      </c>
    </row>
    <row r="288" customFormat="false" ht="12.75" hidden="false" customHeight="true" outlineLevel="0" collapsed="false">
      <c r="A288" s="139" t="n">
        <v>9723</v>
      </c>
      <c r="B288" s="140" t="s">
        <v>7498</v>
      </c>
      <c r="C288" s="140" t="n">
        <v>2022</v>
      </c>
      <c r="D288" s="141" t="n">
        <v>44755</v>
      </c>
      <c r="E288" s="66" t="s">
        <v>7499</v>
      </c>
      <c r="F288" s="168" t="s">
        <v>7500</v>
      </c>
      <c r="G288" s="66" t="s">
        <v>125</v>
      </c>
      <c r="H288" s="142" t="s">
        <v>3506</v>
      </c>
      <c r="I288" s="141" t="n">
        <v>45075</v>
      </c>
      <c r="J288" s="66" t="n">
        <v>5</v>
      </c>
      <c r="K288" s="143" t="s">
        <v>49</v>
      </c>
      <c r="L288" s="142" t="s">
        <v>61</v>
      </c>
      <c r="M288" s="66" t="n">
        <f aca="false">I288-D288</f>
        <v>320</v>
      </c>
    </row>
    <row r="289" customFormat="false" ht="12.75" hidden="false" customHeight="true" outlineLevel="0" collapsed="false">
      <c r="A289" s="148" t="n">
        <v>9823</v>
      </c>
      <c r="B289" s="149" t="s">
        <v>7501</v>
      </c>
      <c r="C289" s="149" t="n">
        <v>2019</v>
      </c>
      <c r="D289" s="150" t="n">
        <v>43745</v>
      </c>
      <c r="E289" s="68" t="s">
        <v>7502</v>
      </c>
      <c r="F289" s="151" t="s">
        <v>6018</v>
      </c>
      <c r="G289" s="68" t="s">
        <v>441</v>
      </c>
      <c r="H289" s="151" t="s">
        <v>706</v>
      </c>
      <c r="I289" s="150" t="n">
        <v>45075</v>
      </c>
      <c r="J289" s="68" t="n">
        <v>5</v>
      </c>
      <c r="K289" s="143" t="s">
        <v>49</v>
      </c>
      <c r="L289" s="189" t="s">
        <v>61</v>
      </c>
      <c r="M289" s="68" t="n">
        <f aca="false">I289-D289</f>
        <v>1330</v>
      </c>
    </row>
    <row r="290" customFormat="false" ht="12.75" hidden="false" customHeight="true" outlineLevel="0" collapsed="false">
      <c r="A290" s="139" t="n">
        <v>9923</v>
      </c>
      <c r="B290" s="140" t="s">
        <v>7503</v>
      </c>
      <c r="C290" s="140" t="n">
        <v>2016</v>
      </c>
      <c r="D290" s="141" t="n">
        <v>42632</v>
      </c>
      <c r="E290" s="66" t="s">
        <v>7504</v>
      </c>
      <c r="F290" s="142" t="s">
        <v>823</v>
      </c>
      <c r="G290" s="66" t="s">
        <v>441</v>
      </c>
      <c r="H290" s="142" t="s">
        <v>2654</v>
      </c>
      <c r="I290" s="141" t="n">
        <v>45075</v>
      </c>
      <c r="J290" s="66" t="n">
        <v>5</v>
      </c>
      <c r="K290" s="143" t="s">
        <v>48</v>
      </c>
      <c r="L290" s="142" t="s">
        <v>58</v>
      </c>
      <c r="M290" s="66" t="n">
        <f aca="false">I290-D290</f>
        <v>2443</v>
      </c>
    </row>
    <row r="291" customFormat="false" ht="12.75" hidden="false" customHeight="true" outlineLevel="0" collapsed="false">
      <c r="A291" s="148" t="n">
        <v>10023</v>
      </c>
      <c r="B291" s="149" t="s">
        <v>7505</v>
      </c>
      <c r="C291" s="149" t="n">
        <v>2020</v>
      </c>
      <c r="D291" s="150" t="n">
        <v>43864</v>
      </c>
      <c r="E291" s="68" t="s">
        <v>7506</v>
      </c>
      <c r="F291" s="151" t="s">
        <v>3362</v>
      </c>
      <c r="G291" s="68" t="s">
        <v>441</v>
      </c>
      <c r="H291" s="151" t="s">
        <v>7507</v>
      </c>
      <c r="I291" s="150" t="n">
        <v>45075</v>
      </c>
      <c r="J291" s="68" t="n">
        <v>5</v>
      </c>
      <c r="K291" s="143" t="s">
        <v>49</v>
      </c>
      <c r="L291" s="151" t="s">
        <v>60</v>
      </c>
      <c r="M291" s="68" t="n">
        <f aca="false">I291-D291</f>
        <v>1211</v>
      </c>
    </row>
    <row r="292" customFormat="false" ht="12.75" hidden="false" customHeight="true" outlineLevel="0" collapsed="false">
      <c r="A292" s="139" t="n">
        <v>10123</v>
      </c>
      <c r="B292" s="140" t="s">
        <v>7508</v>
      </c>
      <c r="C292" s="140" t="n">
        <v>2020</v>
      </c>
      <c r="D292" s="141" t="n">
        <v>43892</v>
      </c>
      <c r="E292" s="66" t="s">
        <v>7509</v>
      </c>
      <c r="F292" s="142" t="s">
        <v>7510</v>
      </c>
      <c r="G292" s="66" t="s">
        <v>441</v>
      </c>
      <c r="H292" s="142" t="s">
        <v>1231</v>
      </c>
      <c r="I292" s="141" t="n">
        <v>45075</v>
      </c>
      <c r="J292" s="66" t="n">
        <v>5</v>
      </c>
      <c r="K292" s="143" t="s">
        <v>49</v>
      </c>
      <c r="L292" s="142" t="s">
        <v>61</v>
      </c>
      <c r="M292" s="66" t="n">
        <f aca="false">I292-D292</f>
        <v>1183</v>
      </c>
    </row>
    <row r="293" customFormat="false" ht="12.75" hidden="false" customHeight="true" outlineLevel="0" collapsed="false">
      <c r="A293" s="148" t="n">
        <v>10223</v>
      </c>
      <c r="B293" s="149" t="s">
        <v>7511</v>
      </c>
      <c r="C293" s="149" t="n">
        <v>2022</v>
      </c>
      <c r="D293" s="150" t="n">
        <v>44901</v>
      </c>
      <c r="E293" s="68" t="s">
        <v>7512</v>
      </c>
      <c r="F293" s="440" t="s">
        <v>7513</v>
      </c>
      <c r="G293" s="68" t="s">
        <v>130</v>
      </c>
      <c r="H293" s="151" t="s">
        <v>7514</v>
      </c>
      <c r="I293" s="150" t="n">
        <v>45075</v>
      </c>
      <c r="J293" s="68" t="n">
        <v>5</v>
      </c>
      <c r="K293" s="169" t="s">
        <v>290</v>
      </c>
      <c r="L293" s="151" t="s">
        <v>61</v>
      </c>
      <c r="M293" s="68" t="n">
        <f aca="false">I293-D293</f>
        <v>174</v>
      </c>
    </row>
    <row r="294" customFormat="false" ht="12.75" hidden="false" customHeight="true" outlineLevel="0" collapsed="false">
      <c r="A294" s="139" t="n">
        <v>10323</v>
      </c>
      <c r="B294" s="140" t="s">
        <v>7515</v>
      </c>
      <c r="C294" s="140" t="n">
        <v>2016</v>
      </c>
      <c r="D294" s="141" t="n">
        <v>42550</v>
      </c>
      <c r="E294" s="66" t="s">
        <v>7516</v>
      </c>
      <c r="F294" s="142" t="s">
        <v>6339</v>
      </c>
      <c r="G294" s="66" t="s">
        <v>441</v>
      </c>
      <c r="H294" s="142" t="s">
        <v>706</v>
      </c>
      <c r="I294" s="141" t="n">
        <v>45083</v>
      </c>
      <c r="J294" s="66" t="n">
        <v>6</v>
      </c>
      <c r="K294" s="143" t="s">
        <v>49</v>
      </c>
      <c r="L294" s="142" t="s">
        <v>61</v>
      </c>
      <c r="M294" s="66" t="n">
        <f aca="false">I294-D294</f>
        <v>2533</v>
      </c>
    </row>
    <row r="295" customFormat="false" ht="12.75" hidden="false" customHeight="true" outlineLevel="0" collapsed="false">
      <c r="A295" s="148" t="n">
        <v>10423</v>
      </c>
      <c r="B295" s="149" t="s">
        <v>7517</v>
      </c>
      <c r="C295" s="149" t="n">
        <v>2014</v>
      </c>
      <c r="D295" s="150" t="n">
        <v>41901</v>
      </c>
      <c r="E295" s="68" t="s">
        <v>7518</v>
      </c>
      <c r="F295" s="151" t="s">
        <v>1277</v>
      </c>
      <c r="G295" s="68" t="s">
        <v>441</v>
      </c>
      <c r="H295" s="151" t="s">
        <v>706</v>
      </c>
      <c r="I295" s="150" t="n">
        <v>45083</v>
      </c>
      <c r="J295" s="68" t="n">
        <v>6</v>
      </c>
      <c r="K295" s="178" t="s">
        <v>46</v>
      </c>
      <c r="L295" s="151" t="s">
        <v>58</v>
      </c>
      <c r="M295" s="68" t="n">
        <f aca="false">I295-D295</f>
        <v>3182</v>
      </c>
    </row>
    <row r="296" customFormat="false" ht="12.75" hidden="false" customHeight="true" outlineLevel="0" collapsed="false">
      <c r="A296" s="139" t="n">
        <v>10523</v>
      </c>
      <c r="B296" s="140" t="s">
        <v>7519</v>
      </c>
      <c r="C296" s="140" t="n">
        <v>2021</v>
      </c>
      <c r="D296" s="141" t="n">
        <v>44347</v>
      </c>
      <c r="E296" s="66" t="s">
        <v>7520</v>
      </c>
      <c r="F296" s="142" t="s">
        <v>7521</v>
      </c>
      <c r="G296" s="66" t="s">
        <v>441</v>
      </c>
      <c r="H296" s="142" t="s">
        <v>208</v>
      </c>
      <c r="I296" s="141" t="n">
        <v>45083</v>
      </c>
      <c r="J296" s="66" t="n">
        <v>6</v>
      </c>
      <c r="K296" s="143" t="s">
        <v>49</v>
      </c>
      <c r="L296" s="142" t="s">
        <v>60</v>
      </c>
      <c r="M296" s="66" t="n">
        <f aca="false">I296-D296</f>
        <v>736</v>
      </c>
    </row>
    <row r="297" customFormat="false" ht="12.75" hidden="false" customHeight="true" outlineLevel="0" collapsed="false">
      <c r="A297" s="148" t="n">
        <v>10623</v>
      </c>
      <c r="B297" s="149" t="s">
        <v>7522</v>
      </c>
      <c r="C297" s="149" t="n">
        <v>2020</v>
      </c>
      <c r="D297" s="150" t="n">
        <v>44091</v>
      </c>
      <c r="E297" s="68" t="s">
        <v>7523</v>
      </c>
      <c r="F297" s="151" t="s">
        <v>157</v>
      </c>
      <c r="G297" s="68" t="s">
        <v>441</v>
      </c>
      <c r="H297" s="151" t="s">
        <v>781</v>
      </c>
      <c r="I297" s="150" t="n">
        <v>45083</v>
      </c>
      <c r="J297" s="68" t="n">
        <v>6</v>
      </c>
      <c r="K297" s="143" t="s">
        <v>48</v>
      </c>
      <c r="L297" s="151" t="s">
        <v>58</v>
      </c>
      <c r="M297" s="68" t="n">
        <f aca="false">I297-D297</f>
        <v>992</v>
      </c>
    </row>
    <row r="298" customFormat="false" ht="12.75" hidden="false" customHeight="true" outlineLevel="0" collapsed="false">
      <c r="A298" s="139" t="n">
        <v>10723</v>
      </c>
      <c r="B298" s="140" t="s">
        <v>7524</v>
      </c>
      <c r="C298" s="140" t="n">
        <v>2016</v>
      </c>
      <c r="D298" s="141" t="n">
        <v>42587</v>
      </c>
      <c r="E298" s="66" t="s">
        <v>7525</v>
      </c>
      <c r="F298" s="142" t="s">
        <v>5359</v>
      </c>
      <c r="G298" s="66" t="s">
        <v>441</v>
      </c>
      <c r="H298" s="142" t="s">
        <v>706</v>
      </c>
      <c r="I298" s="141" t="n">
        <v>45083</v>
      </c>
      <c r="J298" s="66" t="n">
        <v>6</v>
      </c>
      <c r="K298" s="143" t="s">
        <v>48</v>
      </c>
      <c r="L298" s="142" t="s">
        <v>60</v>
      </c>
      <c r="M298" s="66" t="n">
        <f aca="false">I298-D298</f>
        <v>2496</v>
      </c>
    </row>
    <row r="299" customFormat="false" ht="12.75" hidden="false" customHeight="true" outlineLevel="0" collapsed="false">
      <c r="A299" s="148" t="n">
        <v>10823</v>
      </c>
      <c r="B299" s="149" t="s">
        <v>7526</v>
      </c>
      <c r="C299" s="149" t="n">
        <v>2017</v>
      </c>
      <c r="D299" s="150" t="n">
        <v>42915</v>
      </c>
      <c r="E299" s="68" t="s">
        <v>7527</v>
      </c>
      <c r="F299" s="151" t="s">
        <v>7528</v>
      </c>
      <c r="G299" s="68" t="s">
        <v>441</v>
      </c>
      <c r="H299" s="151" t="s">
        <v>263</v>
      </c>
      <c r="I299" s="150" t="n">
        <v>45083</v>
      </c>
      <c r="J299" s="68" t="n">
        <v>6</v>
      </c>
      <c r="K299" s="143" t="s">
        <v>48</v>
      </c>
      <c r="L299" s="151" t="s">
        <v>58</v>
      </c>
      <c r="M299" s="68" t="n">
        <f aca="false">I299-D299</f>
        <v>2168</v>
      </c>
    </row>
    <row r="300" customFormat="false" ht="12.75" hidden="false" customHeight="true" outlineLevel="0" collapsed="false">
      <c r="A300" s="139" t="n">
        <v>10923</v>
      </c>
      <c r="B300" s="140" t="s">
        <v>7529</v>
      </c>
      <c r="C300" s="140" t="n">
        <v>2022</v>
      </c>
      <c r="D300" s="141" t="n">
        <v>44837</v>
      </c>
      <c r="E300" s="66" t="s">
        <v>7530</v>
      </c>
      <c r="F300" s="142" t="s">
        <v>4653</v>
      </c>
      <c r="G300" s="66" t="s">
        <v>130</v>
      </c>
      <c r="H300" s="142" t="s">
        <v>7531</v>
      </c>
      <c r="I300" s="141" t="n">
        <v>45083</v>
      </c>
      <c r="J300" s="66" t="n">
        <v>6</v>
      </c>
      <c r="K300" s="143" t="s">
        <v>49</v>
      </c>
      <c r="L300" s="142" t="s">
        <v>61</v>
      </c>
      <c r="M300" s="66" t="n">
        <f aca="false">I300-D300</f>
        <v>246</v>
      </c>
    </row>
    <row r="301" customFormat="false" ht="15" hidden="false" customHeight="true" outlineLevel="0" collapsed="false">
      <c r="A301" s="148" t="n">
        <v>11023</v>
      </c>
      <c r="B301" s="149" t="s">
        <v>7532</v>
      </c>
      <c r="C301" s="149" t="n">
        <v>2016</v>
      </c>
      <c r="D301" s="150" t="n">
        <v>42615</v>
      </c>
      <c r="E301" s="68" t="s">
        <v>7533</v>
      </c>
      <c r="F301" s="151" t="s">
        <v>3777</v>
      </c>
      <c r="G301" s="68" t="s">
        <v>441</v>
      </c>
      <c r="H301" s="151" t="s">
        <v>706</v>
      </c>
      <c r="I301" s="150" t="n">
        <v>45083</v>
      </c>
      <c r="J301" s="68" t="n">
        <v>6</v>
      </c>
      <c r="K301" s="143" t="s">
        <v>49</v>
      </c>
      <c r="L301" s="151" t="s">
        <v>58</v>
      </c>
      <c r="M301" s="68" t="n">
        <f aca="false">I301-D301</f>
        <v>2468</v>
      </c>
    </row>
    <row r="302" customFormat="false" ht="12.75" hidden="false" customHeight="true" outlineLevel="0" collapsed="false">
      <c r="A302" s="139" t="n">
        <v>11123</v>
      </c>
      <c r="B302" s="140" t="s">
        <v>7534</v>
      </c>
      <c r="C302" s="140" t="n">
        <v>2022</v>
      </c>
      <c r="D302" s="141" t="n">
        <v>44890</v>
      </c>
      <c r="E302" s="66" t="s">
        <v>7535</v>
      </c>
      <c r="F302" s="142" t="s">
        <v>7536</v>
      </c>
      <c r="G302" s="66" t="s">
        <v>130</v>
      </c>
      <c r="H302" s="142" t="s">
        <v>7462</v>
      </c>
      <c r="I302" s="141" t="n">
        <v>45083</v>
      </c>
      <c r="J302" s="66" t="n">
        <v>6</v>
      </c>
      <c r="K302" s="143" t="s">
        <v>49</v>
      </c>
      <c r="L302" s="142" t="s">
        <v>61</v>
      </c>
      <c r="M302" s="66" t="n">
        <f aca="false">I302-D302</f>
        <v>193</v>
      </c>
    </row>
    <row r="303" customFormat="false" ht="12.75" hidden="false" customHeight="true" outlineLevel="0" collapsed="false">
      <c r="A303" s="148" t="n">
        <v>11223</v>
      </c>
      <c r="B303" s="149" t="s">
        <v>7537</v>
      </c>
      <c r="C303" s="149" t="n">
        <v>2020</v>
      </c>
      <c r="D303" s="150" t="n">
        <v>43976</v>
      </c>
      <c r="E303" s="68" t="s">
        <v>7538</v>
      </c>
      <c r="F303" s="151" t="s">
        <v>7539</v>
      </c>
      <c r="G303" s="68" t="s">
        <v>115</v>
      </c>
      <c r="H303" s="151" t="s">
        <v>119</v>
      </c>
      <c r="I303" s="150" t="n">
        <v>45089</v>
      </c>
      <c r="J303" s="68" t="n">
        <v>6</v>
      </c>
      <c r="K303" s="143" t="s">
        <v>49</v>
      </c>
      <c r="L303" s="151" t="s">
        <v>58</v>
      </c>
      <c r="M303" s="68" t="n">
        <f aca="false">I303-D303</f>
        <v>1113</v>
      </c>
    </row>
    <row r="304" customFormat="false" ht="12.75" hidden="false" customHeight="true" outlineLevel="0" collapsed="false">
      <c r="A304" s="139" t="n">
        <v>11323</v>
      </c>
      <c r="B304" s="140" t="s">
        <v>7540</v>
      </c>
      <c r="C304" s="140" t="n">
        <v>2016</v>
      </c>
      <c r="D304" s="141" t="n">
        <v>42612</v>
      </c>
      <c r="E304" s="66" t="s">
        <v>7541</v>
      </c>
      <c r="F304" s="142" t="s">
        <v>3777</v>
      </c>
      <c r="G304" s="66" t="s">
        <v>441</v>
      </c>
      <c r="H304" s="142" t="s">
        <v>706</v>
      </c>
      <c r="I304" s="141" t="n">
        <v>45089</v>
      </c>
      <c r="J304" s="66" t="n">
        <v>6</v>
      </c>
      <c r="K304" s="143" t="s">
        <v>49</v>
      </c>
      <c r="L304" s="142" t="s">
        <v>58</v>
      </c>
      <c r="M304" s="66" t="n">
        <f aca="false">I304-D304</f>
        <v>2477</v>
      </c>
    </row>
    <row r="305" customFormat="false" ht="12.75" hidden="false" customHeight="true" outlineLevel="0" collapsed="false">
      <c r="A305" s="148" t="n">
        <v>11423</v>
      </c>
      <c r="B305" s="149" t="s">
        <v>7542</v>
      </c>
      <c r="C305" s="149" t="n">
        <v>2020</v>
      </c>
      <c r="D305" s="150" t="n">
        <v>43949</v>
      </c>
      <c r="E305" s="68" t="s">
        <v>7543</v>
      </c>
      <c r="F305" s="151" t="s">
        <v>7539</v>
      </c>
      <c r="G305" s="68" t="s">
        <v>115</v>
      </c>
      <c r="H305" s="151" t="s">
        <v>453</v>
      </c>
      <c r="I305" s="150" t="n">
        <v>45089</v>
      </c>
      <c r="J305" s="68" t="n">
        <v>6</v>
      </c>
      <c r="K305" s="143" t="s">
        <v>49</v>
      </c>
      <c r="L305" s="151" t="s">
        <v>58</v>
      </c>
      <c r="M305" s="68" t="n">
        <f aca="false">I305-D305</f>
        <v>1140</v>
      </c>
    </row>
    <row r="306" customFormat="false" ht="12.75" hidden="false" customHeight="true" outlineLevel="0" collapsed="false">
      <c r="A306" s="139" t="n">
        <v>11523</v>
      </c>
      <c r="B306" s="140" t="s">
        <v>7544</v>
      </c>
      <c r="C306" s="140" t="n">
        <v>2019</v>
      </c>
      <c r="D306" s="141" t="n">
        <v>43819</v>
      </c>
      <c r="E306" s="66" t="s">
        <v>7545</v>
      </c>
      <c r="F306" s="142" t="s">
        <v>7539</v>
      </c>
      <c r="G306" s="66" t="s">
        <v>115</v>
      </c>
      <c r="H306" s="142" t="s">
        <v>119</v>
      </c>
      <c r="I306" s="141" t="n">
        <v>45089</v>
      </c>
      <c r="J306" s="66" t="n">
        <v>6</v>
      </c>
      <c r="K306" s="143" t="s">
        <v>49</v>
      </c>
      <c r="L306" s="142" t="s">
        <v>58</v>
      </c>
      <c r="M306" s="66" t="n">
        <f aca="false">I306-D306</f>
        <v>1270</v>
      </c>
    </row>
    <row r="307" customFormat="false" ht="12.75" hidden="false" customHeight="true" outlineLevel="0" collapsed="false">
      <c r="A307" s="148" t="n">
        <v>11623</v>
      </c>
      <c r="B307" s="149" t="s">
        <v>7546</v>
      </c>
      <c r="C307" s="149" t="n">
        <v>2020</v>
      </c>
      <c r="D307" s="150" t="n">
        <v>43949</v>
      </c>
      <c r="E307" s="68" t="s">
        <v>7547</v>
      </c>
      <c r="F307" s="151" t="s">
        <v>7548</v>
      </c>
      <c r="G307" s="68" t="s">
        <v>115</v>
      </c>
      <c r="H307" s="151" t="s">
        <v>453</v>
      </c>
      <c r="I307" s="150" t="n">
        <v>45089</v>
      </c>
      <c r="J307" s="68" t="n">
        <v>6</v>
      </c>
      <c r="K307" s="143" t="s">
        <v>48</v>
      </c>
      <c r="L307" s="151" t="s">
        <v>57</v>
      </c>
      <c r="M307" s="68" t="n">
        <f aca="false">I307-D307</f>
        <v>1140</v>
      </c>
    </row>
    <row r="308" customFormat="false" ht="12.75" hidden="false" customHeight="true" outlineLevel="0" collapsed="false">
      <c r="A308" s="139" t="n">
        <v>11723</v>
      </c>
      <c r="B308" s="140" t="s">
        <v>7549</v>
      </c>
      <c r="C308" s="140" t="n">
        <v>2021</v>
      </c>
      <c r="D308" s="141" t="n">
        <v>44526</v>
      </c>
      <c r="E308" s="66" t="s">
        <v>7550</v>
      </c>
      <c r="F308" s="142" t="s">
        <v>7551</v>
      </c>
      <c r="G308" s="66" t="s">
        <v>130</v>
      </c>
      <c r="H308" s="142" t="s">
        <v>7552</v>
      </c>
      <c r="I308" s="141" t="n">
        <v>45090</v>
      </c>
      <c r="J308" s="66" t="n">
        <v>6</v>
      </c>
      <c r="K308" s="143" t="s">
        <v>49</v>
      </c>
      <c r="L308" s="142" t="s">
        <v>61</v>
      </c>
      <c r="M308" s="66" t="n">
        <f aca="false">I308-D308</f>
        <v>564</v>
      </c>
    </row>
    <row r="309" customFormat="false" ht="12.75" hidden="false" customHeight="true" outlineLevel="0" collapsed="false">
      <c r="A309" s="148" t="n">
        <v>11823</v>
      </c>
      <c r="B309" s="149" t="s">
        <v>7553</v>
      </c>
      <c r="C309" s="149" t="n">
        <v>2022</v>
      </c>
      <c r="D309" s="150" t="n">
        <v>44757</v>
      </c>
      <c r="E309" s="68" t="s">
        <v>7554</v>
      </c>
      <c r="F309" s="151" t="s">
        <v>7513</v>
      </c>
      <c r="G309" s="68" t="s">
        <v>125</v>
      </c>
      <c r="H309" s="151" t="s">
        <v>7555</v>
      </c>
      <c r="I309" s="150" t="n">
        <v>45090</v>
      </c>
      <c r="J309" s="68" t="n">
        <v>6</v>
      </c>
      <c r="K309" s="169" t="s">
        <v>290</v>
      </c>
      <c r="L309" s="151" t="s">
        <v>61</v>
      </c>
      <c r="M309" s="68" t="n">
        <f aca="false">I309-D309</f>
        <v>333</v>
      </c>
    </row>
    <row r="310" customFormat="false" ht="12.75" hidden="false" customHeight="true" outlineLevel="0" collapsed="false">
      <c r="A310" s="139" t="n">
        <v>11923</v>
      </c>
      <c r="B310" s="140" t="s">
        <v>7556</v>
      </c>
      <c r="C310" s="140" t="n">
        <v>2017</v>
      </c>
      <c r="D310" s="141" t="n">
        <v>42881</v>
      </c>
      <c r="E310" s="66" t="s">
        <v>7557</v>
      </c>
      <c r="F310" s="142" t="s">
        <v>6078</v>
      </c>
      <c r="G310" s="66" t="s">
        <v>441</v>
      </c>
      <c r="H310" s="142" t="s">
        <v>3760</v>
      </c>
      <c r="I310" s="141" t="n">
        <v>45090</v>
      </c>
      <c r="J310" s="66" t="n">
        <v>6</v>
      </c>
      <c r="K310" s="197" t="s">
        <v>44</v>
      </c>
      <c r="L310" s="142" t="s">
        <v>60</v>
      </c>
      <c r="M310" s="66" t="n">
        <f aca="false">I310-D310</f>
        <v>2209</v>
      </c>
    </row>
    <row r="311" customFormat="false" ht="12.75" hidden="false" customHeight="true" outlineLevel="0" collapsed="false">
      <c r="A311" s="148" t="n">
        <v>12023</v>
      </c>
      <c r="B311" s="149" t="s">
        <v>7558</v>
      </c>
      <c r="C311" s="149" t="n">
        <v>2016</v>
      </c>
      <c r="D311" s="150" t="n">
        <v>42527</v>
      </c>
      <c r="E311" s="68" t="s">
        <v>7559</v>
      </c>
      <c r="F311" s="151" t="s">
        <v>1783</v>
      </c>
      <c r="G311" s="68" t="s">
        <v>441</v>
      </c>
      <c r="H311" s="151" t="s">
        <v>267</v>
      </c>
      <c r="I311" s="150" t="n">
        <v>45090</v>
      </c>
      <c r="J311" s="68" t="n">
        <v>6</v>
      </c>
      <c r="K311" s="178" t="s">
        <v>46</v>
      </c>
      <c r="L311" s="151" t="s">
        <v>58</v>
      </c>
      <c r="M311" s="68" t="n">
        <f aca="false">I311-D311</f>
        <v>2563</v>
      </c>
    </row>
    <row r="312" customFormat="false" ht="12.75" hidden="false" customHeight="true" outlineLevel="0" collapsed="false">
      <c r="A312" s="139" t="n">
        <v>12123</v>
      </c>
      <c r="B312" s="140" t="s">
        <v>7560</v>
      </c>
      <c r="C312" s="140" t="n">
        <v>2018</v>
      </c>
      <c r="D312" s="141" t="n">
        <v>43444</v>
      </c>
      <c r="E312" s="66" t="s">
        <v>7561</v>
      </c>
      <c r="F312" s="142" t="s">
        <v>902</v>
      </c>
      <c r="G312" s="66" t="s">
        <v>441</v>
      </c>
      <c r="H312" s="142" t="s">
        <v>995</v>
      </c>
      <c r="I312" s="141" t="n">
        <v>45090</v>
      </c>
      <c r="J312" s="66" t="n">
        <v>6</v>
      </c>
      <c r="K312" s="143" t="s">
        <v>49</v>
      </c>
      <c r="L312" s="142" t="s">
        <v>58</v>
      </c>
      <c r="M312" s="66" t="n">
        <f aca="false">I312-D312</f>
        <v>1646</v>
      </c>
    </row>
    <row r="313" customFormat="false" ht="12.75" hidden="false" customHeight="true" outlineLevel="0" collapsed="false">
      <c r="A313" s="439" t="n">
        <v>12223</v>
      </c>
      <c r="B313" s="211" t="s">
        <v>7562</v>
      </c>
      <c r="C313" s="211" t="n">
        <v>2022</v>
      </c>
      <c r="D313" s="260" t="n">
        <v>44784</v>
      </c>
      <c r="E313" s="213" t="s">
        <v>7563</v>
      </c>
      <c r="F313" s="214" t="s">
        <v>376</v>
      </c>
      <c r="G313" s="213" t="s">
        <v>130</v>
      </c>
      <c r="H313" s="214" t="s">
        <v>7304</v>
      </c>
      <c r="I313" s="260" t="n">
        <v>45097</v>
      </c>
      <c r="J313" s="213" t="n">
        <v>6</v>
      </c>
      <c r="K313" s="441" t="s">
        <v>49</v>
      </c>
      <c r="L313" s="214" t="s">
        <v>61</v>
      </c>
      <c r="M313" s="213" t="n">
        <f aca="false">I313-D313</f>
        <v>313</v>
      </c>
    </row>
    <row r="314" customFormat="false" ht="12.75" hidden="false" customHeight="true" outlineLevel="0" collapsed="false">
      <c r="A314" s="139" t="n">
        <v>12323</v>
      </c>
      <c r="B314" s="140" t="s">
        <v>7564</v>
      </c>
      <c r="C314" s="140" t="n">
        <v>2018</v>
      </c>
      <c r="D314" s="141" t="n">
        <v>43391</v>
      </c>
      <c r="E314" s="66" t="s">
        <v>7565</v>
      </c>
      <c r="F314" s="142" t="s">
        <v>7368</v>
      </c>
      <c r="G314" s="66" t="s">
        <v>441</v>
      </c>
      <c r="H314" s="142" t="s">
        <v>2677</v>
      </c>
      <c r="I314" s="141" t="n">
        <v>45097</v>
      </c>
      <c r="J314" s="66" t="n">
        <v>6</v>
      </c>
      <c r="K314" s="143" t="s">
        <v>49</v>
      </c>
      <c r="L314" s="142" t="s">
        <v>58</v>
      </c>
      <c r="M314" s="66" t="n">
        <f aca="false">I314-D314</f>
        <v>1706</v>
      </c>
    </row>
    <row r="315" customFormat="false" ht="12.75" hidden="false" customHeight="true" outlineLevel="0" collapsed="false">
      <c r="A315" s="148" t="n">
        <v>12423</v>
      </c>
      <c r="B315" s="149" t="s">
        <v>7566</v>
      </c>
      <c r="C315" s="149" t="n">
        <v>2013</v>
      </c>
      <c r="D315" s="150" t="n">
        <v>41456</v>
      </c>
      <c r="E315" s="68" t="s">
        <v>7567</v>
      </c>
      <c r="F315" s="151" t="s">
        <v>1357</v>
      </c>
      <c r="G315" s="68" t="s">
        <v>441</v>
      </c>
      <c r="H315" s="151" t="s">
        <v>7363</v>
      </c>
      <c r="I315" s="150" t="n">
        <v>45097</v>
      </c>
      <c r="J315" s="68" t="n">
        <v>6</v>
      </c>
      <c r="K315" s="143" t="s">
        <v>48</v>
      </c>
      <c r="L315" s="151" t="s">
        <v>58</v>
      </c>
      <c r="M315" s="68" t="n">
        <f aca="false">I315-D315</f>
        <v>3641</v>
      </c>
    </row>
    <row r="316" customFormat="false" ht="12.75" hidden="false" customHeight="true" outlineLevel="0" collapsed="false">
      <c r="A316" s="139" t="n">
        <v>12523</v>
      </c>
      <c r="B316" s="140" t="s">
        <v>7568</v>
      </c>
      <c r="C316" s="140" t="n">
        <v>2022</v>
      </c>
      <c r="D316" s="141" t="n">
        <v>44739</v>
      </c>
      <c r="E316" s="66" t="s">
        <v>7569</v>
      </c>
      <c r="F316" s="142" t="s">
        <v>7570</v>
      </c>
      <c r="G316" s="66" t="s">
        <v>125</v>
      </c>
      <c r="H316" s="142" t="s">
        <v>119</v>
      </c>
      <c r="I316" s="141" t="n">
        <v>45097</v>
      </c>
      <c r="J316" s="66" t="n">
        <v>6</v>
      </c>
      <c r="K316" s="143" t="s">
        <v>49</v>
      </c>
      <c r="L316" s="142" t="s">
        <v>61</v>
      </c>
      <c r="M316" s="66" t="n">
        <f aca="false">I316-D316</f>
        <v>358</v>
      </c>
    </row>
    <row r="317" customFormat="false" ht="15" hidden="false" customHeight="true" outlineLevel="0" collapsed="false">
      <c r="A317" s="148" t="n">
        <v>12623</v>
      </c>
      <c r="B317" s="149" t="s">
        <v>7571</v>
      </c>
      <c r="C317" s="149" t="n">
        <v>2016</v>
      </c>
      <c r="D317" s="150" t="n">
        <v>42496</v>
      </c>
      <c r="E317" s="68" t="s">
        <v>7572</v>
      </c>
      <c r="F317" s="151" t="s">
        <v>113</v>
      </c>
      <c r="G317" s="68" t="s">
        <v>441</v>
      </c>
      <c r="H317" s="151" t="s">
        <v>1501</v>
      </c>
      <c r="I317" s="150" t="n">
        <v>45097</v>
      </c>
      <c r="J317" s="68" t="n">
        <v>6</v>
      </c>
      <c r="K317" s="143" t="s">
        <v>48</v>
      </c>
      <c r="L317" s="151" t="s">
        <v>60</v>
      </c>
      <c r="M317" s="68" t="n">
        <f aca="false">I317-D317</f>
        <v>2601</v>
      </c>
    </row>
    <row r="318" customFormat="false" ht="12.75" hidden="false" customHeight="true" outlineLevel="0" collapsed="false">
      <c r="A318" s="139" t="n">
        <v>12723</v>
      </c>
      <c r="B318" s="140" t="s">
        <v>7573</v>
      </c>
      <c r="C318" s="140" t="n">
        <v>2014</v>
      </c>
      <c r="D318" s="141" t="n">
        <v>41687</v>
      </c>
      <c r="E318" s="66" t="s">
        <v>7574</v>
      </c>
      <c r="F318" s="142" t="s">
        <v>3777</v>
      </c>
      <c r="G318" s="66" t="s">
        <v>441</v>
      </c>
      <c r="H318" s="142" t="s">
        <v>639</v>
      </c>
      <c r="I318" s="141" t="n">
        <v>45097</v>
      </c>
      <c r="J318" s="66" t="n">
        <v>6</v>
      </c>
      <c r="K318" s="143" t="s">
        <v>49</v>
      </c>
      <c r="L318" s="142" t="s">
        <v>58</v>
      </c>
      <c r="M318" s="66" t="n">
        <f aca="false">I318-D318</f>
        <v>3410</v>
      </c>
    </row>
    <row r="319" customFormat="false" ht="12.75" hidden="false" customHeight="true" outlineLevel="0" collapsed="false">
      <c r="A319" s="148" t="n">
        <v>12823</v>
      </c>
      <c r="B319" s="149" t="s">
        <v>7575</v>
      </c>
      <c r="C319" s="149" t="n">
        <v>2016</v>
      </c>
      <c r="D319" s="150" t="n">
        <v>42732</v>
      </c>
      <c r="E319" s="68" t="s">
        <v>7576</v>
      </c>
      <c r="F319" s="151" t="s">
        <v>509</v>
      </c>
      <c r="G319" s="68" t="s">
        <v>441</v>
      </c>
      <c r="H319" s="151" t="s">
        <v>7577</v>
      </c>
      <c r="I319" s="150" t="n">
        <v>45097</v>
      </c>
      <c r="J319" s="68" t="n">
        <v>6</v>
      </c>
      <c r="K319" s="143" t="s">
        <v>48</v>
      </c>
      <c r="L319" s="151" t="s">
        <v>58</v>
      </c>
      <c r="M319" s="68" t="n">
        <f aca="false">I319-D319</f>
        <v>2365</v>
      </c>
    </row>
    <row r="320" customFormat="false" ht="12.75" hidden="false" customHeight="true" outlineLevel="0" collapsed="false">
      <c r="A320" s="139" t="n">
        <v>12923</v>
      </c>
      <c r="B320" s="140" t="s">
        <v>7578</v>
      </c>
      <c r="C320" s="140" t="n">
        <v>2021</v>
      </c>
      <c r="D320" s="141" t="n">
        <v>44379</v>
      </c>
      <c r="E320" s="66" t="s">
        <v>7579</v>
      </c>
      <c r="F320" s="142" t="s">
        <v>971</v>
      </c>
      <c r="G320" s="66" t="s">
        <v>144</v>
      </c>
      <c r="H320" s="142" t="s">
        <v>7472</v>
      </c>
      <c r="I320" s="141" t="n">
        <v>45097</v>
      </c>
      <c r="J320" s="66" t="n">
        <v>6</v>
      </c>
      <c r="K320" s="143" t="s">
        <v>49</v>
      </c>
      <c r="L320" s="142" t="s">
        <v>58</v>
      </c>
      <c r="M320" s="66" t="n">
        <f aca="false">I320-D320</f>
        <v>718</v>
      </c>
    </row>
    <row r="321" customFormat="false" ht="12.75" hidden="false" customHeight="true" outlineLevel="0" collapsed="false">
      <c r="A321" s="148" t="n">
        <v>13023</v>
      </c>
      <c r="B321" s="149" t="s">
        <v>7580</v>
      </c>
      <c r="C321" s="149" t="n">
        <v>2016</v>
      </c>
      <c r="D321" s="150" t="n">
        <v>42706</v>
      </c>
      <c r="E321" s="68" t="s">
        <v>7581</v>
      </c>
      <c r="F321" s="151" t="s">
        <v>1827</v>
      </c>
      <c r="G321" s="68" t="s">
        <v>441</v>
      </c>
      <c r="H321" s="151" t="s">
        <v>2677</v>
      </c>
      <c r="I321" s="150" t="n">
        <v>45097</v>
      </c>
      <c r="J321" s="68" t="n">
        <v>6</v>
      </c>
      <c r="K321" s="143" t="s">
        <v>49</v>
      </c>
      <c r="L321" s="151" t="s">
        <v>60</v>
      </c>
      <c r="M321" s="68" t="n">
        <f aca="false">I321-D321</f>
        <v>2391</v>
      </c>
    </row>
    <row r="322" customFormat="false" ht="15" hidden="false" customHeight="true" outlineLevel="0" collapsed="false">
      <c r="A322" s="139" t="n">
        <v>13123</v>
      </c>
      <c r="B322" s="140" t="s">
        <v>7582</v>
      </c>
      <c r="C322" s="140" t="n">
        <v>2013</v>
      </c>
      <c r="D322" s="141" t="n">
        <v>41456</v>
      </c>
      <c r="E322" s="66" t="s">
        <v>7583</v>
      </c>
      <c r="F322" s="142" t="s">
        <v>1357</v>
      </c>
      <c r="G322" s="66" t="s">
        <v>441</v>
      </c>
      <c r="H322" s="142" t="s">
        <v>471</v>
      </c>
      <c r="I322" s="141" t="n">
        <v>45097</v>
      </c>
      <c r="J322" s="66" t="n">
        <v>6</v>
      </c>
      <c r="K322" s="143" t="s">
        <v>48</v>
      </c>
      <c r="L322" s="142" t="s">
        <v>58</v>
      </c>
      <c r="M322" s="66" t="n">
        <f aca="false">I322-D322</f>
        <v>3641</v>
      </c>
    </row>
    <row r="323" customFormat="false" ht="12.75" hidden="false" customHeight="true" outlineLevel="0" collapsed="false">
      <c r="A323" s="148" t="n">
        <v>13223</v>
      </c>
      <c r="B323" s="149" t="s">
        <v>7584</v>
      </c>
      <c r="C323" s="149" t="n">
        <v>2019</v>
      </c>
      <c r="D323" s="150" t="n">
        <v>43486</v>
      </c>
      <c r="E323" s="68" t="s">
        <v>7585</v>
      </c>
      <c r="F323" s="151" t="s">
        <v>7586</v>
      </c>
      <c r="G323" s="68" t="s">
        <v>144</v>
      </c>
      <c r="H323" s="151" t="s">
        <v>7412</v>
      </c>
      <c r="I323" s="150" t="n">
        <v>45097</v>
      </c>
      <c r="J323" s="68" t="n">
        <v>6</v>
      </c>
      <c r="K323" s="143" t="s">
        <v>49</v>
      </c>
      <c r="L323" s="151" t="s">
        <v>60</v>
      </c>
      <c r="M323" s="68" t="n">
        <f aca="false">I323-D323</f>
        <v>1611</v>
      </c>
    </row>
    <row r="324" customFormat="false" ht="12.75" hidden="false" customHeight="true" outlineLevel="0" collapsed="false">
      <c r="A324" s="139" t="n">
        <v>13323</v>
      </c>
      <c r="B324" s="140" t="s">
        <v>7587</v>
      </c>
      <c r="C324" s="140" t="n">
        <v>2021</v>
      </c>
      <c r="D324" s="141" t="n">
        <v>44218</v>
      </c>
      <c r="E324" s="66" t="s">
        <v>7588</v>
      </c>
      <c r="F324" s="142" t="s">
        <v>164</v>
      </c>
      <c r="G324" s="66" t="s">
        <v>441</v>
      </c>
      <c r="H324" s="142" t="s">
        <v>243</v>
      </c>
      <c r="I324" s="141" t="n">
        <v>45097</v>
      </c>
      <c r="J324" s="66" t="n">
        <v>6</v>
      </c>
      <c r="K324" s="143" t="s">
        <v>48</v>
      </c>
      <c r="L324" s="142" t="s">
        <v>57</v>
      </c>
      <c r="M324" s="66" t="n">
        <f aca="false">I324-D324</f>
        <v>879</v>
      </c>
    </row>
    <row r="325" customFormat="false" ht="12.75" hidden="false" customHeight="true" outlineLevel="0" collapsed="false">
      <c r="A325" s="148" t="n">
        <v>13423</v>
      </c>
      <c r="B325" s="149" t="s">
        <v>7589</v>
      </c>
      <c r="C325" s="149" t="n">
        <v>2018</v>
      </c>
      <c r="D325" s="150" t="n">
        <v>43452</v>
      </c>
      <c r="E325" s="68" t="s">
        <v>7590</v>
      </c>
      <c r="F325" s="151" t="s">
        <v>7591</v>
      </c>
      <c r="G325" s="68" t="s">
        <v>441</v>
      </c>
      <c r="H325" s="151" t="s">
        <v>223</v>
      </c>
      <c r="I325" s="150" t="n">
        <v>45097</v>
      </c>
      <c r="J325" s="68" t="n">
        <v>6</v>
      </c>
      <c r="K325" s="143" t="s">
        <v>49</v>
      </c>
      <c r="L325" s="151" t="s">
        <v>58</v>
      </c>
      <c r="M325" s="68" t="n">
        <f aca="false">I325-D325</f>
        <v>1645</v>
      </c>
    </row>
    <row r="326" customFormat="false" ht="12.75" hidden="false" customHeight="true" outlineLevel="0" collapsed="false">
      <c r="A326" s="139" t="n">
        <v>13523</v>
      </c>
      <c r="B326" s="140" t="s">
        <v>7592</v>
      </c>
      <c r="C326" s="140" t="n">
        <v>2016</v>
      </c>
      <c r="D326" s="141" t="n">
        <v>42577</v>
      </c>
      <c r="E326" s="66" t="s">
        <v>7593</v>
      </c>
      <c r="F326" s="142" t="s">
        <v>157</v>
      </c>
      <c r="G326" s="66" t="s">
        <v>441</v>
      </c>
      <c r="H326" s="142" t="s">
        <v>1567</v>
      </c>
      <c r="I326" s="141" t="n">
        <v>45097</v>
      </c>
      <c r="J326" s="66" t="n">
        <v>6</v>
      </c>
      <c r="K326" s="143" t="s">
        <v>49</v>
      </c>
      <c r="L326" s="142" t="s">
        <v>58</v>
      </c>
      <c r="M326" s="66" t="n">
        <f aca="false">I326-D326</f>
        <v>2520</v>
      </c>
    </row>
    <row r="327" customFormat="false" ht="12.75" hidden="false" customHeight="true" outlineLevel="0" collapsed="false">
      <c r="A327" s="148" t="n">
        <v>13623</v>
      </c>
      <c r="B327" s="149" t="s">
        <v>7594</v>
      </c>
      <c r="C327" s="149" t="n">
        <v>2019</v>
      </c>
      <c r="D327" s="150" t="n">
        <v>43544</v>
      </c>
      <c r="E327" s="68" t="s">
        <v>7595</v>
      </c>
      <c r="F327" s="151" t="s">
        <v>7596</v>
      </c>
      <c r="G327" s="68" t="s">
        <v>144</v>
      </c>
      <c r="H327" s="151" t="s">
        <v>119</v>
      </c>
      <c r="I327" s="150" t="n">
        <v>45120</v>
      </c>
      <c r="J327" s="68" t="n">
        <v>7</v>
      </c>
      <c r="K327" s="143" t="s">
        <v>49</v>
      </c>
      <c r="L327" s="151" t="s">
        <v>58</v>
      </c>
      <c r="M327" s="68" t="n">
        <f aca="false">I327-D327</f>
        <v>1576</v>
      </c>
    </row>
    <row r="328" customFormat="false" ht="12.75" hidden="false" customHeight="true" outlineLevel="0" collapsed="false">
      <c r="A328" s="139" t="n">
        <v>13723</v>
      </c>
      <c r="B328" s="140" t="s">
        <v>7597</v>
      </c>
      <c r="C328" s="140" t="n">
        <v>2012</v>
      </c>
      <c r="D328" s="141" t="n">
        <v>41031</v>
      </c>
      <c r="E328" s="66" t="s">
        <v>7598</v>
      </c>
      <c r="F328" s="142" t="s">
        <v>365</v>
      </c>
      <c r="G328" s="66" t="s">
        <v>441</v>
      </c>
      <c r="H328" s="142" t="s">
        <v>1567</v>
      </c>
      <c r="I328" s="141" t="n">
        <v>45120</v>
      </c>
      <c r="J328" s="66" t="n">
        <v>7</v>
      </c>
      <c r="K328" s="442" t="s">
        <v>47</v>
      </c>
      <c r="L328" s="142" t="s">
        <v>60</v>
      </c>
      <c r="M328" s="66" t="n">
        <f aca="false">I328-D328</f>
        <v>4089</v>
      </c>
    </row>
    <row r="329" customFormat="false" ht="12.75" hidden="false" customHeight="true" outlineLevel="0" collapsed="false">
      <c r="A329" s="148" t="n">
        <v>13823</v>
      </c>
      <c r="B329" s="149" t="s">
        <v>7599</v>
      </c>
      <c r="C329" s="149" t="n">
        <v>2021</v>
      </c>
      <c r="D329" s="150" t="n">
        <v>44319</v>
      </c>
      <c r="E329" s="68" t="s">
        <v>7600</v>
      </c>
      <c r="F329" s="151" t="s">
        <v>168</v>
      </c>
      <c r="G329" s="68" t="s">
        <v>441</v>
      </c>
      <c r="H329" s="151" t="s">
        <v>208</v>
      </c>
      <c r="I329" s="150" t="n">
        <v>45120</v>
      </c>
      <c r="J329" s="68" t="n">
        <v>7</v>
      </c>
      <c r="K329" s="178" t="s">
        <v>46</v>
      </c>
      <c r="L329" s="151" t="s">
        <v>58</v>
      </c>
      <c r="M329" s="68" t="n">
        <f aca="false">I329-D329</f>
        <v>801</v>
      </c>
    </row>
    <row r="330" customFormat="false" ht="12.75" hidden="false" customHeight="true" outlineLevel="0" collapsed="false">
      <c r="A330" s="139" t="n">
        <v>13923</v>
      </c>
      <c r="B330" s="140" t="s">
        <v>7601</v>
      </c>
      <c r="C330" s="140" t="n">
        <v>2017</v>
      </c>
      <c r="D330" s="141" t="n">
        <v>43090</v>
      </c>
      <c r="E330" s="66" t="s">
        <v>7602</v>
      </c>
      <c r="F330" s="142" t="s">
        <v>2014</v>
      </c>
      <c r="G330" s="66" t="s">
        <v>441</v>
      </c>
      <c r="H330" s="142" t="s">
        <v>1305</v>
      </c>
      <c r="I330" s="141" t="n">
        <v>45120</v>
      </c>
      <c r="J330" s="66" t="n">
        <v>7</v>
      </c>
      <c r="K330" s="143" t="s">
        <v>48</v>
      </c>
      <c r="L330" s="142" t="s">
        <v>58</v>
      </c>
      <c r="M330" s="66" t="n">
        <f aca="false">I330-D330</f>
        <v>2030</v>
      </c>
    </row>
    <row r="331" customFormat="false" ht="12.75" hidden="false" customHeight="true" outlineLevel="0" collapsed="false">
      <c r="A331" s="148" t="n">
        <v>14023</v>
      </c>
      <c r="B331" s="149" t="s">
        <v>7603</v>
      </c>
      <c r="C331" s="149" t="n">
        <v>2022</v>
      </c>
      <c r="D331" s="150" t="n">
        <v>44755</v>
      </c>
      <c r="E331" s="68" t="s">
        <v>7604</v>
      </c>
      <c r="F331" s="151" t="s">
        <v>7605</v>
      </c>
      <c r="G331" s="68" t="s">
        <v>125</v>
      </c>
      <c r="H331" s="151" t="s">
        <v>4205</v>
      </c>
      <c r="I331" s="150" t="n">
        <v>45120</v>
      </c>
      <c r="J331" s="68" t="n">
        <v>7</v>
      </c>
      <c r="K331" s="169" t="s">
        <v>290</v>
      </c>
      <c r="L331" s="151" t="s">
        <v>61</v>
      </c>
      <c r="M331" s="68" t="n">
        <f aca="false">I331-D331</f>
        <v>365</v>
      </c>
    </row>
    <row r="332" customFormat="false" ht="12.75" hidden="false" customHeight="true" outlineLevel="0" collapsed="false">
      <c r="A332" s="139" t="n">
        <v>14123</v>
      </c>
      <c r="B332" s="140" t="s">
        <v>7606</v>
      </c>
      <c r="C332" s="140" t="n">
        <v>2023</v>
      </c>
      <c r="D332" s="141" t="n">
        <v>44967</v>
      </c>
      <c r="E332" s="66" t="s">
        <v>7607</v>
      </c>
      <c r="F332" s="142" t="s">
        <v>7608</v>
      </c>
      <c r="G332" s="66" t="s">
        <v>130</v>
      </c>
      <c r="H332" s="142" t="s">
        <v>7609</v>
      </c>
      <c r="I332" s="141" t="n">
        <v>45120</v>
      </c>
      <c r="J332" s="66" t="n">
        <v>7</v>
      </c>
      <c r="K332" s="169" t="s">
        <v>290</v>
      </c>
      <c r="L332" s="142" t="s">
        <v>61</v>
      </c>
      <c r="M332" s="66" t="n">
        <f aca="false">I332-D332</f>
        <v>153</v>
      </c>
    </row>
    <row r="333" customFormat="false" ht="12.75" hidden="false" customHeight="true" outlineLevel="0" collapsed="false">
      <c r="A333" s="148" t="n">
        <v>14223</v>
      </c>
      <c r="B333" s="149" t="s">
        <v>7610</v>
      </c>
      <c r="C333" s="149" t="n">
        <v>2020</v>
      </c>
      <c r="D333" s="150" t="n">
        <v>44076</v>
      </c>
      <c r="E333" s="68" t="s">
        <v>7611</v>
      </c>
      <c r="F333" s="151" t="s">
        <v>1097</v>
      </c>
      <c r="G333" s="68" t="s">
        <v>441</v>
      </c>
      <c r="H333" s="151" t="s">
        <v>2744</v>
      </c>
      <c r="I333" s="150" t="n">
        <v>45120</v>
      </c>
      <c r="J333" s="68" t="n">
        <v>7</v>
      </c>
      <c r="K333" s="178" t="s">
        <v>46</v>
      </c>
      <c r="L333" s="151" t="s">
        <v>60</v>
      </c>
      <c r="M333" s="68" t="n">
        <f aca="false">I333-D333</f>
        <v>1044</v>
      </c>
    </row>
    <row r="334" customFormat="false" ht="12.75" hidden="false" customHeight="true" outlineLevel="0" collapsed="false">
      <c r="A334" s="139" t="n">
        <v>14323</v>
      </c>
      <c r="B334" s="140" t="s">
        <v>7612</v>
      </c>
      <c r="C334" s="140" t="n">
        <v>2017</v>
      </c>
      <c r="D334" s="141" t="n">
        <v>43074</v>
      </c>
      <c r="E334" s="66" t="s">
        <v>7613</v>
      </c>
      <c r="F334" s="142" t="s">
        <v>7614</v>
      </c>
      <c r="G334" s="66" t="s">
        <v>441</v>
      </c>
      <c r="H334" s="142" t="s">
        <v>7615</v>
      </c>
      <c r="I334" s="141" t="n">
        <v>45120</v>
      </c>
      <c r="J334" s="66" t="n">
        <v>7</v>
      </c>
      <c r="K334" s="197" t="s">
        <v>44</v>
      </c>
      <c r="L334" s="142" t="s">
        <v>58</v>
      </c>
      <c r="M334" s="66" t="n">
        <f aca="false">I334-D334</f>
        <v>2046</v>
      </c>
    </row>
    <row r="335" customFormat="false" ht="12.75" hidden="false" customHeight="true" outlineLevel="0" collapsed="false">
      <c r="A335" s="148" t="n">
        <v>14423</v>
      </c>
      <c r="B335" s="149" t="s">
        <v>7616</v>
      </c>
      <c r="C335" s="149" t="n">
        <v>2020</v>
      </c>
      <c r="D335" s="150" t="n">
        <v>43887</v>
      </c>
      <c r="E335" s="68" t="s">
        <v>7617</v>
      </c>
      <c r="F335" s="151" t="s">
        <v>3549</v>
      </c>
      <c r="G335" s="68" t="s">
        <v>441</v>
      </c>
      <c r="H335" s="151" t="s">
        <v>570</v>
      </c>
      <c r="I335" s="150" t="n">
        <v>45120</v>
      </c>
      <c r="J335" s="68" t="n">
        <v>7</v>
      </c>
      <c r="K335" s="143" t="s">
        <v>48</v>
      </c>
      <c r="L335" s="151" t="s">
        <v>58</v>
      </c>
      <c r="M335" s="68" t="n">
        <f aca="false">I335-D335</f>
        <v>1233</v>
      </c>
    </row>
    <row r="336" customFormat="false" ht="12.75" hidden="false" customHeight="true" outlineLevel="0" collapsed="false">
      <c r="A336" s="139" t="n">
        <v>14523</v>
      </c>
      <c r="B336" s="140" t="s">
        <v>7618</v>
      </c>
      <c r="C336" s="140" t="n">
        <v>2017</v>
      </c>
      <c r="D336" s="141" t="n">
        <v>43091</v>
      </c>
      <c r="E336" s="66" t="s">
        <v>7619</v>
      </c>
      <c r="F336" s="142" t="s">
        <v>2014</v>
      </c>
      <c r="G336" s="66" t="s">
        <v>441</v>
      </c>
      <c r="H336" s="142" t="s">
        <v>7620</v>
      </c>
      <c r="I336" s="141" t="n">
        <v>45120</v>
      </c>
      <c r="J336" s="66" t="n">
        <v>7</v>
      </c>
      <c r="K336" s="143" t="s">
        <v>49</v>
      </c>
      <c r="L336" s="142" t="s">
        <v>58</v>
      </c>
      <c r="M336" s="66" t="n">
        <f aca="false">I336-D336</f>
        <v>2029</v>
      </c>
    </row>
    <row r="337" customFormat="false" ht="12.75" hidden="false" customHeight="true" outlineLevel="0" collapsed="false">
      <c r="A337" s="148" t="n">
        <v>14623</v>
      </c>
      <c r="B337" s="149" t="s">
        <v>7621</v>
      </c>
      <c r="C337" s="149" t="n">
        <v>2016</v>
      </c>
      <c r="D337" s="150" t="n">
        <v>42649</v>
      </c>
      <c r="E337" s="68" t="s">
        <v>7622</v>
      </c>
      <c r="F337" s="151" t="s">
        <v>7360</v>
      </c>
      <c r="G337" s="68" t="s">
        <v>441</v>
      </c>
      <c r="H337" s="151" t="s">
        <v>995</v>
      </c>
      <c r="I337" s="150" t="n">
        <v>45120</v>
      </c>
      <c r="J337" s="68" t="n">
        <v>7</v>
      </c>
      <c r="K337" s="143" t="s">
        <v>49</v>
      </c>
      <c r="L337" s="151" t="s">
        <v>60</v>
      </c>
      <c r="M337" s="68" t="n">
        <f aca="false">I337-D337</f>
        <v>2471</v>
      </c>
    </row>
    <row r="338" customFormat="false" ht="12.75" hidden="false" customHeight="true" outlineLevel="0" collapsed="false">
      <c r="A338" s="139" t="n">
        <v>14723</v>
      </c>
      <c r="B338" s="140" t="s">
        <v>7623</v>
      </c>
      <c r="C338" s="140" t="n">
        <v>2022</v>
      </c>
      <c r="D338" s="141" t="n">
        <v>44844</v>
      </c>
      <c r="E338" s="66" t="s">
        <v>7624</v>
      </c>
      <c r="F338" s="142" t="s">
        <v>7625</v>
      </c>
      <c r="G338" s="66" t="s">
        <v>130</v>
      </c>
      <c r="H338" s="142" t="s">
        <v>3225</v>
      </c>
      <c r="I338" s="141" t="n">
        <v>45120</v>
      </c>
      <c r="J338" s="66" t="n">
        <v>7</v>
      </c>
      <c r="K338" s="169" t="s">
        <v>290</v>
      </c>
      <c r="L338" s="142" t="s">
        <v>61</v>
      </c>
      <c r="M338" s="66" t="n">
        <f aca="false">I338-D338</f>
        <v>276</v>
      </c>
    </row>
    <row r="339" customFormat="false" ht="12.75" hidden="false" customHeight="true" outlineLevel="0" collapsed="false">
      <c r="A339" s="148" t="n">
        <v>14823</v>
      </c>
      <c r="B339" s="149" t="s">
        <v>7626</v>
      </c>
      <c r="C339" s="149" t="n">
        <v>2021</v>
      </c>
      <c r="D339" s="150" t="n">
        <v>44260</v>
      </c>
      <c r="E339" s="68" t="s">
        <v>7627</v>
      </c>
      <c r="F339" s="151" t="s">
        <v>408</v>
      </c>
      <c r="G339" s="68" t="s">
        <v>441</v>
      </c>
      <c r="H339" s="151" t="s">
        <v>254</v>
      </c>
      <c r="I339" s="150" t="n">
        <v>45120</v>
      </c>
      <c r="J339" s="68" t="n">
        <v>7</v>
      </c>
      <c r="K339" s="143" t="s">
        <v>48</v>
      </c>
      <c r="L339" s="151" t="s">
        <v>58</v>
      </c>
      <c r="M339" s="68" t="n">
        <f aca="false">I339-D339</f>
        <v>860</v>
      </c>
    </row>
    <row r="340" customFormat="false" ht="15" hidden="false" customHeight="true" outlineLevel="0" collapsed="false">
      <c r="A340" s="139" t="n">
        <v>14923</v>
      </c>
      <c r="B340" s="140" t="s">
        <v>7628</v>
      </c>
      <c r="C340" s="140" t="n">
        <v>2019</v>
      </c>
      <c r="D340" s="141" t="n">
        <v>43504</v>
      </c>
      <c r="E340" s="66" t="s">
        <v>7629</v>
      </c>
      <c r="F340" s="142" t="s">
        <v>7630</v>
      </c>
      <c r="G340" s="66" t="s">
        <v>144</v>
      </c>
      <c r="H340" s="142" t="s">
        <v>3493</v>
      </c>
      <c r="I340" s="141" t="n">
        <v>45120</v>
      </c>
      <c r="J340" s="66" t="n">
        <v>7</v>
      </c>
      <c r="K340" s="143" t="s">
        <v>48</v>
      </c>
      <c r="L340" s="142" t="s">
        <v>58</v>
      </c>
      <c r="M340" s="66" t="n">
        <f aca="false">I340-D340</f>
        <v>1616</v>
      </c>
    </row>
    <row r="341" customFormat="false" ht="12.75" hidden="false" customHeight="true" outlineLevel="0" collapsed="false">
      <c r="A341" s="148" t="n">
        <v>15023</v>
      </c>
      <c r="B341" s="149" t="s">
        <v>7631</v>
      </c>
      <c r="C341" s="149" t="n">
        <v>2019</v>
      </c>
      <c r="D341" s="150" t="n">
        <v>43511</v>
      </c>
      <c r="E341" s="68" t="s">
        <v>7632</v>
      </c>
      <c r="F341" s="151" t="s">
        <v>7633</v>
      </c>
      <c r="G341" s="68" t="s">
        <v>144</v>
      </c>
      <c r="H341" s="68" t="s">
        <v>3493</v>
      </c>
      <c r="I341" s="150" t="n">
        <v>45120</v>
      </c>
      <c r="J341" s="68" t="n">
        <v>7</v>
      </c>
      <c r="K341" s="143" t="s">
        <v>49</v>
      </c>
      <c r="L341" s="151" t="s">
        <v>60</v>
      </c>
      <c r="M341" s="68" t="n">
        <f aca="false">I341-D341</f>
        <v>1609</v>
      </c>
    </row>
    <row r="342" customFormat="false" ht="12.75" hidden="false" customHeight="true" outlineLevel="0" collapsed="false">
      <c r="A342" s="139" t="n">
        <v>15123</v>
      </c>
      <c r="B342" s="140" t="s">
        <v>7634</v>
      </c>
      <c r="C342" s="140" t="n">
        <v>2022</v>
      </c>
      <c r="D342" s="141" t="n">
        <v>44855</v>
      </c>
      <c r="E342" s="66" t="s">
        <v>7635</v>
      </c>
      <c r="F342" s="142" t="s">
        <v>4653</v>
      </c>
      <c r="G342" s="66" t="s">
        <v>130</v>
      </c>
      <c r="H342" s="142" t="s">
        <v>54</v>
      </c>
      <c r="I342" s="141" t="n">
        <v>45120</v>
      </c>
      <c r="J342" s="66" t="n">
        <v>7</v>
      </c>
      <c r="K342" s="143" t="s">
        <v>49</v>
      </c>
      <c r="L342" s="142" t="s">
        <v>61</v>
      </c>
      <c r="M342" s="66" t="n">
        <f aca="false">I342-D342</f>
        <v>265</v>
      </c>
    </row>
    <row r="343" customFormat="false" ht="12.75" hidden="false" customHeight="true" outlineLevel="0" collapsed="false">
      <c r="A343" s="443" t="n">
        <v>15223</v>
      </c>
      <c r="B343" s="149" t="s">
        <v>7636</v>
      </c>
      <c r="C343" s="149" t="n">
        <v>2014</v>
      </c>
      <c r="D343" s="150" t="n">
        <v>41697</v>
      </c>
      <c r="E343" s="68" t="s">
        <v>7637</v>
      </c>
      <c r="F343" s="151" t="s">
        <v>7638</v>
      </c>
      <c r="G343" s="68" t="s">
        <v>115</v>
      </c>
      <c r="H343" s="151" t="s">
        <v>5589</v>
      </c>
      <c r="I343" s="150" t="n">
        <v>45132</v>
      </c>
      <c r="J343" s="68" t="n">
        <v>7</v>
      </c>
      <c r="K343" s="143" t="s">
        <v>49</v>
      </c>
      <c r="L343" s="151" t="s">
        <v>60</v>
      </c>
      <c r="M343" s="68" t="n">
        <f aca="false">I343-D343</f>
        <v>3435</v>
      </c>
    </row>
    <row r="344" customFormat="false" ht="12.75" hidden="false" customHeight="true" outlineLevel="0" collapsed="false">
      <c r="A344" s="139" t="n">
        <v>15323</v>
      </c>
      <c r="B344" s="140" t="s">
        <v>7639</v>
      </c>
      <c r="C344" s="140" t="n">
        <v>2012</v>
      </c>
      <c r="D344" s="141" t="n">
        <v>41149</v>
      </c>
      <c r="E344" s="66" t="s">
        <v>7640</v>
      </c>
      <c r="F344" s="142" t="s">
        <v>7638</v>
      </c>
      <c r="G344" s="66" t="s">
        <v>115</v>
      </c>
      <c r="H344" s="142" t="s">
        <v>5589</v>
      </c>
      <c r="I344" s="141" t="n">
        <v>45132</v>
      </c>
      <c r="J344" s="66" t="n">
        <v>7</v>
      </c>
      <c r="K344" s="143" t="s">
        <v>49</v>
      </c>
      <c r="L344" s="142" t="s">
        <v>60</v>
      </c>
      <c r="M344" s="66" t="n">
        <f aca="false">I344-D344</f>
        <v>3983</v>
      </c>
    </row>
    <row r="345" customFormat="false" ht="12.75" hidden="false" customHeight="true" outlineLevel="0" collapsed="false">
      <c r="A345" s="148" t="n">
        <v>15423</v>
      </c>
      <c r="B345" s="149" t="s">
        <v>7641</v>
      </c>
      <c r="C345" s="149" t="n">
        <v>2018</v>
      </c>
      <c r="D345" s="150" t="n">
        <v>43370</v>
      </c>
      <c r="E345" s="68" t="s">
        <v>7642</v>
      </c>
      <c r="F345" s="151" t="s">
        <v>1511</v>
      </c>
      <c r="G345" s="68" t="s">
        <v>441</v>
      </c>
      <c r="H345" s="151" t="s">
        <v>184</v>
      </c>
      <c r="I345" s="150" t="n">
        <v>45132</v>
      </c>
      <c r="J345" s="68" t="n">
        <v>7</v>
      </c>
      <c r="K345" s="143" t="s">
        <v>49</v>
      </c>
      <c r="L345" s="151" t="s">
        <v>58</v>
      </c>
      <c r="M345" s="68" t="n">
        <f aca="false">I345-D345</f>
        <v>1762</v>
      </c>
    </row>
    <row r="346" customFormat="false" ht="15" hidden="false" customHeight="true" outlineLevel="0" collapsed="false">
      <c r="A346" s="139" t="n">
        <v>15523</v>
      </c>
      <c r="B346" s="140" t="s">
        <v>7643</v>
      </c>
      <c r="C346" s="140" t="n">
        <v>2017</v>
      </c>
      <c r="D346" s="141" t="n">
        <v>43046</v>
      </c>
      <c r="E346" s="66" t="s">
        <v>7644</v>
      </c>
      <c r="F346" s="142" t="s">
        <v>3190</v>
      </c>
      <c r="G346" s="66" t="s">
        <v>441</v>
      </c>
      <c r="H346" s="142" t="s">
        <v>7615</v>
      </c>
      <c r="I346" s="141" t="n">
        <v>45132</v>
      </c>
      <c r="J346" s="66" t="n">
        <v>7</v>
      </c>
      <c r="K346" s="143" t="s">
        <v>48</v>
      </c>
      <c r="L346" s="142" t="s">
        <v>60</v>
      </c>
      <c r="M346" s="66" t="n">
        <f aca="false">I346-D346</f>
        <v>2086</v>
      </c>
    </row>
    <row r="347" customFormat="false" ht="15" hidden="false" customHeight="true" outlineLevel="0" collapsed="false">
      <c r="A347" s="148" t="n">
        <v>15623</v>
      </c>
      <c r="B347" s="149" t="s">
        <v>7645</v>
      </c>
      <c r="C347" s="149" t="n">
        <v>2020</v>
      </c>
      <c r="D347" s="150" t="n">
        <v>43852</v>
      </c>
      <c r="E347" s="68" t="s">
        <v>7646</v>
      </c>
      <c r="F347" s="151" t="s">
        <v>467</v>
      </c>
      <c r="G347" s="68" t="s">
        <v>441</v>
      </c>
      <c r="H347" s="151" t="s">
        <v>570</v>
      </c>
      <c r="I347" s="150" t="n">
        <v>45132</v>
      </c>
      <c r="J347" s="68" t="n">
        <v>7</v>
      </c>
      <c r="K347" s="143" t="s">
        <v>49</v>
      </c>
      <c r="L347" s="151" t="s">
        <v>61</v>
      </c>
      <c r="M347" s="68" t="n">
        <f aca="false">I347-D347</f>
        <v>1280</v>
      </c>
    </row>
    <row r="348" customFormat="false" ht="15" hidden="false" customHeight="true" outlineLevel="0" collapsed="false">
      <c r="A348" s="139" t="n">
        <v>15723</v>
      </c>
      <c r="B348" s="140" t="s">
        <v>7647</v>
      </c>
      <c r="C348" s="140" t="n">
        <v>2016</v>
      </c>
      <c r="D348" s="141" t="n">
        <v>42648</v>
      </c>
      <c r="E348" s="66" t="s">
        <v>7648</v>
      </c>
      <c r="F348" s="142" t="s">
        <v>3981</v>
      </c>
      <c r="G348" s="66" t="s">
        <v>441</v>
      </c>
      <c r="H348" s="142" t="s">
        <v>2677</v>
      </c>
      <c r="I348" s="141" t="n">
        <v>45132</v>
      </c>
      <c r="J348" s="66" t="n">
        <v>7</v>
      </c>
      <c r="K348" s="143" t="s">
        <v>49</v>
      </c>
      <c r="L348" s="142" t="s">
        <v>58</v>
      </c>
      <c r="M348" s="66" t="n">
        <f aca="false">I348-D348</f>
        <v>2484</v>
      </c>
    </row>
    <row r="349" customFormat="false" ht="15" hidden="false" customHeight="true" outlineLevel="0" collapsed="false">
      <c r="A349" s="148" t="n">
        <v>15823</v>
      </c>
      <c r="B349" s="149" t="s">
        <v>7649</v>
      </c>
      <c r="C349" s="149" t="n">
        <v>2022</v>
      </c>
      <c r="D349" s="150" t="n">
        <v>44859</v>
      </c>
      <c r="E349" s="68" t="s">
        <v>7650</v>
      </c>
      <c r="F349" s="440" t="s">
        <v>876</v>
      </c>
      <c r="G349" s="68" t="s">
        <v>130</v>
      </c>
      <c r="H349" s="151" t="s">
        <v>7284</v>
      </c>
      <c r="I349" s="150" t="n">
        <v>45132</v>
      </c>
      <c r="J349" s="68" t="n">
        <v>7</v>
      </c>
      <c r="K349" s="143" t="s">
        <v>49</v>
      </c>
      <c r="L349" s="151" t="s">
        <v>61</v>
      </c>
      <c r="M349" s="68" t="n">
        <f aca="false">I349-D349</f>
        <v>273</v>
      </c>
    </row>
    <row r="350" customFormat="false" ht="12.75" hidden="false" customHeight="true" outlineLevel="0" collapsed="false">
      <c r="A350" s="139" t="n">
        <v>15923</v>
      </c>
      <c r="B350" s="140" t="s">
        <v>7651</v>
      </c>
      <c r="C350" s="140" t="n">
        <v>2017</v>
      </c>
      <c r="D350" s="141" t="n">
        <v>42788</v>
      </c>
      <c r="E350" s="66" t="s">
        <v>7652</v>
      </c>
      <c r="F350" s="142" t="s">
        <v>113</v>
      </c>
      <c r="G350" s="66" t="s">
        <v>441</v>
      </c>
      <c r="H350" s="142" t="s">
        <v>3339</v>
      </c>
      <c r="I350" s="141" t="n">
        <v>45132</v>
      </c>
      <c r="J350" s="66" t="n">
        <v>7</v>
      </c>
      <c r="K350" s="143" t="s">
        <v>48</v>
      </c>
      <c r="L350" s="142" t="s">
        <v>60</v>
      </c>
      <c r="M350" s="66" t="n">
        <f aca="false">I350-D350</f>
        <v>2344</v>
      </c>
    </row>
    <row r="351" customFormat="false" ht="12.75" hidden="false" customHeight="true" outlineLevel="0" collapsed="false">
      <c r="A351" s="148" t="n">
        <v>16023</v>
      </c>
      <c r="B351" s="149" t="s">
        <v>7653</v>
      </c>
      <c r="C351" s="149" t="n">
        <v>2020</v>
      </c>
      <c r="D351" s="150" t="n">
        <v>44180</v>
      </c>
      <c r="E351" s="68" t="s">
        <v>7654</v>
      </c>
      <c r="F351" s="151" t="s">
        <v>7655</v>
      </c>
      <c r="G351" s="68" t="s">
        <v>441</v>
      </c>
      <c r="H351" s="151" t="s">
        <v>4657</v>
      </c>
      <c r="I351" s="150" t="n">
        <v>45132</v>
      </c>
      <c r="J351" s="68" t="n">
        <v>7</v>
      </c>
      <c r="K351" s="143" t="s">
        <v>48</v>
      </c>
      <c r="L351" s="151" t="s">
        <v>58</v>
      </c>
      <c r="M351" s="68" t="n">
        <f aca="false">I351-D351</f>
        <v>952</v>
      </c>
    </row>
    <row r="352" customFormat="false" ht="12.75" hidden="false" customHeight="true" outlineLevel="0" collapsed="false">
      <c r="A352" s="139" t="n">
        <v>16123</v>
      </c>
      <c r="B352" s="140" t="s">
        <v>7656</v>
      </c>
      <c r="C352" s="140" t="n">
        <v>2016</v>
      </c>
      <c r="D352" s="141" t="n">
        <v>42733</v>
      </c>
      <c r="E352" s="66" t="s">
        <v>7657</v>
      </c>
      <c r="F352" s="142" t="s">
        <v>3362</v>
      </c>
      <c r="G352" s="66" t="s">
        <v>441</v>
      </c>
      <c r="H352" s="142" t="s">
        <v>1109</v>
      </c>
      <c r="I352" s="141" t="n">
        <v>45132</v>
      </c>
      <c r="J352" s="66" t="n">
        <v>7</v>
      </c>
      <c r="K352" s="143" t="s">
        <v>49</v>
      </c>
      <c r="L352" s="142" t="s">
        <v>60</v>
      </c>
      <c r="M352" s="66" t="n">
        <f aca="false">I352-D352</f>
        <v>2399</v>
      </c>
    </row>
    <row r="353" customFormat="false" ht="12.75" hidden="false" customHeight="true" outlineLevel="0" collapsed="false">
      <c r="A353" s="148" t="n">
        <v>16223</v>
      </c>
      <c r="B353" s="149" t="s">
        <v>7658</v>
      </c>
      <c r="C353" s="149" t="n">
        <v>2019</v>
      </c>
      <c r="D353" s="150" t="n">
        <v>43790</v>
      </c>
      <c r="E353" s="68" t="s">
        <v>7659</v>
      </c>
      <c r="F353" s="151" t="s">
        <v>537</v>
      </c>
      <c r="G353" s="68" t="s">
        <v>441</v>
      </c>
      <c r="H353" s="151" t="s">
        <v>471</v>
      </c>
      <c r="I353" s="150" t="n">
        <v>45146</v>
      </c>
      <c r="J353" s="68" t="n">
        <v>8</v>
      </c>
      <c r="K353" s="143" t="s">
        <v>49</v>
      </c>
      <c r="L353" s="151" t="s">
        <v>60</v>
      </c>
      <c r="M353" s="68" t="n">
        <f aca="false">I353-D353</f>
        <v>1356</v>
      </c>
    </row>
    <row r="354" customFormat="false" ht="12.75" hidden="false" customHeight="true" outlineLevel="0" collapsed="false">
      <c r="A354" s="139" t="n">
        <v>16323</v>
      </c>
      <c r="B354" s="140" t="s">
        <v>7660</v>
      </c>
      <c r="C354" s="140" t="n">
        <v>2023</v>
      </c>
      <c r="D354" s="444" t="n">
        <v>44985</v>
      </c>
      <c r="E354" s="66" t="s">
        <v>7661</v>
      </c>
      <c r="F354" s="142" t="s">
        <v>376</v>
      </c>
      <c r="G354" s="66" t="s">
        <v>130</v>
      </c>
      <c r="H354" s="142" t="s">
        <v>6437</v>
      </c>
      <c r="I354" s="141" t="n">
        <v>45146</v>
      </c>
      <c r="J354" s="66" t="n">
        <v>8</v>
      </c>
      <c r="K354" s="143" t="s">
        <v>49</v>
      </c>
      <c r="L354" s="142" t="s">
        <v>61</v>
      </c>
      <c r="M354" s="66" t="n">
        <f aca="false">I354-D354</f>
        <v>161</v>
      </c>
    </row>
    <row r="355" customFormat="false" ht="12.75" hidden="false" customHeight="true" outlineLevel="0" collapsed="false">
      <c r="A355" s="148" t="n">
        <v>16423</v>
      </c>
      <c r="B355" s="149" t="s">
        <v>7662</v>
      </c>
      <c r="C355" s="149" t="n">
        <v>2023</v>
      </c>
      <c r="D355" s="150" t="n">
        <v>44985</v>
      </c>
      <c r="E355" s="68" t="s">
        <v>7663</v>
      </c>
      <c r="F355" s="151" t="s">
        <v>876</v>
      </c>
      <c r="G355" s="68" t="s">
        <v>130</v>
      </c>
      <c r="H355" s="151" t="s">
        <v>7664</v>
      </c>
      <c r="I355" s="150" t="n">
        <v>45146</v>
      </c>
      <c r="J355" s="68" t="n">
        <v>8</v>
      </c>
      <c r="K355" s="143" t="s">
        <v>49</v>
      </c>
      <c r="L355" s="151" t="s">
        <v>61</v>
      </c>
      <c r="M355" s="68" t="n">
        <f aca="false">I355-D355</f>
        <v>161</v>
      </c>
    </row>
    <row r="356" customFormat="false" ht="12.75" hidden="false" customHeight="true" outlineLevel="0" collapsed="false">
      <c r="A356" s="139" t="n">
        <v>16523</v>
      </c>
      <c r="B356" s="140" t="s">
        <v>7665</v>
      </c>
      <c r="C356" s="140" t="n">
        <v>2022</v>
      </c>
      <c r="D356" s="141" t="n">
        <v>44631</v>
      </c>
      <c r="E356" s="66" t="s">
        <v>7666</v>
      </c>
      <c r="F356" s="142" t="s">
        <v>7667</v>
      </c>
      <c r="G356" s="66" t="s">
        <v>144</v>
      </c>
      <c r="H356" s="142" t="s">
        <v>7668</v>
      </c>
      <c r="I356" s="141" t="n">
        <v>45146</v>
      </c>
      <c r="J356" s="66" t="n">
        <v>8</v>
      </c>
      <c r="K356" s="143" t="s">
        <v>49</v>
      </c>
      <c r="L356" s="142" t="s">
        <v>61</v>
      </c>
      <c r="M356" s="66" t="n">
        <f aca="false">I356-D356</f>
        <v>515</v>
      </c>
    </row>
    <row r="357" customFormat="false" ht="12.75" hidden="false" customHeight="true" outlineLevel="0" collapsed="false">
      <c r="A357" s="148" t="n">
        <v>16623</v>
      </c>
      <c r="B357" s="149" t="s">
        <v>7669</v>
      </c>
      <c r="C357" s="149" t="n">
        <v>2022</v>
      </c>
      <c r="D357" s="150" t="n">
        <v>44837</v>
      </c>
      <c r="E357" s="68" t="s">
        <v>7670</v>
      </c>
      <c r="F357" s="151" t="s">
        <v>856</v>
      </c>
      <c r="G357" s="68" t="s">
        <v>130</v>
      </c>
      <c r="H357" s="151" t="s">
        <v>7531</v>
      </c>
      <c r="I357" s="150" t="n">
        <v>45146</v>
      </c>
      <c r="J357" s="68" t="n">
        <v>8</v>
      </c>
      <c r="K357" s="143" t="s">
        <v>49</v>
      </c>
      <c r="L357" s="151" t="s">
        <v>61</v>
      </c>
      <c r="M357" s="68" t="n">
        <f aca="false">I357-D357</f>
        <v>309</v>
      </c>
    </row>
    <row r="358" customFormat="false" ht="15" hidden="false" customHeight="true" outlineLevel="0" collapsed="false">
      <c r="A358" s="139" t="n">
        <v>16723</v>
      </c>
      <c r="B358" s="140" t="s">
        <v>7671</v>
      </c>
      <c r="C358" s="140" t="n">
        <v>2016</v>
      </c>
      <c r="D358" s="141" t="n">
        <v>42622</v>
      </c>
      <c r="E358" s="66" t="s">
        <v>7672</v>
      </c>
      <c r="F358" s="142" t="s">
        <v>3190</v>
      </c>
      <c r="G358" s="66" t="s">
        <v>441</v>
      </c>
      <c r="H358" s="142" t="s">
        <v>184</v>
      </c>
      <c r="I358" s="141" t="n">
        <v>45146</v>
      </c>
      <c r="J358" s="66" t="n">
        <v>8</v>
      </c>
      <c r="K358" s="143" t="s">
        <v>49</v>
      </c>
      <c r="L358" s="142" t="s">
        <v>60</v>
      </c>
      <c r="M358" s="66" t="n">
        <f aca="false">I358-D358</f>
        <v>2524</v>
      </c>
    </row>
    <row r="359" customFormat="false" ht="12.75" hidden="false" customHeight="true" outlineLevel="0" collapsed="false">
      <c r="A359" s="148" t="n">
        <v>16823</v>
      </c>
      <c r="B359" s="149" t="s">
        <v>7673</v>
      </c>
      <c r="C359" s="149" t="n">
        <v>2020</v>
      </c>
      <c r="D359" s="150" t="n">
        <v>43937</v>
      </c>
      <c r="E359" s="68" t="s">
        <v>7674</v>
      </c>
      <c r="F359" s="151" t="s">
        <v>3362</v>
      </c>
      <c r="G359" s="68" t="s">
        <v>441</v>
      </c>
      <c r="H359" s="151" t="s">
        <v>6322</v>
      </c>
      <c r="I359" s="150" t="n">
        <v>45146</v>
      </c>
      <c r="J359" s="68" t="n">
        <v>8</v>
      </c>
      <c r="K359" s="143" t="s">
        <v>49</v>
      </c>
      <c r="L359" s="151" t="s">
        <v>60</v>
      </c>
      <c r="M359" s="68" t="n">
        <f aca="false">I359-D359</f>
        <v>1209</v>
      </c>
    </row>
    <row r="360" customFormat="false" ht="12.75" hidden="false" customHeight="true" outlineLevel="0" collapsed="false">
      <c r="A360" s="139" t="n">
        <v>16923</v>
      </c>
      <c r="B360" s="140" t="s">
        <v>7675</v>
      </c>
      <c r="C360" s="140" t="n">
        <v>2021</v>
      </c>
      <c r="D360" s="141" t="n">
        <v>44525</v>
      </c>
      <c r="E360" s="66" t="s">
        <v>7676</v>
      </c>
      <c r="F360" s="142" t="s">
        <v>7677</v>
      </c>
      <c r="G360" s="66" t="s">
        <v>125</v>
      </c>
      <c r="H360" s="142" t="s">
        <v>980</v>
      </c>
      <c r="I360" s="141" t="n">
        <v>45147</v>
      </c>
      <c r="J360" s="66" t="n">
        <v>8</v>
      </c>
      <c r="K360" s="143" t="s">
        <v>49</v>
      </c>
      <c r="L360" s="142" t="s">
        <v>61</v>
      </c>
      <c r="M360" s="66" t="n">
        <f aca="false">I360-D360</f>
        <v>622</v>
      </c>
    </row>
    <row r="361" customFormat="false" ht="12.75" hidden="false" customHeight="true" outlineLevel="0" collapsed="false">
      <c r="A361" s="148" t="n">
        <v>17023</v>
      </c>
      <c r="B361" s="149" t="s">
        <v>7678</v>
      </c>
      <c r="C361" s="149" t="n">
        <v>2022</v>
      </c>
      <c r="D361" s="150" t="n">
        <v>44840</v>
      </c>
      <c r="E361" s="68" t="s">
        <v>7679</v>
      </c>
      <c r="F361" s="151" t="s">
        <v>4653</v>
      </c>
      <c r="G361" s="68" t="s">
        <v>130</v>
      </c>
      <c r="H361" s="151" t="s">
        <v>54</v>
      </c>
      <c r="I361" s="150" t="n">
        <v>45147</v>
      </c>
      <c r="J361" s="68" t="n">
        <v>8</v>
      </c>
      <c r="K361" s="143" t="s">
        <v>49</v>
      </c>
      <c r="L361" s="151" t="s">
        <v>61</v>
      </c>
      <c r="M361" s="68" t="n">
        <f aca="false">I361-D361</f>
        <v>307</v>
      </c>
    </row>
    <row r="362" customFormat="false" ht="15" hidden="false" customHeight="true" outlineLevel="0" collapsed="false">
      <c r="A362" s="139" t="n">
        <v>17123</v>
      </c>
      <c r="B362" s="140" t="s">
        <v>7680</v>
      </c>
      <c r="C362" s="140" t="n">
        <v>2022</v>
      </c>
      <c r="D362" s="141" t="n">
        <v>44767</v>
      </c>
      <c r="E362" s="66" t="s">
        <v>7681</v>
      </c>
      <c r="F362" s="142" t="s">
        <v>7667</v>
      </c>
      <c r="G362" s="66" t="s">
        <v>144</v>
      </c>
      <c r="H362" s="142" t="s">
        <v>54</v>
      </c>
      <c r="I362" s="141" t="n">
        <v>45147</v>
      </c>
      <c r="J362" s="66" t="n">
        <v>8</v>
      </c>
      <c r="K362" s="143" t="s">
        <v>49</v>
      </c>
      <c r="L362" s="142" t="s">
        <v>61</v>
      </c>
      <c r="M362" s="66" t="n">
        <f aca="false">I362-D362</f>
        <v>380</v>
      </c>
    </row>
    <row r="363" customFormat="false" ht="12.75" hidden="false" customHeight="true" outlineLevel="0" collapsed="false">
      <c r="A363" s="148" t="n">
        <v>17223</v>
      </c>
      <c r="B363" s="149" t="s">
        <v>7682</v>
      </c>
      <c r="C363" s="149" t="n">
        <v>2022</v>
      </c>
      <c r="D363" s="150" t="n">
        <v>44767</v>
      </c>
      <c r="E363" s="68" t="s">
        <v>7683</v>
      </c>
      <c r="F363" s="151" t="s">
        <v>7667</v>
      </c>
      <c r="G363" s="68" t="s">
        <v>144</v>
      </c>
      <c r="H363" s="151" t="s">
        <v>54</v>
      </c>
      <c r="I363" s="150" t="n">
        <v>45147</v>
      </c>
      <c r="J363" s="68" t="n">
        <v>8</v>
      </c>
      <c r="K363" s="143" t="s">
        <v>49</v>
      </c>
      <c r="L363" s="151" t="s">
        <v>61</v>
      </c>
      <c r="M363" s="68" t="n">
        <f aca="false">I363-D363</f>
        <v>380</v>
      </c>
    </row>
    <row r="364" customFormat="false" ht="12.75" hidden="false" customHeight="true" outlineLevel="0" collapsed="false">
      <c r="A364" s="139" t="n">
        <v>17323</v>
      </c>
      <c r="B364" s="140" t="s">
        <v>7684</v>
      </c>
      <c r="C364" s="140" t="n">
        <v>2022</v>
      </c>
      <c r="D364" s="141" t="n">
        <v>44767</v>
      </c>
      <c r="E364" s="66" t="s">
        <v>7685</v>
      </c>
      <c r="F364" s="142" t="s">
        <v>7686</v>
      </c>
      <c r="G364" s="66" t="s">
        <v>144</v>
      </c>
      <c r="H364" s="142" t="s">
        <v>4223</v>
      </c>
      <c r="I364" s="141" t="n">
        <v>45147</v>
      </c>
      <c r="J364" s="66" t="n">
        <v>8</v>
      </c>
      <c r="K364" s="143" t="s">
        <v>49</v>
      </c>
      <c r="L364" s="142" t="s">
        <v>61</v>
      </c>
      <c r="M364" s="66" t="n">
        <f aca="false">I364-D364</f>
        <v>380</v>
      </c>
    </row>
    <row r="365" customFormat="false" ht="12.75" hidden="false" customHeight="true" outlineLevel="0" collapsed="false">
      <c r="A365" s="148" t="n">
        <v>17423</v>
      </c>
      <c r="B365" s="149" t="s">
        <v>7687</v>
      </c>
      <c r="C365" s="149" t="n">
        <v>2022</v>
      </c>
      <c r="D365" s="150" t="n">
        <v>44778</v>
      </c>
      <c r="E365" s="68" t="s">
        <v>7688</v>
      </c>
      <c r="F365" s="151" t="s">
        <v>7686</v>
      </c>
      <c r="G365" s="68" t="s">
        <v>144</v>
      </c>
      <c r="H365" s="151" t="s">
        <v>54</v>
      </c>
      <c r="I365" s="150" t="n">
        <v>45147</v>
      </c>
      <c r="J365" s="68" t="n">
        <v>8</v>
      </c>
      <c r="K365" s="143" t="s">
        <v>49</v>
      </c>
      <c r="L365" s="151" t="s">
        <v>61</v>
      </c>
      <c r="M365" s="68" t="n">
        <f aca="false">I365-D365</f>
        <v>369</v>
      </c>
    </row>
    <row r="366" customFormat="false" ht="12.75" hidden="false" customHeight="true" outlineLevel="0" collapsed="false">
      <c r="A366" s="139" t="n">
        <v>17523</v>
      </c>
      <c r="B366" s="140" t="s">
        <v>7689</v>
      </c>
      <c r="C366" s="140" t="n">
        <v>2022</v>
      </c>
      <c r="D366" s="141" t="n">
        <v>44782</v>
      </c>
      <c r="E366" s="66" t="s">
        <v>7690</v>
      </c>
      <c r="F366" s="142" t="s">
        <v>7691</v>
      </c>
      <c r="G366" s="66" t="s">
        <v>144</v>
      </c>
      <c r="H366" s="142" t="s">
        <v>54</v>
      </c>
      <c r="I366" s="141" t="n">
        <v>45147</v>
      </c>
      <c r="J366" s="66" t="n">
        <v>8</v>
      </c>
      <c r="K366" s="143" t="s">
        <v>49</v>
      </c>
      <c r="L366" s="142" t="s">
        <v>61</v>
      </c>
      <c r="M366" s="66" t="n">
        <f aca="false">I366-D366</f>
        <v>365</v>
      </c>
    </row>
    <row r="367" customFormat="false" ht="12.75" hidden="false" customHeight="true" outlineLevel="0" collapsed="false">
      <c r="A367" s="148" t="n">
        <v>17623</v>
      </c>
      <c r="B367" s="149" t="s">
        <v>7692</v>
      </c>
      <c r="C367" s="149" t="n">
        <v>2022</v>
      </c>
      <c r="D367" s="150" t="n">
        <v>44783</v>
      </c>
      <c r="E367" s="68" t="s">
        <v>7693</v>
      </c>
      <c r="F367" s="151" t="s">
        <v>7686</v>
      </c>
      <c r="G367" s="68" t="s">
        <v>144</v>
      </c>
      <c r="H367" s="151" t="s">
        <v>54</v>
      </c>
      <c r="I367" s="150" t="n">
        <v>45147</v>
      </c>
      <c r="J367" s="68" t="n">
        <v>8</v>
      </c>
      <c r="K367" s="143" t="s">
        <v>49</v>
      </c>
      <c r="L367" s="151" t="s">
        <v>61</v>
      </c>
      <c r="M367" s="68" t="n">
        <f aca="false">I367-D367</f>
        <v>364</v>
      </c>
    </row>
    <row r="368" customFormat="false" ht="12.75" hidden="false" customHeight="true" outlineLevel="0" collapsed="false">
      <c r="A368" s="139" t="n">
        <v>17723</v>
      </c>
      <c r="B368" s="140" t="s">
        <v>7694</v>
      </c>
      <c r="C368" s="140" t="n">
        <v>2022</v>
      </c>
      <c r="D368" s="141" t="n">
        <v>44865</v>
      </c>
      <c r="E368" s="66" t="s">
        <v>7695</v>
      </c>
      <c r="F368" s="142" t="s">
        <v>4393</v>
      </c>
      <c r="G368" s="66" t="s">
        <v>125</v>
      </c>
      <c r="H368" s="142" t="s">
        <v>54</v>
      </c>
      <c r="I368" s="141" t="n">
        <v>45147</v>
      </c>
      <c r="J368" s="66" t="n">
        <v>8</v>
      </c>
      <c r="K368" s="143" t="s">
        <v>49</v>
      </c>
      <c r="L368" s="142" t="s">
        <v>61</v>
      </c>
      <c r="M368" s="66" t="n">
        <f aca="false">I368-D368</f>
        <v>282</v>
      </c>
    </row>
    <row r="369" customFormat="false" ht="12.75" hidden="false" customHeight="true" outlineLevel="0" collapsed="false">
      <c r="A369" s="148" t="n">
        <v>17823</v>
      </c>
      <c r="B369" s="149" t="s">
        <v>7696</v>
      </c>
      <c r="C369" s="149" t="n">
        <v>2016</v>
      </c>
      <c r="D369" s="150" t="n">
        <v>42639</v>
      </c>
      <c r="E369" s="68" t="s">
        <v>7697</v>
      </c>
      <c r="F369" s="151" t="s">
        <v>7698</v>
      </c>
      <c r="G369" s="68" t="s">
        <v>441</v>
      </c>
      <c r="H369" s="151" t="s">
        <v>192</v>
      </c>
      <c r="I369" s="150" t="n">
        <v>45148</v>
      </c>
      <c r="J369" s="68" t="n">
        <v>8</v>
      </c>
      <c r="K369" s="143" t="s">
        <v>49</v>
      </c>
      <c r="L369" s="151" t="s">
        <v>60</v>
      </c>
      <c r="M369" s="68" t="n">
        <f aca="false">I369-D369</f>
        <v>2509</v>
      </c>
    </row>
    <row r="370" customFormat="false" ht="12.75" hidden="false" customHeight="true" outlineLevel="0" collapsed="false">
      <c r="A370" s="139" t="n">
        <v>17923</v>
      </c>
      <c r="B370" s="140" t="s">
        <v>7699</v>
      </c>
      <c r="C370" s="140" t="n">
        <v>2020</v>
      </c>
      <c r="D370" s="141" t="n">
        <v>43839</v>
      </c>
      <c r="E370" s="66" t="s">
        <v>7700</v>
      </c>
      <c r="F370" s="142" t="s">
        <v>7701</v>
      </c>
      <c r="G370" s="66" t="s">
        <v>441</v>
      </c>
      <c r="H370" s="142" t="s">
        <v>513</v>
      </c>
      <c r="I370" s="141" t="n">
        <v>45148</v>
      </c>
      <c r="J370" s="66" t="n">
        <v>8</v>
      </c>
      <c r="K370" s="143" t="s">
        <v>49</v>
      </c>
      <c r="L370" s="142" t="s">
        <v>60</v>
      </c>
      <c r="M370" s="66" t="n">
        <f aca="false">I370-D370</f>
        <v>1309</v>
      </c>
    </row>
    <row r="371" customFormat="false" ht="12.75" hidden="false" customHeight="true" outlineLevel="0" collapsed="false">
      <c r="A371" s="148" t="n">
        <v>18023</v>
      </c>
      <c r="B371" s="149" t="s">
        <v>7702</v>
      </c>
      <c r="C371" s="149" t="n">
        <v>2020</v>
      </c>
      <c r="D371" s="150" t="n">
        <v>44176</v>
      </c>
      <c r="E371" s="68" t="s">
        <v>7703</v>
      </c>
      <c r="F371" s="151" t="s">
        <v>157</v>
      </c>
      <c r="G371" s="68" t="s">
        <v>441</v>
      </c>
      <c r="H371" s="151" t="s">
        <v>139</v>
      </c>
      <c r="I371" s="150" t="n">
        <v>45148</v>
      </c>
      <c r="J371" s="68" t="n">
        <v>8</v>
      </c>
      <c r="K371" s="143" t="s">
        <v>48</v>
      </c>
      <c r="L371" s="151" t="s">
        <v>58</v>
      </c>
      <c r="M371" s="68" t="n">
        <f aca="false">I371-D371</f>
        <v>972</v>
      </c>
    </row>
    <row r="372" customFormat="false" ht="12.75" hidden="false" customHeight="true" outlineLevel="0" collapsed="false">
      <c r="A372" s="139" t="n">
        <v>18123</v>
      </c>
      <c r="B372" s="140" t="s">
        <v>7704</v>
      </c>
      <c r="C372" s="140" t="n">
        <v>2021</v>
      </c>
      <c r="D372" s="141" t="n">
        <v>44413</v>
      </c>
      <c r="E372" s="66" t="s">
        <v>7705</v>
      </c>
      <c r="F372" s="142" t="s">
        <v>7706</v>
      </c>
      <c r="G372" s="66" t="s">
        <v>441</v>
      </c>
      <c r="H372" s="142" t="s">
        <v>7472</v>
      </c>
      <c r="I372" s="141" t="n">
        <v>45148</v>
      </c>
      <c r="J372" s="66" t="n">
        <v>8</v>
      </c>
      <c r="K372" s="143" t="s">
        <v>49</v>
      </c>
      <c r="L372" s="142" t="s">
        <v>58</v>
      </c>
      <c r="M372" s="66" t="n">
        <f aca="false">I372-D372</f>
        <v>735</v>
      </c>
    </row>
    <row r="373" customFormat="false" ht="12.75" hidden="false" customHeight="true" outlineLevel="0" collapsed="false">
      <c r="A373" s="148" t="n">
        <v>18223</v>
      </c>
      <c r="B373" s="149" t="s">
        <v>7707</v>
      </c>
      <c r="C373" s="149" t="n">
        <v>2022</v>
      </c>
      <c r="D373" s="150" t="n">
        <v>44832</v>
      </c>
      <c r="E373" s="68" t="s">
        <v>7708</v>
      </c>
      <c r="F373" s="151" t="s">
        <v>7709</v>
      </c>
      <c r="G373" s="68" t="s">
        <v>125</v>
      </c>
      <c r="H373" s="151" t="s">
        <v>7710</v>
      </c>
      <c r="I373" s="150" t="n">
        <v>45148</v>
      </c>
      <c r="J373" s="68" t="n">
        <v>8</v>
      </c>
      <c r="K373" s="169" t="s">
        <v>290</v>
      </c>
      <c r="L373" s="151" t="s">
        <v>61</v>
      </c>
      <c r="M373" s="68" t="n">
        <f aca="false">I373-D373</f>
        <v>316</v>
      </c>
    </row>
    <row r="374" customFormat="false" ht="15" hidden="false" customHeight="true" outlineLevel="0" collapsed="false">
      <c r="A374" s="139" t="n">
        <v>18323</v>
      </c>
      <c r="B374" s="140" t="s">
        <v>7711</v>
      </c>
      <c r="C374" s="140" t="n">
        <v>2018</v>
      </c>
      <c r="D374" s="141" t="n">
        <v>43215</v>
      </c>
      <c r="E374" s="66" t="s">
        <v>7712</v>
      </c>
      <c r="F374" s="142" t="s">
        <v>7713</v>
      </c>
      <c r="G374" s="66" t="s">
        <v>441</v>
      </c>
      <c r="H374" s="142" t="s">
        <v>119</v>
      </c>
      <c r="I374" s="141" t="n">
        <v>45148</v>
      </c>
      <c r="J374" s="66" t="n">
        <v>8</v>
      </c>
      <c r="K374" s="143" t="s">
        <v>48</v>
      </c>
      <c r="L374" s="142" t="s">
        <v>57</v>
      </c>
      <c r="M374" s="66" t="n">
        <f aca="false">I374-D374</f>
        <v>1933</v>
      </c>
    </row>
    <row r="375" customFormat="false" ht="12.75" hidden="false" customHeight="true" outlineLevel="0" collapsed="false">
      <c r="A375" s="148" t="n">
        <v>18423</v>
      </c>
      <c r="B375" s="149" t="s">
        <v>7714</v>
      </c>
      <c r="C375" s="149" t="n">
        <v>2018</v>
      </c>
      <c r="D375" s="150" t="n">
        <v>43371</v>
      </c>
      <c r="E375" s="68" t="s">
        <v>7715</v>
      </c>
      <c r="F375" s="151" t="s">
        <v>7716</v>
      </c>
      <c r="G375" s="68" t="s">
        <v>115</v>
      </c>
      <c r="H375" s="151" t="s">
        <v>1109</v>
      </c>
      <c r="I375" s="150" t="n">
        <v>45149</v>
      </c>
      <c r="J375" s="68" t="n">
        <v>8</v>
      </c>
      <c r="K375" s="143" t="s">
        <v>49</v>
      </c>
      <c r="L375" s="151" t="s">
        <v>58</v>
      </c>
      <c r="M375" s="68" t="n">
        <f aca="false">I375-D375</f>
        <v>1778</v>
      </c>
    </row>
    <row r="376" customFormat="false" ht="12.75" hidden="false" customHeight="true" outlineLevel="0" collapsed="false">
      <c r="A376" s="139" t="n">
        <v>18523</v>
      </c>
      <c r="B376" s="140" t="s">
        <v>7717</v>
      </c>
      <c r="C376" s="140" t="n">
        <v>2020</v>
      </c>
      <c r="D376" s="141" t="n">
        <v>44046</v>
      </c>
      <c r="E376" s="66" t="s">
        <v>7718</v>
      </c>
      <c r="F376" s="142" t="s">
        <v>3204</v>
      </c>
      <c r="G376" s="66" t="s">
        <v>441</v>
      </c>
      <c r="H376" s="142" t="s">
        <v>570</v>
      </c>
      <c r="I376" s="141" t="n">
        <v>45149</v>
      </c>
      <c r="J376" s="66" t="n">
        <v>8</v>
      </c>
      <c r="K376" s="143" t="s">
        <v>49</v>
      </c>
      <c r="L376" s="142" t="s">
        <v>58</v>
      </c>
      <c r="M376" s="66" t="n">
        <f aca="false">I376-D376</f>
        <v>1103</v>
      </c>
    </row>
    <row r="377" customFormat="false" ht="12.75" hidden="false" customHeight="true" outlineLevel="0" collapsed="false">
      <c r="A377" s="148" t="n">
        <v>18623</v>
      </c>
      <c r="B377" s="149" t="s">
        <v>7719</v>
      </c>
      <c r="C377" s="149" t="n">
        <v>2019</v>
      </c>
      <c r="D377" s="150" t="n">
        <v>43819</v>
      </c>
      <c r="E377" s="68" t="s">
        <v>7720</v>
      </c>
      <c r="F377" s="151" t="s">
        <v>7721</v>
      </c>
      <c r="G377" s="68" t="s">
        <v>115</v>
      </c>
      <c r="H377" s="151" t="s">
        <v>119</v>
      </c>
      <c r="I377" s="150" t="n">
        <v>45149</v>
      </c>
      <c r="J377" s="68" t="n">
        <v>8</v>
      </c>
      <c r="K377" s="143" t="s">
        <v>49</v>
      </c>
      <c r="L377" s="151" t="s">
        <v>58</v>
      </c>
      <c r="M377" s="68" t="n">
        <f aca="false">I377-D377</f>
        <v>1330</v>
      </c>
    </row>
    <row r="378" customFormat="false" ht="12.75" hidden="false" customHeight="true" outlineLevel="0" collapsed="false">
      <c r="A378" s="139" t="n">
        <v>18723</v>
      </c>
      <c r="B378" s="140" t="s">
        <v>7722</v>
      </c>
      <c r="C378" s="140" t="n">
        <v>2016</v>
      </c>
      <c r="D378" s="141" t="n">
        <v>42578</v>
      </c>
      <c r="E378" s="66" t="s">
        <v>7723</v>
      </c>
      <c r="F378" s="142" t="s">
        <v>157</v>
      </c>
      <c r="G378" s="66" t="s">
        <v>441</v>
      </c>
      <c r="H378" s="142" t="s">
        <v>192</v>
      </c>
      <c r="I378" s="141" t="n">
        <v>45149</v>
      </c>
      <c r="J378" s="66" t="n">
        <v>8</v>
      </c>
      <c r="K378" s="143" t="s">
        <v>48</v>
      </c>
      <c r="L378" s="142" t="s">
        <v>58</v>
      </c>
      <c r="M378" s="66" t="n">
        <f aca="false">I378-D378</f>
        <v>2571</v>
      </c>
    </row>
    <row r="379" customFormat="false" ht="12.75" hidden="false" customHeight="true" outlineLevel="0" collapsed="false">
      <c r="A379" s="148" t="n">
        <v>18823</v>
      </c>
      <c r="B379" s="149" t="s">
        <v>7724</v>
      </c>
      <c r="C379" s="149" t="n">
        <v>2016</v>
      </c>
      <c r="D379" s="150" t="n">
        <v>42703</v>
      </c>
      <c r="E379" s="68" t="s">
        <v>7725</v>
      </c>
      <c r="F379" s="151" t="s">
        <v>7726</v>
      </c>
      <c r="G379" s="68" t="s">
        <v>115</v>
      </c>
      <c r="H379" s="151" t="s">
        <v>697</v>
      </c>
      <c r="I379" s="150" t="n">
        <v>45149</v>
      </c>
      <c r="J379" s="68" t="n">
        <v>8</v>
      </c>
      <c r="K379" s="143" t="s">
        <v>49</v>
      </c>
      <c r="L379" s="151" t="s">
        <v>60</v>
      </c>
      <c r="M379" s="68" t="n">
        <f aca="false">I379-D379</f>
        <v>2446</v>
      </c>
    </row>
    <row r="380" customFormat="false" ht="12.75" hidden="false" customHeight="true" outlineLevel="0" collapsed="false">
      <c r="A380" s="139" t="n">
        <v>18923</v>
      </c>
      <c r="B380" s="140" t="s">
        <v>7727</v>
      </c>
      <c r="C380" s="140" t="n">
        <v>2020</v>
      </c>
      <c r="D380" s="141" t="n">
        <v>43923</v>
      </c>
      <c r="E380" s="66" t="s">
        <v>7728</v>
      </c>
      <c r="F380" s="142" t="s">
        <v>7729</v>
      </c>
      <c r="G380" s="66" t="s">
        <v>441</v>
      </c>
      <c r="H380" s="142" t="s">
        <v>471</v>
      </c>
      <c r="I380" s="141" t="n">
        <v>45154</v>
      </c>
      <c r="J380" s="66" t="n">
        <v>8</v>
      </c>
      <c r="K380" s="143" t="s">
        <v>49</v>
      </c>
      <c r="L380" s="142" t="s">
        <v>58</v>
      </c>
      <c r="M380" s="66" t="n">
        <f aca="false">I380-D380</f>
        <v>1231</v>
      </c>
    </row>
    <row r="381" customFormat="false" ht="12.75" hidden="false" customHeight="true" outlineLevel="0" collapsed="false">
      <c r="A381" s="148" t="n">
        <v>19023</v>
      </c>
      <c r="B381" s="149" t="s">
        <v>7730</v>
      </c>
      <c r="C381" s="149" t="n">
        <v>2018</v>
      </c>
      <c r="D381" s="150" t="n">
        <v>43178</v>
      </c>
      <c r="E381" s="68" t="s">
        <v>7731</v>
      </c>
      <c r="F381" s="151" t="s">
        <v>1235</v>
      </c>
      <c r="G381" s="68" t="s">
        <v>441</v>
      </c>
      <c r="H381" s="151" t="s">
        <v>697</v>
      </c>
      <c r="I381" s="150" t="n">
        <v>45154</v>
      </c>
      <c r="J381" s="68" t="n">
        <v>8</v>
      </c>
      <c r="K381" s="169" t="s">
        <v>290</v>
      </c>
      <c r="L381" s="151" t="s">
        <v>60</v>
      </c>
      <c r="M381" s="68" t="n">
        <f aca="false">I381-D381</f>
        <v>1976</v>
      </c>
    </row>
    <row r="382" customFormat="false" ht="12.75" hidden="false" customHeight="true" outlineLevel="0" collapsed="false">
      <c r="A382" s="139" t="n">
        <v>19123</v>
      </c>
      <c r="B382" s="140" t="s">
        <v>7732</v>
      </c>
      <c r="C382" s="140" t="n">
        <v>2017</v>
      </c>
      <c r="D382" s="141" t="n">
        <v>42881</v>
      </c>
      <c r="E382" s="66" t="s">
        <v>7733</v>
      </c>
      <c r="F382" s="142" t="s">
        <v>7734</v>
      </c>
      <c r="G382" s="66" t="s">
        <v>115</v>
      </c>
      <c r="H382" s="142" t="s">
        <v>697</v>
      </c>
      <c r="I382" s="141" t="n">
        <v>45154</v>
      </c>
      <c r="J382" s="66" t="n">
        <v>8</v>
      </c>
      <c r="K382" s="143" t="s">
        <v>49</v>
      </c>
      <c r="L382" s="142" t="s">
        <v>60</v>
      </c>
      <c r="M382" s="66" t="n">
        <f aca="false">I382-D382</f>
        <v>2273</v>
      </c>
    </row>
    <row r="383" customFormat="false" ht="12.75" hidden="false" customHeight="true" outlineLevel="0" collapsed="false">
      <c r="A383" s="148" t="n">
        <v>19223</v>
      </c>
      <c r="B383" s="149" t="s">
        <v>7735</v>
      </c>
      <c r="C383" s="149" t="n">
        <v>2017</v>
      </c>
      <c r="D383" s="150" t="n">
        <v>43077</v>
      </c>
      <c r="E383" s="68" t="s">
        <v>7736</v>
      </c>
      <c r="F383" s="151" t="s">
        <v>491</v>
      </c>
      <c r="G383" s="68" t="s">
        <v>441</v>
      </c>
      <c r="H383" s="151" t="s">
        <v>192</v>
      </c>
      <c r="I383" s="150" t="n">
        <v>45154</v>
      </c>
      <c r="J383" s="68" t="n">
        <v>8</v>
      </c>
      <c r="K383" s="143" t="s">
        <v>49</v>
      </c>
      <c r="L383" s="151" t="s">
        <v>60</v>
      </c>
      <c r="M383" s="68" t="n">
        <f aca="false">I383-D383</f>
        <v>2077</v>
      </c>
    </row>
    <row r="384" customFormat="false" ht="12.75" hidden="false" customHeight="true" outlineLevel="0" collapsed="false">
      <c r="A384" s="139" t="n">
        <v>19323</v>
      </c>
      <c r="B384" s="140" t="s">
        <v>7737</v>
      </c>
      <c r="C384" s="140" t="n">
        <v>2018</v>
      </c>
      <c r="D384" s="141" t="n">
        <v>43371</v>
      </c>
      <c r="E384" s="66" t="s">
        <v>7738</v>
      </c>
      <c r="F384" s="142" t="s">
        <v>7739</v>
      </c>
      <c r="G384" s="66" t="s">
        <v>441</v>
      </c>
      <c r="H384" s="142" t="s">
        <v>2647</v>
      </c>
      <c r="I384" s="141" t="n">
        <v>45154</v>
      </c>
      <c r="J384" s="66" t="n">
        <v>8</v>
      </c>
      <c r="K384" s="143" t="s">
        <v>48</v>
      </c>
      <c r="L384" s="142" t="s">
        <v>60</v>
      </c>
      <c r="M384" s="66" t="n">
        <f aca="false">I384-D384</f>
        <v>1783</v>
      </c>
    </row>
    <row r="385" customFormat="false" ht="12.75" hidden="false" customHeight="true" outlineLevel="0" collapsed="false">
      <c r="A385" s="148" t="n">
        <v>19423</v>
      </c>
      <c r="B385" s="149" t="s">
        <v>7740</v>
      </c>
      <c r="C385" s="149" t="n">
        <v>2018</v>
      </c>
      <c r="D385" s="150" t="n">
        <v>43217</v>
      </c>
      <c r="E385" s="68" t="s">
        <v>7741</v>
      </c>
      <c r="F385" s="151" t="s">
        <v>5851</v>
      </c>
      <c r="G385" s="68" t="s">
        <v>144</v>
      </c>
      <c r="H385" s="151" t="s">
        <v>7742</v>
      </c>
      <c r="I385" s="150" t="n">
        <v>45154</v>
      </c>
      <c r="J385" s="68" t="n">
        <v>8</v>
      </c>
      <c r="K385" s="445" t="s">
        <v>43</v>
      </c>
      <c r="L385" s="151" t="s">
        <v>60</v>
      </c>
      <c r="M385" s="68" t="n">
        <f aca="false">I385-D385</f>
        <v>1937</v>
      </c>
    </row>
    <row r="386" customFormat="false" ht="15" hidden="false" customHeight="true" outlineLevel="0" collapsed="false">
      <c r="A386" s="139" t="n">
        <v>19523</v>
      </c>
      <c r="B386" s="140" t="s">
        <v>7743</v>
      </c>
      <c r="C386" s="140" t="n">
        <v>2021</v>
      </c>
      <c r="D386" s="141" t="n">
        <v>44540</v>
      </c>
      <c r="E386" s="66" t="s">
        <v>7744</v>
      </c>
      <c r="F386" s="168" t="s">
        <v>7745</v>
      </c>
      <c r="G386" s="66" t="s">
        <v>125</v>
      </c>
      <c r="H386" s="142" t="s">
        <v>7746</v>
      </c>
      <c r="I386" s="141" t="n">
        <v>45154</v>
      </c>
      <c r="J386" s="66" t="n">
        <v>8</v>
      </c>
      <c r="K386" s="143" t="s">
        <v>49</v>
      </c>
      <c r="L386" s="142" t="s">
        <v>61</v>
      </c>
      <c r="M386" s="66" t="n">
        <f aca="false">I386-D386</f>
        <v>614</v>
      </c>
    </row>
    <row r="387" customFormat="false" ht="15" hidden="false" customHeight="true" outlineLevel="0" collapsed="false">
      <c r="A387" s="148" t="n">
        <v>19623</v>
      </c>
      <c r="B387" s="149" t="s">
        <v>7747</v>
      </c>
      <c r="C387" s="149" t="n">
        <v>2021</v>
      </c>
      <c r="D387" s="150" t="n">
        <v>44267</v>
      </c>
      <c r="E387" s="68" t="s">
        <v>7748</v>
      </c>
      <c r="F387" s="151" t="s">
        <v>7749</v>
      </c>
      <c r="G387" s="68" t="s">
        <v>441</v>
      </c>
      <c r="H387" s="151" t="s">
        <v>7363</v>
      </c>
      <c r="I387" s="150" t="n">
        <v>45154</v>
      </c>
      <c r="J387" s="68" t="n">
        <v>8</v>
      </c>
      <c r="K387" s="143" t="s">
        <v>49</v>
      </c>
      <c r="L387" s="151" t="s">
        <v>60</v>
      </c>
      <c r="M387" s="68" t="n">
        <f aca="false">I387-D387</f>
        <v>887</v>
      </c>
    </row>
    <row r="388" customFormat="false" ht="12.75" hidden="false" customHeight="true" outlineLevel="0" collapsed="false">
      <c r="A388" s="139" t="n">
        <v>19723</v>
      </c>
      <c r="B388" s="140" t="s">
        <v>7750</v>
      </c>
      <c r="C388" s="140" t="n">
        <v>2022</v>
      </c>
      <c r="D388" s="141" t="n">
        <v>44907</v>
      </c>
      <c r="E388" s="66" t="s">
        <v>7751</v>
      </c>
      <c r="F388" s="142" t="s">
        <v>7752</v>
      </c>
      <c r="G388" s="66" t="s">
        <v>144</v>
      </c>
      <c r="H388" s="142" t="s">
        <v>7753</v>
      </c>
      <c r="I388" s="141" t="n">
        <v>45154</v>
      </c>
      <c r="J388" s="66" t="n">
        <v>8</v>
      </c>
      <c r="K388" s="143" t="s">
        <v>49</v>
      </c>
      <c r="L388" s="142" t="s">
        <v>61</v>
      </c>
      <c r="M388" s="66" t="n">
        <f aca="false">I388-D388</f>
        <v>247</v>
      </c>
    </row>
    <row r="389" customFormat="false" ht="12.75" hidden="false" customHeight="true" outlineLevel="0" collapsed="false">
      <c r="A389" s="148" t="n">
        <v>19823</v>
      </c>
      <c r="B389" s="149" t="s">
        <v>7754</v>
      </c>
      <c r="C389" s="149" t="n">
        <v>2022</v>
      </c>
      <c r="D389" s="150" t="n">
        <v>44788</v>
      </c>
      <c r="E389" s="68" t="s">
        <v>7755</v>
      </c>
      <c r="F389" s="151" t="s">
        <v>7756</v>
      </c>
      <c r="G389" s="68" t="s">
        <v>125</v>
      </c>
      <c r="H389" s="151" t="s">
        <v>873</v>
      </c>
      <c r="I389" s="150" t="n">
        <v>45154</v>
      </c>
      <c r="J389" s="68" t="n">
        <v>8</v>
      </c>
      <c r="K389" s="143" t="s">
        <v>49</v>
      </c>
      <c r="L389" s="151" t="s">
        <v>61</v>
      </c>
      <c r="M389" s="68" t="n">
        <f aca="false">I389-D389</f>
        <v>366</v>
      </c>
    </row>
    <row r="390" customFormat="false" ht="12.75" hidden="false" customHeight="true" outlineLevel="0" collapsed="false">
      <c r="A390" s="139" t="n">
        <v>19923</v>
      </c>
      <c r="B390" s="140" t="s">
        <v>7757</v>
      </c>
      <c r="C390" s="140" t="n">
        <v>2019</v>
      </c>
      <c r="D390" s="141" t="n">
        <v>43679</v>
      </c>
      <c r="E390" s="66" t="s">
        <v>7758</v>
      </c>
      <c r="F390" s="142" t="s">
        <v>1338</v>
      </c>
      <c r="G390" s="66" t="s">
        <v>441</v>
      </c>
      <c r="H390" s="142" t="s">
        <v>7363</v>
      </c>
      <c r="I390" s="141" t="n">
        <v>45154</v>
      </c>
      <c r="J390" s="66" t="n">
        <v>8</v>
      </c>
      <c r="K390" s="143" t="s">
        <v>49</v>
      </c>
      <c r="L390" s="142" t="s">
        <v>61</v>
      </c>
      <c r="M390" s="66" t="n">
        <f aca="false">I390-D390</f>
        <v>1475</v>
      </c>
    </row>
    <row r="391" customFormat="false" ht="12.75" hidden="false" customHeight="true" outlineLevel="0" collapsed="false">
      <c r="A391" s="148" t="n">
        <v>20023</v>
      </c>
      <c r="B391" s="149" t="s">
        <v>7759</v>
      </c>
      <c r="C391" s="149" t="n">
        <v>2010</v>
      </c>
      <c r="D391" s="150" t="n">
        <v>40323</v>
      </c>
      <c r="E391" s="68" t="s">
        <v>7760</v>
      </c>
      <c r="F391" s="151" t="s">
        <v>7761</v>
      </c>
      <c r="G391" s="68" t="s">
        <v>441</v>
      </c>
      <c r="H391" s="151" t="s">
        <v>192</v>
      </c>
      <c r="I391" s="150" t="n">
        <v>45155</v>
      </c>
      <c r="J391" s="68" t="n">
        <v>8</v>
      </c>
      <c r="K391" s="143" t="s">
        <v>49</v>
      </c>
      <c r="L391" s="151" t="s">
        <v>60</v>
      </c>
      <c r="M391" s="68" t="n">
        <f aca="false">I391-D391</f>
        <v>4832</v>
      </c>
    </row>
    <row r="392" customFormat="false" ht="12.75" hidden="false" customHeight="true" outlineLevel="0" collapsed="false">
      <c r="A392" s="139" t="n">
        <v>20123</v>
      </c>
      <c r="B392" s="140" t="s">
        <v>7762</v>
      </c>
      <c r="C392" s="140" t="n">
        <v>2022</v>
      </c>
      <c r="D392" s="141" t="n">
        <v>44876</v>
      </c>
      <c r="E392" s="66" t="s">
        <v>7763</v>
      </c>
      <c r="F392" s="142" t="s">
        <v>288</v>
      </c>
      <c r="G392" s="66" t="s">
        <v>130</v>
      </c>
      <c r="H392" s="142" t="s">
        <v>149</v>
      </c>
      <c r="I392" s="141" t="n">
        <v>45156</v>
      </c>
      <c r="J392" s="66" t="n">
        <v>8</v>
      </c>
      <c r="K392" s="169" t="s">
        <v>290</v>
      </c>
      <c r="L392" s="142" t="s">
        <v>61</v>
      </c>
      <c r="M392" s="66" t="n">
        <f aca="false">I392-D392</f>
        <v>280</v>
      </c>
    </row>
    <row r="393" customFormat="false" ht="12.75" hidden="false" customHeight="true" outlineLevel="0" collapsed="false">
      <c r="A393" s="148" t="n">
        <v>20223</v>
      </c>
      <c r="B393" s="149" t="s">
        <v>7764</v>
      </c>
      <c r="C393" s="149" t="n">
        <v>2019</v>
      </c>
      <c r="D393" s="150" t="n">
        <v>43486</v>
      </c>
      <c r="E393" s="68" t="s">
        <v>7765</v>
      </c>
      <c r="F393" s="151" t="s">
        <v>7766</v>
      </c>
      <c r="G393" s="68" t="s">
        <v>144</v>
      </c>
      <c r="H393" s="151" t="s">
        <v>3493</v>
      </c>
      <c r="I393" s="150" t="n">
        <v>45156</v>
      </c>
      <c r="J393" s="68" t="n">
        <v>8</v>
      </c>
      <c r="K393" s="143" t="s">
        <v>49</v>
      </c>
      <c r="L393" s="151" t="s">
        <v>58</v>
      </c>
      <c r="M393" s="68" t="n">
        <f aca="false">I393-D393</f>
        <v>1670</v>
      </c>
    </row>
    <row r="394" customFormat="false" ht="12.75" hidden="false" customHeight="true" outlineLevel="0" collapsed="false">
      <c r="A394" s="139" t="n">
        <v>20323</v>
      </c>
      <c r="B394" s="140" t="s">
        <v>7767</v>
      </c>
      <c r="C394" s="140" t="n">
        <v>2022</v>
      </c>
      <c r="D394" s="141" t="n">
        <v>44755</v>
      </c>
      <c r="E394" s="66" t="s">
        <v>7768</v>
      </c>
      <c r="F394" s="142" t="s">
        <v>7769</v>
      </c>
      <c r="G394" s="66" t="s">
        <v>125</v>
      </c>
      <c r="H394" s="142" t="s">
        <v>7770</v>
      </c>
      <c r="I394" s="141" t="n">
        <v>45156</v>
      </c>
      <c r="J394" s="66" t="n">
        <v>8</v>
      </c>
      <c r="K394" s="169" t="s">
        <v>290</v>
      </c>
      <c r="L394" s="142" t="s">
        <v>61</v>
      </c>
      <c r="M394" s="66" t="n">
        <f aca="false">I394-D394</f>
        <v>401</v>
      </c>
    </row>
    <row r="395" customFormat="false" ht="12.75" hidden="false" customHeight="true" outlineLevel="0" collapsed="false">
      <c r="A395" s="148" t="n">
        <v>20423</v>
      </c>
      <c r="B395" s="149" t="s">
        <v>7771</v>
      </c>
      <c r="C395" s="149" t="n">
        <v>2012</v>
      </c>
      <c r="D395" s="150" t="n">
        <v>44418</v>
      </c>
      <c r="E395" s="68" t="s">
        <v>7772</v>
      </c>
      <c r="F395" s="151" t="s">
        <v>832</v>
      </c>
      <c r="G395" s="68" t="s">
        <v>441</v>
      </c>
      <c r="H395" s="151" t="s">
        <v>254</v>
      </c>
      <c r="I395" s="150" t="n">
        <v>45156</v>
      </c>
      <c r="J395" s="68" t="n">
        <v>8</v>
      </c>
      <c r="K395" s="143" t="s">
        <v>48</v>
      </c>
      <c r="L395" s="151" t="s">
        <v>57</v>
      </c>
      <c r="M395" s="68" t="n">
        <f aca="false">I395-D395</f>
        <v>738</v>
      </c>
    </row>
    <row r="396" customFormat="false" ht="12.75" hidden="false" customHeight="true" outlineLevel="0" collapsed="false">
      <c r="A396" s="139" t="n">
        <v>20523</v>
      </c>
      <c r="B396" s="140" t="s">
        <v>7773</v>
      </c>
      <c r="C396" s="140" t="n">
        <v>2010</v>
      </c>
      <c r="D396" s="141" t="n">
        <v>40539</v>
      </c>
      <c r="E396" s="66" t="s">
        <v>7774</v>
      </c>
      <c r="F396" s="142" t="s">
        <v>7775</v>
      </c>
      <c r="G396" s="66" t="s">
        <v>441</v>
      </c>
      <c r="H396" s="142" t="s">
        <v>1059</v>
      </c>
      <c r="I396" s="141" t="n">
        <v>45156</v>
      </c>
      <c r="J396" s="66" t="n">
        <v>8</v>
      </c>
      <c r="K396" s="143" t="s">
        <v>49</v>
      </c>
      <c r="L396" s="142" t="s">
        <v>60</v>
      </c>
      <c r="M396" s="66" t="n">
        <f aca="false">I396-D396</f>
        <v>4617</v>
      </c>
    </row>
    <row r="397" customFormat="false" ht="12.75" hidden="false" customHeight="true" outlineLevel="0" collapsed="false">
      <c r="A397" s="148" t="n">
        <v>20623</v>
      </c>
      <c r="B397" s="149" t="s">
        <v>7776</v>
      </c>
      <c r="C397" s="149" t="n">
        <v>2018</v>
      </c>
      <c r="D397" s="150" t="n">
        <v>43248</v>
      </c>
      <c r="E397" s="68" t="s">
        <v>7777</v>
      </c>
      <c r="F397" s="151" t="s">
        <v>7778</v>
      </c>
      <c r="G397" s="68" t="s">
        <v>144</v>
      </c>
      <c r="H397" s="151" t="s">
        <v>697</v>
      </c>
      <c r="I397" s="150" t="n">
        <v>45162</v>
      </c>
      <c r="J397" s="68" t="n">
        <v>8</v>
      </c>
      <c r="K397" s="143" t="s">
        <v>49</v>
      </c>
      <c r="L397" s="151" t="s">
        <v>60</v>
      </c>
      <c r="M397" s="68" t="n">
        <f aca="false">I397-D397</f>
        <v>1914</v>
      </c>
    </row>
    <row r="398" customFormat="false" ht="12.75" hidden="false" customHeight="true" outlineLevel="0" collapsed="false">
      <c r="A398" s="139" t="n">
        <v>20723</v>
      </c>
      <c r="B398" s="140" t="s">
        <v>7779</v>
      </c>
      <c r="C398" s="140" t="n">
        <v>2019</v>
      </c>
      <c r="D398" s="141" t="n">
        <v>43788</v>
      </c>
      <c r="E398" s="66" t="s">
        <v>7780</v>
      </c>
      <c r="F398" s="142" t="s">
        <v>449</v>
      </c>
      <c r="G398" s="66" t="s">
        <v>441</v>
      </c>
      <c r="H398" s="142" t="s">
        <v>3901</v>
      </c>
      <c r="I398" s="141" t="n">
        <v>45162</v>
      </c>
      <c r="J398" s="66" t="n">
        <v>8</v>
      </c>
      <c r="K398" s="143" t="s">
        <v>49</v>
      </c>
      <c r="L398" s="142" t="s">
        <v>58</v>
      </c>
      <c r="M398" s="66" t="n">
        <f aca="false">I398-D398</f>
        <v>1374</v>
      </c>
    </row>
    <row r="399" customFormat="false" ht="12.75" hidden="false" customHeight="true" outlineLevel="0" collapsed="false">
      <c r="A399" s="148" t="n">
        <v>20823</v>
      </c>
      <c r="B399" s="149" t="s">
        <v>7781</v>
      </c>
      <c r="C399" s="149" t="n">
        <v>2019</v>
      </c>
      <c r="D399" s="150" t="n">
        <v>43760</v>
      </c>
      <c r="E399" s="68" t="s">
        <v>7782</v>
      </c>
      <c r="F399" s="151" t="s">
        <v>823</v>
      </c>
      <c r="G399" s="68" t="s">
        <v>441</v>
      </c>
      <c r="H399" s="151" t="s">
        <v>693</v>
      </c>
      <c r="I399" s="150" t="n">
        <v>45162</v>
      </c>
      <c r="J399" s="68" t="n">
        <v>8</v>
      </c>
      <c r="K399" s="143" t="s">
        <v>49</v>
      </c>
      <c r="L399" s="151" t="s">
        <v>60</v>
      </c>
      <c r="M399" s="68" t="n">
        <f aca="false">I399-D399</f>
        <v>1402</v>
      </c>
    </row>
    <row r="400" customFormat="false" ht="12.75" hidden="false" customHeight="true" outlineLevel="0" collapsed="false">
      <c r="A400" s="139" t="n">
        <v>20923</v>
      </c>
      <c r="B400" s="140" t="s">
        <v>7783</v>
      </c>
      <c r="C400" s="140" t="n">
        <v>2022</v>
      </c>
      <c r="D400" s="141" t="n">
        <v>44817</v>
      </c>
      <c r="E400" s="66" t="s">
        <v>7784</v>
      </c>
      <c r="F400" s="142" t="s">
        <v>7785</v>
      </c>
      <c r="G400" s="66" t="s">
        <v>125</v>
      </c>
      <c r="H400" s="142" t="s">
        <v>7786</v>
      </c>
      <c r="I400" s="141" t="n">
        <v>45162</v>
      </c>
      <c r="J400" s="66" t="n">
        <v>8</v>
      </c>
      <c r="K400" s="143" t="s">
        <v>49</v>
      </c>
      <c r="L400" s="142" t="s">
        <v>61</v>
      </c>
      <c r="M400" s="66" t="n">
        <f aca="false">I400-D400</f>
        <v>345</v>
      </c>
    </row>
    <row r="401" customFormat="false" ht="12.75" hidden="false" customHeight="true" outlineLevel="0" collapsed="false">
      <c r="A401" s="148" t="n">
        <v>21023</v>
      </c>
      <c r="B401" s="149" t="s">
        <v>7787</v>
      </c>
      <c r="C401" s="149" t="n">
        <v>2016</v>
      </c>
      <c r="D401" s="150" t="n">
        <v>42688</v>
      </c>
      <c r="E401" s="68" t="s">
        <v>7788</v>
      </c>
      <c r="F401" s="151" t="s">
        <v>7789</v>
      </c>
      <c r="G401" s="68" t="s">
        <v>441</v>
      </c>
      <c r="H401" s="151" t="s">
        <v>394</v>
      </c>
      <c r="I401" s="150" t="n">
        <v>45162</v>
      </c>
      <c r="J401" s="68" t="n">
        <v>8</v>
      </c>
      <c r="K401" s="143" t="s">
        <v>48</v>
      </c>
      <c r="L401" s="151" t="s">
        <v>60</v>
      </c>
      <c r="M401" s="68" t="n">
        <f aca="false">I401-D401</f>
        <v>2474</v>
      </c>
    </row>
    <row r="402" customFormat="false" ht="12.75" hidden="false" customHeight="true" outlineLevel="0" collapsed="false">
      <c r="A402" s="139" t="n">
        <v>21123</v>
      </c>
      <c r="B402" s="140" t="s">
        <v>7790</v>
      </c>
      <c r="C402" s="140" t="n">
        <v>2015</v>
      </c>
      <c r="D402" s="141" t="n">
        <v>43096</v>
      </c>
      <c r="E402" s="66" t="s">
        <v>7791</v>
      </c>
      <c r="F402" s="142" t="s">
        <v>168</v>
      </c>
      <c r="G402" s="66" t="s">
        <v>441</v>
      </c>
      <c r="H402" s="142" t="s">
        <v>223</v>
      </c>
      <c r="I402" s="141" t="n">
        <v>45162</v>
      </c>
      <c r="J402" s="66" t="n">
        <v>8</v>
      </c>
      <c r="K402" s="178" t="s">
        <v>46</v>
      </c>
      <c r="L402" s="142" t="s">
        <v>60</v>
      </c>
      <c r="M402" s="66" t="n">
        <f aca="false">I402-D402</f>
        <v>2066</v>
      </c>
    </row>
    <row r="403" customFormat="false" ht="12.75" hidden="false" customHeight="true" outlineLevel="0" collapsed="false">
      <c r="A403" s="148" t="n">
        <v>21223</v>
      </c>
      <c r="B403" s="149" t="s">
        <v>7792</v>
      </c>
      <c r="C403" s="149" t="n">
        <v>2018</v>
      </c>
      <c r="D403" s="150" t="n">
        <v>43168</v>
      </c>
      <c r="E403" s="68" t="s">
        <v>7793</v>
      </c>
      <c r="F403" s="151" t="s">
        <v>7794</v>
      </c>
      <c r="G403" s="68" t="s">
        <v>441</v>
      </c>
      <c r="H403" s="151" t="s">
        <v>223</v>
      </c>
      <c r="I403" s="150" t="n">
        <v>45162</v>
      </c>
      <c r="J403" s="68" t="n">
        <v>8</v>
      </c>
      <c r="K403" s="143" t="s">
        <v>48</v>
      </c>
      <c r="L403" s="151" t="s">
        <v>60</v>
      </c>
      <c r="M403" s="68" t="n">
        <f aca="false">I403-D403</f>
        <v>1994</v>
      </c>
    </row>
    <row r="404" customFormat="false" ht="12.75" hidden="false" customHeight="true" outlineLevel="0" collapsed="false">
      <c r="A404" s="139" t="n">
        <v>21323</v>
      </c>
      <c r="B404" s="140" t="s">
        <v>7795</v>
      </c>
      <c r="C404" s="140" t="n">
        <v>2022</v>
      </c>
      <c r="D404" s="141" t="n">
        <v>44861</v>
      </c>
      <c r="E404" s="66" t="s">
        <v>7796</v>
      </c>
      <c r="F404" s="142" t="s">
        <v>7797</v>
      </c>
      <c r="G404" s="66" t="s">
        <v>125</v>
      </c>
      <c r="H404" s="142" t="s">
        <v>662</v>
      </c>
      <c r="I404" s="141" t="n">
        <v>45162</v>
      </c>
      <c r="J404" s="66" t="n">
        <v>8</v>
      </c>
      <c r="K404" s="143" t="s">
        <v>49</v>
      </c>
      <c r="L404" s="142" t="s">
        <v>61</v>
      </c>
      <c r="M404" s="66" t="n">
        <f aca="false">I404-D404</f>
        <v>301</v>
      </c>
    </row>
    <row r="405" customFormat="false" ht="12.75" hidden="false" customHeight="true" outlineLevel="0" collapsed="false">
      <c r="A405" s="148" t="n">
        <v>21423</v>
      </c>
      <c r="B405" s="149" t="s">
        <v>7798</v>
      </c>
      <c r="C405" s="149" t="n">
        <v>2016</v>
      </c>
      <c r="D405" s="150" t="n">
        <v>42551</v>
      </c>
      <c r="E405" s="68" t="s">
        <v>7799</v>
      </c>
      <c r="F405" s="151" t="s">
        <v>1987</v>
      </c>
      <c r="G405" s="68" t="s">
        <v>441</v>
      </c>
      <c r="H405" s="151" t="s">
        <v>250</v>
      </c>
      <c r="I405" s="150" t="n">
        <v>45162</v>
      </c>
      <c r="J405" s="68" t="n">
        <v>8</v>
      </c>
      <c r="K405" s="143" t="s">
        <v>48</v>
      </c>
      <c r="L405" s="151" t="s">
        <v>58</v>
      </c>
      <c r="M405" s="68" t="n">
        <f aca="false">I405-D405</f>
        <v>2611</v>
      </c>
    </row>
    <row r="406" customFormat="false" ht="12.75" hidden="false" customHeight="true" outlineLevel="0" collapsed="false">
      <c r="A406" s="139" t="n">
        <v>21523</v>
      </c>
      <c r="B406" s="193" t="s">
        <v>7800</v>
      </c>
      <c r="C406" s="140" t="n">
        <v>2017</v>
      </c>
      <c r="D406" s="141" t="n">
        <v>42964</v>
      </c>
      <c r="E406" s="66" t="s">
        <v>7801</v>
      </c>
      <c r="F406" s="142" t="s">
        <v>446</v>
      </c>
      <c r="G406" s="66" t="s">
        <v>441</v>
      </c>
      <c r="H406" s="142" t="s">
        <v>639</v>
      </c>
      <c r="I406" s="141" t="n">
        <v>45181</v>
      </c>
      <c r="J406" s="66" t="n">
        <v>9</v>
      </c>
      <c r="K406" s="143" t="s">
        <v>49</v>
      </c>
      <c r="L406" s="142" t="s">
        <v>60</v>
      </c>
      <c r="M406" s="66" t="n">
        <f aca="false">I406-D406</f>
        <v>2217</v>
      </c>
    </row>
    <row r="407" customFormat="false" ht="15" hidden="false" customHeight="true" outlineLevel="0" collapsed="false">
      <c r="A407" s="148" t="n">
        <v>21623</v>
      </c>
      <c r="B407" s="149" t="s">
        <v>7802</v>
      </c>
      <c r="C407" s="149" t="n">
        <v>2017</v>
      </c>
      <c r="D407" s="150" t="n">
        <v>42964</v>
      </c>
      <c r="E407" s="68" t="s">
        <v>7803</v>
      </c>
      <c r="F407" s="151" t="s">
        <v>446</v>
      </c>
      <c r="G407" s="68" t="s">
        <v>441</v>
      </c>
      <c r="H407" s="151" t="s">
        <v>223</v>
      </c>
      <c r="I407" s="150" t="n">
        <v>45181</v>
      </c>
      <c r="J407" s="68" t="n">
        <v>9</v>
      </c>
      <c r="K407" s="143" t="s">
        <v>49</v>
      </c>
      <c r="L407" s="151" t="s">
        <v>60</v>
      </c>
      <c r="M407" s="68" t="n">
        <f aca="false">I407-D407</f>
        <v>2217</v>
      </c>
    </row>
    <row r="408" customFormat="false" ht="15" hidden="false" customHeight="true" outlineLevel="0" collapsed="false">
      <c r="A408" s="139" t="n">
        <v>21723</v>
      </c>
      <c r="B408" s="140" t="s">
        <v>7804</v>
      </c>
      <c r="C408" s="140" t="n">
        <v>2016</v>
      </c>
      <c r="D408" s="141" t="n">
        <v>42501</v>
      </c>
      <c r="E408" s="66" t="s">
        <v>7805</v>
      </c>
      <c r="F408" s="142" t="s">
        <v>5968</v>
      </c>
      <c r="G408" s="66" t="s">
        <v>441</v>
      </c>
      <c r="H408" s="142" t="s">
        <v>223</v>
      </c>
      <c r="I408" s="141" t="n">
        <v>45181</v>
      </c>
      <c r="J408" s="66" t="n">
        <v>9</v>
      </c>
      <c r="K408" s="143" t="s">
        <v>49</v>
      </c>
      <c r="L408" s="142" t="s">
        <v>60</v>
      </c>
      <c r="M408" s="66" t="n">
        <f aca="false">I408-D408</f>
        <v>2680</v>
      </c>
    </row>
    <row r="409" customFormat="false" ht="15" hidden="false" customHeight="true" outlineLevel="0" collapsed="false">
      <c r="A409" s="148" t="n">
        <v>21823</v>
      </c>
      <c r="B409" s="149" t="s">
        <v>7806</v>
      </c>
      <c r="C409" s="149" t="n">
        <v>2018</v>
      </c>
      <c r="D409" s="150" t="n">
        <v>43452</v>
      </c>
      <c r="E409" s="68" t="s">
        <v>7807</v>
      </c>
      <c r="F409" s="151" t="s">
        <v>7808</v>
      </c>
      <c r="G409" s="68" t="s">
        <v>115</v>
      </c>
      <c r="H409" s="151" t="s">
        <v>373</v>
      </c>
      <c r="I409" s="150" t="n">
        <v>45181</v>
      </c>
      <c r="J409" s="68" t="n">
        <v>9</v>
      </c>
      <c r="K409" s="143" t="s">
        <v>48</v>
      </c>
      <c r="L409" s="151" t="s">
        <v>58</v>
      </c>
      <c r="M409" s="68" t="n">
        <f aca="false">I409-D409</f>
        <v>1729</v>
      </c>
    </row>
    <row r="410" customFormat="false" ht="15" hidden="false" customHeight="true" outlineLevel="0" collapsed="false">
      <c r="A410" s="139" t="n">
        <v>21923</v>
      </c>
      <c r="B410" s="140" t="s">
        <v>7809</v>
      </c>
      <c r="C410" s="140" t="n">
        <v>2020</v>
      </c>
      <c r="D410" s="141" t="n">
        <v>44022</v>
      </c>
      <c r="E410" s="66" t="s">
        <v>7810</v>
      </c>
      <c r="F410" s="142" t="s">
        <v>7811</v>
      </c>
      <c r="G410" s="66" t="s">
        <v>115</v>
      </c>
      <c r="H410" s="142" t="s">
        <v>373</v>
      </c>
      <c r="I410" s="141" t="n">
        <v>45182</v>
      </c>
      <c r="J410" s="66" t="n">
        <v>9</v>
      </c>
      <c r="K410" s="197" t="s">
        <v>44</v>
      </c>
      <c r="L410" s="142" t="s">
        <v>58</v>
      </c>
      <c r="M410" s="66" t="n">
        <f aca="false">I410-D410</f>
        <v>1160</v>
      </c>
    </row>
    <row r="411" customFormat="false" ht="12.75" hidden="false" customHeight="true" outlineLevel="0" collapsed="false">
      <c r="A411" s="148" t="n">
        <v>22023</v>
      </c>
      <c r="B411" s="149" t="s">
        <v>7812</v>
      </c>
      <c r="C411" s="149" t="n">
        <v>2017</v>
      </c>
      <c r="D411" s="150" t="n">
        <v>42783</v>
      </c>
      <c r="E411" s="68" t="s">
        <v>7813</v>
      </c>
      <c r="F411" s="151" t="s">
        <v>1080</v>
      </c>
      <c r="G411" s="68" t="s">
        <v>441</v>
      </c>
      <c r="H411" s="151" t="s">
        <v>263</v>
      </c>
      <c r="I411" s="150" t="n">
        <v>45182</v>
      </c>
      <c r="J411" s="68" t="n">
        <v>9</v>
      </c>
      <c r="K411" s="143" t="s">
        <v>49</v>
      </c>
      <c r="L411" s="151" t="s">
        <v>60</v>
      </c>
      <c r="M411" s="68" t="n">
        <f aca="false">I411-D411</f>
        <v>2399</v>
      </c>
    </row>
    <row r="412" customFormat="false" ht="12.75" hidden="false" customHeight="true" outlineLevel="0" collapsed="false">
      <c r="A412" s="139" t="n">
        <v>22123</v>
      </c>
      <c r="B412" s="140" t="s">
        <v>7814</v>
      </c>
      <c r="C412" s="140" t="n">
        <v>2022</v>
      </c>
      <c r="D412" s="141" t="n">
        <v>44701</v>
      </c>
      <c r="E412" s="66" t="s">
        <v>7815</v>
      </c>
      <c r="F412" s="142" t="s">
        <v>7816</v>
      </c>
      <c r="G412" s="66" t="s">
        <v>125</v>
      </c>
      <c r="H412" s="142" t="s">
        <v>1042</v>
      </c>
      <c r="I412" s="141" t="n">
        <v>45182</v>
      </c>
      <c r="J412" s="66" t="n">
        <v>9</v>
      </c>
      <c r="K412" s="143" t="s">
        <v>49</v>
      </c>
      <c r="L412" s="142" t="s">
        <v>61</v>
      </c>
      <c r="M412" s="66" t="n">
        <f aca="false">I412-D412</f>
        <v>481</v>
      </c>
    </row>
    <row r="413" customFormat="false" ht="12.75" hidden="false" customHeight="true" outlineLevel="0" collapsed="false">
      <c r="A413" s="148" t="n">
        <v>22223</v>
      </c>
      <c r="B413" s="149" t="s">
        <v>7817</v>
      </c>
      <c r="C413" s="149" t="n">
        <v>2022</v>
      </c>
      <c r="D413" s="150" t="n">
        <v>44771</v>
      </c>
      <c r="E413" s="68" t="s">
        <v>7818</v>
      </c>
      <c r="F413" s="151" t="s">
        <v>7819</v>
      </c>
      <c r="G413" s="68" t="s">
        <v>125</v>
      </c>
      <c r="H413" s="151" t="s">
        <v>6426</v>
      </c>
      <c r="I413" s="150" t="n">
        <v>45182</v>
      </c>
      <c r="J413" s="68" t="n">
        <v>9</v>
      </c>
      <c r="K413" s="143" t="s">
        <v>49</v>
      </c>
      <c r="L413" s="151" t="s">
        <v>61</v>
      </c>
      <c r="M413" s="68" t="n">
        <f aca="false">I413-D413</f>
        <v>411</v>
      </c>
    </row>
    <row r="414" customFormat="false" ht="12.75" hidden="false" customHeight="true" outlineLevel="0" collapsed="false">
      <c r="A414" s="139" t="n">
        <v>22323</v>
      </c>
      <c r="B414" s="140" t="s">
        <v>7820</v>
      </c>
      <c r="C414" s="140" t="n">
        <v>2022</v>
      </c>
      <c r="D414" s="141" t="n">
        <v>44755</v>
      </c>
      <c r="E414" s="66" t="s">
        <v>7821</v>
      </c>
      <c r="F414" s="142" t="s">
        <v>7822</v>
      </c>
      <c r="G414" s="66" t="s">
        <v>125</v>
      </c>
      <c r="H414" s="142" t="s">
        <v>1567</v>
      </c>
      <c r="I414" s="141" t="n">
        <v>45182</v>
      </c>
      <c r="J414" s="66" t="n">
        <v>9</v>
      </c>
      <c r="K414" s="169" t="s">
        <v>290</v>
      </c>
      <c r="L414" s="142" t="s">
        <v>61</v>
      </c>
      <c r="M414" s="66" t="n">
        <f aca="false">I414-D414</f>
        <v>427</v>
      </c>
    </row>
    <row r="415" customFormat="false" ht="12.75" hidden="false" customHeight="true" outlineLevel="0" collapsed="false">
      <c r="A415" s="148" t="n">
        <v>22423</v>
      </c>
      <c r="B415" s="149" t="s">
        <v>7823</v>
      </c>
      <c r="C415" s="149" t="n">
        <v>2022</v>
      </c>
      <c r="D415" s="150" t="n">
        <v>44895</v>
      </c>
      <c r="E415" s="68" t="s">
        <v>7824</v>
      </c>
      <c r="F415" s="151" t="s">
        <v>7825</v>
      </c>
      <c r="G415" s="68" t="s">
        <v>125</v>
      </c>
      <c r="H415" s="151" t="s">
        <v>3553</v>
      </c>
      <c r="I415" s="150" t="n">
        <v>45183</v>
      </c>
      <c r="J415" s="68" t="n">
        <v>9</v>
      </c>
      <c r="K415" s="169" t="s">
        <v>290</v>
      </c>
      <c r="L415" s="151" t="s">
        <v>61</v>
      </c>
      <c r="M415" s="68" t="n">
        <f aca="false">I415-D415</f>
        <v>288</v>
      </c>
    </row>
    <row r="416" customFormat="false" ht="12.75" hidden="false" customHeight="true" outlineLevel="0" collapsed="false">
      <c r="A416" s="139" t="n">
        <v>22523</v>
      </c>
      <c r="B416" s="140" t="s">
        <v>7826</v>
      </c>
      <c r="C416" s="140" t="n">
        <v>2022</v>
      </c>
      <c r="D416" s="141" t="n">
        <v>44894</v>
      </c>
      <c r="E416" s="66" t="s">
        <v>7827</v>
      </c>
      <c r="F416" s="142" t="s">
        <v>7828</v>
      </c>
      <c r="G416" s="66" t="s">
        <v>125</v>
      </c>
      <c r="H416" s="142" t="s">
        <v>3553</v>
      </c>
      <c r="I416" s="141" t="n">
        <v>45183</v>
      </c>
      <c r="J416" s="66" t="n">
        <v>9</v>
      </c>
      <c r="K416" s="143" t="s">
        <v>49</v>
      </c>
      <c r="L416" s="142" t="s">
        <v>61</v>
      </c>
      <c r="M416" s="66" t="n">
        <f aca="false">I416-D416</f>
        <v>289</v>
      </c>
    </row>
    <row r="417" customFormat="false" ht="12.75" hidden="false" customHeight="true" outlineLevel="0" collapsed="false">
      <c r="A417" s="148" t="n">
        <v>22623</v>
      </c>
      <c r="B417" s="149" t="s">
        <v>7829</v>
      </c>
      <c r="C417" s="149" t="n">
        <v>2022</v>
      </c>
      <c r="D417" s="150" t="n">
        <v>44868</v>
      </c>
      <c r="E417" s="68" t="s">
        <v>7830</v>
      </c>
      <c r="F417" s="151" t="s">
        <v>7831</v>
      </c>
      <c r="G417" s="68" t="s">
        <v>125</v>
      </c>
      <c r="H417" s="151" t="s">
        <v>3553</v>
      </c>
      <c r="I417" s="150" t="n">
        <v>45183</v>
      </c>
      <c r="J417" s="68" t="n">
        <v>9</v>
      </c>
      <c r="K417" s="143" t="s">
        <v>49</v>
      </c>
      <c r="L417" s="151" t="s">
        <v>61</v>
      </c>
      <c r="M417" s="68" t="n">
        <f aca="false">I417-D417</f>
        <v>315</v>
      </c>
    </row>
    <row r="418" customFormat="false" ht="12.75" hidden="false" customHeight="true" outlineLevel="0" collapsed="false">
      <c r="A418" s="139" t="n">
        <v>22723</v>
      </c>
      <c r="B418" s="140" t="s">
        <v>7832</v>
      </c>
      <c r="C418" s="140" t="n">
        <v>2016</v>
      </c>
      <c r="D418" s="141" t="n">
        <v>42600</v>
      </c>
      <c r="E418" s="66" t="s">
        <v>7833</v>
      </c>
      <c r="F418" s="142" t="s">
        <v>692</v>
      </c>
      <c r="G418" s="66" t="s">
        <v>441</v>
      </c>
      <c r="H418" s="142" t="s">
        <v>267</v>
      </c>
      <c r="I418" s="141" t="n">
        <v>45183</v>
      </c>
      <c r="J418" s="66" t="n">
        <v>9</v>
      </c>
      <c r="K418" s="143" t="s">
        <v>49</v>
      </c>
      <c r="L418" s="142" t="s">
        <v>60</v>
      </c>
      <c r="M418" s="66" t="n">
        <f aca="false">I418-D418</f>
        <v>2583</v>
      </c>
    </row>
    <row r="419" customFormat="false" ht="12.75" hidden="false" customHeight="true" outlineLevel="0" collapsed="false">
      <c r="A419" s="148" t="n">
        <v>22823</v>
      </c>
      <c r="B419" s="149" t="s">
        <v>7834</v>
      </c>
      <c r="C419" s="149" t="n">
        <v>2016</v>
      </c>
      <c r="D419" s="150" t="n">
        <v>42577</v>
      </c>
      <c r="E419" s="68" t="s">
        <v>7835</v>
      </c>
      <c r="F419" s="151" t="s">
        <v>668</v>
      </c>
      <c r="G419" s="68" t="s">
        <v>441</v>
      </c>
      <c r="H419" s="151" t="s">
        <v>1567</v>
      </c>
      <c r="I419" s="150" t="n">
        <v>45183</v>
      </c>
      <c r="J419" s="68" t="n">
        <v>9</v>
      </c>
      <c r="K419" s="197" t="s">
        <v>44</v>
      </c>
      <c r="L419" s="151" t="s">
        <v>58</v>
      </c>
      <c r="M419" s="68" t="n">
        <f aca="false">I419-D419</f>
        <v>2606</v>
      </c>
    </row>
    <row r="420" customFormat="false" ht="12.75" hidden="false" customHeight="true" outlineLevel="0" collapsed="false">
      <c r="A420" s="139" t="n">
        <v>22923</v>
      </c>
      <c r="B420" s="140" t="s">
        <v>7836</v>
      </c>
      <c r="C420" s="140" t="n">
        <v>2018</v>
      </c>
      <c r="D420" s="141" t="n">
        <v>43325</v>
      </c>
      <c r="E420" s="66" t="s">
        <v>7837</v>
      </c>
      <c r="F420" s="142" t="s">
        <v>7838</v>
      </c>
      <c r="G420" s="66" t="s">
        <v>115</v>
      </c>
      <c r="H420" s="142" t="s">
        <v>373</v>
      </c>
      <c r="I420" s="141" t="n">
        <v>45183</v>
      </c>
      <c r="J420" s="66" t="n">
        <v>9</v>
      </c>
      <c r="K420" s="143" t="s">
        <v>48</v>
      </c>
      <c r="L420" s="142" t="s">
        <v>58</v>
      </c>
      <c r="M420" s="66" t="n">
        <f aca="false">I420-D420</f>
        <v>1858</v>
      </c>
    </row>
    <row r="421" customFormat="false" ht="12.75" hidden="false" customHeight="true" outlineLevel="0" collapsed="false">
      <c r="A421" s="148" t="n">
        <v>23023</v>
      </c>
      <c r="B421" s="149" t="s">
        <v>7839</v>
      </c>
      <c r="C421" s="149" t="n">
        <v>2019</v>
      </c>
      <c r="D421" s="150" t="n">
        <v>43700</v>
      </c>
      <c r="E421" s="68" t="s">
        <v>7840</v>
      </c>
      <c r="F421" s="151" t="s">
        <v>3190</v>
      </c>
      <c r="G421" s="68" t="s">
        <v>441</v>
      </c>
      <c r="H421" s="151" t="s">
        <v>471</v>
      </c>
      <c r="I421" s="150" t="n">
        <v>45183</v>
      </c>
      <c r="J421" s="68" t="n">
        <v>9</v>
      </c>
      <c r="K421" s="143" t="s">
        <v>49</v>
      </c>
      <c r="L421" s="151" t="s">
        <v>60</v>
      </c>
      <c r="M421" s="68" t="n">
        <f aca="false">I421-D421</f>
        <v>1483</v>
      </c>
    </row>
    <row r="422" customFormat="false" ht="12.75" hidden="false" customHeight="true" outlineLevel="0" collapsed="false">
      <c r="A422" s="139" t="n">
        <v>23123</v>
      </c>
      <c r="B422" s="140" t="s">
        <v>7841</v>
      </c>
      <c r="C422" s="140" t="n">
        <v>2022</v>
      </c>
      <c r="D422" s="141" t="n">
        <v>44911</v>
      </c>
      <c r="E422" s="66" t="s">
        <v>7842</v>
      </c>
      <c r="F422" s="142" t="s">
        <v>5763</v>
      </c>
      <c r="G422" s="66" t="s">
        <v>125</v>
      </c>
      <c r="H422" s="142" t="s">
        <v>54</v>
      </c>
      <c r="I422" s="141" t="n">
        <v>45183</v>
      </c>
      <c r="J422" s="66" t="n">
        <v>9</v>
      </c>
      <c r="K422" s="143" t="s">
        <v>49</v>
      </c>
      <c r="L422" s="142" t="s">
        <v>61</v>
      </c>
      <c r="M422" s="66" t="n">
        <f aca="false">I422-D422</f>
        <v>272</v>
      </c>
    </row>
    <row r="423" customFormat="false" ht="12.75" hidden="false" customHeight="true" outlineLevel="0" collapsed="false">
      <c r="A423" s="148" t="n">
        <v>23223</v>
      </c>
      <c r="B423" s="149" t="s">
        <v>7843</v>
      </c>
      <c r="C423" s="149" t="n">
        <v>2021</v>
      </c>
      <c r="D423" s="150" t="n">
        <v>44474</v>
      </c>
      <c r="E423" s="68" t="s">
        <v>7844</v>
      </c>
      <c r="F423" s="151" t="s">
        <v>446</v>
      </c>
      <c r="G423" s="68" t="s">
        <v>441</v>
      </c>
      <c r="H423" s="151" t="s">
        <v>208</v>
      </c>
      <c r="I423" s="150" t="n">
        <v>45187</v>
      </c>
      <c r="J423" s="68" t="n">
        <v>9</v>
      </c>
      <c r="K423" s="143" t="s">
        <v>49</v>
      </c>
      <c r="L423" s="151" t="s">
        <v>60</v>
      </c>
      <c r="M423" s="68" t="n">
        <f aca="false">I423-D423</f>
        <v>713</v>
      </c>
    </row>
    <row r="424" customFormat="false" ht="12.75" hidden="false" customHeight="true" outlineLevel="0" collapsed="false">
      <c r="A424" s="139" t="n">
        <v>23323</v>
      </c>
      <c r="B424" s="140" t="s">
        <v>7845</v>
      </c>
      <c r="C424" s="140" t="n">
        <v>2016</v>
      </c>
      <c r="D424" s="141" t="n">
        <v>42474</v>
      </c>
      <c r="E424" s="66" t="s">
        <v>7846</v>
      </c>
      <c r="F424" s="142" t="s">
        <v>793</v>
      </c>
      <c r="G424" s="66" t="s">
        <v>441</v>
      </c>
      <c r="H424" s="142" t="s">
        <v>1231</v>
      </c>
      <c r="I424" s="141" t="n">
        <v>45187</v>
      </c>
      <c r="J424" s="66" t="n">
        <v>9</v>
      </c>
      <c r="K424" s="143" t="s">
        <v>49</v>
      </c>
      <c r="L424" s="142" t="s">
        <v>60</v>
      </c>
      <c r="M424" s="66" t="n">
        <f aca="false">I424-D424</f>
        <v>2713</v>
      </c>
    </row>
    <row r="425" customFormat="false" ht="12.75" hidden="false" customHeight="true" outlineLevel="0" collapsed="false">
      <c r="A425" s="148" t="n">
        <v>23423</v>
      </c>
      <c r="B425" s="149" t="s">
        <v>7847</v>
      </c>
      <c r="C425" s="149" t="n">
        <v>2012</v>
      </c>
      <c r="D425" s="150" t="n">
        <v>41058</v>
      </c>
      <c r="E425" s="68" t="s">
        <v>7848</v>
      </c>
      <c r="F425" s="151" t="s">
        <v>4384</v>
      </c>
      <c r="G425" s="68" t="s">
        <v>441</v>
      </c>
      <c r="H425" s="151" t="s">
        <v>134</v>
      </c>
      <c r="I425" s="150" t="n">
        <v>45188</v>
      </c>
      <c r="J425" s="68" t="n">
        <v>9</v>
      </c>
      <c r="K425" s="445" t="s">
        <v>43</v>
      </c>
      <c r="L425" s="151" t="s">
        <v>58</v>
      </c>
      <c r="M425" s="68" t="n">
        <f aca="false">I425-D425</f>
        <v>4130</v>
      </c>
    </row>
    <row r="426" customFormat="false" ht="12.75" hidden="false" customHeight="true" outlineLevel="0" collapsed="false">
      <c r="A426" s="139" t="n">
        <v>23523</v>
      </c>
      <c r="B426" s="140" t="s">
        <v>7849</v>
      </c>
      <c r="C426" s="140" t="n">
        <v>2022</v>
      </c>
      <c r="D426" s="141" t="n">
        <v>44867</v>
      </c>
      <c r="E426" s="66" t="s">
        <v>7850</v>
      </c>
      <c r="F426" s="142" t="s">
        <v>7851</v>
      </c>
      <c r="G426" s="66" t="s">
        <v>125</v>
      </c>
      <c r="H426" s="142" t="s">
        <v>3234</v>
      </c>
      <c r="I426" s="141" t="n">
        <v>45188</v>
      </c>
      <c r="J426" s="66" t="n">
        <v>9</v>
      </c>
      <c r="K426" s="143" t="s">
        <v>49</v>
      </c>
      <c r="L426" s="142" t="s">
        <v>61</v>
      </c>
      <c r="M426" s="66" t="n">
        <f aca="false">I426-D426</f>
        <v>321</v>
      </c>
    </row>
    <row r="427" customFormat="false" ht="12.75" hidden="false" customHeight="true" outlineLevel="0" collapsed="false">
      <c r="A427" s="148" t="n">
        <v>23623</v>
      </c>
      <c r="B427" s="149" t="s">
        <v>7852</v>
      </c>
      <c r="C427" s="149" t="n">
        <v>2018</v>
      </c>
      <c r="D427" s="150" t="n">
        <v>43180</v>
      </c>
      <c r="E427" s="68" t="s">
        <v>7853</v>
      </c>
      <c r="F427" s="151" t="s">
        <v>3475</v>
      </c>
      <c r="G427" s="68" t="s">
        <v>441</v>
      </c>
      <c r="H427" s="151" t="s">
        <v>995</v>
      </c>
      <c r="I427" s="150" t="n">
        <v>45188</v>
      </c>
      <c r="J427" s="68" t="n">
        <v>9</v>
      </c>
      <c r="K427" s="143" t="s">
        <v>49</v>
      </c>
      <c r="L427" s="151" t="s">
        <v>60</v>
      </c>
      <c r="M427" s="68" t="n">
        <f aca="false">I427-D427</f>
        <v>2008</v>
      </c>
    </row>
    <row r="428" customFormat="false" ht="12.75" hidden="false" customHeight="true" outlineLevel="0" collapsed="false">
      <c r="A428" s="139" t="n">
        <v>23723</v>
      </c>
      <c r="B428" s="140" t="s">
        <v>7854</v>
      </c>
      <c r="C428" s="140" t="n">
        <v>2018</v>
      </c>
      <c r="D428" s="141" t="n">
        <v>43150</v>
      </c>
      <c r="E428" s="66" t="s">
        <v>7855</v>
      </c>
      <c r="F428" s="142" t="s">
        <v>1200</v>
      </c>
      <c r="G428" s="66" t="s">
        <v>441</v>
      </c>
      <c r="H428" s="142" t="s">
        <v>1571</v>
      </c>
      <c r="I428" s="141" t="n">
        <v>45188</v>
      </c>
      <c r="J428" s="66" t="n">
        <v>9</v>
      </c>
      <c r="K428" s="143" t="s">
        <v>48</v>
      </c>
      <c r="L428" s="142" t="s">
        <v>58</v>
      </c>
      <c r="M428" s="66" t="n">
        <f aca="false">I428-D428</f>
        <v>2038</v>
      </c>
    </row>
    <row r="429" customFormat="false" ht="12.75" hidden="false" customHeight="true" outlineLevel="0" collapsed="false">
      <c r="A429" s="148" t="n">
        <v>23823</v>
      </c>
      <c r="B429" s="149" t="s">
        <v>7856</v>
      </c>
      <c r="C429" s="149" t="n">
        <v>2023</v>
      </c>
      <c r="D429" s="150" t="n">
        <v>44985</v>
      </c>
      <c r="E429" s="68" t="s">
        <v>7857</v>
      </c>
      <c r="F429" s="440" t="s">
        <v>7858</v>
      </c>
      <c r="G429" s="68" t="s">
        <v>130</v>
      </c>
      <c r="H429" s="151" t="s">
        <v>7859</v>
      </c>
      <c r="I429" s="150" t="n">
        <v>45189</v>
      </c>
      <c r="J429" s="68" t="n">
        <v>9</v>
      </c>
      <c r="K429" s="143" t="s">
        <v>49</v>
      </c>
      <c r="L429" s="151" t="s">
        <v>61</v>
      </c>
      <c r="M429" s="68" t="n">
        <f aca="false">I429-D429</f>
        <v>204</v>
      </c>
    </row>
    <row r="430" customFormat="false" ht="12.75" hidden="false" customHeight="true" outlineLevel="0" collapsed="false">
      <c r="A430" s="139" t="n">
        <v>23923</v>
      </c>
      <c r="B430" s="140" t="s">
        <v>7860</v>
      </c>
      <c r="C430" s="140" t="n">
        <v>2020</v>
      </c>
      <c r="D430" s="141" t="n">
        <v>44138</v>
      </c>
      <c r="E430" s="66" t="s">
        <v>7861</v>
      </c>
      <c r="F430" s="142" t="s">
        <v>7862</v>
      </c>
      <c r="G430" s="66" t="s">
        <v>441</v>
      </c>
      <c r="H430" s="142" t="s">
        <v>544</v>
      </c>
      <c r="I430" s="141" t="n">
        <v>45189</v>
      </c>
      <c r="J430" s="66" t="n">
        <v>9</v>
      </c>
      <c r="K430" s="143" t="s">
        <v>48</v>
      </c>
      <c r="L430" s="142" t="s">
        <v>60</v>
      </c>
      <c r="M430" s="66" t="n">
        <f aca="false">I430-D430</f>
        <v>1051</v>
      </c>
    </row>
    <row r="431" customFormat="false" ht="12.75" hidden="false" customHeight="true" outlineLevel="0" collapsed="false">
      <c r="A431" s="148" t="n">
        <v>24023</v>
      </c>
      <c r="B431" s="149" t="s">
        <v>7863</v>
      </c>
      <c r="C431" s="149" t="n">
        <v>2019</v>
      </c>
      <c r="D431" s="150" t="n">
        <v>43495</v>
      </c>
      <c r="E431" s="68" t="s">
        <v>7864</v>
      </c>
      <c r="F431" s="151" t="s">
        <v>401</v>
      </c>
      <c r="G431" s="68" t="s">
        <v>441</v>
      </c>
      <c r="H431" s="151" t="s">
        <v>1567</v>
      </c>
      <c r="I431" s="150" t="n">
        <v>45189</v>
      </c>
      <c r="J431" s="68" t="n">
        <v>9</v>
      </c>
      <c r="K431" s="143" t="s">
        <v>49</v>
      </c>
      <c r="L431" s="151" t="s">
        <v>58</v>
      </c>
      <c r="M431" s="68" t="n">
        <f aca="false">I431-D431</f>
        <v>1694</v>
      </c>
    </row>
    <row r="432" customFormat="false" ht="12.75" hidden="false" customHeight="true" outlineLevel="0" collapsed="false">
      <c r="A432" s="139" t="n">
        <v>24123</v>
      </c>
      <c r="B432" s="140" t="s">
        <v>7865</v>
      </c>
      <c r="C432" s="140" t="n">
        <v>2023</v>
      </c>
      <c r="D432" s="141" t="n">
        <v>45015</v>
      </c>
      <c r="E432" s="66" t="s">
        <v>7866</v>
      </c>
      <c r="F432" s="142" t="s">
        <v>7867</v>
      </c>
      <c r="G432" s="66" t="s">
        <v>130</v>
      </c>
      <c r="H432" s="142" t="s">
        <v>3686</v>
      </c>
      <c r="I432" s="141" t="n">
        <v>45189</v>
      </c>
      <c r="J432" s="66" t="n">
        <v>9</v>
      </c>
      <c r="K432" s="169" t="s">
        <v>290</v>
      </c>
      <c r="L432" s="142" t="s">
        <v>61</v>
      </c>
      <c r="M432" s="66" t="n">
        <f aca="false">I432-D432</f>
        <v>174</v>
      </c>
    </row>
    <row r="433" customFormat="false" ht="12.75" hidden="false" customHeight="true" outlineLevel="0" collapsed="false">
      <c r="A433" s="148" t="n">
        <v>24223</v>
      </c>
      <c r="B433" s="149" t="s">
        <v>7868</v>
      </c>
      <c r="C433" s="149" t="n">
        <v>2020</v>
      </c>
      <c r="D433" s="150" t="n">
        <v>43923</v>
      </c>
      <c r="E433" s="68" t="s">
        <v>7869</v>
      </c>
      <c r="F433" s="151" t="s">
        <v>7870</v>
      </c>
      <c r="G433" s="68" t="s">
        <v>441</v>
      </c>
      <c r="H433" s="151" t="s">
        <v>471</v>
      </c>
      <c r="I433" s="150" t="n">
        <v>45189</v>
      </c>
      <c r="J433" s="68" t="n">
        <v>9</v>
      </c>
      <c r="K433" s="197" t="s">
        <v>44</v>
      </c>
      <c r="L433" s="151" t="s">
        <v>58</v>
      </c>
      <c r="M433" s="68" t="n">
        <f aca="false">I433-D433</f>
        <v>1266</v>
      </c>
    </row>
    <row r="434" customFormat="false" ht="12.75" hidden="false" customHeight="true" outlineLevel="0" collapsed="false">
      <c r="A434" s="139" t="n">
        <v>24323</v>
      </c>
      <c r="B434" s="140" t="s">
        <v>7871</v>
      </c>
      <c r="C434" s="140" t="n">
        <v>2023</v>
      </c>
      <c r="D434" s="141" t="n">
        <v>45009</v>
      </c>
      <c r="E434" s="66" t="s">
        <v>7872</v>
      </c>
      <c r="F434" s="142" t="s">
        <v>636</v>
      </c>
      <c r="G434" s="66" t="s">
        <v>130</v>
      </c>
      <c r="H434" s="142" t="s">
        <v>3234</v>
      </c>
      <c r="I434" s="141" t="n">
        <v>45189</v>
      </c>
      <c r="J434" s="66" t="n">
        <v>9</v>
      </c>
      <c r="K434" s="143" t="s">
        <v>49</v>
      </c>
      <c r="L434" s="142" t="s">
        <v>61</v>
      </c>
      <c r="M434" s="66" t="n">
        <f aca="false">I434-D434</f>
        <v>180</v>
      </c>
    </row>
    <row r="435" customFormat="false" ht="12.75" hidden="false" customHeight="true" outlineLevel="0" collapsed="false">
      <c r="A435" s="148" t="n">
        <v>24423</v>
      </c>
      <c r="B435" s="149" t="s">
        <v>7873</v>
      </c>
      <c r="C435" s="149" t="n">
        <v>2023</v>
      </c>
      <c r="D435" s="150" t="n">
        <v>44988</v>
      </c>
      <c r="E435" s="68" t="s">
        <v>7874</v>
      </c>
      <c r="F435" s="151" t="s">
        <v>7875</v>
      </c>
      <c r="G435" s="68" t="s">
        <v>125</v>
      </c>
      <c r="H435" s="151" t="s">
        <v>662</v>
      </c>
      <c r="I435" s="150" t="n">
        <v>45195</v>
      </c>
      <c r="J435" s="68" t="n">
        <v>9</v>
      </c>
      <c r="K435" s="143" t="s">
        <v>49</v>
      </c>
      <c r="L435" s="151" t="s">
        <v>61</v>
      </c>
      <c r="M435" s="68" t="n">
        <f aca="false">I435-D435</f>
        <v>207</v>
      </c>
    </row>
    <row r="436" customFormat="false" ht="12.75" hidden="false" customHeight="true" outlineLevel="0" collapsed="false">
      <c r="A436" s="139" t="n">
        <v>24523</v>
      </c>
      <c r="B436" s="140" t="s">
        <v>7876</v>
      </c>
      <c r="C436" s="140" t="n">
        <v>2016</v>
      </c>
      <c r="D436" s="141" t="n">
        <v>42675</v>
      </c>
      <c r="E436" s="66" t="s">
        <v>7877</v>
      </c>
      <c r="F436" s="142" t="s">
        <v>7878</v>
      </c>
      <c r="G436" s="66" t="s">
        <v>441</v>
      </c>
      <c r="H436" s="142" t="s">
        <v>134</v>
      </c>
      <c r="I436" s="141" t="n">
        <v>45195</v>
      </c>
      <c r="J436" s="66" t="n">
        <v>9</v>
      </c>
      <c r="K436" s="143" t="s">
        <v>48</v>
      </c>
      <c r="L436" s="142" t="s">
        <v>58</v>
      </c>
      <c r="M436" s="66" t="n">
        <f aca="false">I436-D436</f>
        <v>2520</v>
      </c>
    </row>
    <row r="437" customFormat="false" ht="12.75" hidden="false" customHeight="true" outlineLevel="0" collapsed="false">
      <c r="A437" s="148" t="n">
        <v>24623</v>
      </c>
      <c r="B437" s="149" t="s">
        <v>7879</v>
      </c>
      <c r="C437" s="149" t="n">
        <v>2016</v>
      </c>
      <c r="D437" s="150" t="n">
        <v>42723</v>
      </c>
      <c r="E437" s="68" t="s">
        <v>7880</v>
      </c>
      <c r="F437" s="151" t="s">
        <v>699</v>
      </c>
      <c r="G437" s="68" t="s">
        <v>441</v>
      </c>
      <c r="H437" s="151" t="s">
        <v>706</v>
      </c>
      <c r="I437" s="150" t="n">
        <v>45196</v>
      </c>
      <c r="J437" s="68" t="n">
        <v>9</v>
      </c>
      <c r="K437" s="143" t="s">
        <v>49</v>
      </c>
      <c r="L437" s="151" t="s">
        <v>60</v>
      </c>
      <c r="M437" s="68" t="n">
        <f aca="false">I437-D437</f>
        <v>2473</v>
      </c>
    </row>
    <row r="438" customFormat="false" ht="12.75" hidden="false" customHeight="true" outlineLevel="0" collapsed="false">
      <c r="A438" s="139" t="n">
        <v>24723</v>
      </c>
      <c r="B438" s="140" t="s">
        <v>7881</v>
      </c>
      <c r="C438" s="140" t="n">
        <v>2020</v>
      </c>
      <c r="D438" s="141" t="n">
        <v>44022</v>
      </c>
      <c r="E438" s="66" t="s">
        <v>7882</v>
      </c>
      <c r="F438" s="142" t="s">
        <v>449</v>
      </c>
      <c r="G438" s="66" t="s">
        <v>441</v>
      </c>
      <c r="H438" s="142" t="s">
        <v>781</v>
      </c>
      <c r="I438" s="141" t="n">
        <v>45196</v>
      </c>
      <c r="J438" s="66" t="n">
        <v>9</v>
      </c>
      <c r="K438" s="143" t="s">
        <v>48</v>
      </c>
      <c r="L438" s="142" t="s">
        <v>58</v>
      </c>
      <c r="M438" s="66" t="n">
        <f aca="false">I438-D438</f>
        <v>1174</v>
      </c>
    </row>
    <row r="439" customFormat="false" ht="12.75" hidden="false" customHeight="true" outlineLevel="0" collapsed="false">
      <c r="A439" s="148" t="n">
        <v>24823</v>
      </c>
      <c r="B439" s="149" t="s">
        <v>7883</v>
      </c>
      <c r="C439" s="149" t="n">
        <v>2017</v>
      </c>
      <c r="D439" s="150" t="n">
        <v>42895</v>
      </c>
      <c r="E439" s="68" t="s">
        <v>7884</v>
      </c>
      <c r="F439" s="151" t="s">
        <v>7368</v>
      </c>
      <c r="G439" s="68" t="s">
        <v>441</v>
      </c>
      <c r="H439" s="151" t="s">
        <v>706</v>
      </c>
      <c r="I439" s="150" t="n">
        <v>45196</v>
      </c>
      <c r="J439" s="68" t="n">
        <v>9</v>
      </c>
      <c r="K439" s="143" t="s">
        <v>49</v>
      </c>
      <c r="L439" s="151" t="s">
        <v>58</v>
      </c>
      <c r="M439" s="68" t="n">
        <f aca="false">I439-D439</f>
        <v>2301</v>
      </c>
    </row>
    <row r="440" customFormat="false" ht="12.75" hidden="false" customHeight="true" outlineLevel="0" collapsed="false">
      <c r="A440" s="139" t="n">
        <v>24923</v>
      </c>
      <c r="B440" s="140" t="s">
        <v>7885</v>
      </c>
      <c r="C440" s="140" t="n">
        <v>2018</v>
      </c>
      <c r="D440" s="141" t="n">
        <v>43174</v>
      </c>
      <c r="E440" s="66" t="s">
        <v>7886</v>
      </c>
      <c r="F440" s="142" t="s">
        <v>7887</v>
      </c>
      <c r="G440" s="66" t="s">
        <v>115</v>
      </c>
      <c r="H440" s="142" t="s">
        <v>6297</v>
      </c>
      <c r="I440" s="141" t="n">
        <v>45196</v>
      </c>
      <c r="J440" s="66" t="n">
        <v>9</v>
      </c>
      <c r="K440" s="143" t="s">
        <v>49</v>
      </c>
      <c r="L440" s="142" t="s">
        <v>58</v>
      </c>
      <c r="M440" s="66" t="n">
        <f aca="false">I440-D440</f>
        <v>2022</v>
      </c>
    </row>
    <row r="441" customFormat="false" ht="12.75" hidden="false" customHeight="true" outlineLevel="0" collapsed="false">
      <c r="A441" s="148" t="n">
        <v>25023</v>
      </c>
      <c r="B441" s="149" t="s">
        <v>7888</v>
      </c>
      <c r="C441" s="149" t="n">
        <v>2014</v>
      </c>
      <c r="D441" s="150" t="n">
        <v>41999</v>
      </c>
      <c r="E441" s="68" t="s">
        <v>7889</v>
      </c>
      <c r="F441" s="151" t="s">
        <v>3924</v>
      </c>
      <c r="G441" s="68" t="s">
        <v>441</v>
      </c>
      <c r="H441" s="151" t="s">
        <v>5447</v>
      </c>
      <c r="I441" s="150" t="n">
        <v>45196</v>
      </c>
      <c r="J441" s="68" t="n">
        <v>9</v>
      </c>
      <c r="K441" s="143" t="s">
        <v>48</v>
      </c>
      <c r="L441" s="151" t="s">
        <v>58</v>
      </c>
      <c r="M441" s="68" t="n">
        <f aca="false">I441-D441</f>
        <v>3197</v>
      </c>
    </row>
    <row r="442" customFormat="false" ht="12.75" hidden="false" customHeight="true" outlineLevel="0" collapsed="false">
      <c r="A442" s="139" t="n">
        <v>25123</v>
      </c>
      <c r="B442" s="140" t="s">
        <v>7890</v>
      </c>
      <c r="C442" s="140" t="n">
        <v>2014</v>
      </c>
      <c r="D442" s="141" t="n">
        <v>41995</v>
      </c>
      <c r="E442" s="66" t="s">
        <v>7891</v>
      </c>
      <c r="F442" s="142" t="s">
        <v>3924</v>
      </c>
      <c r="G442" s="66" t="s">
        <v>441</v>
      </c>
      <c r="H442" s="142" t="s">
        <v>706</v>
      </c>
      <c r="I442" s="141" t="n">
        <v>45196</v>
      </c>
      <c r="J442" s="66" t="n">
        <v>9</v>
      </c>
      <c r="K442" s="143" t="s">
        <v>48</v>
      </c>
      <c r="L442" s="142" t="s">
        <v>58</v>
      </c>
      <c r="M442" s="66" t="n">
        <f aca="false">I442-D442</f>
        <v>3201</v>
      </c>
    </row>
    <row r="443" customFormat="false" ht="12.75" hidden="false" customHeight="true" outlineLevel="0" collapsed="false">
      <c r="A443" s="148" t="n">
        <v>25223</v>
      </c>
      <c r="B443" s="149" t="s">
        <v>7892</v>
      </c>
      <c r="C443" s="149" t="n">
        <v>2016</v>
      </c>
      <c r="D443" s="150" t="n">
        <v>42613</v>
      </c>
      <c r="E443" s="68" t="s">
        <v>7893</v>
      </c>
      <c r="F443" s="151" t="s">
        <v>3777</v>
      </c>
      <c r="G443" s="68" t="s">
        <v>441</v>
      </c>
      <c r="H443" s="151" t="s">
        <v>706</v>
      </c>
      <c r="I443" s="150" t="n">
        <v>45196</v>
      </c>
      <c r="J443" s="68" t="n">
        <v>9</v>
      </c>
      <c r="K443" s="143" t="s">
        <v>49</v>
      </c>
      <c r="L443" s="151" t="s">
        <v>58</v>
      </c>
      <c r="M443" s="68" t="n">
        <f aca="false">I443-D443</f>
        <v>2583</v>
      </c>
    </row>
    <row r="444" customFormat="false" ht="12.75" hidden="false" customHeight="true" outlineLevel="0" collapsed="false">
      <c r="A444" s="139" t="n">
        <v>25323</v>
      </c>
      <c r="B444" s="140" t="s">
        <v>7894</v>
      </c>
      <c r="C444" s="140" t="n">
        <v>2016</v>
      </c>
      <c r="D444" s="141" t="n">
        <v>42615</v>
      </c>
      <c r="E444" s="66" t="s">
        <v>7895</v>
      </c>
      <c r="F444" s="142" t="s">
        <v>3777</v>
      </c>
      <c r="G444" s="66" t="s">
        <v>441</v>
      </c>
      <c r="H444" s="142" t="s">
        <v>706</v>
      </c>
      <c r="I444" s="141" t="n">
        <v>45196</v>
      </c>
      <c r="J444" s="66" t="n">
        <v>9</v>
      </c>
      <c r="K444" s="143" t="s">
        <v>49</v>
      </c>
      <c r="L444" s="142" t="s">
        <v>58</v>
      </c>
      <c r="M444" s="66" t="n">
        <f aca="false">I444-D444</f>
        <v>2581</v>
      </c>
    </row>
    <row r="445" customFormat="false" ht="15" hidden="false" customHeight="true" outlineLevel="0" collapsed="false">
      <c r="A445" s="148" t="n">
        <v>25423</v>
      </c>
      <c r="B445" s="149" t="s">
        <v>7896</v>
      </c>
      <c r="C445" s="149" t="n">
        <v>2018</v>
      </c>
      <c r="D445" s="150" t="n">
        <v>43193</v>
      </c>
      <c r="E445" s="68" t="s">
        <v>7897</v>
      </c>
      <c r="F445" s="151" t="s">
        <v>7373</v>
      </c>
      <c r="G445" s="68" t="s">
        <v>441</v>
      </c>
      <c r="H445" s="151" t="s">
        <v>706</v>
      </c>
      <c r="I445" s="150" t="n">
        <v>45196</v>
      </c>
      <c r="J445" s="68" t="n">
        <v>9</v>
      </c>
      <c r="K445" s="143" t="s">
        <v>49</v>
      </c>
      <c r="L445" s="151" t="s">
        <v>60</v>
      </c>
      <c r="M445" s="68" t="n">
        <f aca="false">I445-D445</f>
        <v>2003</v>
      </c>
    </row>
    <row r="446" customFormat="false" ht="12.75" hidden="false" customHeight="true" outlineLevel="0" collapsed="false">
      <c r="A446" s="139" t="n">
        <v>25523</v>
      </c>
      <c r="B446" s="140" t="s">
        <v>7898</v>
      </c>
      <c r="C446" s="140" t="n">
        <v>2015</v>
      </c>
      <c r="D446" s="141" t="n">
        <v>42061</v>
      </c>
      <c r="E446" s="66" t="s">
        <v>7899</v>
      </c>
      <c r="F446" s="142" t="s">
        <v>908</v>
      </c>
      <c r="G446" s="66" t="s">
        <v>441</v>
      </c>
      <c r="H446" s="142" t="s">
        <v>1501</v>
      </c>
      <c r="I446" s="141" t="n">
        <v>45201</v>
      </c>
      <c r="J446" s="66" t="n">
        <v>10</v>
      </c>
      <c r="K446" s="143" t="s">
        <v>48</v>
      </c>
      <c r="L446" s="142" t="s">
        <v>58</v>
      </c>
      <c r="M446" s="66" t="n">
        <f aca="false">I446-D446</f>
        <v>3140</v>
      </c>
    </row>
    <row r="447" customFormat="false" ht="12.75" hidden="false" customHeight="true" outlineLevel="0" collapsed="false">
      <c r="A447" s="148" t="n">
        <v>25623</v>
      </c>
      <c r="B447" s="149" t="s">
        <v>7900</v>
      </c>
      <c r="C447" s="149" t="n">
        <v>2022</v>
      </c>
      <c r="D447" s="157" t="n">
        <v>44573</v>
      </c>
      <c r="E447" s="68" t="s">
        <v>7901</v>
      </c>
      <c r="F447" s="151" t="s">
        <v>7902</v>
      </c>
      <c r="G447" s="68" t="s">
        <v>125</v>
      </c>
      <c r="H447" s="151" t="s">
        <v>391</v>
      </c>
      <c r="I447" s="150" t="n">
        <v>45202</v>
      </c>
      <c r="J447" s="68" t="n">
        <v>10</v>
      </c>
      <c r="K447" s="169" t="s">
        <v>290</v>
      </c>
      <c r="L447" s="151" t="s">
        <v>61</v>
      </c>
      <c r="M447" s="68" t="n">
        <f aca="false">I447-D447</f>
        <v>629</v>
      </c>
    </row>
    <row r="448" customFormat="false" ht="12.75" hidden="false" customHeight="true" outlineLevel="0" collapsed="false">
      <c r="A448" s="139" t="n">
        <v>25723</v>
      </c>
      <c r="B448" s="140" t="s">
        <v>7903</v>
      </c>
      <c r="C448" s="140" t="n">
        <v>2022</v>
      </c>
      <c r="D448" s="141" t="n">
        <v>44908</v>
      </c>
      <c r="E448" s="66" t="s">
        <v>7904</v>
      </c>
      <c r="F448" s="142" t="s">
        <v>3795</v>
      </c>
      <c r="G448" s="66" t="s">
        <v>125</v>
      </c>
      <c r="H448" s="142" t="s">
        <v>54</v>
      </c>
      <c r="I448" s="141" t="n">
        <v>45203</v>
      </c>
      <c r="J448" s="66" t="n">
        <v>10</v>
      </c>
      <c r="K448" s="143" t="s">
        <v>49</v>
      </c>
      <c r="L448" s="142" t="s">
        <v>61</v>
      </c>
      <c r="M448" s="66" t="n">
        <f aca="false">I448-D448</f>
        <v>295</v>
      </c>
    </row>
    <row r="449" customFormat="false" ht="15" hidden="false" customHeight="true" outlineLevel="0" collapsed="false">
      <c r="A449" s="148" t="n">
        <v>25823</v>
      </c>
      <c r="B449" s="149" t="s">
        <v>7905</v>
      </c>
      <c r="C449" s="149" t="n">
        <v>2011</v>
      </c>
      <c r="D449" s="150" t="n">
        <v>40913</v>
      </c>
      <c r="E449" s="68" t="s">
        <v>7906</v>
      </c>
      <c r="F449" s="151" t="s">
        <v>7907</v>
      </c>
      <c r="G449" s="68" t="s">
        <v>441</v>
      </c>
      <c r="H449" s="151" t="s">
        <v>538</v>
      </c>
      <c r="I449" s="150" t="n">
        <v>45203</v>
      </c>
      <c r="J449" s="68" t="n">
        <v>10</v>
      </c>
      <c r="K449" s="442" t="s">
        <v>47</v>
      </c>
      <c r="L449" s="151" t="s">
        <v>58</v>
      </c>
      <c r="M449" s="68" t="n">
        <f aca="false">I449-D449</f>
        <v>4290</v>
      </c>
    </row>
    <row r="450" customFormat="false" ht="12.75" hidden="false" customHeight="true" outlineLevel="0" collapsed="false">
      <c r="A450" s="139" t="n">
        <v>25923</v>
      </c>
      <c r="B450" s="140" t="s">
        <v>7908</v>
      </c>
      <c r="C450" s="140" t="n">
        <v>2022</v>
      </c>
      <c r="D450" s="141" t="n">
        <v>44895</v>
      </c>
      <c r="E450" s="66" t="s">
        <v>7909</v>
      </c>
      <c r="F450" s="142" t="s">
        <v>7910</v>
      </c>
      <c r="G450" s="66" t="s">
        <v>125</v>
      </c>
      <c r="H450" s="142" t="s">
        <v>54</v>
      </c>
      <c r="I450" s="141" t="n">
        <v>45203</v>
      </c>
      <c r="J450" s="66" t="n">
        <v>10</v>
      </c>
      <c r="K450" s="143" t="s">
        <v>49</v>
      </c>
      <c r="L450" s="142" t="s">
        <v>61</v>
      </c>
      <c r="M450" s="66" t="n">
        <f aca="false">I450-D450</f>
        <v>308</v>
      </c>
    </row>
    <row r="451" customFormat="false" ht="12.75" hidden="false" customHeight="true" outlineLevel="0" collapsed="false">
      <c r="A451" s="148" t="n">
        <v>26023</v>
      </c>
      <c r="B451" s="149" t="s">
        <v>7911</v>
      </c>
      <c r="C451" s="149" t="n">
        <v>2021</v>
      </c>
      <c r="D451" s="150" t="n">
        <v>44468</v>
      </c>
      <c r="E451" s="68" t="s">
        <v>7912</v>
      </c>
      <c r="F451" s="151" t="s">
        <v>650</v>
      </c>
      <c r="G451" s="68" t="s">
        <v>441</v>
      </c>
      <c r="H451" s="151" t="s">
        <v>7913</v>
      </c>
      <c r="I451" s="150" t="n">
        <v>45226</v>
      </c>
      <c r="J451" s="68" t="n">
        <v>10</v>
      </c>
      <c r="K451" s="143" t="s">
        <v>48</v>
      </c>
      <c r="L451" s="151" t="s">
        <v>58</v>
      </c>
      <c r="M451" s="68" t="n">
        <f aca="false">I451-D451</f>
        <v>758</v>
      </c>
    </row>
    <row r="452" customFormat="false" ht="12.75" hidden="false" customHeight="true" outlineLevel="0" collapsed="false">
      <c r="A452" s="139" t="n">
        <v>26123</v>
      </c>
      <c r="B452" s="140" t="s">
        <v>7914</v>
      </c>
      <c r="C452" s="140" t="n">
        <v>2020</v>
      </c>
      <c r="D452" s="141" t="n">
        <v>43845</v>
      </c>
      <c r="E452" s="66" t="s">
        <v>7915</v>
      </c>
      <c r="F452" s="142" t="s">
        <v>7916</v>
      </c>
      <c r="G452" s="66" t="s">
        <v>144</v>
      </c>
      <c r="H452" s="142" t="s">
        <v>7917</v>
      </c>
      <c r="I452" s="141" t="n">
        <v>45226</v>
      </c>
      <c r="J452" s="66" t="n">
        <v>10</v>
      </c>
      <c r="K452" s="169" t="s">
        <v>290</v>
      </c>
      <c r="L452" s="142" t="s">
        <v>60</v>
      </c>
      <c r="M452" s="66" t="n">
        <f aca="false">I452-D452</f>
        <v>1381</v>
      </c>
    </row>
    <row r="453" customFormat="false" ht="12.75" hidden="false" customHeight="true" outlineLevel="0" collapsed="false">
      <c r="A453" s="148" t="n">
        <v>26223</v>
      </c>
      <c r="B453" s="149" t="s">
        <v>7918</v>
      </c>
      <c r="C453" s="149" t="n">
        <v>2021</v>
      </c>
      <c r="D453" s="150" t="n">
        <v>44393</v>
      </c>
      <c r="E453" s="68" t="s">
        <v>7919</v>
      </c>
      <c r="F453" s="151" t="s">
        <v>7920</v>
      </c>
      <c r="G453" s="68" t="s">
        <v>441</v>
      </c>
      <c r="H453" s="151" t="s">
        <v>460</v>
      </c>
      <c r="I453" s="150" t="n">
        <v>45226</v>
      </c>
      <c r="J453" s="68" t="n">
        <v>10</v>
      </c>
      <c r="K453" s="143" t="s">
        <v>48</v>
      </c>
      <c r="L453" s="151" t="s">
        <v>58</v>
      </c>
      <c r="M453" s="68" t="n">
        <f aca="false">I453-D453</f>
        <v>833</v>
      </c>
    </row>
    <row r="454" customFormat="false" ht="12.75" hidden="false" customHeight="true" outlineLevel="0" collapsed="false">
      <c r="A454" s="139" t="n">
        <v>26323</v>
      </c>
      <c r="B454" s="140" t="s">
        <v>7921</v>
      </c>
      <c r="C454" s="140" t="n">
        <v>2018</v>
      </c>
      <c r="D454" s="141" t="n">
        <v>43167</v>
      </c>
      <c r="E454" s="66" t="s">
        <v>7922</v>
      </c>
      <c r="F454" s="142" t="s">
        <v>113</v>
      </c>
      <c r="G454" s="66" t="s">
        <v>441</v>
      </c>
      <c r="H454" s="142" t="s">
        <v>3339</v>
      </c>
      <c r="I454" s="141" t="n">
        <v>45231</v>
      </c>
      <c r="J454" s="66" t="n">
        <v>11</v>
      </c>
      <c r="K454" s="143" t="s">
        <v>48</v>
      </c>
      <c r="L454" s="142" t="s">
        <v>60</v>
      </c>
      <c r="M454" s="66" t="n">
        <f aca="false">I454-D454</f>
        <v>2064</v>
      </c>
    </row>
    <row r="455" customFormat="false" ht="12.75" hidden="false" customHeight="true" outlineLevel="0" collapsed="false">
      <c r="A455" s="148" t="n">
        <v>26423</v>
      </c>
      <c r="B455" s="149" t="s">
        <v>7923</v>
      </c>
      <c r="C455" s="149" t="n">
        <v>2023</v>
      </c>
      <c r="D455" s="150" t="n">
        <v>44981</v>
      </c>
      <c r="E455" s="68" t="s">
        <v>7924</v>
      </c>
      <c r="F455" s="151" t="s">
        <v>7925</v>
      </c>
      <c r="G455" s="68" t="s">
        <v>125</v>
      </c>
      <c r="H455" s="151" t="s">
        <v>4223</v>
      </c>
      <c r="I455" s="150" t="n">
        <v>45231</v>
      </c>
      <c r="J455" s="68" t="n">
        <v>11</v>
      </c>
      <c r="K455" s="143" t="s">
        <v>49</v>
      </c>
      <c r="L455" s="151" t="s">
        <v>61</v>
      </c>
      <c r="M455" s="68" t="n">
        <f aca="false">I455-D455</f>
        <v>250</v>
      </c>
    </row>
    <row r="456" customFormat="false" ht="12.75" hidden="false" customHeight="true" outlineLevel="0" collapsed="false">
      <c r="A456" s="139" t="n">
        <v>26523</v>
      </c>
      <c r="B456" s="140" t="s">
        <v>7926</v>
      </c>
      <c r="C456" s="140" t="n">
        <v>2022</v>
      </c>
      <c r="D456" s="141" t="n">
        <v>44923</v>
      </c>
      <c r="E456" s="66" t="s">
        <v>7927</v>
      </c>
      <c r="F456" s="142" t="s">
        <v>7928</v>
      </c>
      <c r="G456" s="66" t="s">
        <v>125</v>
      </c>
      <c r="H456" s="142" t="s">
        <v>873</v>
      </c>
      <c r="I456" s="141" t="n">
        <v>45231</v>
      </c>
      <c r="J456" s="66" t="n">
        <v>11</v>
      </c>
      <c r="K456" s="143" t="s">
        <v>49</v>
      </c>
      <c r="L456" s="142" t="s">
        <v>61</v>
      </c>
      <c r="M456" s="66" t="n">
        <f aca="false">I456-D456</f>
        <v>308</v>
      </c>
    </row>
    <row r="457" customFormat="false" ht="12.75" hidden="false" customHeight="true" outlineLevel="0" collapsed="false">
      <c r="A457" s="148" t="n">
        <v>26623</v>
      </c>
      <c r="B457" s="149" t="s">
        <v>7929</v>
      </c>
      <c r="C457" s="149" t="n">
        <v>2018</v>
      </c>
      <c r="D457" s="150" t="n">
        <v>43311</v>
      </c>
      <c r="E457" s="68" t="s">
        <v>7930</v>
      </c>
      <c r="F457" s="151" t="s">
        <v>7931</v>
      </c>
      <c r="G457" s="68" t="s">
        <v>441</v>
      </c>
      <c r="H457" s="151" t="s">
        <v>119</v>
      </c>
      <c r="I457" s="150" t="n">
        <v>45231</v>
      </c>
      <c r="J457" s="68" t="n">
        <v>11</v>
      </c>
      <c r="K457" s="143" t="s">
        <v>48</v>
      </c>
      <c r="L457" s="151" t="s">
        <v>58</v>
      </c>
      <c r="M457" s="68" t="n">
        <f aca="false">I457-D457</f>
        <v>1920</v>
      </c>
    </row>
    <row r="458" customFormat="false" ht="12.75" hidden="false" customHeight="true" outlineLevel="0" collapsed="false">
      <c r="A458" s="139" t="n">
        <v>26723</v>
      </c>
      <c r="B458" s="140" t="s">
        <v>7932</v>
      </c>
      <c r="C458" s="140" t="n">
        <v>2018</v>
      </c>
      <c r="D458" s="141" t="n">
        <v>43160</v>
      </c>
      <c r="E458" s="66" t="s">
        <v>7933</v>
      </c>
      <c r="F458" s="142" t="s">
        <v>4270</v>
      </c>
      <c r="G458" s="66" t="s">
        <v>441</v>
      </c>
      <c r="H458" s="142" t="s">
        <v>223</v>
      </c>
      <c r="I458" s="141" t="n">
        <v>45231</v>
      </c>
      <c r="J458" s="66" t="n">
        <v>11</v>
      </c>
      <c r="K458" s="197" t="s">
        <v>44</v>
      </c>
      <c r="L458" s="142" t="s">
        <v>58</v>
      </c>
      <c r="M458" s="66" t="n">
        <f aca="false">I458-D458</f>
        <v>2071</v>
      </c>
    </row>
    <row r="459" customFormat="false" ht="12.75" hidden="false" customHeight="true" outlineLevel="0" collapsed="false">
      <c r="A459" s="148" t="n">
        <v>26823</v>
      </c>
      <c r="B459" s="149" t="s">
        <v>7934</v>
      </c>
      <c r="C459" s="149" t="n">
        <v>2022</v>
      </c>
      <c r="D459" s="150" t="n">
        <v>44830</v>
      </c>
      <c r="E459" s="68" t="s">
        <v>7935</v>
      </c>
      <c r="F459" s="151" t="s">
        <v>3946</v>
      </c>
      <c r="G459" s="68" t="s">
        <v>125</v>
      </c>
      <c r="H459" s="151" t="s">
        <v>318</v>
      </c>
      <c r="I459" s="150" t="n">
        <v>45231</v>
      </c>
      <c r="J459" s="68" t="n">
        <v>11</v>
      </c>
      <c r="K459" s="169" t="s">
        <v>290</v>
      </c>
      <c r="L459" s="151" t="s">
        <v>61</v>
      </c>
      <c r="M459" s="68" t="n">
        <f aca="false">I459-D459</f>
        <v>401</v>
      </c>
    </row>
    <row r="460" customFormat="false" ht="12.75" hidden="false" customHeight="true" outlineLevel="0" collapsed="false">
      <c r="A460" s="139" t="n">
        <v>26923</v>
      </c>
      <c r="B460" s="140" t="s">
        <v>7936</v>
      </c>
      <c r="C460" s="140" t="n">
        <v>2023</v>
      </c>
      <c r="D460" s="141" t="n">
        <v>45020</v>
      </c>
      <c r="E460" s="66" t="s">
        <v>7937</v>
      </c>
      <c r="F460" s="142" t="s">
        <v>7938</v>
      </c>
      <c r="G460" s="66" t="s">
        <v>130</v>
      </c>
      <c r="H460" s="142" t="s">
        <v>7304</v>
      </c>
      <c r="I460" s="141" t="n">
        <v>45231</v>
      </c>
      <c r="J460" s="66" t="n">
        <v>11</v>
      </c>
      <c r="K460" s="143" t="s">
        <v>49</v>
      </c>
      <c r="L460" s="142" t="s">
        <v>61</v>
      </c>
      <c r="M460" s="66" t="n">
        <f aca="false">I460-D460</f>
        <v>211</v>
      </c>
    </row>
    <row r="461" customFormat="false" ht="12.75" hidden="false" customHeight="true" outlineLevel="0" collapsed="false">
      <c r="A461" s="148" t="n">
        <v>27023</v>
      </c>
      <c r="B461" s="149" t="s">
        <v>7939</v>
      </c>
      <c r="C461" s="149" t="n">
        <v>2022</v>
      </c>
      <c r="D461" s="150" t="n">
        <v>44631</v>
      </c>
      <c r="E461" s="68" t="s">
        <v>7940</v>
      </c>
      <c r="F461" s="151" t="s">
        <v>7941</v>
      </c>
      <c r="G461" s="68" t="s">
        <v>441</v>
      </c>
      <c r="H461" s="151"/>
      <c r="I461" s="150" t="n">
        <v>45231</v>
      </c>
      <c r="J461" s="68" t="n">
        <v>11</v>
      </c>
      <c r="K461" s="143" t="s">
        <v>49</v>
      </c>
      <c r="L461" s="151" t="s">
        <v>60</v>
      </c>
      <c r="M461" s="68" t="n">
        <f aca="false">I461-D461</f>
        <v>600</v>
      </c>
    </row>
    <row r="462" customFormat="false" ht="12.75" hidden="false" customHeight="true" outlineLevel="0" collapsed="false">
      <c r="A462" s="139" t="n">
        <v>27123</v>
      </c>
      <c r="B462" s="140" t="s">
        <v>7942</v>
      </c>
      <c r="C462" s="140" t="n">
        <v>2020</v>
      </c>
      <c r="D462" s="141" t="n">
        <v>44076</v>
      </c>
      <c r="E462" s="66" t="s">
        <v>7943</v>
      </c>
      <c r="F462" s="142" t="s">
        <v>1783</v>
      </c>
      <c r="G462" s="66" t="s">
        <v>441</v>
      </c>
      <c r="H462" s="142" t="s">
        <v>544</v>
      </c>
      <c r="I462" s="141" t="n">
        <v>45231</v>
      </c>
      <c r="J462" s="66" t="n">
        <v>11</v>
      </c>
      <c r="K462" s="197" t="s">
        <v>44</v>
      </c>
      <c r="L462" s="142" t="s">
        <v>60</v>
      </c>
      <c r="M462" s="66" t="n">
        <f aca="false">I462-D462</f>
        <v>1155</v>
      </c>
    </row>
    <row r="463" customFormat="false" ht="12.75" hidden="false" customHeight="true" outlineLevel="0" collapsed="false">
      <c r="A463" s="148" t="n">
        <v>27223</v>
      </c>
      <c r="B463" s="149" t="s">
        <v>7944</v>
      </c>
      <c r="C463" s="149" t="n">
        <v>2010</v>
      </c>
      <c r="D463" s="150" t="n">
        <v>40238</v>
      </c>
      <c r="E463" s="68" t="s">
        <v>7945</v>
      </c>
      <c r="F463" s="151" t="s">
        <v>365</v>
      </c>
      <c r="G463" s="68" t="s">
        <v>441</v>
      </c>
      <c r="H463" s="151" t="s">
        <v>223</v>
      </c>
      <c r="I463" s="150" t="n">
        <v>45231</v>
      </c>
      <c r="J463" s="68" t="n">
        <v>11</v>
      </c>
      <c r="K463" s="442" t="s">
        <v>47</v>
      </c>
      <c r="L463" s="151" t="s">
        <v>60</v>
      </c>
      <c r="M463" s="68" t="n">
        <f aca="false">I463-D463</f>
        <v>4993</v>
      </c>
    </row>
    <row r="464" customFormat="false" ht="12.75" hidden="false" customHeight="true" outlineLevel="0" collapsed="false">
      <c r="A464" s="139" t="n">
        <v>27323</v>
      </c>
      <c r="B464" s="140" t="s">
        <v>7946</v>
      </c>
      <c r="C464" s="140" t="n">
        <v>2020</v>
      </c>
      <c r="D464" s="141" t="n">
        <v>43902</v>
      </c>
      <c r="E464" s="66" t="s">
        <v>7947</v>
      </c>
      <c r="F464" s="142" t="s">
        <v>449</v>
      </c>
      <c r="G464" s="66" t="s">
        <v>441</v>
      </c>
      <c r="H464" s="142" t="s">
        <v>471</v>
      </c>
      <c r="I464" s="141" t="n">
        <v>45231</v>
      </c>
      <c r="J464" s="66" t="n">
        <v>11</v>
      </c>
      <c r="K464" s="143" t="s">
        <v>48</v>
      </c>
      <c r="L464" s="142" t="s">
        <v>58</v>
      </c>
      <c r="M464" s="66" t="n">
        <f aca="false">I464-D464</f>
        <v>1329</v>
      </c>
    </row>
    <row r="465" customFormat="false" ht="12.75" hidden="false" customHeight="true" outlineLevel="0" collapsed="false">
      <c r="A465" s="148" t="n">
        <v>27423</v>
      </c>
      <c r="B465" s="149" t="s">
        <v>7948</v>
      </c>
      <c r="C465" s="149" t="n">
        <v>2020</v>
      </c>
      <c r="D465" s="150" t="n">
        <v>43864</v>
      </c>
      <c r="E465" s="68" t="s">
        <v>7949</v>
      </c>
      <c r="F465" s="151" t="s">
        <v>467</v>
      </c>
      <c r="G465" s="68" t="s">
        <v>441</v>
      </c>
      <c r="H465" s="151" t="s">
        <v>196</v>
      </c>
      <c r="I465" s="150" t="n">
        <v>45231</v>
      </c>
      <c r="J465" s="68" t="n">
        <v>11</v>
      </c>
      <c r="K465" s="143" t="s">
        <v>49</v>
      </c>
      <c r="L465" s="151" t="s">
        <v>61</v>
      </c>
      <c r="M465" s="68" t="n">
        <f aca="false">I465-D465</f>
        <v>1367</v>
      </c>
    </row>
    <row r="466" customFormat="false" ht="12.75" hidden="false" customHeight="true" outlineLevel="0" collapsed="false">
      <c r="A466" s="139" t="n">
        <v>27523</v>
      </c>
      <c r="B466" s="140" t="s">
        <v>7950</v>
      </c>
      <c r="C466" s="140" t="n">
        <v>2019</v>
      </c>
      <c r="D466" s="141" t="n">
        <v>43756</v>
      </c>
      <c r="E466" s="66" t="s">
        <v>7951</v>
      </c>
      <c r="F466" s="142" t="s">
        <v>7368</v>
      </c>
      <c r="G466" s="66" t="s">
        <v>441</v>
      </c>
      <c r="H466" s="142" t="s">
        <v>1740</v>
      </c>
      <c r="I466" s="141" t="n">
        <v>45231</v>
      </c>
      <c r="J466" s="66" t="n">
        <v>11</v>
      </c>
      <c r="K466" s="169" t="s">
        <v>290</v>
      </c>
      <c r="L466" s="142" t="s">
        <v>58</v>
      </c>
      <c r="M466" s="66" t="n">
        <f aca="false">I466-D466</f>
        <v>1475</v>
      </c>
    </row>
    <row r="467" customFormat="false" ht="12.75" hidden="false" customHeight="true" outlineLevel="0" collapsed="false">
      <c r="A467" s="148" t="n">
        <v>27623</v>
      </c>
      <c r="B467" s="149" t="s">
        <v>7952</v>
      </c>
      <c r="C467" s="149" t="n">
        <v>2016</v>
      </c>
      <c r="D467" s="150" t="n">
        <v>42695</v>
      </c>
      <c r="E467" s="68" t="s">
        <v>7953</v>
      </c>
      <c r="F467" s="151" t="s">
        <v>7954</v>
      </c>
      <c r="G467" s="68" t="s">
        <v>441</v>
      </c>
      <c r="H467" s="151" t="s">
        <v>267</v>
      </c>
      <c r="I467" s="150" t="n">
        <v>45257</v>
      </c>
      <c r="J467" s="68" t="n">
        <v>11</v>
      </c>
      <c r="K467" s="143" t="s">
        <v>49</v>
      </c>
      <c r="L467" s="151" t="s">
        <v>58</v>
      </c>
      <c r="M467" s="68" t="n">
        <f aca="false">I467-D467</f>
        <v>2562</v>
      </c>
    </row>
    <row r="468" customFormat="false" ht="12.75" hidden="false" customHeight="true" outlineLevel="0" collapsed="false">
      <c r="A468" s="139" t="n">
        <v>27723</v>
      </c>
      <c r="B468" s="140" t="s">
        <v>7955</v>
      </c>
      <c r="C468" s="140" t="n">
        <v>2017</v>
      </c>
      <c r="D468" s="141" t="n">
        <v>42844</v>
      </c>
      <c r="E468" s="66" t="s">
        <v>7956</v>
      </c>
      <c r="F468" s="142" t="s">
        <v>650</v>
      </c>
      <c r="G468" s="66" t="s">
        <v>441</v>
      </c>
      <c r="H468" s="142" t="s">
        <v>6570</v>
      </c>
      <c r="I468" s="141" t="n">
        <v>45257</v>
      </c>
      <c r="J468" s="66" t="n">
        <v>11</v>
      </c>
      <c r="K468" s="143" t="s">
        <v>48</v>
      </c>
      <c r="L468" s="142" t="s">
        <v>58</v>
      </c>
      <c r="M468" s="66" t="n">
        <f aca="false">I468-D468</f>
        <v>2413</v>
      </c>
    </row>
    <row r="469" customFormat="false" ht="12.75" hidden="false" customHeight="true" outlineLevel="0" collapsed="false">
      <c r="A469" s="148" t="n">
        <v>27823</v>
      </c>
      <c r="B469" s="149" t="s">
        <v>7957</v>
      </c>
      <c r="C469" s="149" t="n">
        <v>2018</v>
      </c>
      <c r="D469" s="150" t="n">
        <v>43433</v>
      </c>
      <c r="E469" s="68" t="s">
        <v>7958</v>
      </c>
      <c r="F469" s="151" t="s">
        <v>1916</v>
      </c>
      <c r="G469" s="68" t="s">
        <v>441</v>
      </c>
      <c r="H469" s="151" t="s">
        <v>706</v>
      </c>
      <c r="I469" s="150" t="n">
        <v>45257</v>
      </c>
      <c r="J469" s="68" t="n">
        <v>11</v>
      </c>
      <c r="K469" s="178" t="s">
        <v>46</v>
      </c>
      <c r="L469" s="151" t="s">
        <v>58</v>
      </c>
      <c r="M469" s="68" t="n">
        <f aca="false">I469-D469</f>
        <v>1824</v>
      </c>
    </row>
    <row r="470" customFormat="false" ht="12.75" hidden="false" customHeight="true" outlineLevel="0" collapsed="false">
      <c r="A470" s="139" t="n">
        <v>27923</v>
      </c>
      <c r="B470" s="140" t="s">
        <v>7959</v>
      </c>
      <c r="C470" s="140" t="n">
        <v>2018</v>
      </c>
      <c r="D470" s="141" t="n">
        <v>43389</v>
      </c>
      <c r="E470" s="66" t="s">
        <v>7960</v>
      </c>
      <c r="F470" s="142" t="s">
        <v>780</v>
      </c>
      <c r="G470" s="66" t="s">
        <v>441</v>
      </c>
      <c r="H470" s="142" t="s">
        <v>1231</v>
      </c>
      <c r="I470" s="141" t="n">
        <v>45257</v>
      </c>
      <c r="J470" s="66" t="n">
        <v>11</v>
      </c>
      <c r="K470" s="143" t="s">
        <v>49</v>
      </c>
      <c r="L470" s="142" t="s">
        <v>60</v>
      </c>
      <c r="M470" s="66" t="n">
        <f aca="false">I470-D470</f>
        <v>1868</v>
      </c>
    </row>
    <row r="471" customFormat="false" ht="12.75" hidden="false" customHeight="true" outlineLevel="0" collapsed="false">
      <c r="A471" s="148" t="n">
        <v>28023</v>
      </c>
      <c r="B471" s="149" t="s">
        <v>7961</v>
      </c>
      <c r="C471" s="149" t="n">
        <v>2016</v>
      </c>
      <c r="D471" s="150" t="n">
        <v>42726</v>
      </c>
      <c r="E471" s="68" t="s">
        <v>7962</v>
      </c>
      <c r="F471" s="151" t="s">
        <v>699</v>
      </c>
      <c r="G471" s="68" t="s">
        <v>441</v>
      </c>
      <c r="H471" s="151" t="s">
        <v>109</v>
      </c>
      <c r="I471" s="150" t="n">
        <v>45257</v>
      </c>
      <c r="J471" s="68" t="n">
        <v>11</v>
      </c>
      <c r="K471" s="143" t="s">
        <v>49</v>
      </c>
      <c r="L471" s="151" t="s">
        <v>60</v>
      </c>
      <c r="M471" s="68" t="n">
        <f aca="false">I471-D471</f>
        <v>2531</v>
      </c>
    </row>
    <row r="472" customFormat="false" ht="12.75" hidden="false" customHeight="true" outlineLevel="0" collapsed="false">
      <c r="A472" s="139" t="n">
        <v>28123</v>
      </c>
      <c r="B472" s="140" t="s">
        <v>7963</v>
      </c>
      <c r="C472" s="140" t="n">
        <v>2020</v>
      </c>
      <c r="D472" s="141" t="n">
        <v>44063</v>
      </c>
      <c r="E472" s="66" t="s">
        <v>7964</v>
      </c>
      <c r="F472" s="142" t="s">
        <v>1277</v>
      </c>
      <c r="G472" s="66" t="s">
        <v>441</v>
      </c>
      <c r="H472" s="142" t="s">
        <v>350</v>
      </c>
      <c r="I472" s="141" t="n">
        <v>45257</v>
      </c>
      <c r="J472" s="66" t="n">
        <v>11</v>
      </c>
      <c r="K472" s="178" t="s">
        <v>46</v>
      </c>
      <c r="L472" s="142" t="s">
        <v>58</v>
      </c>
      <c r="M472" s="66" t="n">
        <f aca="false">I472-D472</f>
        <v>1194</v>
      </c>
    </row>
    <row r="473" customFormat="false" ht="12.75" hidden="false" customHeight="true" outlineLevel="0" collapsed="false">
      <c r="A473" s="148" t="n">
        <v>28223</v>
      </c>
      <c r="B473" s="149" t="s">
        <v>7965</v>
      </c>
      <c r="C473" s="149" t="n">
        <v>2018</v>
      </c>
      <c r="D473" s="150" t="n">
        <v>43104</v>
      </c>
      <c r="E473" s="68" t="s">
        <v>7966</v>
      </c>
      <c r="F473" s="151" t="s">
        <v>1156</v>
      </c>
      <c r="G473" s="68" t="s">
        <v>441</v>
      </c>
      <c r="H473" s="151" t="s">
        <v>1231</v>
      </c>
      <c r="I473" s="150" t="n">
        <v>45257</v>
      </c>
      <c r="J473" s="68" t="n">
        <v>11</v>
      </c>
      <c r="K473" s="178" t="s">
        <v>46</v>
      </c>
      <c r="L473" s="151" t="s">
        <v>58</v>
      </c>
      <c r="M473" s="68" t="n">
        <f aca="false">I473-D473</f>
        <v>2153</v>
      </c>
    </row>
    <row r="474" customFormat="false" ht="12.75" hidden="false" customHeight="true" outlineLevel="0" collapsed="false">
      <c r="A474" s="139" t="n">
        <v>28323</v>
      </c>
      <c r="B474" s="140" t="s">
        <v>7967</v>
      </c>
      <c r="C474" s="140" t="n">
        <v>2021</v>
      </c>
      <c r="D474" s="141" t="n">
        <v>44236</v>
      </c>
      <c r="E474" s="66" t="s">
        <v>7968</v>
      </c>
      <c r="F474" s="142" t="s">
        <v>1273</v>
      </c>
      <c r="G474" s="66" t="s">
        <v>441</v>
      </c>
      <c r="H474" s="142" t="s">
        <v>1231</v>
      </c>
      <c r="I474" s="141" t="n">
        <v>45257</v>
      </c>
      <c r="J474" s="66" t="n">
        <v>11</v>
      </c>
      <c r="K474" s="143" t="s">
        <v>48</v>
      </c>
      <c r="L474" s="142" t="s">
        <v>58</v>
      </c>
      <c r="M474" s="66" t="n">
        <f aca="false">I474-D474</f>
        <v>1021</v>
      </c>
    </row>
    <row r="475" customFormat="false" ht="12.75" hidden="false" customHeight="true" outlineLevel="0" collapsed="false">
      <c r="A475" s="148" t="n">
        <v>28423</v>
      </c>
      <c r="B475" s="149" t="s">
        <v>7969</v>
      </c>
      <c r="C475" s="149" t="n">
        <v>2020</v>
      </c>
      <c r="D475" s="150" t="n">
        <v>43873</v>
      </c>
      <c r="E475" s="68" t="s">
        <v>7970</v>
      </c>
      <c r="F475" s="151" t="s">
        <v>705</v>
      </c>
      <c r="G475" s="68" t="s">
        <v>441</v>
      </c>
      <c r="H475" s="151" t="s">
        <v>4372</v>
      </c>
      <c r="I475" s="150" t="n">
        <v>45257</v>
      </c>
      <c r="J475" s="68" t="n">
        <v>11</v>
      </c>
      <c r="K475" s="143" t="s">
        <v>48</v>
      </c>
      <c r="L475" s="151" t="s">
        <v>58</v>
      </c>
      <c r="M475" s="68" t="n">
        <f aca="false">I475-D475</f>
        <v>1384</v>
      </c>
    </row>
    <row r="476" customFormat="false" ht="12.75" hidden="false" customHeight="true" outlineLevel="0" collapsed="false">
      <c r="A476" s="139" t="n">
        <v>28523</v>
      </c>
      <c r="B476" s="140" t="s">
        <v>7971</v>
      </c>
      <c r="C476" s="140" t="n">
        <v>2016</v>
      </c>
      <c r="D476" s="141" t="n">
        <v>42622</v>
      </c>
      <c r="E476" s="66" t="s">
        <v>7972</v>
      </c>
      <c r="F476" s="142" t="s">
        <v>138</v>
      </c>
      <c r="G476" s="66" t="s">
        <v>441</v>
      </c>
      <c r="H476" s="142" t="s">
        <v>1072</v>
      </c>
      <c r="I476" s="141" t="n">
        <v>45257</v>
      </c>
      <c r="J476" s="66" t="n">
        <v>11</v>
      </c>
      <c r="K476" s="143" t="s">
        <v>49</v>
      </c>
      <c r="L476" s="142" t="s">
        <v>60</v>
      </c>
      <c r="M476" s="66" t="n">
        <f aca="false">I476-D476</f>
        <v>2635</v>
      </c>
    </row>
    <row r="477" customFormat="false" ht="12.75" hidden="false" customHeight="true" outlineLevel="0" collapsed="false">
      <c r="A477" s="148" t="n">
        <v>28623</v>
      </c>
      <c r="B477" s="149" t="s">
        <v>7973</v>
      </c>
      <c r="C477" s="149" t="n">
        <v>2019</v>
      </c>
      <c r="D477" s="150" t="n">
        <v>43811</v>
      </c>
      <c r="E477" s="68" t="s">
        <v>7974</v>
      </c>
      <c r="F477" s="151" t="s">
        <v>2003</v>
      </c>
      <c r="G477" s="68" t="s">
        <v>441</v>
      </c>
      <c r="H477" s="151" t="s">
        <v>250</v>
      </c>
      <c r="I477" s="150" t="n">
        <v>45258</v>
      </c>
      <c r="J477" s="68" t="n">
        <v>11</v>
      </c>
      <c r="K477" s="143" t="s">
        <v>49</v>
      </c>
      <c r="L477" s="151" t="s">
        <v>60</v>
      </c>
      <c r="M477" s="68" t="n">
        <f aca="false">I477-D477</f>
        <v>1447</v>
      </c>
    </row>
    <row r="478" customFormat="false" ht="12.75" hidden="false" customHeight="true" outlineLevel="0" collapsed="false">
      <c r="A478" s="139" t="n">
        <v>28723</v>
      </c>
      <c r="B478" s="140" t="s">
        <v>7975</v>
      </c>
      <c r="C478" s="140" t="n">
        <v>2010</v>
      </c>
      <c r="D478" s="141" t="n">
        <v>40197</v>
      </c>
      <c r="E478" s="66" t="s">
        <v>7976</v>
      </c>
      <c r="F478" s="142" t="s">
        <v>365</v>
      </c>
      <c r="G478" s="66" t="s">
        <v>441</v>
      </c>
      <c r="H478" s="142" t="s">
        <v>7977</v>
      </c>
      <c r="I478" s="141" t="n">
        <v>45258</v>
      </c>
      <c r="J478" s="66" t="n">
        <v>11</v>
      </c>
      <c r="K478" s="143" t="s">
        <v>48</v>
      </c>
      <c r="L478" s="142" t="s">
        <v>60</v>
      </c>
      <c r="M478" s="66" t="n">
        <f aca="false">I478-D478</f>
        <v>5061</v>
      </c>
    </row>
    <row r="479" customFormat="false" ht="12.75" hidden="false" customHeight="true" outlineLevel="0" collapsed="false">
      <c r="A479" s="148" t="n">
        <v>28823</v>
      </c>
      <c r="B479" s="149" t="s">
        <v>7978</v>
      </c>
      <c r="C479" s="149" t="n">
        <v>2015</v>
      </c>
      <c r="D479" s="150" t="n">
        <v>42360</v>
      </c>
      <c r="E479" s="68" t="s">
        <v>7979</v>
      </c>
      <c r="F479" s="151" t="s">
        <v>569</v>
      </c>
      <c r="G479" s="68" t="s">
        <v>441</v>
      </c>
      <c r="H479" s="151" t="s">
        <v>1042</v>
      </c>
      <c r="I479" s="150" t="n">
        <v>45258</v>
      </c>
      <c r="J479" s="68" t="n">
        <v>11</v>
      </c>
      <c r="K479" s="143" t="s">
        <v>48</v>
      </c>
      <c r="L479" s="151" t="s">
        <v>58</v>
      </c>
      <c r="M479" s="68" t="n">
        <f aca="false">I479-D479</f>
        <v>2898</v>
      </c>
    </row>
    <row r="480" customFormat="false" ht="12.75" hidden="false" customHeight="true" outlineLevel="0" collapsed="false">
      <c r="A480" s="139" t="n">
        <v>28923</v>
      </c>
      <c r="B480" s="140" t="s">
        <v>7980</v>
      </c>
      <c r="C480" s="140" t="n">
        <v>2020</v>
      </c>
      <c r="D480" s="141" t="n">
        <v>44188</v>
      </c>
      <c r="E480" s="66" t="s">
        <v>7981</v>
      </c>
      <c r="F480" s="142" t="s">
        <v>446</v>
      </c>
      <c r="G480" s="66" t="s">
        <v>441</v>
      </c>
      <c r="H480" s="142" t="s">
        <v>2506</v>
      </c>
      <c r="I480" s="141" t="n">
        <v>45258</v>
      </c>
      <c r="J480" s="66" t="n">
        <v>11</v>
      </c>
      <c r="K480" s="143" t="s">
        <v>49</v>
      </c>
      <c r="L480" s="142" t="s">
        <v>60</v>
      </c>
      <c r="M480" s="66" t="n">
        <f aca="false">I480-D480</f>
        <v>1070</v>
      </c>
    </row>
    <row r="481" customFormat="false" ht="12.75" hidden="false" customHeight="true" outlineLevel="0" collapsed="false">
      <c r="A481" s="148" t="n">
        <v>29023</v>
      </c>
      <c r="B481" s="149" t="s">
        <v>7982</v>
      </c>
      <c r="C481" s="149" t="n">
        <v>2019</v>
      </c>
      <c r="D481" s="150" t="n">
        <v>43753</v>
      </c>
      <c r="E481" s="68" t="s">
        <v>7983</v>
      </c>
      <c r="F481" s="151" t="s">
        <v>7984</v>
      </c>
      <c r="G481" s="68" t="s">
        <v>441</v>
      </c>
      <c r="H481" s="151" t="s">
        <v>513</v>
      </c>
      <c r="I481" s="150" t="n">
        <v>45258</v>
      </c>
      <c r="J481" s="68" t="n">
        <v>11</v>
      </c>
      <c r="K481" s="143" t="s">
        <v>49</v>
      </c>
      <c r="L481" s="151" t="s">
        <v>60</v>
      </c>
      <c r="M481" s="68" t="n">
        <f aca="false">I481-D481</f>
        <v>1505</v>
      </c>
    </row>
    <row r="482" customFormat="false" ht="12.75" hidden="false" customHeight="true" outlineLevel="0" collapsed="false">
      <c r="A482" s="139" t="n">
        <v>29123</v>
      </c>
      <c r="B482" s="140" t="s">
        <v>7985</v>
      </c>
      <c r="C482" s="140" t="n">
        <v>2020</v>
      </c>
      <c r="D482" s="141" t="n">
        <v>44160</v>
      </c>
      <c r="E482" s="66" t="s">
        <v>7986</v>
      </c>
      <c r="F482" s="142" t="s">
        <v>7987</v>
      </c>
      <c r="G482" s="66" t="s">
        <v>441</v>
      </c>
      <c r="H482" s="142" t="s">
        <v>909</v>
      </c>
      <c r="I482" s="141" t="n">
        <v>45258</v>
      </c>
      <c r="J482" s="66" t="n">
        <v>11</v>
      </c>
      <c r="K482" s="143" t="s">
        <v>49</v>
      </c>
      <c r="L482" s="142" t="s">
        <v>60</v>
      </c>
      <c r="M482" s="66" t="n">
        <f aca="false">I482-D482</f>
        <v>1098</v>
      </c>
    </row>
    <row r="483" customFormat="false" ht="12.75" hidden="false" customHeight="true" outlineLevel="0" collapsed="false">
      <c r="A483" s="148" t="n">
        <v>29223</v>
      </c>
      <c r="B483" s="149" t="s">
        <v>7988</v>
      </c>
      <c r="C483" s="149" t="n">
        <v>2023</v>
      </c>
      <c r="D483" s="150" t="n">
        <v>44985</v>
      </c>
      <c r="E483" s="151" t="s">
        <v>7989</v>
      </c>
      <c r="F483" s="151" t="s">
        <v>5921</v>
      </c>
      <c r="G483" s="68" t="s">
        <v>130</v>
      </c>
      <c r="H483" s="151" t="s">
        <v>7284</v>
      </c>
      <c r="I483" s="150" t="n">
        <v>45258</v>
      </c>
      <c r="J483" s="68" t="n">
        <v>11</v>
      </c>
      <c r="K483" s="143" t="s">
        <v>49</v>
      </c>
      <c r="L483" s="151" t="s">
        <v>61</v>
      </c>
      <c r="M483" s="68" t="n">
        <f aca="false">I483-D483</f>
        <v>273</v>
      </c>
    </row>
    <row r="484" customFormat="false" ht="12.75" hidden="false" customHeight="true" outlineLevel="0" collapsed="false">
      <c r="A484" s="139" t="n">
        <v>29323</v>
      </c>
      <c r="B484" s="140" t="s">
        <v>7990</v>
      </c>
      <c r="C484" s="140" t="n">
        <v>2017</v>
      </c>
      <c r="D484" s="141" t="n">
        <v>42944</v>
      </c>
      <c r="E484" s="66" t="s">
        <v>7991</v>
      </c>
      <c r="F484" s="142" t="s">
        <v>1200</v>
      </c>
      <c r="G484" s="66" t="s">
        <v>441</v>
      </c>
      <c r="H484" s="142" t="s">
        <v>1231</v>
      </c>
      <c r="I484" s="141" t="n">
        <v>45258</v>
      </c>
      <c r="J484" s="66" t="n">
        <v>11</v>
      </c>
      <c r="K484" s="143" t="s">
        <v>48</v>
      </c>
      <c r="L484" s="142" t="s">
        <v>58</v>
      </c>
      <c r="M484" s="66" t="n">
        <f aca="false">I484-D484</f>
        <v>2314</v>
      </c>
    </row>
    <row r="485" customFormat="false" ht="12.75" hidden="false" customHeight="true" outlineLevel="0" collapsed="false">
      <c r="A485" s="148" t="n">
        <v>29423</v>
      </c>
      <c r="B485" s="149" t="s">
        <v>7992</v>
      </c>
      <c r="C485" s="149" t="n">
        <v>2017</v>
      </c>
      <c r="D485" s="150" t="n">
        <v>43090</v>
      </c>
      <c r="E485" s="68" t="s">
        <v>7993</v>
      </c>
      <c r="F485" s="151" t="s">
        <v>7994</v>
      </c>
      <c r="G485" s="68" t="s">
        <v>144</v>
      </c>
      <c r="H485" s="151" t="s">
        <v>7995</v>
      </c>
      <c r="I485" s="150" t="n">
        <v>45258</v>
      </c>
      <c r="J485" s="68" t="n">
        <v>11</v>
      </c>
      <c r="K485" s="143" t="s">
        <v>49</v>
      </c>
      <c r="L485" s="151" t="s">
        <v>60</v>
      </c>
      <c r="M485" s="68" t="n">
        <f aca="false">I485-D485</f>
        <v>2168</v>
      </c>
    </row>
    <row r="486" customFormat="false" ht="12.75" hidden="false" customHeight="true" outlineLevel="0" collapsed="false">
      <c r="A486" s="139" t="n">
        <v>29523</v>
      </c>
      <c r="B486" s="140" t="s">
        <v>7996</v>
      </c>
      <c r="C486" s="140" t="n">
        <v>2019</v>
      </c>
      <c r="D486" s="141" t="n">
        <v>43815</v>
      </c>
      <c r="E486" s="66" t="s">
        <v>7997</v>
      </c>
      <c r="F486" s="142" t="s">
        <v>7998</v>
      </c>
      <c r="G486" s="66" t="s">
        <v>144</v>
      </c>
      <c r="H486" s="142" t="s">
        <v>7999</v>
      </c>
      <c r="I486" s="141" t="n">
        <v>45258</v>
      </c>
      <c r="J486" s="66" t="n">
        <v>11</v>
      </c>
      <c r="K486" s="143" t="s">
        <v>48</v>
      </c>
      <c r="L486" s="142" t="s">
        <v>58</v>
      </c>
      <c r="M486" s="66" t="n">
        <f aca="false">I486-D486</f>
        <v>1443</v>
      </c>
    </row>
    <row r="487" customFormat="false" ht="12.75" hidden="false" customHeight="true" outlineLevel="0" collapsed="false">
      <c r="A487" s="148" t="n">
        <v>29623</v>
      </c>
      <c r="B487" s="149" t="s">
        <v>8000</v>
      </c>
      <c r="C487" s="149" t="n">
        <v>2023</v>
      </c>
      <c r="D487" s="150" t="n">
        <v>44988</v>
      </c>
      <c r="E487" s="68" t="s">
        <v>8001</v>
      </c>
      <c r="F487" s="151" t="s">
        <v>8002</v>
      </c>
      <c r="G487" s="68" t="s">
        <v>125</v>
      </c>
      <c r="H487" s="151" t="s">
        <v>8003</v>
      </c>
      <c r="I487" s="150" t="n">
        <v>45258</v>
      </c>
      <c r="J487" s="68" t="n">
        <v>11</v>
      </c>
      <c r="K487" s="143" t="s">
        <v>49</v>
      </c>
      <c r="L487" s="151" t="s">
        <v>61</v>
      </c>
      <c r="M487" s="68" t="n">
        <f aca="false">I487-D487</f>
        <v>270</v>
      </c>
    </row>
    <row r="488" customFormat="false" ht="12.75" hidden="false" customHeight="true" outlineLevel="0" collapsed="false">
      <c r="A488" s="139" t="n">
        <v>29723</v>
      </c>
      <c r="B488" s="140" t="s">
        <v>8004</v>
      </c>
      <c r="C488" s="140" t="n">
        <v>2016</v>
      </c>
      <c r="D488" s="141" t="n">
        <v>42662</v>
      </c>
      <c r="E488" s="66" t="s">
        <v>8005</v>
      </c>
      <c r="F488" s="142" t="s">
        <v>157</v>
      </c>
      <c r="G488" s="66" t="s">
        <v>441</v>
      </c>
      <c r="H488" s="142" t="s">
        <v>1231</v>
      </c>
      <c r="I488" s="141" t="n">
        <v>45258</v>
      </c>
      <c r="J488" s="66" t="n">
        <v>11</v>
      </c>
      <c r="K488" s="143" t="s">
        <v>48</v>
      </c>
      <c r="L488" s="142" t="s">
        <v>58</v>
      </c>
      <c r="M488" s="66" t="n">
        <f aca="false">I488-D488</f>
        <v>2596</v>
      </c>
    </row>
    <row r="489" customFormat="false" ht="12.75" hidden="false" customHeight="true" outlineLevel="0" collapsed="false">
      <c r="A489" s="148" t="n">
        <v>29823</v>
      </c>
      <c r="B489" s="149" t="s">
        <v>8006</v>
      </c>
      <c r="C489" s="149" t="n">
        <v>2019</v>
      </c>
      <c r="D489" s="150" t="n">
        <v>43756</v>
      </c>
      <c r="E489" s="68" t="s">
        <v>8007</v>
      </c>
      <c r="F489" s="151" t="s">
        <v>8008</v>
      </c>
      <c r="G489" s="68" t="s">
        <v>144</v>
      </c>
      <c r="H489" s="151" t="s">
        <v>119</v>
      </c>
      <c r="I489" s="150" t="n">
        <v>45258</v>
      </c>
      <c r="J489" s="68" t="n">
        <v>11</v>
      </c>
      <c r="K489" s="143" t="s">
        <v>48</v>
      </c>
      <c r="L489" s="151" t="s">
        <v>58</v>
      </c>
      <c r="M489" s="68" t="n">
        <f aca="false">I489-D489</f>
        <v>1502</v>
      </c>
    </row>
    <row r="490" customFormat="false" ht="12.75" hidden="false" customHeight="true" outlineLevel="0" collapsed="false">
      <c r="A490" s="139" t="n">
        <v>29923</v>
      </c>
      <c r="B490" s="140" t="s">
        <v>8009</v>
      </c>
      <c r="C490" s="140" t="n">
        <v>2022</v>
      </c>
      <c r="D490" s="141" t="n">
        <v>44607</v>
      </c>
      <c r="E490" s="66" t="s">
        <v>8010</v>
      </c>
      <c r="F490" s="142" t="s">
        <v>8011</v>
      </c>
      <c r="G490" s="66" t="s">
        <v>130</v>
      </c>
      <c r="H490" s="142" t="s">
        <v>8012</v>
      </c>
      <c r="I490" s="141" t="n">
        <v>45258</v>
      </c>
      <c r="J490" s="66" t="n">
        <v>11</v>
      </c>
      <c r="K490" s="143" t="s">
        <v>49</v>
      </c>
      <c r="L490" s="142" t="s">
        <v>61</v>
      </c>
      <c r="M490" s="66" t="n">
        <f aca="false">I490-D490</f>
        <v>651</v>
      </c>
    </row>
    <row r="491" customFormat="false" ht="12.75" hidden="false" customHeight="true" outlineLevel="0" collapsed="false">
      <c r="A491" s="148" t="n">
        <v>30023</v>
      </c>
      <c r="B491" s="149" t="s">
        <v>8013</v>
      </c>
      <c r="C491" s="149" t="n">
        <v>2023</v>
      </c>
      <c r="D491" s="150" t="n">
        <v>45105</v>
      </c>
      <c r="E491" s="68" t="s">
        <v>8014</v>
      </c>
      <c r="F491" s="151" t="s">
        <v>8015</v>
      </c>
      <c r="G491" s="68" t="s">
        <v>130</v>
      </c>
      <c r="H491" s="151" t="s">
        <v>622</v>
      </c>
      <c r="I491" s="150" t="n">
        <v>45258</v>
      </c>
      <c r="J491" s="68" t="n">
        <v>11</v>
      </c>
      <c r="K491" s="169" t="s">
        <v>290</v>
      </c>
      <c r="L491" s="151" t="s">
        <v>61</v>
      </c>
      <c r="M491" s="68" t="n">
        <f aca="false">I491-D491</f>
        <v>153</v>
      </c>
    </row>
    <row r="492" customFormat="false" ht="12.75" hidden="false" customHeight="true" outlineLevel="0" collapsed="false">
      <c r="A492" s="139" t="n">
        <v>30123</v>
      </c>
      <c r="B492" s="140" t="s">
        <v>8016</v>
      </c>
      <c r="C492" s="140" t="n">
        <v>2020</v>
      </c>
      <c r="D492" s="141" t="n">
        <v>43958</v>
      </c>
      <c r="E492" s="66" t="s">
        <v>8017</v>
      </c>
      <c r="F492" s="142" t="s">
        <v>8018</v>
      </c>
      <c r="G492" s="66" t="s">
        <v>441</v>
      </c>
      <c r="H492" s="142" t="s">
        <v>8019</v>
      </c>
      <c r="I492" s="141" t="n">
        <v>45258</v>
      </c>
      <c r="J492" s="66" t="n">
        <v>11</v>
      </c>
      <c r="K492" s="197" t="s">
        <v>44</v>
      </c>
      <c r="L492" s="142" t="s">
        <v>58</v>
      </c>
      <c r="M492" s="66" t="n">
        <f aca="false">I492-D492</f>
        <v>1300</v>
      </c>
    </row>
    <row r="493" customFormat="false" ht="12.75" hidden="false" customHeight="true" outlineLevel="0" collapsed="false">
      <c r="A493" s="148" t="n">
        <v>30223</v>
      </c>
      <c r="B493" s="149" t="s">
        <v>8020</v>
      </c>
      <c r="C493" s="149" t="n">
        <v>2016</v>
      </c>
      <c r="D493" s="150" t="n">
        <v>42726</v>
      </c>
      <c r="E493" s="68" t="s">
        <v>8021</v>
      </c>
      <c r="F493" s="151" t="s">
        <v>8022</v>
      </c>
      <c r="G493" s="68" t="s">
        <v>441</v>
      </c>
      <c r="H493" s="151" t="s">
        <v>706</v>
      </c>
      <c r="I493" s="150" t="n">
        <v>45259</v>
      </c>
      <c r="J493" s="68" t="n">
        <v>11</v>
      </c>
      <c r="K493" s="143" t="s">
        <v>49</v>
      </c>
      <c r="L493" s="151" t="s">
        <v>60</v>
      </c>
      <c r="M493" s="68" t="n">
        <f aca="false">I493-D493</f>
        <v>2533</v>
      </c>
    </row>
    <row r="494" customFormat="false" ht="12.75" hidden="false" customHeight="true" outlineLevel="0" collapsed="false">
      <c r="A494" s="139" t="n">
        <v>30323</v>
      </c>
      <c r="B494" s="140" t="s">
        <v>8023</v>
      </c>
      <c r="C494" s="140" t="n">
        <v>2022</v>
      </c>
      <c r="D494" s="141" t="n">
        <v>44732</v>
      </c>
      <c r="E494" s="66" t="s">
        <v>8024</v>
      </c>
      <c r="F494" s="142" t="s">
        <v>8025</v>
      </c>
      <c r="G494" s="66" t="s">
        <v>144</v>
      </c>
      <c r="H494" s="142" t="s">
        <v>522</v>
      </c>
      <c r="I494" s="141" t="n">
        <v>45259</v>
      </c>
      <c r="J494" s="66" t="n">
        <v>11</v>
      </c>
      <c r="K494" s="445" t="s">
        <v>43</v>
      </c>
      <c r="L494" s="142" t="s">
        <v>60</v>
      </c>
      <c r="M494" s="66" t="n">
        <f aca="false">I494-D494</f>
        <v>527</v>
      </c>
    </row>
    <row r="495" customFormat="false" ht="12.75" hidden="false" customHeight="true" outlineLevel="0" collapsed="false">
      <c r="A495" s="148" t="n">
        <v>30423</v>
      </c>
      <c r="B495" s="149" t="s">
        <v>8026</v>
      </c>
      <c r="C495" s="149" t="n">
        <v>2016</v>
      </c>
      <c r="D495" s="150" t="n">
        <v>42726</v>
      </c>
      <c r="E495" s="68" t="s">
        <v>8027</v>
      </c>
      <c r="F495" s="151" t="s">
        <v>699</v>
      </c>
      <c r="G495" s="68" t="s">
        <v>441</v>
      </c>
      <c r="H495" s="151" t="s">
        <v>817</v>
      </c>
      <c r="I495" s="150" t="n">
        <v>45259</v>
      </c>
      <c r="J495" s="68" t="n">
        <v>11</v>
      </c>
      <c r="K495" s="143" t="s">
        <v>49</v>
      </c>
      <c r="L495" s="151" t="s">
        <v>60</v>
      </c>
      <c r="M495" s="68" t="n">
        <f aca="false">I495-D495</f>
        <v>2533</v>
      </c>
    </row>
    <row r="496" customFormat="false" ht="12.75" hidden="false" customHeight="true" outlineLevel="0" collapsed="false">
      <c r="A496" s="139" t="n">
        <v>30523</v>
      </c>
      <c r="B496" s="140" t="s">
        <v>8028</v>
      </c>
      <c r="C496" s="140" t="n">
        <v>2018</v>
      </c>
      <c r="D496" s="141" t="n">
        <v>43206</v>
      </c>
      <c r="E496" s="66" t="s">
        <v>8029</v>
      </c>
      <c r="F496" s="142" t="s">
        <v>401</v>
      </c>
      <c r="G496" s="66" t="s">
        <v>441</v>
      </c>
      <c r="H496" s="142" t="s">
        <v>1231</v>
      </c>
      <c r="I496" s="141" t="n">
        <v>45259</v>
      </c>
      <c r="J496" s="66" t="n">
        <v>11</v>
      </c>
      <c r="K496" s="143" t="s">
        <v>49</v>
      </c>
      <c r="L496" s="142" t="s">
        <v>58</v>
      </c>
      <c r="M496" s="66" t="n">
        <f aca="false">I496-D496</f>
        <v>2053</v>
      </c>
    </row>
    <row r="497" customFormat="false" ht="12.75" hidden="false" customHeight="true" outlineLevel="0" collapsed="false">
      <c r="A497" s="148" t="n">
        <v>30623</v>
      </c>
      <c r="B497" s="149" t="s">
        <v>8030</v>
      </c>
      <c r="C497" s="149" t="n">
        <v>2017</v>
      </c>
      <c r="D497" s="150" t="n">
        <v>42800</v>
      </c>
      <c r="E497" s="68" t="s">
        <v>8031</v>
      </c>
      <c r="F497" s="151" t="s">
        <v>477</v>
      </c>
      <c r="G497" s="68" t="s">
        <v>441</v>
      </c>
      <c r="H497" s="151" t="s">
        <v>2677</v>
      </c>
      <c r="I497" s="150" t="n">
        <v>45259</v>
      </c>
      <c r="J497" s="68" t="n">
        <v>11</v>
      </c>
      <c r="K497" s="143" t="s">
        <v>49</v>
      </c>
      <c r="L497" s="151" t="s">
        <v>58</v>
      </c>
      <c r="M497" s="68" t="n">
        <f aca="false">I497-D497</f>
        <v>2459</v>
      </c>
    </row>
    <row r="498" customFormat="false" ht="12.75" hidden="false" customHeight="true" outlineLevel="0" collapsed="false">
      <c r="A498" s="139" t="n">
        <v>30723</v>
      </c>
      <c r="B498" s="140" t="s">
        <v>8032</v>
      </c>
      <c r="C498" s="140" t="n">
        <v>2016</v>
      </c>
      <c r="D498" s="141" t="n">
        <v>42730</v>
      </c>
      <c r="E498" s="66" t="s">
        <v>8033</v>
      </c>
      <c r="F498" s="142" t="s">
        <v>7775</v>
      </c>
      <c r="G498" s="66" t="s">
        <v>441</v>
      </c>
      <c r="H498" s="142" t="s">
        <v>109</v>
      </c>
      <c r="I498" s="141" t="n">
        <v>45259</v>
      </c>
      <c r="J498" s="66" t="n">
        <v>11</v>
      </c>
      <c r="K498" s="143" t="s">
        <v>49</v>
      </c>
      <c r="L498" s="142" t="s">
        <v>60</v>
      </c>
      <c r="M498" s="66" t="n">
        <f aca="false">I498-D498</f>
        <v>2529</v>
      </c>
    </row>
    <row r="499" customFormat="false" ht="12.75" hidden="false" customHeight="true" outlineLevel="0" collapsed="false">
      <c r="A499" s="148" t="n">
        <v>30823</v>
      </c>
      <c r="B499" s="149" t="s">
        <v>8034</v>
      </c>
      <c r="C499" s="149" t="n">
        <v>2018</v>
      </c>
      <c r="D499" s="150" t="n">
        <v>43154</v>
      </c>
      <c r="E499" s="68" t="s">
        <v>8035</v>
      </c>
      <c r="F499" s="151" t="s">
        <v>1987</v>
      </c>
      <c r="G499" s="68" t="s">
        <v>441</v>
      </c>
      <c r="H499" s="151" t="s">
        <v>192</v>
      </c>
      <c r="I499" s="150" t="n">
        <v>45259</v>
      </c>
      <c r="J499" s="68" t="n">
        <v>11</v>
      </c>
      <c r="K499" s="143" t="s">
        <v>48</v>
      </c>
      <c r="L499" s="151" t="s">
        <v>58</v>
      </c>
      <c r="M499" s="68" t="n">
        <f aca="false">I499-D499</f>
        <v>2105</v>
      </c>
    </row>
    <row r="500" customFormat="false" ht="12.75" hidden="false" customHeight="true" outlineLevel="0" collapsed="false">
      <c r="A500" s="139" t="n">
        <v>30923</v>
      </c>
      <c r="B500" s="140" t="s">
        <v>8036</v>
      </c>
      <c r="C500" s="140" t="n">
        <v>2018</v>
      </c>
      <c r="D500" s="141" t="n">
        <v>43343</v>
      </c>
      <c r="E500" s="66" t="s">
        <v>8037</v>
      </c>
      <c r="F500" s="142" t="s">
        <v>569</v>
      </c>
      <c r="G500" s="66" t="s">
        <v>441</v>
      </c>
      <c r="H500" s="142" t="s">
        <v>192</v>
      </c>
      <c r="I500" s="141" t="n">
        <v>45259</v>
      </c>
      <c r="J500" s="66" t="n">
        <v>11</v>
      </c>
      <c r="K500" s="143" t="s">
        <v>48</v>
      </c>
      <c r="L500" s="142" t="s">
        <v>58</v>
      </c>
      <c r="M500" s="66" t="n">
        <f aca="false">I500-D500</f>
        <v>1916</v>
      </c>
    </row>
    <row r="501" customFormat="false" ht="12.75" hidden="false" customHeight="true" outlineLevel="0" collapsed="false">
      <c r="A501" s="410" t="n">
        <v>31023</v>
      </c>
      <c r="B501" s="149" t="s">
        <v>8038</v>
      </c>
      <c r="C501" s="149" t="n">
        <v>2022</v>
      </c>
      <c r="D501" s="150" t="n">
        <v>44882</v>
      </c>
      <c r="E501" s="68" t="s">
        <v>8039</v>
      </c>
      <c r="F501" s="151" t="s">
        <v>8040</v>
      </c>
      <c r="G501" s="68" t="s">
        <v>130</v>
      </c>
      <c r="H501" s="151" t="s">
        <v>8041</v>
      </c>
      <c r="I501" s="150" t="n">
        <v>45259</v>
      </c>
      <c r="J501" s="68" t="n">
        <v>11</v>
      </c>
      <c r="K501" s="169" t="s">
        <v>290</v>
      </c>
      <c r="L501" s="151" t="s">
        <v>61</v>
      </c>
      <c r="M501" s="68" t="n">
        <f aca="false">I501-D501</f>
        <v>377</v>
      </c>
    </row>
    <row r="502" customFormat="false" ht="15" hidden="false" customHeight="true" outlineLevel="0" collapsed="false">
      <c r="A502" s="139" t="n">
        <v>31123</v>
      </c>
      <c r="B502" s="140" t="s">
        <v>8042</v>
      </c>
      <c r="C502" s="140" t="n">
        <v>2017</v>
      </c>
      <c r="D502" s="141" t="n">
        <v>42908</v>
      </c>
      <c r="E502" s="66" t="s">
        <v>8043</v>
      </c>
      <c r="F502" s="142" t="s">
        <v>8044</v>
      </c>
      <c r="G502" s="66" t="s">
        <v>441</v>
      </c>
      <c r="H502" s="142" t="s">
        <v>192</v>
      </c>
      <c r="I502" s="141" t="n">
        <v>45273</v>
      </c>
      <c r="J502" s="66" t="n">
        <v>12</v>
      </c>
      <c r="K502" s="143" t="s">
        <v>49</v>
      </c>
      <c r="L502" s="142" t="s">
        <v>60</v>
      </c>
      <c r="M502" s="66" t="n">
        <f aca="false">I502-D502</f>
        <v>2365</v>
      </c>
    </row>
    <row r="503" customFormat="false" ht="12.75" hidden="false" customHeight="true" outlineLevel="0" collapsed="false">
      <c r="A503" s="148" t="n">
        <v>31223</v>
      </c>
      <c r="B503" s="149" t="s">
        <v>8045</v>
      </c>
      <c r="C503" s="149" t="n">
        <v>2016</v>
      </c>
      <c r="D503" s="150" t="n">
        <v>42723</v>
      </c>
      <c r="E503" s="68" t="s">
        <v>8046</v>
      </c>
      <c r="F503" s="151" t="s">
        <v>1357</v>
      </c>
      <c r="G503" s="68" t="s">
        <v>441</v>
      </c>
      <c r="H503" s="151" t="s">
        <v>263</v>
      </c>
      <c r="I503" s="150" t="n">
        <v>45273</v>
      </c>
      <c r="J503" s="68" t="n">
        <v>12</v>
      </c>
      <c r="K503" s="143" t="s">
        <v>48</v>
      </c>
      <c r="L503" s="151" t="s">
        <v>58</v>
      </c>
      <c r="M503" s="68" t="n">
        <f aca="false">I503-D503</f>
        <v>2550</v>
      </c>
    </row>
    <row r="504" customFormat="false" ht="12.75" hidden="false" customHeight="true" outlineLevel="0" collapsed="false">
      <c r="A504" s="139" t="n">
        <v>31323</v>
      </c>
      <c r="B504" s="140" t="s">
        <v>8047</v>
      </c>
      <c r="C504" s="140" t="n">
        <v>2016</v>
      </c>
      <c r="D504" s="141" t="n">
        <v>42587</v>
      </c>
      <c r="E504" s="66" t="s">
        <v>8048</v>
      </c>
      <c r="F504" s="142" t="s">
        <v>4956</v>
      </c>
      <c r="G504" s="66" t="s">
        <v>441</v>
      </c>
      <c r="H504" s="142" t="s">
        <v>263</v>
      </c>
      <c r="I504" s="141" t="n">
        <v>45273</v>
      </c>
      <c r="J504" s="66" t="n">
        <v>12</v>
      </c>
      <c r="K504" s="143" t="s">
        <v>49</v>
      </c>
      <c r="L504" s="142" t="s">
        <v>58</v>
      </c>
      <c r="M504" s="66" t="n">
        <f aca="false">I504-D504</f>
        <v>2686</v>
      </c>
    </row>
    <row r="505" customFormat="false" ht="12.75" hidden="false" customHeight="true" outlineLevel="0" collapsed="false">
      <c r="A505" s="148" t="n">
        <v>31423</v>
      </c>
      <c r="B505" s="149" t="s">
        <v>8049</v>
      </c>
      <c r="C505" s="149" t="n">
        <v>2023</v>
      </c>
      <c r="D505" s="150" t="n">
        <v>45030</v>
      </c>
      <c r="E505" s="68" t="s">
        <v>8050</v>
      </c>
      <c r="F505" s="151" t="s">
        <v>6278</v>
      </c>
      <c r="G505" s="68" t="s">
        <v>125</v>
      </c>
      <c r="H505" s="151" t="s">
        <v>54</v>
      </c>
      <c r="I505" s="150" t="n">
        <v>45273</v>
      </c>
      <c r="J505" s="68" t="n">
        <v>12</v>
      </c>
      <c r="K505" s="169" t="s">
        <v>290</v>
      </c>
      <c r="L505" s="151" t="s">
        <v>61</v>
      </c>
      <c r="M505" s="68" t="n">
        <f aca="false">I505-D505</f>
        <v>243</v>
      </c>
    </row>
    <row r="506" customFormat="false" ht="12.75" hidden="false" customHeight="true" outlineLevel="0" collapsed="false">
      <c r="A506" s="139" t="n">
        <v>31523</v>
      </c>
      <c r="B506" s="140" t="s">
        <v>8051</v>
      </c>
      <c r="C506" s="140" t="n">
        <v>2023</v>
      </c>
      <c r="D506" s="141" t="n">
        <v>45042</v>
      </c>
      <c r="E506" s="66" t="s">
        <v>8052</v>
      </c>
      <c r="F506" s="142" t="s">
        <v>8053</v>
      </c>
      <c r="G506" s="66" t="s">
        <v>130</v>
      </c>
      <c r="H506" s="142" t="s">
        <v>8054</v>
      </c>
      <c r="I506" s="141" t="n">
        <v>45273</v>
      </c>
      <c r="J506" s="66" t="n">
        <v>12</v>
      </c>
      <c r="K506" s="143" t="s">
        <v>49</v>
      </c>
      <c r="L506" s="142" t="s">
        <v>61</v>
      </c>
      <c r="M506" s="66" t="n">
        <f aca="false">I506-D506</f>
        <v>231</v>
      </c>
    </row>
    <row r="507" customFormat="false" ht="12.75" hidden="false" customHeight="true" outlineLevel="0" collapsed="false">
      <c r="A507" s="148" t="n">
        <v>31623</v>
      </c>
      <c r="B507" s="149" t="s">
        <v>8055</v>
      </c>
      <c r="C507" s="149" t="n">
        <v>2023</v>
      </c>
      <c r="D507" s="150" t="n">
        <v>44938</v>
      </c>
      <c r="E507" s="68" t="s">
        <v>8056</v>
      </c>
      <c r="F507" s="151" t="s">
        <v>8057</v>
      </c>
      <c r="G507" s="68" t="s">
        <v>125</v>
      </c>
      <c r="H507" s="151" t="s">
        <v>7458</v>
      </c>
      <c r="I507" s="150" t="n">
        <v>45273</v>
      </c>
      <c r="J507" s="68" t="n">
        <v>12</v>
      </c>
      <c r="K507" s="169" t="s">
        <v>290</v>
      </c>
      <c r="L507" s="151" t="s">
        <v>61</v>
      </c>
      <c r="M507" s="68" t="n">
        <f aca="false">I507-D507</f>
        <v>335</v>
      </c>
    </row>
    <row r="508" customFormat="false" ht="12.75" hidden="false" customHeight="true" outlineLevel="0" collapsed="false">
      <c r="A508" s="139" t="n">
        <v>31723</v>
      </c>
      <c r="B508" s="140" t="s">
        <v>8058</v>
      </c>
      <c r="C508" s="140" t="n">
        <v>2023</v>
      </c>
      <c r="D508" s="141" t="n">
        <v>44995</v>
      </c>
      <c r="E508" s="66" t="s">
        <v>8059</v>
      </c>
      <c r="F508" s="168" t="s">
        <v>8060</v>
      </c>
      <c r="G508" s="66" t="s">
        <v>125</v>
      </c>
      <c r="H508" s="142" t="s">
        <v>149</v>
      </c>
      <c r="I508" s="141" t="n">
        <v>45273</v>
      </c>
      <c r="J508" s="66" t="n">
        <v>12</v>
      </c>
      <c r="K508" s="169" t="s">
        <v>290</v>
      </c>
      <c r="L508" s="142" t="s">
        <v>61</v>
      </c>
      <c r="M508" s="66" t="n">
        <f aca="false">I508-D508</f>
        <v>278</v>
      </c>
    </row>
    <row r="509" customFormat="false" ht="12.75" hidden="false" customHeight="true" outlineLevel="0" collapsed="false">
      <c r="A509" s="148" t="n">
        <v>31823</v>
      </c>
      <c r="B509" s="149" t="s">
        <v>8061</v>
      </c>
      <c r="C509" s="149" t="n">
        <v>2023</v>
      </c>
      <c r="D509" s="150" t="n">
        <v>44980</v>
      </c>
      <c r="E509" s="68" t="s">
        <v>8062</v>
      </c>
      <c r="F509" s="151" t="s">
        <v>8063</v>
      </c>
      <c r="G509" s="68" t="s">
        <v>125</v>
      </c>
      <c r="H509" s="151" t="s">
        <v>3893</v>
      </c>
      <c r="I509" s="150" t="n">
        <v>45273</v>
      </c>
      <c r="J509" s="68" t="n">
        <v>12</v>
      </c>
      <c r="K509" s="143" t="s">
        <v>49</v>
      </c>
      <c r="L509" s="151" t="s">
        <v>61</v>
      </c>
      <c r="M509" s="68" t="n">
        <f aca="false">I509-D509</f>
        <v>293</v>
      </c>
    </row>
    <row r="510" customFormat="false" ht="12.75" hidden="false" customHeight="true" outlineLevel="0" collapsed="false">
      <c r="A510" s="139" t="n">
        <v>31923</v>
      </c>
      <c r="B510" s="140" t="s">
        <v>8064</v>
      </c>
      <c r="C510" s="140" t="n">
        <v>2023</v>
      </c>
      <c r="D510" s="141" t="n">
        <v>44971</v>
      </c>
      <c r="E510" s="66" t="s">
        <v>8065</v>
      </c>
      <c r="F510" s="142" t="s">
        <v>8066</v>
      </c>
      <c r="G510" s="66" t="s">
        <v>125</v>
      </c>
      <c r="H510" s="142" t="s">
        <v>8067</v>
      </c>
      <c r="I510" s="141" t="n">
        <v>45273</v>
      </c>
      <c r="J510" s="66" t="n">
        <v>12</v>
      </c>
      <c r="K510" s="143" t="s">
        <v>49</v>
      </c>
      <c r="L510" s="142" t="s">
        <v>61</v>
      </c>
      <c r="M510" s="66" t="n">
        <f aca="false">I510-D510</f>
        <v>302</v>
      </c>
    </row>
    <row r="511" customFormat="false" ht="12.75" hidden="false" customHeight="true" outlineLevel="0" collapsed="false">
      <c r="A511" s="148" t="n">
        <v>32023</v>
      </c>
      <c r="B511" s="149" t="s">
        <v>8068</v>
      </c>
      <c r="C511" s="149" t="n">
        <v>2023</v>
      </c>
      <c r="D511" s="150" t="n">
        <v>44974</v>
      </c>
      <c r="E511" s="68" t="s">
        <v>8069</v>
      </c>
      <c r="F511" s="151" t="s">
        <v>8070</v>
      </c>
      <c r="G511" s="68" t="s">
        <v>125</v>
      </c>
      <c r="H511" s="151" t="s">
        <v>8071</v>
      </c>
      <c r="I511" s="150" t="n">
        <v>45273</v>
      </c>
      <c r="J511" s="68" t="n">
        <v>12</v>
      </c>
      <c r="K511" s="169" t="s">
        <v>290</v>
      </c>
      <c r="L511" s="151" t="s">
        <v>61</v>
      </c>
      <c r="M511" s="68" t="n">
        <f aca="false">I511-D511</f>
        <v>299</v>
      </c>
    </row>
    <row r="512" customFormat="false" ht="12.75" hidden="false" customHeight="true" outlineLevel="0" collapsed="false">
      <c r="A512" s="139" t="n">
        <v>32123</v>
      </c>
      <c r="B512" s="140" t="s">
        <v>8072</v>
      </c>
      <c r="C512" s="140" t="n">
        <v>2016</v>
      </c>
      <c r="D512" s="141" t="n">
        <v>42597</v>
      </c>
      <c r="E512" s="66" t="s">
        <v>8073</v>
      </c>
      <c r="F512" s="142" t="s">
        <v>1357</v>
      </c>
      <c r="G512" s="66" t="s">
        <v>441</v>
      </c>
      <c r="H512" s="142" t="s">
        <v>706</v>
      </c>
      <c r="I512" s="141" t="n">
        <v>45273</v>
      </c>
      <c r="J512" s="66" t="n">
        <v>12</v>
      </c>
      <c r="K512" s="143" t="s">
        <v>48</v>
      </c>
      <c r="L512" s="142" t="s">
        <v>60</v>
      </c>
      <c r="M512" s="66" t="n">
        <f aca="false">I512-D512</f>
        <v>2676</v>
      </c>
    </row>
    <row r="513" customFormat="false" ht="12.75" hidden="false" customHeight="true" outlineLevel="0" collapsed="false">
      <c r="A513" s="148" t="n">
        <v>32223</v>
      </c>
      <c r="B513" s="149" t="s">
        <v>8074</v>
      </c>
      <c r="C513" s="149" t="n">
        <v>2016</v>
      </c>
      <c r="D513" s="150" t="n">
        <v>42604</v>
      </c>
      <c r="E513" s="68" t="s">
        <v>8075</v>
      </c>
      <c r="F513" s="151" t="s">
        <v>1357</v>
      </c>
      <c r="G513" s="68" t="s">
        <v>441</v>
      </c>
      <c r="H513" s="151" t="s">
        <v>706</v>
      </c>
      <c r="I513" s="150" t="n">
        <v>45273</v>
      </c>
      <c r="J513" s="68" t="n">
        <v>12</v>
      </c>
      <c r="K513" s="143" t="s">
        <v>48</v>
      </c>
      <c r="L513" s="151" t="s">
        <v>60</v>
      </c>
      <c r="M513" s="68" t="n">
        <f aca="false">I513-D513</f>
        <v>2669</v>
      </c>
    </row>
    <row r="514" customFormat="false" ht="12.75" hidden="false" customHeight="true" outlineLevel="0" collapsed="false">
      <c r="A514" s="139" t="n">
        <v>32323</v>
      </c>
      <c r="B514" s="140" t="s">
        <v>8076</v>
      </c>
      <c r="C514" s="140" t="n">
        <v>2018</v>
      </c>
      <c r="D514" s="141" t="n">
        <v>43306</v>
      </c>
      <c r="E514" s="66" t="s">
        <v>8077</v>
      </c>
      <c r="F514" s="142" t="s">
        <v>1890</v>
      </c>
      <c r="G514" s="66" t="s">
        <v>441</v>
      </c>
      <c r="H514" s="142" t="s">
        <v>706</v>
      </c>
      <c r="I514" s="141" t="n">
        <v>45273</v>
      </c>
      <c r="J514" s="66" t="n">
        <v>12</v>
      </c>
      <c r="K514" s="143" t="s">
        <v>49</v>
      </c>
      <c r="L514" s="142" t="s">
        <v>58</v>
      </c>
      <c r="M514" s="66" t="n">
        <f aca="false">I514-D514</f>
        <v>1967</v>
      </c>
    </row>
    <row r="515" customFormat="false" ht="12.75" hidden="false" customHeight="true" outlineLevel="0" collapsed="false">
      <c r="A515" s="148" t="n">
        <v>32423</v>
      </c>
      <c r="B515" s="149" t="s">
        <v>8078</v>
      </c>
      <c r="C515" s="149" t="n">
        <v>2023</v>
      </c>
      <c r="D515" s="150" t="n">
        <v>44967</v>
      </c>
      <c r="E515" s="68" t="s">
        <v>8079</v>
      </c>
      <c r="F515" s="151" t="s">
        <v>7925</v>
      </c>
      <c r="G515" s="68" t="s">
        <v>125</v>
      </c>
      <c r="H515" s="151" t="s">
        <v>54</v>
      </c>
      <c r="I515" s="150" t="n">
        <v>45273</v>
      </c>
      <c r="J515" s="68" t="n">
        <v>12</v>
      </c>
      <c r="K515" s="143" t="s">
        <v>49</v>
      </c>
      <c r="L515" s="151" t="s">
        <v>61</v>
      </c>
      <c r="M515" s="68" t="n">
        <f aca="false">I515-D515</f>
        <v>306</v>
      </c>
    </row>
    <row r="516" customFormat="false" ht="12.75" hidden="false" customHeight="true" outlineLevel="0" collapsed="false">
      <c r="A516" s="139" t="n">
        <v>32523</v>
      </c>
      <c r="B516" s="140" t="s">
        <v>8080</v>
      </c>
      <c r="C516" s="140" t="n">
        <v>2023</v>
      </c>
      <c r="D516" s="141" t="n">
        <v>45029</v>
      </c>
      <c r="E516" s="66" t="s">
        <v>8081</v>
      </c>
      <c r="F516" s="142" t="s">
        <v>8082</v>
      </c>
      <c r="G516" s="66" t="s">
        <v>125</v>
      </c>
      <c r="H516" s="142" t="s">
        <v>54</v>
      </c>
      <c r="I516" s="141" t="n">
        <v>45273</v>
      </c>
      <c r="J516" s="66" t="n">
        <v>12</v>
      </c>
      <c r="K516" s="143" t="s">
        <v>49</v>
      </c>
      <c r="L516" s="142" t="s">
        <v>61</v>
      </c>
      <c r="M516" s="66" t="n">
        <f aca="false">I516-D516</f>
        <v>244</v>
      </c>
    </row>
    <row r="517" customFormat="false" ht="12.75" hidden="false" customHeight="true" outlineLevel="0" collapsed="false">
      <c r="A517" s="148" t="n">
        <v>32623</v>
      </c>
      <c r="B517" s="149" t="s">
        <v>8083</v>
      </c>
      <c r="C517" s="149" t="n">
        <v>2022</v>
      </c>
      <c r="D517" s="150" t="n">
        <v>44897</v>
      </c>
      <c r="E517" s="68" t="s">
        <v>8084</v>
      </c>
      <c r="F517" s="151" t="s">
        <v>8085</v>
      </c>
      <c r="G517" s="68" t="s">
        <v>125</v>
      </c>
      <c r="H517" s="151" t="s">
        <v>54</v>
      </c>
      <c r="I517" s="150" t="n">
        <v>45273</v>
      </c>
      <c r="J517" s="68" t="n">
        <v>12</v>
      </c>
      <c r="K517" s="143" t="s">
        <v>49</v>
      </c>
      <c r="L517" s="151" t="s">
        <v>61</v>
      </c>
      <c r="M517" s="68" t="n">
        <f aca="false">I517-D517</f>
        <v>376</v>
      </c>
    </row>
    <row r="518" customFormat="false" ht="12.75" hidden="false" customHeight="true" outlineLevel="0" collapsed="false">
      <c r="A518" s="139" t="n">
        <v>32723</v>
      </c>
      <c r="B518" s="140" t="s">
        <v>8086</v>
      </c>
      <c r="C518" s="140" t="n">
        <v>2022</v>
      </c>
      <c r="D518" s="141" t="n">
        <v>44874</v>
      </c>
      <c r="E518" s="66" t="s">
        <v>8087</v>
      </c>
      <c r="F518" s="142" t="s">
        <v>8088</v>
      </c>
      <c r="G518" s="66" t="s">
        <v>125</v>
      </c>
      <c r="H518" s="142" t="s">
        <v>54</v>
      </c>
      <c r="I518" s="141" t="n">
        <v>45273</v>
      </c>
      <c r="J518" s="66" t="n">
        <v>12</v>
      </c>
      <c r="K518" s="143" t="s">
        <v>49</v>
      </c>
      <c r="L518" s="142" t="s">
        <v>61</v>
      </c>
      <c r="M518" s="66" t="n">
        <f aca="false">I518-D518</f>
        <v>399</v>
      </c>
    </row>
    <row r="519" customFormat="false" ht="12.75" hidden="false" customHeight="true" outlineLevel="0" collapsed="false">
      <c r="A519" s="148" t="n">
        <v>32823</v>
      </c>
      <c r="B519" s="149" t="s">
        <v>8089</v>
      </c>
      <c r="C519" s="149" t="n">
        <v>2016</v>
      </c>
      <c r="D519" s="150" t="n">
        <v>42601</v>
      </c>
      <c r="E519" s="68" t="s">
        <v>8090</v>
      </c>
      <c r="F519" s="151" t="s">
        <v>699</v>
      </c>
      <c r="G519" s="68" t="s">
        <v>441</v>
      </c>
      <c r="H519" s="151" t="s">
        <v>5907</v>
      </c>
      <c r="I519" s="150" t="n">
        <v>45273</v>
      </c>
      <c r="J519" s="68" t="n">
        <v>12</v>
      </c>
      <c r="K519" s="143" t="s">
        <v>49</v>
      </c>
      <c r="L519" s="151" t="s">
        <v>60</v>
      </c>
      <c r="M519" s="68" t="n">
        <f aca="false">I519-D519</f>
        <v>2672</v>
      </c>
    </row>
    <row r="520" customFormat="false" ht="12.75" hidden="false" customHeight="true" outlineLevel="0" collapsed="false">
      <c r="A520" s="139" t="n">
        <v>32923</v>
      </c>
      <c r="B520" s="140" t="s">
        <v>8091</v>
      </c>
      <c r="C520" s="140" t="n">
        <v>2020</v>
      </c>
      <c r="D520" s="141" t="n">
        <v>44102</v>
      </c>
      <c r="E520" s="66" t="s">
        <v>8092</v>
      </c>
      <c r="F520" s="142" t="s">
        <v>467</v>
      </c>
      <c r="G520" s="66" t="s">
        <v>441</v>
      </c>
      <c r="H520" s="142" t="s">
        <v>8093</v>
      </c>
      <c r="I520" s="141" t="n">
        <v>45273</v>
      </c>
      <c r="J520" s="66" t="n">
        <v>12</v>
      </c>
      <c r="K520" s="143" t="s">
        <v>49</v>
      </c>
      <c r="L520" s="142" t="s">
        <v>61</v>
      </c>
      <c r="M520" s="66" t="n">
        <f aca="false">I520-D520</f>
        <v>1171</v>
      </c>
    </row>
    <row r="521" customFormat="false" ht="12.75" hidden="false" customHeight="true" outlineLevel="0" collapsed="false">
      <c r="A521" s="148" t="n">
        <v>33023</v>
      </c>
      <c r="B521" s="149" t="s">
        <v>8094</v>
      </c>
      <c r="C521" s="149" t="n">
        <v>2018</v>
      </c>
      <c r="D521" s="150" t="n">
        <v>43202</v>
      </c>
      <c r="E521" s="68" t="s">
        <v>8095</v>
      </c>
      <c r="F521" s="151" t="s">
        <v>8096</v>
      </c>
      <c r="G521" s="68" t="s">
        <v>441</v>
      </c>
      <c r="H521" s="151" t="s">
        <v>263</v>
      </c>
      <c r="I521" s="150" t="n">
        <v>45273</v>
      </c>
      <c r="J521" s="68" t="n">
        <v>12</v>
      </c>
      <c r="K521" s="143" t="s">
        <v>49</v>
      </c>
      <c r="L521" s="151" t="s">
        <v>60</v>
      </c>
      <c r="M521" s="68" t="n">
        <f aca="false">I521-D521</f>
        <v>2071</v>
      </c>
    </row>
    <row r="522" customFormat="false" ht="12.75" hidden="false" customHeight="true" outlineLevel="0" collapsed="false">
      <c r="A522" s="139" t="n">
        <v>33123</v>
      </c>
      <c r="B522" s="140" t="s">
        <v>8097</v>
      </c>
      <c r="C522" s="140" t="n">
        <v>2018</v>
      </c>
      <c r="D522" s="141" t="n">
        <v>43367</v>
      </c>
      <c r="E522" s="66" t="s">
        <v>8098</v>
      </c>
      <c r="F522" s="142" t="s">
        <v>512</v>
      </c>
      <c r="G522" s="66" t="s">
        <v>441</v>
      </c>
      <c r="H522" s="142" t="s">
        <v>192</v>
      </c>
      <c r="I522" s="141" t="n">
        <v>45273</v>
      </c>
      <c r="J522" s="66" t="n">
        <v>12</v>
      </c>
      <c r="K522" s="143" t="s">
        <v>49</v>
      </c>
      <c r="L522" s="142" t="s">
        <v>60</v>
      </c>
      <c r="M522" s="66" t="n">
        <f aca="false">I522-D522</f>
        <v>1906</v>
      </c>
    </row>
    <row r="523" customFormat="false" ht="12.75" hidden="false" customHeight="true" outlineLevel="0" collapsed="false">
      <c r="A523" s="148" t="n">
        <v>33223</v>
      </c>
      <c r="B523" s="149" t="s">
        <v>8099</v>
      </c>
      <c r="C523" s="149" t="n">
        <v>2016</v>
      </c>
      <c r="D523" s="150" t="n">
        <v>42732</v>
      </c>
      <c r="E523" s="68" t="s">
        <v>8100</v>
      </c>
      <c r="F523" s="151" t="s">
        <v>8101</v>
      </c>
      <c r="G523" s="68" t="s">
        <v>441</v>
      </c>
      <c r="H523" s="151" t="s">
        <v>223</v>
      </c>
      <c r="I523" s="150" t="n">
        <v>45274</v>
      </c>
      <c r="J523" s="68" t="n">
        <v>12</v>
      </c>
      <c r="K523" s="143" t="s">
        <v>49</v>
      </c>
      <c r="L523" s="151" t="s">
        <v>58</v>
      </c>
      <c r="M523" s="68" t="n">
        <f aca="false">I523-D523</f>
        <v>2542</v>
      </c>
    </row>
    <row r="524" customFormat="false" ht="12.75" hidden="false" customHeight="true" outlineLevel="0" collapsed="false">
      <c r="A524" s="139" t="n">
        <v>33323</v>
      </c>
      <c r="B524" s="140" t="s">
        <v>8102</v>
      </c>
      <c r="C524" s="140" t="n">
        <v>2014</v>
      </c>
      <c r="D524" s="141" t="n">
        <v>42807</v>
      </c>
      <c r="E524" s="66" t="s">
        <v>8103</v>
      </c>
      <c r="F524" s="142" t="s">
        <v>823</v>
      </c>
      <c r="G524" s="66" t="s">
        <v>441</v>
      </c>
      <c r="H524" s="142" t="s">
        <v>706</v>
      </c>
      <c r="I524" s="141" t="n">
        <v>45274</v>
      </c>
      <c r="J524" s="66" t="n">
        <v>12</v>
      </c>
      <c r="K524" s="143" t="s">
        <v>49</v>
      </c>
      <c r="L524" s="142" t="s">
        <v>60</v>
      </c>
      <c r="M524" s="66" t="n">
        <f aca="false">I524-D524</f>
        <v>2467</v>
      </c>
    </row>
    <row r="525" customFormat="false" ht="12.75" hidden="false" customHeight="true" outlineLevel="0" collapsed="false">
      <c r="A525" s="148" t="n">
        <v>33423</v>
      </c>
      <c r="B525" s="149" t="s">
        <v>8104</v>
      </c>
      <c r="C525" s="149" t="n">
        <v>2016</v>
      </c>
      <c r="D525" s="150" t="n">
        <v>42592</v>
      </c>
      <c r="E525" s="68" t="s">
        <v>8105</v>
      </c>
      <c r="F525" s="151" t="s">
        <v>1357</v>
      </c>
      <c r="G525" s="68" t="s">
        <v>441</v>
      </c>
      <c r="H525" s="151" t="s">
        <v>706</v>
      </c>
      <c r="I525" s="150" t="n">
        <v>45274</v>
      </c>
      <c r="J525" s="68" t="n">
        <v>12</v>
      </c>
      <c r="K525" s="143" t="s">
        <v>48</v>
      </c>
      <c r="L525" s="151" t="s">
        <v>60</v>
      </c>
      <c r="M525" s="68" t="n">
        <f aca="false">I525-D525</f>
        <v>2682</v>
      </c>
    </row>
    <row r="526" customFormat="false" ht="12.75" hidden="false" customHeight="true" outlineLevel="0" collapsed="false">
      <c r="A526" s="446" t="n">
        <v>33523</v>
      </c>
      <c r="B526" s="140" t="s">
        <v>8106</v>
      </c>
      <c r="C526" s="140" t="n">
        <v>2019</v>
      </c>
      <c r="D526" s="141" t="n">
        <v>43518</v>
      </c>
      <c r="E526" s="66" t="s">
        <v>8107</v>
      </c>
      <c r="F526" s="142" t="s">
        <v>5851</v>
      </c>
      <c r="G526" s="66" t="s">
        <v>144</v>
      </c>
      <c r="H526" s="142" t="s">
        <v>544</v>
      </c>
      <c r="I526" s="141" t="n">
        <v>45273</v>
      </c>
      <c r="J526" s="66" t="n">
        <v>12</v>
      </c>
      <c r="K526" s="445" t="s">
        <v>43</v>
      </c>
      <c r="L526" s="142" t="s">
        <v>60</v>
      </c>
      <c r="M526" s="66" t="n">
        <f aca="false">I526-D526</f>
        <v>1755</v>
      </c>
    </row>
    <row r="527" customFormat="false" ht="12.75" hidden="false" customHeight="true" outlineLevel="0" collapsed="false">
      <c r="A527" s="447" t="n">
        <v>33623</v>
      </c>
      <c r="B527" s="194" t="s">
        <v>8108</v>
      </c>
      <c r="C527" s="149" t="n">
        <v>2023</v>
      </c>
      <c r="D527" s="150" t="n">
        <v>45044</v>
      </c>
      <c r="E527" s="68" t="s">
        <v>8109</v>
      </c>
      <c r="F527" s="440" t="s">
        <v>8110</v>
      </c>
      <c r="G527" s="68" t="s">
        <v>125</v>
      </c>
      <c r="H527" s="151" t="s">
        <v>54</v>
      </c>
      <c r="I527" s="150" t="n">
        <v>45274</v>
      </c>
      <c r="J527" s="68" t="n">
        <v>12</v>
      </c>
      <c r="K527" s="169" t="s">
        <v>290</v>
      </c>
      <c r="L527" s="151" t="s">
        <v>61</v>
      </c>
      <c r="M527" s="68" t="n">
        <f aca="false">I527-D527</f>
        <v>230</v>
      </c>
    </row>
    <row r="528" customFormat="false" ht="12.75" hidden="false" customHeight="true" outlineLevel="0" collapsed="false">
      <c r="A528" s="448" t="n">
        <v>33723</v>
      </c>
      <c r="B528" s="140" t="s">
        <v>8111</v>
      </c>
      <c r="C528" s="140" t="n">
        <v>2023</v>
      </c>
      <c r="D528" s="141" t="n">
        <v>44994</v>
      </c>
      <c r="E528" s="66" t="s">
        <v>8112</v>
      </c>
      <c r="F528" s="142" t="s">
        <v>8060</v>
      </c>
      <c r="G528" s="66" t="s">
        <v>125</v>
      </c>
      <c r="H528" s="142" t="s">
        <v>8113</v>
      </c>
      <c r="I528" s="141" t="n">
        <v>45274</v>
      </c>
      <c r="J528" s="66" t="n">
        <v>12</v>
      </c>
      <c r="K528" s="169" t="s">
        <v>290</v>
      </c>
      <c r="L528" s="142" t="s">
        <v>61</v>
      </c>
      <c r="M528" s="66" t="n">
        <f aca="false">I528-D528</f>
        <v>280</v>
      </c>
    </row>
    <row r="529" customFormat="false" ht="12.75" hidden="false" customHeight="true" outlineLevel="0" collapsed="false">
      <c r="A529" s="148" t="n">
        <v>33823</v>
      </c>
      <c r="B529" s="149" t="s">
        <v>8114</v>
      </c>
      <c r="C529" s="149" t="n">
        <v>2016</v>
      </c>
      <c r="D529" s="150" t="n">
        <v>42388</v>
      </c>
      <c r="E529" s="68" t="s">
        <v>8115</v>
      </c>
      <c r="F529" s="151" t="s">
        <v>1890</v>
      </c>
      <c r="G529" s="68" t="s">
        <v>441</v>
      </c>
      <c r="H529" s="151" t="s">
        <v>223</v>
      </c>
      <c r="I529" s="150" t="n">
        <v>45274</v>
      </c>
      <c r="J529" s="68" t="n">
        <v>12</v>
      </c>
      <c r="K529" s="143" t="s">
        <v>49</v>
      </c>
      <c r="L529" s="151" t="s">
        <v>58</v>
      </c>
      <c r="M529" s="68" t="n">
        <f aca="false">I529-D529</f>
        <v>2886</v>
      </c>
    </row>
    <row r="530" customFormat="false" ht="12.75" hidden="false" customHeight="true" outlineLevel="0" collapsed="false">
      <c r="A530" s="139" t="n">
        <v>33923</v>
      </c>
      <c r="B530" s="140" t="s">
        <v>8116</v>
      </c>
      <c r="C530" s="140" t="n">
        <v>2019</v>
      </c>
      <c r="D530" s="141" t="n">
        <v>43759</v>
      </c>
      <c r="E530" s="66" t="s">
        <v>8117</v>
      </c>
      <c r="F530" s="142" t="s">
        <v>467</v>
      </c>
      <c r="G530" s="66" t="s">
        <v>441</v>
      </c>
      <c r="H530" s="142" t="s">
        <v>706</v>
      </c>
      <c r="I530" s="141" t="n">
        <v>45279</v>
      </c>
      <c r="J530" s="66" t="n">
        <v>12</v>
      </c>
      <c r="K530" s="143" t="s">
        <v>49</v>
      </c>
      <c r="L530" s="142" t="s">
        <v>61</v>
      </c>
      <c r="M530" s="66" t="n">
        <f aca="false">I530-D530</f>
        <v>1520</v>
      </c>
    </row>
    <row r="531" customFormat="false" ht="12.75" hidden="false" customHeight="true" outlineLevel="0" collapsed="false">
      <c r="A531" s="148" t="n">
        <v>34023</v>
      </c>
      <c r="B531" s="149" t="s">
        <v>8118</v>
      </c>
      <c r="C531" s="149" t="n">
        <v>2015</v>
      </c>
      <c r="D531" s="150" t="n">
        <v>44272</v>
      </c>
      <c r="E531" s="68" t="s">
        <v>8119</v>
      </c>
      <c r="F531" s="151" t="s">
        <v>8120</v>
      </c>
      <c r="G531" s="68" t="s">
        <v>115</v>
      </c>
      <c r="H531" s="151" t="s">
        <v>1051</v>
      </c>
      <c r="I531" s="150" t="n">
        <v>45279</v>
      </c>
      <c r="J531" s="68" t="n">
        <v>12</v>
      </c>
      <c r="K531" s="143" t="s">
        <v>49</v>
      </c>
      <c r="L531" s="151" t="s">
        <v>60</v>
      </c>
      <c r="M531" s="68" t="n">
        <f aca="false">I531-D531</f>
        <v>1007</v>
      </c>
    </row>
    <row r="532" customFormat="false" ht="12.75" hidden="false" customHeight="true" outlineLevel="0" collapsed="false">
      <c r="A532" s="139" t="n">
        <v>34123</v>
      </c>
      <c r="B532" s="140" t="s">
        <v>8121</v>
      </c>
      <c r="C532" s="140" t="n">
        <v>2023</v>
      </c>
      <c r="D532" s="141" t="n">
        <v>44994</v>
      </c>
      <c r="E532" s="66" t="s">
        <v>8122</v>
      </c>
      <c r="F532" s="142" t="s">
        <v>8123</v>
      </c>
      <c r="G532" s="66" t="s">
        <v>125</v>
      </c>
      <c r="H532" s="142" t="s">
        <v>662</v>
      </c>
      <c r="I532" s="141" t="n">
        <v>45279</v>
      </c>
      <c r="J532" s="66" t="n">
        <v>12</v>
      </c>
      <c r="K532" s="143" t="s">
        <v>49</v>
      </c>
      <c r="L532" s="142" t="s">
        <v>61</v>
      </c>
      <c r="M532" s="66" t="n">
        <f aca="false">I532-D532</f>
        <v>285</v>
      </c>
    </row>
    <row r="533" customFormat="false" ht="12.75" hidden="false" customHeight="true" outlineLevel="0" collapsed="false">
      <c r="A533" s="148" t="n">
        <v>34223</v>
      </c>
      <c r="B533" s="149" t="s">
        <v>8124</v>
      </c>
      <c r="C533" s="149" t="n">
        <v>2023</v>
      </c>
      <c r="D533" s="150" t="n">
        <v>44995</v>
      </c>
      <c r="E533" s="68" t="s">
        <v>8125</v>
      </c>
      <c r="F533" s="151" t="s">
        <v>8126</v>
      </c>
      <c r="G533" s="68" t="s">
        <v>125</v>
      </c>
      <c r="H533" s="151" t="s">
        <v>662</v>
      </c>
      <c r="I533" s="150" t="n">
        <v>45279</v>
      </c>
      <c r="J533" s="68" t="n">
        <v>12</v>
      </c>
      <c r="K533" s="143" t="s">
        <v>49</v>
      </c>
      <c r="L533" s="151" t="s">
        <v>61</v>
      </c>
      <c r="M533" s="68" t="n">
        <f aca="false">I533-D533</f>
        <v>284</v>
      </c>
    </row>
    <row r="534" customFormat="false" ht="12.75" hidden="false" customHeight="true" outlineLevel="0" collapsed="false">
      <c r="A534" s="139" t="n">
        <v>34323</v>
      </c>
      <c r="B534" s="140" t="s">
        <v>8127</v>
      </c>
      <c r="C534" s="140" t="n">
        <v>2015</v>
      </c>
      <c r="D534" s="141" t="n">
        <v>42276</v>
      </c>
      <c r="E534" s="66" t="s">
        <v>8128</v>
      </c>
      <c r="F534" s="142" t="s">
        <v>8129</v>
      </c>
      <c r="G534" s="66" t="s">
        <v>115</v>
      </c>
      <c r="H534" s="142" t="s">
        <v>1063</v>
      </c>
      <c r="I534" s="141" t="n">
        <v>45279</v>
      </c>
      <c r="J534" s="66" t="n">
        <v>12</v>
      </c>
      <c r="K534" s="143" t="s">
        <v>49</v>
      </c>
      <c r="L534" s="142" t="s">
        <v>58</v>
      </c>
      <c r="M534" s="66" t="n">
        <f aca="false">I534-D534</f>
        <v>3003</v>
      </c>
    </row>
    <row r="535" customFormat="false" ht="12.75" hidden="false" customHeight="true" outlineLevel="0" collapsed="false">
      <c r="A535" s="148" t="n">
        <v>34423</v>
      </c>
      <c r="B535" s="149" t="s">
        <v>8130</v>
      </c>
      <c r="C535" s="149" t="n">
        <v>2016</v>
      </c>
      <c r="D535" s="150" t="n">
        <v>42545</v>
      </c>
      <c r="E535" s="68" t="s">
        <v>8131</v>
      </c>
      <c r="F535" s="151" t="s">
        <v>8129</v>
      </c>
      <c r="G535" s="68" t="s">
        <v>115</v>
      </c>
      <c r="H535" s="151" t="s">
        <v>1063</v>
      </c>
      <c r="I535" s="150" t="n">
        <v>45279</v>
      </c>
      <c r="J535" s="68" t="n">
        <v>12</v>
      </c>
      <c r="K535" s="143" t="s">
        <v>49</v>
      </c>
      <c r="L535" s="151" t="s">
        <v>58</v>
      </c>
      <c r="M535" s="68" t="n">
        <f aca="false">I535-D535</f>
        <v>2734</v>
      </c>
    </row>
    <row r="536" customFormat="false" ht="12.75" hidden="false" customHeight="true" outlineLevel="0" collapsed="false">
      <c r="A536" s="139" t="n">
        <v>34523</v>
      </c>
      <c r="B536" s="140" t="s">
        <v>8132</v>
      </c>
      <c r="C536" s="140" t="n">
        <v>2020</v>
      </c>
      <c r="D536" s="141" t="n">
        <v>44053</v>
      </c>
      <c r="E536" s="66" t="s">
        <v>8133</v>
      </c>
      <c r="F536" s="142" t="s">
        <v>8134</v>
      </c>
      <c r="G536" s="66" t="s">
        <v>441</v>
      </c>
      <c r="H536" s="142" t="s">
        <v>235</v>
      </c>
      <c r="I536" s="141" t="n">
        <v>45279</v>
      </c>
      <c r="J536" s="66" t="n">
        <v>12</v>
      </c>
      <c r="K536" s="197" t="s">
        <v>44</v>
      </c>
      <c r="L536" s="142" t="s">
        <v>58</v>
      </c>
      <c r="M536" s="66" t="n">
        <f aca="false">I536-D536</f>
        <v>1226</v>
      </c>
    </row>
    <row r="537" customFormat="false" ht="12.75" hidden="false" customHeight="true" outlineLevel="0" collapsed="false">
      <c r="A537" s="148" t="n">
        <v>34623</v>
      </c>
      <c r="B537" s="149" t="s">
        <v>8135</v>
      </c>
      <c r="C537" s="149" t="n">
        <v>2021</v>
      </c>
      <c r="D537" s="150" t="n">
        <v>44349</v>
      </c>
      <c r="E537" s="68" t="s">
        <v>8136</v>
      </c>
      <c r="F537" s="151" t="s">
        <v>1783</v>
      </c>
      <c r="G537" s="68" t="s">
        <v>441</v>
      </c>
      <c r="H537" s="151" t="s">
        <v>706</v>
      </c>
      <c r="I537" s="150" t="n">
        <v>45279</v>
      </c>
      <c r="J537" s="68" t="n">
        <v>12</v>
      </c>
      <c r="K537" s="143" t="s">
        <v>48</v>
      </c>
      <c r="L537" s="151" t="s">
        <v>60</v>
      </c>
      <c r="M537" s="68" t="n">
        <f aca="false">I537-D537</f>
        <v>930</v>
      </c>
    </row>
    <row r="538" customFormat="false" ht="12.75" hidden="false" customHeight="true" outlineLevel="0" collapsed="false">
      <c r="A538" s="139" t="n">
        <v>34723</v>
      </c>
      <c r="B538" s="140" t="s">
        <v>8137</v>
      </c>
      <c r="C538" s="140" t="n">
        <v>2022</v>
      </c>
      <c r="D538" s="141" t="n">
        <v>44575</v>
      </c>
      <c r="E538" s="66" t="s">
        <v>8138</v>
      </c>
      <c r="F538" s="142" t="s">
        <v>8139</v>
      </c>
      <c r="G538" s="66" t="s">
        <v>441</v>
      </c>
      <c r="H538" s="142" t="s">
        <v>2506</v>
      </c>
      <c r="I538" s="141" t="n">
        <v>45279</v>
      </c>
      <c r="J538" s="66" t="n">
        <v>12</v>
      </c>
      <c r="K538" s="143" t="s">
        <v>49</v>
      </c>
      <c r="L538" s="142" t="s">
        <v>58</v>
      </c>
      <c r="M538" s="66" t="n">
        <f aca="false">I538-D538</f>
        <v>704</v>
      </c>
    </row>
    <row r="539" customFormat="false" ht="12.75" hidden="false" customHeight="true" outlineLevel="0" collapsed="false">
      <c r="A539" s="148" t="n">
        <v>34823</v>
      </c>
      <c r="B539" s="149" t="s">
        <v>8140</v>
      </c>
      <c r="C539" s="149" t="n">
        <v>2021</v>
      </c>
      <c r="D539" s="150" t="n">
        <v>44512</v>
      </c>
      <c r="E539" s="68" t="s">
        <v>8141</v>
      </c>
      <c r="F539" s="151" t="s">
        <v>8142</v>
      </c>
      <c r="G539" s="68" t="s">
        <v>441</v>
      </c>
      <c r="H539" s="151" t="s">
        <v>697</v>
      </c>
      <c r="I539" s="150" t="n">
        <v>45280</v>
      </c>
      <c r="J539" s="68" t="n">
        <v>12</v>
      </c>
      <c r="K539" s="143" t="s">
        <v>49</v>
      </c>
      <c r="L539" s="151" t="s">
        <v>58</v>
      </c>
      <c r="M539" s="68" t="n">
        <f aca="false">I539-D539</f>
        <v>768</v>
      </c>
    </row>
    <row r="540" customFormat="false" ht="12.75" hidden="false" customHeight="true" outlineLevel="0" collapsed="false">
      <c r="A540" s="139" t="n">
        <v>34923</v>
      </c>
      <c r="B540" s="140" t="s">
        <v>8143</v>
      </c>
      <c r="C540" s="140" t="n">
        <v>2016</v>
      </c>
      <c r="D540" s="141" t="n">
        <v>42727</v>
      </c>
      <c r="E540" s="66" t="s">
        <v>8144</v>
      </c>
      <c r="F540" s="142" t="s">
        <v>8145</v>
      </c>
      <c r="G540" s="66" t="s">
        <v>441</v>
      </c>
      <c r="H540" s="142" t="s">
        <v>109</v>
      </c>
      <c r="I540" s="141" t="n">
        <v>45280</v>
      </c>
      <c r="J540" s="66" t="n">
        <v>12</v>
      </c>
      <c r="K540" s="143" t="s">
        <v>49</v>
      </c>
      <c r="L540" s="142" t="s">
        <v>60</v>
      </c>
      <c r="M540" s="66" t="n">
        <f aca="false">I540-D540</f>
        <v>2553</v>
      </c>
    </row>
    <row r="541" customFormat="false" ht="12.75" hidden="false" customHeight="true" outlineLevel="0" collapsed="false">
      <c r="A541" s="148" t="n">
        <v>35023</v>
      </c>
      <c r="B541" s="149" t="s">
        <v>8146</v>
      </c>
      <c r="C541" s="149" t="n">
        <v>2022</v>
      </c>
      <c r="D541" s="150" t="n">
        <v>44915</v>
      </c>
      <c r="E541" s="68" t="s">
        <v>8147</v>
      </c>
      <c r="F541" s="151" t="s">
        <v>8148</v>
      </c>
      <c r="G541" s="68" t="s">
        <v>125</v>
      </c>
      <c r="H541" s="151" t="s">
        <v>7710</v>
      </c>
      <c r="I541" s="150" t="n">
        <v>45282</v>
      </c>
      <c r="J541" s="68" t="n">
        <v>12</v>
      </c>
      <c r="K541" s="169" t="s">
        <v>290</v>
      </c>
      <c r="L541" s="151" t="s">
        <v>61</v>
      </c>
      <c r="M541" s="68" t="n">
        <f aca="false">I541-D541</f>
        <v>367</v>
      </c>
    </row>
    <row r="542" customFormat="false" ht="12.75" hidden="false" customHeight="true" outlineLevel="0" collapsed="false">
      <c r="A542" s="139" t="n">
        <v>35123</v>
      </c>
      <c r="B542" s="140" t="s">
        <v>8149</v>
      </c>
      <c r="C542" s="140" t="n">
        <v>2021</v>
      </c>
      <c r="D542" s="141" t="n">
        <v>44550</v>
      </c>
      <c r="E542" s="66" t="s">
        <v>8150</v>
      </c>
      <c r="F542" s="142" t="s">
        <v>8151</v>
      </c>
      <c r="G542" s="66" t="s">
        <v>441</v>
      </c>
      <c r="H542" s="142" t="s">
        <v>697</v>
      </c>
      <c r="I542" s="141" t="n">
        <v>45282</v>
      </c>
      <c r="J542" s="66" t="n">
        <v>12</v>
      </c>
      <c r="K542" s="143" t="s">
        <v>49</v>
      </c>
      <c r="L542" s="142" t="s">
        <v>58</v>
      </c>
      <c r="M542" s="66" t="n">
        <f aca="false">I542-D542</f>
        <v>732</v>
      </c>
    </row>
    <row r="543" customFormat="false" ht="12.75" hidden="false" customHeight="true" outlineLevel="0" collapsed="false">
      <c r="A543" s="148" t="n">
        <v>35223</v>
      </c>
      <c r="B543" s="149" t="s">
        <v>8152</v>
      </c>
      <c r="C543" s="149" t="n">
        <v>2015</v>
      </c>
      <c r="D543" s="150" t="n">
        <v>42325</v>
      </c>
      <c r="E543" s="68" t="s">
        <v>8153</v>
      </c>
      <c r="F543" s="151" t="s">
        <v>4463</v>
      </c>
      <c r="G543" s="68" t="s">
        <v>441</v>
      </c>
      <c r="H543" s="151" t="s">
        <v>706</v>
      </c>
      <c r="I543" s="150" t="n">
        <v>45282</v>
      </c>
      <c r="J543" s="68" t="n">
        <v>12</v>
      </c>
      <c r="K543" s="143" t="s">
        <v>48</v>
      </c>
      <c r="L543" s="151" t="s">
        <v>61</v>
      </c>
      <c r="M543" s="68" t="n">
        <f aca="false">I543-D543</f>
        <v>2957</v>
      </c>
    </row>
    <row r="544" customFormat="false" ht="12.75" hidden="false" customHeight="true" outlineLevel="0" collapsed="false">
      <c r="A544" s="139" t="n">
        <v>35323</v>
      </c>
      <c r="B544" s="140" t="s">
        <v>8154</v>
      </c>
      <c r="C544" s="140" t="n">
        <v>2020</v>
      </c>
      <c r="D544" s="141" t="n">
        <v>44159</v>
      </c>
      <c r="E544" s="66" t="s">
        <v>8155</v>
      </c>
      <c r="F544" s="142" t="s">
        <v>5727</v>
      </c>
      <c r="G544" s="66" t="s">
        <v>144</v>
      </c>
      <c r="H544" s="142" t="s">
        <v>7472</v>
      </c>
      <c r="I544" s="141" t="n">
        <v>45282</v>
      </c>
      <c r="J544" s="66" t="n">
        <v>12</v>
      </c>
      <c r="K544" s="143" t="s">
        <v>48</v>
      </c>
      <c r="L544" s="142" t="s">
        <v>58</v>
      </c>
      <c r="M544" s="66" t="n">
        <f aca="false">I544-D544</f>
        <v>1123</v>
      </c>
    </row>
    <row r="545" customFormat="false" ht="12.75" hidden="false" customHeight="true" outlineLevel="0" collapsed="false">
      <c r="A545" s="148" t="n">
        <v>35423</v>
      </c>
      <c r="B545" s="149" t="s">
        <v>8156</v>
      </c>
      <c r="C545" s="149" t="n">
        <v>2017</v>
      </c>
      <c r="D545" s="150" t="n">
        <v>43003</v>
      </c>
      <c r="E545" s="68" t="s">
        <v>8157</v>
      </c>
      <c r="F545" s="151" t="s">
        <v>1783</v>
      </c>
      <c r="G545" s="68" t="s">
        <v>441</v>
      </c>
      <c r="H545" s="151" t="s">
        <v>7615</v>
      </c>
      <c r="I545" s="150" t="n">
        <v>45282</v>
      </c>
      <c r="J545" s="68" t="n">
        <v>12</v>
      </c>
      <c r="K545" s="143" t="s">
        <v>48</v>
      </c>
      <c r="L545" s="151" t="s">
        <v>60</v>
      </c>
      <c r="M545" s="68" t="n">
        <f aca="false">I545-D545</f>
        <v>2279</v>
      </c>
    </row>
    <row r="546" customFormat="false" ht="12.75" hidden="false" customHeight="true" outlineLevel="0" collapsed="false">
      <c r="A546" s="139" t="n">
        <v>35523</v>
      </c>
      <c r="B546" s="140" t="s">
        <v>8158</v>
      </c>
      <c r="C546" s="140" t="n">
        <v>2023</v>
      </c>
      <c r="D546" s="141" t="n">
        <v>45005</v>
      </c>
      <c r="E546" s="66" t="s">
        <v>8159</v>
      </c>
      <c r="F546" s="142" t="s">
        <v>8160</v>
      </c>
      <c r="G546" s="66" t="s">
        <v>125</v>
      </c>
      <c r="H546" s="142" t="s">
        <v>149</v>
      </c>
      <c r="I546" s="141" t="n">
        <v>45288</v>
      </c>
      <c r="J546" s="66" t="n">
        <v>12</v>
      </c>
      <c r="K546" s="169" t="s">
        <v>290</v>
      </c>
      <c r="L546" s="142" t="s">
        <v>61</v>
      </c>
      <c r="M546" s="66" t="n">
        <f aca="false">I546-D546</f>
        <v>283</v>
      </c>
    </row>
    <row r="547" customFormat="false" ht="12.75" hidden="false" customHeight="true" outlineLevel="0" collapsed="false">
      <c r="A547" s="148" t="n">
        <v>35623</v>
      </c>
      <c r="B547" s="149" t="s">
        <v>8161</v>
      </c>
      <c r="C547" s="149" t="n">
        <v>2023</v>
      </c>
      <c r="D547" s="150" t="n">
        <v>45005</v>
      </c>
      <c r="E547" s="68" t="s">
        <v>8162</v>
      </c>
      <c r="F547" s="151" t="s">
        <v>8160</v>
      </c>
      <c r="G547" s="68" t="s">
        <v>125</v>
      </c>
      <c r="H547" s="151" t="s">
        <v>149</v>
      </c>
      <c r="I547" s="150" t="n">
        <v>45288</v>
      </c>
      <c r="J547" s="68" t="n">
        <v>12</v>
      </c>
      <c r="K547" s="169" t="s">
        <v>290</v>
      </c>
      <c r="L547" s="151" t="s">
        <v>61</v>
      </c>
      <c r="M547" s="68" t="n">
        <f aca="false">I547-D547</f>
        <v>283</v>
      </c>
    </row>
    <row r="548" customFormat="false" ht="12.75" hidden="false" customHeight="true" outlineLevel="0" collapsed="false">
      <c r="A548" s="139" t="n">
        <v>35723</v>
      </c>
      <c r="B548" s="140" t="s">
        <v>8163</v>
      </c>
      <c r="C548" s="140" t="n">
        <v>2015</v>
      </c>
      <c r="D548" s="141" t="n">
        <v>42137</v>
      </c>
      <c r="E548" s="66" t="s">
        <v>8164</v>
      </c>
      <c r="F548" s="142" t="s">
        <v>408</v>
      </c>
      <c r="G548" s="66" t="s">
        <v>144</v>
      </c>
      <c r="H548" s="142" t="s">
        <v>4438</v>
      </c>
      <c r="I548" s="141" t="n">
        <v>45288</v>
      </c>
      <c r="J548" s="66" t="n">
        <v>12</v>
      </c>
      <c r="K548" s="143" t="s">
        <v>48</v>
      </c>
      <c r="L548" s="142" t="s">
        <v>60</v>
      </c>
      <c r="M548" s="66" t="n">
        <f aca="false">I548-D548</f>
        <v>3151</v>
      </c>
    </row>
    <row r="549" customFormat="false" ht="12.75" hidden="false" customHeight="true" outlineLevel="0" collapsed="false">
      <c r="A549" s="148" t="n">
        <v>35823</v>
      </c>
      <c r="B549" s="149" t="s">
        <v>8165</v>
      </c>
      <c r="C549" s="149" t="n">
        <v>2017</v>
      </c>
      <c r="D549" s="150" t="n">
        <v>43082</v>
      </c>
      <c r="E549" s="68" t="s">
        <v>8166</v>
      </c>
      <c r="F549" s="151" t="s">
        <v>8167</v>
      </c>
      <c r="G549" s="68" t="s">
        <v>441</v>
      </c>
      <c r="H549" s="151" t="s">
        <v>3339</v>
      </c>
      <c r="I549" s="150" t="n">
        <v>45288</v>
      </c>
      <c r="J549" s="68" t="n">
        <v>12</v>
      </c>
      <c r="K549" s="143" t="s">
        <v>48</v>
      </c>
      <c r="L549" s="151" t="s">
        <v>58</v>
      </c>
      <c r="M549" s="68" t="n">
        <f aca="false">I549-D549</f>
        <v>2206</v>
      </c>
    </row>
    <row r="550" customFormat="false" ht="12.75" hidden="false" customHeight="true" outlineLevel="0" collapsed="false">
      <c r="A550" s="139" t="n">
        <v>35923</v>
      </c>
      <c r="B550" s="140" t="s">
        <v>8168</v>
      </c>
      <c r="C550" s="140" t="n">
        <v>2017</v>
      </c>
      <c r="D550" s="141" t="n">
        <v>43080</v>
      </c>
      <c r="E550" s="66" t="s">
        <v>8169</v>
      </c>
      <c r="F550" s="142" t="s">
        <v>467</v>
      </c>
      <c r="G550" s="66" t="s">
        <v>441</v>
      </c>
      <c r="H550" s="142" t="s">
        <v>192</v>
      </c>
      <c r="I550" s="141" t="n">
        <v>45288</v>
      </c>
      <c r="J550" s="66" t="n">
        <v>12</v>
      </c>
      <c r="K550" s="143" t="s">
        <v>49</v>
      </c>
      <c r="L550" s="142" t="s">
        <v>60</v>
      </c>
      <c r="M550" s="66" t="n">
        <f aca="false">I550-D550</f>
        <v>2208</v>
      </c>
    </row>
    <row r="551" customFormat="false" ht="12.75" hidden="false" customHeight="true" outlineLevel="0" collapsed="false">
      <c r="A551" s="148" t="n">
        <v>36023</v>
      </c>
      <c r="B551" s="149" t="s">
        <v>8170</v>
      </c>
      <c r="C551" s="149" t="n">
        <v>2015</v>
      </c>
      <c r="D551" s="150" t="n">
        <v>42349</v>
      </c>
      <c r="E551" s="68" t="s">
        <v>8171</v>
      </c>
      <c r="F551" s="151" t="s">
        <v>793</v>
      </c>
      <c r="G551" s="68" t="s">
        <v>441</v>
      </c>
      <c r="H551" s="151" t="s">
        <v>223</v>
      </c>
      <c r="I551" s="150" t="n">
        <v>45288</v>
      </c>
      <c r="J551" s="68" t="n">
        <v>12</v>
      </c>
      <c r="K551" s="143" t="s">
        <v>49</v>
      </c>
      <c r="L551" s="151" t="s">
        <v>60</v>
      </c>
      <c r="M551" s="68" t="n">
        <f aca="false">I551-D551</f>
        <v>2939</v>
      </c>
    </row>
    <row r="552" customFormat="false" ht="12.75" hidden="false" customHeight="true" outlineLevel="0" collapsed="false">
      <c r="A552" s="139" t="n">
        <v>36123</v>
      </c>
      <c r="B552" s="140" t="s">
        <v>8172</v>
      </c>
      <c r="C552" s="140" t="n">
        <v>2014</v>
      </c>
      <c r="D552" s="141" t="n">
        <v>41975</v>
      </c>
      <c r="E552" s="66" t="s">
        <v>8173</v>
      </c>
      <c r="F552" s="142" t="s">
        <v>1890</v>
      </c>
      <c r="G552" s="66" t="s">
        <v>441</v>
      </c>
      <c r="H552" s="142" t="s">
        <v>350</v>
      </c>
      <c r="I552" s="141" t="n">
        <v>45288</v>
      </c>
      <c r="J552" s="66" t="n">
        <v>12</v>
      </c>
      <c r="K552" s="143" t="s">
        <v>49</v>
      </c>
      <c r="L552" s="142" t="s">
        <v>58</v>
      </c>
      <c r="M552" s="66" t="n">
        <f aca="false">I552-D552</f>
        <v>3313</v>
      </c>
    </row>
    <row r="553" customFormat="false" ht="12.75" hidden="false" customHeight="true" outlineLevel="0" collapsed="false">
      <c r="A553" s="148" t="n">
        <v>36223</v>
      </c>
      <c r="B553" s="149" t="s">
        <v>8174</v>
      </c>
      <c r="C553" s="149" t="n">
        <v>2014</v>
      </c>
      <c r="D553" s="150" t="n">
        <v>41884</v>
      </c>
      <c r="E553" s="68" t="s">
        <v>8175</v>
      </c>
      <c r="F553" s="151" t="s">
        <v>1050</v>
      </c>
      <c r="G553" s="68" t="s">
        <v>115</v>
      </c>
      <c r="H553" s="151" t="s">
        <v>697</v>
      </c>
      <c r="I553" s="150" t="n">
        <v>45288</v>
      </c>
      <c r="J553" s="68" t="n">
        <v>12</v>
      </c>
      <c r="K553" s="143" t="s">
        <v>49</v>
      </c>
      <c r="L553" s="151" t="s">
        <v>60</v>
      </c>
      <c r="M553" s="68" t="n">
        <f aca="false">I553-D553</f>
        <v>3404</v>
      </c>
    </row>
    <row r="554" customFormat="false" ht="12.75" hidden="false" customHeight="true" outlineLevel="0" collapsed="false">
      <c r="A554" s="139" t="n">
        <v>36323</v>
      </c>
      <c r="B554" s="140" t="s">
        <v>8176</v>
      </c>
      <c r="C554" s="140" t="n">
        <v>2017</v>
      </c>
      <c r="D554" s="141" t="n">
        <v>42986</v>
      </c>
      <c r="E554" s="66" t="s">
        <v>8177</v>
      </c>
      <c r="F554" s="142" t="s">
        <v>8178</v>
      </c>
      <c r="G554" s="66" t="s">
        <v>441</v>
      </c>
      <c r="H554" s="142" t="s">
        <v>223</v>
      </c>
      <c r="I554" s="141" t="n">
        <v>45288</v>
      </c>
      <c r="J554" s="66" t="n">
        <v>12</v>
      </c>
      <c r="K554" s="143" t="s">
        <v>49</v>
      </c>
      <c r="L554" s="142" t="s">
        <v>58</v>
      </c>
      <c r="M554" s="66" t="n">
        <f aca="false">I554-D554</f>
        <v>2302</v>
      </c>
    </row>
    <row r="555" customFormat="false" ht="12.75" hidden="false" customHeight="true" outlineLevel="0" collapsed="false">
      <c r="A555" s="148" t="n">
        <v>36423</v>
      </c>
      <c r="B555" s="149" t="s">
        <v>8179</v>
      </c>
      <c r="C555" s="149" t="n">
        <v>2011</v>
      </c>
      <c r="D555" s="150" t="n">
        <v>40627</v>
      </c>
      <c r="E555" s="68" t="s">
        <v>8180</v>
      </c>
      <c r="F555" s="151" t="s">
        <v>365</v>
      </c>
      <c r="G555" s="68" t="s">
        <v>441</v>
      </c>
      <c r="H555" s="151" t="s">
        <v>639</v>
      </c>
      <c r="I555" s="150" t="n">
        <v>45288</v>
      </c>
      <c r="J555" s="68" t="n">
        <v>12</v>
      </c>
      <c r="K555" s="442" t="s">
        <v>47</v>
      </c>
      <c r="L555" s="151" t="s">
        <v>60</v>
      </c>
      <c r="M555" s="68" t="n">
        <f aca="false">I555-D555</f>
        <v>4661</v>
      </c>
    </row>
    <row r="556" customFormat="false" ht="12.75" hidden="false" customHeight="true" outlineLevel="0" collapsed="false">
      <c r="A556" s="139" t="n">
        <v>36523</v>
      </c>
      <c r="B556" s="140" t="s">
        <v>8181</v>
      </c>
      <c r="C556" s="140" t="n">
        <v>2017</v>
      </c>
      <c r="D556" s="141" t="n">
        <v>43087</v>
      </c>
      <c r="E556" s="66" t="s">
        <v>8182</v>
      </c>
      <c r="F556" s="142" t="s">
        <v>3865</v>
      </c>
      <c r="G556" s="66" t="s">
        <v>441</v>
      </c>
      <c r="H556" s="142" t="s">
        <v>223</v>
      </c>
      <c r="I556" s="141" t="n">
        <v>45288</v>
      </c>
      <c r="J556" s="66" t="n">
        <v>12</v>
      </c>
      <c r="K556" s="143" t="s">
        <v>49</v>
      </c>
      <c r="L556" s="142" t="s">
        <v>60</v>
      </c>
      <c r="M556" s="66" t="n">
        <f aca="false">I556-D556</f>
        <v>2201</v>
      </c>
    </row>
    <row r="557" customFormat="false" ht="12.75" hidden="false" customHeight="true" outlineLevel="0" collapsed="false"/>
    <row r="558" customFormat="false" ht="12.75" hidden="false" customHeight="true" outlineLevel="0" collapsed="false"/>
    <row r="559" customFormat="false" ht="12.75" hidden="false" customHeight="true" outlineLevel="0" collapsed="false"/>
    <row r="560" customFormat="false" ht="12.75" hidden="false" customHeight="true" outlineLevel="0" collapsed="false"/>
    <row r="561" customFormat="false" ht="12.75" hidden="false" customHeight="true" outlineLevel="0" collapsed="false"/>
    <row r="562" customFormat="false" ht="12.75" hidden="false" customHeight="true" outlineLevel="0" collapsed="false"/>
    <row r="563" customFormat="false" ht="12.75" hidden="false" customHeight="true" outlineLevel="0" collapsed="false"/>
    <row r="564" customFormat="false" ht="12.75" hidden="false" customHeight="true" outlineLevel="0" collapsed="false"/>
    <row r="565" customFormat="false" ht="12.75" hidden="false" customHeight="true" outlineLevel="0" collapsed="false"/>
    <row r="566" customFormat="false" ht="12.75" hidden="false" customHeight="true" outlineLevel="0" collapsed="false"/>
    <row r="567" customFormat="false" ht="12.75" hidden="false" customHeight="true" outlineLevel="0" collapsed="false"/>
    <row r="568" customFormat="false" ht="12.75" hidden="false" customHeight="true" outlineLevel="0" collapsed="false"/>
    <row r="569" customFormat="false" ht="12.75" hidden="false" customHeight="true" outlineLevel="0" collapsed="false"/>
    <row r="570" customFormat="false" ht="12.75" hidden="false" customHeight="true" outlineLevel="0" collapsed="false"/>
    <row r="571" customFormat="false" ht="12.75" hidden="false" customHeight="true" outlineLevel="0" collapsed="false"/>
    <row r="572" customFormat="false" ht="12.75" hidden="false" customHeight="true" outlineLevel="0" collapsed="false"/>
    <row r="573" customFormat="false" ht="12.75" hidden="false" customHeight="true" outlineLevel="0" collapsed="false"/>
    <row r="574" customFormat="false" ht="12.75" hidden="false" customHeight="true" outlineLevel="0" collapsed="false"/>
    <row r="575" customFormat="false" ht="12.75" hidden="false" customHeight="true" outlineLevel="0" collapsed="false"/>
    <row r="576" customFormat="false" ht="12.75" hidden="false" customHeight="true" outlineLevel="0" collapsed="false"/>
    <row r="577" customFormat="false" ht="12.75" hidden="false" customHeight="true" outlineLevel="0" collapsed="false"/>
    <row r="578" customFormat="false" ht="12.75" hidden="false" customHeight="true" outlineLevel="0" collapsed="false"/>
    <row r="579" customFormat="false" ht="12.75" hidden="false" customHeight="true" outlineLevel="0" collapsed="false"/>
    <row r="580" customFormat="false" ht="12.75" hidden="false" customHeight="true" outlineLevel="0" collapsed="false"/>
    <row r="581" customFormat="false" ht="12.75" hidden="false" customHeight="true" outlineLevel="0" collapsed="false"/>
    <row r="582" customFormat="false" ht="12.75" hidden="false" customHeight="true" outlineLevel="0" collapsed="false"/>
    <row r="583" customFormat="false" ht="12.75" hidden="false" customHeight="true" outlineLevel="0" collapsed="false"/>
    <row r="584" customFormat="false" ht="12.75" hidden="false" customHeight="true" outlineLevel="0" collapsed="false"/>
    <row r="585" customFormat="false" ht="12.75" hidden="false" customHeight="true" outlineLevel="0" collapsed="false"/>
    <row r="586" customFormat="false" ht="12.75" hidden="false" customHeight="true" outlineLevel="0" collapsed="false"/>
    <row r="587" customFormat="false" ht="12.75" hidden="false" customHeight="true" outlineLevel="0" collapsed="false"/>
    <row r="588" customFormat="false" ht="12.75" hidden="false" customHeight="true" outlineLevel="0" collapsed="false"/>
    <row r="589" customFormat="false" ht="12.75" hidden="false" customHeight="true" outlineLevel="0" collapsed="false"/>
    <row r="590" customFormat="false" ht="12.75" hidden="false" customHeight="true" outlineLevel="0" collapsed="false"/>
    <row r="591" customFormat="false" ht="12.75" hidden="false" customHeight="true" outlineLevel="0" collapsed="false"/>
    <row r="592" customFormat="false" ht="12.75" hidden="false" customHeight="true" outlineLevel="0" collapsed="false"/>
    <row r="593" customFormat="false" ht="12.75" hidden="false" customHeight="true" outlineLevel="0" collapsed="false"/>
    <row r="594" customFormat="false" ht="12.75" hidden="false" customHeight="true" outlineLevel="0" collapsed="false"/>
    <row r="595" customFormat="false" ht="12.75" hidden="false" customHeight="true" outlineLevel="0" collapsed="false"/>
    <row r="596" customFormat="false" ht="12.75" hidden="false" customHeight="true" outlineLevel="0" collapsed="false"/>
    <row r="597" customFormat="false" ht="12.75" hidden="false" customHeight="true" outlineLevel="0" collapsed="false"/>
    <row r="598" customFormat="false" ht="12.75" hidden="false" customHeight="true" outlineLevel="0" collapsed="false"/>
    <row r="599" customFormat="false" ht="12.75" hidden="false" customHeight="true" outlineLevel="0" collapsed="false"/>
    <row r="600" customFormat="false" ht="12.75" hidden="false" customHeight="true" outlineLevel="0" collapsed="false"/>
    <row r="601" customFormat="false" ht="12.75" hidden="false" customHeight="true" outlineLevel="0" collapsed="false"/>
    <row r="602" customFormat="false" ht="12.75" hidden="false" customHeight="true" outlineLevel="0" collapsed="false"/>
    <row r="603" customFormat="false" ht="12.75" hidden="false" customHeight="true" outlineLevel="0" collapsed="false"/>
    <row r="604" customFormat="false" ht="12.75" hidden="false" customHeight="true" outlineLevel="0" collapsed="false"/>
    <row r="605" customFormat="false" ht="12.75" hidden="false" customHeight="true" outlineLevel="0" collapsed="false"/>
    <row r="606" customFormat="false" ht="12.75" hidden="false" customHeight="true" outlineLevel="0" collapsed="false"/>
    <row r="607" customFormat="false" ht="12.75" hidden="false" customHeight="true" outlineLevel="0" collapsed="false"/>
    <row r="608" customFormat="false" ht="12.75" hidden="false" customHeight="true" outlineLevel="0" collapsed="false"/>
    <row r="609" customFormat="false" ht="12.75" hidden="false" customHeight="true" outlineLevel="0" collapsed="false"/>
    <row r="610" customFormat="false" ht="12.75" hidden="false" customHeight="true" outlineLevel="0" collapsed="false"/>
    <row r="611" customFormat="false" ht="12.75" hidden="false" customHeight="true" outlineLevel="0" collapsed="false"/>
    <row r="612" customFormat="false" ht="12.75" hidden="false" customHeight="true" outlineLevel="0" collapsed="false"/>
    <row r="613" customFormat="false" ht="12.75" hidden="false" customHeight="true" outlineLevel="0" collapsed="false"/>
    <row r="614" customFormat="false" ht="12.75" hidden="false" customHeight="true" outlineLevel="0" collapsed="false"/>
    <row r="615" customFormat="false" ht="12.75" hidden="false" customHeight="true" outlineLevel="0" collapsed="false"/>
    <row r="616" customFormat="false" ht="12.75" hidden="false" customHeight="true" outlineLevel="0" collapsed="false"/>
    <row r="617" customFormat="false" ht="12.75" hidden="false" customHeight="true" outlineLevel="0" collapsed="false"/>
    <row r="618" customFormat="false" ht="12.75" hidden="false" customHeight="true" outlineLevel="0" collapsed="false"/>
    <row r="619" customFormat="false" ht="12.75" hidden="false" customHeight="true" outlineLevel="0" collapsed="false"/>
    <row r="620" customFormat="false" ht="12.75" hidden="false" customHeight="true" outlineLevel="0" collapsed="false"/>
    <row r="621" customFormat="false" ht="12.75" hidden="false" customHeight="true" outlineLevel="0" collapsed="false"/>
    <row r="622" customFormat="false" ht="12.75" hidden="false" customHeight="true" outlineLevel="0" collapsed="false"/>
    <row r="623" customFormat="false" ht="12.75" hidden="false" customHeight="true" outlineLevel="0" collapsed="false"/>
    <row r="624" customFormat="false" ht="12.75" hidden="false" customHeight="true" outlineLevel="0" collapsed="false"/>
    <row r="625" customFormat="false" ht="12.75" hidden="false" customHeight="true" outlineLevel="0" collapsed="false"/>
    <row r="626" customFormat="false" ht="12.75" hidden="false" customHeight="true" outlineLevel="0" collapsed="false"/>
    <row r="627" customFormat="false" ht="12.75" hidden="false" customHeight="true" outlineLevel="0" collapsed="false"/>
    <row r="628" customFormat="false" ht="12.75" hidden="false" customHeight="true" outlineLevel="0" collapsed="false"/>
    <row r="629" customFormat="false" ht="12.75" hidden="false" customHeight="true" outlineLevel="0" collapsed="false"/>
    <row r="630" customFormat="false" ht="12.75" hidden="false" customHeight="true" outlineLevel="0" collapsed="false"/>
    <row r="631" customFormat="false" ht="12.75" hidden="false" customHeight="true" outlineLevel="0" collapsed="false"/>
    <row r="632" customFormat="false" ht="12.75" hidden="false" customHeight="true" outlineLevel="0" collapsed="false"/>
    <row r="633" customFormat="false" ht="12.75" hidden="false" customHeight="true" outlineLevel="0" collapsed="false"/>
    <row r="634" customFormat="false" ht="12.75" hidden="false" customHeight="true" outlineLevel="0" collapsed="false"/>
    <row r="635" customFormat="false" ht="12.75" hidden="false" customHeight="true" outlineLevel="0" collapsed="false"/>
    <row r="636" customFormat="false" ht="12.75" hidden="false" customHeight="true" outlineLevel="0" collapsed="false"/>
    <row r="637" customFormat="false" ht="12.75" hidden="false" customHeight="true" outlineLevel="0" collapsed="false"/>
    <row r="638" customFormat="false" ht="12.75" hidden="false" customHeight="true" outlineLevel="0" collapsed="false"/>
    <row r="639" customFormat="false" ht="12.75" hidden="false" customHeight="true" outlineLevel="0" collapsed="false"/>
    <row r="640" customFormat="false" ht="12.75" hidden="false" customHeight="true" outlineLevel="0" collapsed="false"/>
    <row r="641" customFormat="false" ht="12.75" hidden="false" customHeight="true" outlineLevel="0" collapsed="false"/>
    <row r="642" customFormat="false" ht="12.75" hidden="false" customHeight="true" outlineLevel="0" collapsed="false"/>
    <row r="643" customFormat="false" ht="12.75" hidden="false" customHeight="true" outlineLevel="0" collapsed="false"/>
    <row r="644" customFormat="false" ht="12.75" hidden="false" customHeight="true" outlineLevel="0" collapsed="false"/>
    <row r="645" customFormat="false" ht="12.75" hidden="false" customHeight="true" outlineLevel="0" collapsed="false"/>
    <row r="646" customFormat="false" ht="12.75" hidden="false" customHeight="true" outlineLevel="0" collapsed="false"/>
    <row r="647" customFormat="false" ht="12.75" hidden="false" customHeight="true" outlineLevel="0" collapsed="false"/>
    <row r="648" customFormat="false" ht="12.75" hidden="false" customHeight="true" outlineLevel="0" collapsed="false"/>
    <row r="649" customFormat="false" ht="12.75" hidden="false" customHeight="true" outlineLevel="0" collapsed="false"/>
    <row r="650" customFormat="false" ht="12.75" hidden="false" customHeight="true" outlineLevel="0" collapsed="false"/>
    <row r="651" customFormat="false" ht="12.75" hidden="false" customHeight="true" outlineLevel="0" collapsed="false"/>
    <row r="652" customFormat="false" ht="12.75" hidden="false" customHeight="true" outlineLevel="0" collapsed="false"/>
    <row r="653" customFormat="false" ht="12.75" hidden="false" customHeight="true" outlineLevel="0" collapsed="false"/>
  </sheetData>
  <autoFilter ref="A1:M660"/>
  <mergeCells count="80">
    <mergeCell ref="O2:P2"/>
    <mergeCell ref="O14:S15"/>
    <mergeCell ref="O16:S16"/>
    <mergeCell ref="O17:S17"/>
    <mergeCell ref="O18:S18"/>
    <mergeCell ref="O19:S19"/>
    <mergeCell ref="O20:S20"/>
    <mergeCell ref="O21:S21"/>
    <mergeCell ref="O22:S22"/>
    <mergeCell ref="O23:S23"/>
    <mergeCell ref="O24:S24"/>
    <mergeCell ref="O26:S27"/>
    <mergeCell ref="P28:R28"/>
    <mergeCell ref="P29:R29"/>
    <mergeCell ref="P30:R30"/>
    <mergeCell ref="P31:R31"/>
    <mergeCell ref="P32:R32"/>
    <mergeCell ref="P33:R33"/>
    <mergeCell ref="P34:R34"/>
    <mergeCell ref="P35:R35"/>
    <mergeCell ref="P36:R36"/>
    <mergeCell ref="P37:R37"/>
    <mergeCell ref="P38:R38"/>
    <mergeCell ref="P39:R39"/>
    <mergeCell ref="P40:R40"/>
    <mergeCell ref="P41:R41"/>
    <mergeCell ref="P42:R42"/>
    <mergeCell ref="P43:R43"/>
    <mergeCell ref="P44:R44"/>
    <mergeCell ref="P45:R45"/>
    <mergeCell ref="O48:S49"/>
    <mergeCell ref="P50:R50"/>
    <mergeCell ref="P51:R51"/>
    <mergeCell ref="P52:R52"/>
    <mergeCell ref="P53:R53"/>
    <mergeCell ref="P54:R54"/>
    <mergeCell ref="P55:R55"/>
    <mergeCell ref="P56:R56"/>
    <mergeCell ref="P57:R57"/>
    <mergeCell ref="P58:R58"/>
    <mergeCell ref="P59:R59"/>
    <mergeCell ref="P60:R60"/>
    <mergeCell ref="P61:R61"/>
    <mergeCell ref="P62:R62"/>
    <mergeCell ref="P63:R63"/>
    <mergeCell ref="O65:T66"/>
    <mergeCell ref="O67:R67"/>
    <mergeCell ref="O68:R68"/>
    <mergeCell ref="O69:R69"/>
    <mergeCell ref="O70:R70"/>
    <mergeCell ref="O71:R71"/>
    <mergeCell ref="O72:R72"/>
    <mergeCell ref="O73:R73"/>
    <mergeCell ref="O74:R74"/>
    <mergeCell ref="O75:R75"/>
    <mergeCell ref="O76:R76"/>
    <mergeCell ref="O77:R77"/>
    <mergeCell ref="O78:R78"/>
    <mergeCell ref="O79:R79"/>
    <mergeCell ref="O80:R80"/>
    <mergeCell ref="O81:R81"/>
    <mergeCell ref="O83:T84"/>
    <mergeCell ref="O85:R85"/>
    <mergeCell ref="O86:R86"/>
    <mergeCell ref="O87:R87"/>
    <mergeCell ref="O88:R88"/>
    <mergeCell ref="O89:R89"/>
    <mergeCell ref="O90:R90"/>
    <mergeCell ref="O92:R93"/>
    <mergeCell ref="P94:R94"/>
    <mergeCell ref="P95:R95"/>
    <mergeCell ref="P96:R96"/>
    <mergeCell ref="P97:R97"/>
    <mergeCell ref="P98:R98"/>
    <mergeCell ref="P99:R99"/>
    <mergeCell ref="P100:R100"/>
    <mergeCell ref="P101:R101"/>
    <mergeCell ref="P102:R102"/>
    <mergeCell ref="P103:R103"/>
    <mergeCell ref="P104:R104"/>
  </mergeCells>
  <conditionalFormatting sqref="I2:I16 I18 I20 I22 I24 I26 I28 I30 I32 I34 I36:I191">
    <cfRule type="timePeriod" priority="2" timePeriod="today" dxfId="91"/>
  </conditionalFormatting>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T65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M66" activePane="bottomRight" state="frozen"/>
      <selection pane="topLeft" activeCell="A1" activeCellId="0" sqref="A1"/>
      <selection pane="topRight" activeCell="M1" activeCellId="0" sqref="M1"/>
      <selection pane="bottomLeft" activeCell="A66" activeCellId="0" sqref="A66"/>
      <selection pane="bottomRight" activeCell="O1" activeCellId="0" sqref="O1"/>
    </sheetView>
  </sheetViews>
  <sheetFormatPr defaultColWidth="14.2890625" defaultRowHeight="12.75" customHeight="false" zeroHeight="false" outlineLevelRow="0" outlineLevelCol="0"/>
  <cols>
    <col collapsed="false" customWidth="true" hidden="false" outlineLevel="0" max="1" min="1" style="0" width="20"/>
    <col collapsed="false" customWidth="true" hidden="false" outlineLevel="0" max="2" min="2" style="0" width="27.43"/>
    <col collapsed="false" customWidth="true" hidden="false" outlineLevel="0" max="4" min="3" style="0" width="24.85"/>
    <col collapsed="false" customWidth="true" hidden="false" outlineLevel="0" max="5" min="5" style="0" width="47.71"/>
    <col collapsed="false" customWidth="true" hidden="false" outlineLevel="0" max="6" min="6" style="0" width="79.43"/>
    <col collapsed="false" customWidth="true" hidden="false" outlineLevel="0" max="7" min="7" style="0" width="15.42"/>
    <col collapsed="false" customWidth="true" hidden="false" outlineLevel="0" max="8" min="8" style="0" width="22.29"/>
    <col collapsed="false" customWidth="true" hidden="false" outlineLevel="0" max="9" min="9" style="0" width="22.42"/>
    <col collapsed="false" customWidth="true" hidden="false" outlineLevel="0" max="10" min="10" style="0" width="14.71"/>
    <col collapsed="false" customWidth="true" hidden="false" outlineLevel="0" max="11" min="11" style="0" width="82.42"/>
    <col collapsed="false" customWidth="true" hidden="false" outlineLevel="0" max="12" min="12" style="0" width="76.14"/>
    <col collapsed="false" customWidth="true" hidden="false" outlineLevel="0" max="13" min="13" style="0" width="57.85"/>
    <col collapsed="false" customWidth="true" hidden="false" outlineLevel="0" max="14" min="14" style="0" width="7.71"/>
    <col collapsed="false" customWidth="true" hidden="false" outlineLevel="0" max="15" min="15" style="0" width="27.14"/>
    <col collapsed="false" customWidth="true" hidden="false" outlineLevel="0" max="16" min="16" style="0" width="9.85"/>
    <col collapsed="false" customWidth="true" hidden="false" outlineLevel="0" max="17" min="17" style="0" width="3.42"/>
    <col collapsed="false" customWidth="true" hidden="false" outlineLevel="0" max="18" min="18" style="0" width="39"/>
    <col collapsed="false" customWidth="true" hidden="false" outlineLevel="0" max="19" min="19" style="0" width="62.85"/>
    <col collapsed="false" customWidth="true" hidden="false" outlineLevel="0" max="20" min="20" style="0" width="13.71"/>
    <col collapsed="false" customWidth="true" hidden="false" outlineLevel="0" max="21" min="21" style="0" width="18.14"/>
    <col collapsed="false" customWidth="true" hidden="true" outlineLevel="0" max="26" min="22" style="0" width="8.71"/>
  </cols>
  <sheetData>
    <row r="1" customFormat="false" ht="12.75" hidden="false" customHeight="true" outlineLevel="0" collapsed="false">
      <c r="A1" s="276" t="s">
        <v>92</v>
      </c>
      <c r="B1" s="277" t="s">
        <v>93</v>
      </c>
      <c r="C1" s="277" t="s">
        <v>89</v>
      </c>
      <c r="D1" s="278" t="s">
        <v>94</v>
      </c>
      <c r="E1" s="277" t="s">
        <v>95</v>
      </c>
      <c r="F1" s="277" t="s">
        <v>96</v>
      </c>
      <c r="G1" s="277" t="s">
        <v>97</v>
      </c>
      <c r="H1" s="277" t="s">
        <v>98</v>
      </c>
      <c r="I1" s="278" t="s">
        <v>99</v>
      </c>
      <c r="J1" s="277" t="s">
        <v>100</v>
      </c>
      <c r="K1" s="277" t="s">
        <v>101</v>
      </c>
      <c r="L1" s="277" t="s">
        <v>102</v>
      </c>
      <c r="M1" s="279" t="s">
        <v>103</v>
      </c>
      <c r="N1" s="146"/>
      <c r="O1" s="146"/>
      <c r="P1" s="146"/>
      <c r="Q1" s="146"/>
      <c r="R1" s="146"/>
      <c r="S1" s="146"/>
    </row>
    <row r="2" customFormat="false" ht="15" hidden="false" customHeight="true" outlineLevel="0" collapsed="false">
      <c r="A2" s="449" t="s">
        <v>8183</v>
      </c>
      <c r="B2" s="450" t="s">
        <v>8184</v>
      </c>
      <c r="C2" s="450" t="n">
        <v>2011</v>
      </c>
      <c r="D2" s="451" t="n">
        <v>40885</v>
      </c>
      <c r="E2" s="452" t="s">
        <v>8185</v>
      </c>
      <c r="F2" s="452" t="s">
        <v>705</v>
      </c>
      <c r="G2" s="378" t="s">
        <v>1174</v>
      </c>
      <c r="H2" s="378" t="s">
        <v>706</v>
      </c>
      <c r="I2" s="453" t="n">
        <v>44742</v>
      </c>
      <c r="J2" s="452" t="n">
        <v>6</v>
      </c>
      <c r="K2" s="454" t="s">
        <v>53</v>
      </c>
      <c r="L2" s="455" t="s">
        <v>58</v>
      </c>
      <c r="M2" s="455" t="n">
        <f aca="false">I2-D2</f>
        <v>3857</v>
      </c>
      <c r="N2" s="146"/>
      <c r="O2" s="280" t="s">
        <v>8186</v>
      </c>
      <c r="P2" s="280"/>
      <c r="Q2" s="146"/>
      <c r="R2" s="146"/>
      <c r="S2" s="146"/>
    </row>
    <row r="3" customFormat="false" ht="15" hidden="false" customHeight="true" outlineLevel="0" collapsed="false">
      <c r="A3" s="456" t="s">
        <v>8187</v>
      </c>
      <c r="B3" s="457" t="s">
        <v>8188</v>
      </c>
      <c r="C3" s="458" t="n">
        <v>2012</v>
      </c>
      <c r="D3" s="459" t="n">
        <v>40978</v>
      </c>
      <c r="E3" s="380" t="s">
        <v>8189</v>
      </c>
      <c r="F3" s="380" t="s">
        <v>8190</v>
      </c>
      <c r="G3" s="460" t="s">
        <v>1174</v>
      </c>
      <c r="H3" s="380" t="s">
        <v>471</v>
      </c>
      <c r="I3" s="461" t="n">
        <v>44713</v>
      </c>
      <c r="J3" s="460" t="n">
        <v>6</v>
      </c>
      <c r="K3" s="462" t="s">
        <v>53</v>
      </c>
      <c r="L3" s="463" t="s">
        <v>60</v>
      </c>
      <c r="M3" s="463" t="n">
        <f aca="false">I3-D3</f>
        <v>3735</v>
      </c>
      <c r="N3" s="146"/>
      <c r="O3" s="281" t="s">
        <v>1182</v>
      </c>
      <c r="P3" s="281" t="n">
        <f aca="false">COUNTIF($G$2:$G$681,"PT")</f>
        <v>0</v>
      </c>
      <c r="Q3" s="146"/>
      <c r="R3" s="146"/>
      <c r="S3" s="146"/>
    </row>
    <row r="4" customFormat="false" ht="15" hidden="false" customHeight="true" outlineLevel="0" collapsed="false">
      <c r="A4" s="449" t="s">
        <v>8191</v>
      </c>
      <c r="B4" s="450" t="s">
        <v>8192</v>
      </c>
      <c r="C4" s="450" t="n">
        <v>2012</v>
      </c>
      <c r="D4" s="451" t="n">
        <v>41225</v>
      </c>
      <c r="E4" s="452" t="s">
        <v>8193</v>
      </c>
      <c r="F4" s="452" t="s">
        <v>379</v>
      </c>
      <c r="G4" s="378" t="s">
        <v>1174</v>
      </c>
      <c r="H4" s="378" t="s">
        <v>5230</v>
      </c>
      <c r="I4" s="453" t="n">
        <v>44792</v>
      </c>
      <c r="J4" s="452" t="n">
        <v>8</v>
      </c>
      <c r="K4" s="464" t="s">
        <v>53</v>
      </c>
      <c r="L4" s="455" t="s">
        <v>58</v>
      </c>
      <c r="M4" s="455" t="n">
        <f aca="false">I4-D4</f>
        <v>3567</v>
      </c>
      <c r="N4" s="153"/>
      <c r="O4" s="282" t="s">
        <v>1188</v>
      </c>
      <c r="P4" s="282" t="n">
        <f aca="false">COUNTIF($G$2:$G$681,"PTN")</f>
        <v>8</v>
      </c>
      <c r="Q4" s="153"/>
      <c r="R4" s="153"/>
      <c r="S4" s="153"/>
    </row>
    <row r="5" customFormat="false" ht="15" hidden="false" customHeight="true" outlineLevel="0" collapsed="false">
      <c r="A5" s="456" t="s">
        <v>8194</v>
      </c>
      <c r="B5" s="458" t="s">
        <v>8195</v>
      </c>
      <c r="C5" s="458" t="n">
        <v>2012</v>
      </c>
      <c r="D5" s="459" t="n">
        <v>41197</v>
      </c>
      <c r="E5" s="380" t="s">
        <v>8196</v>
      </c>
      <c r="F5" s="460" t="s">
        <v>4381</v>
      </c>
      <c r="G5" s="460" t="s">
        <v>1174</v>
      </c>
      <c r="H5" s="380" t="s">
        <v>706</v>
      </c>
      <c r="I5" s="461" t="n">
        <v>44838</v>
      </c>
      <c r="J5" s="460" t="n">
        <v>10</v>
      </c>
      <c r="K5" s="462" t="s">
        <v>53</v>
      </c>
      <c r="L5" s="463" t="s">
        <v>58</v>
      </c>
      <c r="M5" s="463" t="n">
        <f aca="false">I5-D5</f>
        <v>3641</v>
      </c>
      <c r="N5" s="153"/>
      <c r="O5" s="283" t="s">
        <v>1192</v>
      </c>
      <c r="P5" s="283" t="n">
        <f aca="false">COUNTIF($G$2:$G$681,"PTE")</f>
        <v>271</v>
      </c>
      <c r="Q5" s="153"/>
      <c r="R5" s="153"/>
      <c r="S5" s="153"/>
    </row>
    <row r="6" customFormat="false" ht="15" hidden="false" customHeight="true" outlineLevel="0" collapsed="false">
      <c r="A6" s="456" t="s">
        <v>8197</v>
      </c>
      <c r="B6" s="457" t="s">
        <v>8198</v>
      </c>
      <c r="C6" s="458" t="n">
        <v>2013</v>
      </c>
      <c r="D6" s="459" t="n">
        <v>41543</v>
      </c>
      <c r="E6" s="380" t="s">
        <v>8199</v>
      </c>
      <c r="F6" s="460" t="s">
        <v>699</v>
      </c>
      <c r="G6" s="460" t="s">
        <v>1174</v>
      </c>
      <c r="H6" s="380" t="s">
        <v>522</v>
      </c>
      <c r="I6" s="461" t="n">
        <v>44610</v>
      </c>
      <c r="J6" s="460" t="n">
        <v>2</v>
      </c>
      <c r="K6" s="462" t="s">
        <v>53</v>
      </c>
      <c r="L6" s="463" t="s">
        <v>60</v>
      </c>
      <c r="M6" s="463" t="n">
        <f aca="false">I6-D6</f>
        <v>3067</v>
      </c>
      <c r="N6" s="153"/>
      <c r="O6" s="282" t="s">
        <v>8</v>
      </c>
      <c r="P6" s="282" t="n">
        <f aca="false">COUNTIF($G$2:$G$681,"Pré-Mistura")</f>
        <v>0</v>
      </c>
      <c r="Q6" s="153"/>
      <c r="R6" s="153"/>
      <c r="S6" s="153"/>
    </row>
    <row r="7" customFormat="false" ht="15" hidden="false" customHeight="true" outlineLevel="0" collapsed="false">
      <c r="A7" s="456" t="s">
        <v>8200</v>
      </c>
      <c r="B7" s="457" t="s">
        <v>8201</v>
      </c>
      <c r="C7" s="458" t="n">
        <v>2013</v>
      </c>
      <c r="D7" s="459" t="n">
        <v>41564</v>
      </c>
      <c r="E7" s="380" t="s">
        <v>8202</v>
      </c>
      <c r="F7" s="460" t="s">
        <v>1817</v>
      </c>
      <c r="G7" s="460" t="s">
        <v>1174</v>
      </c>
      <c r="H7" s="380" t="s">
        <v>471</v>
      </c>
      <c r="I7" s="461" t="n">
        <v>44610</v>
      </c>
      <c r="J7" s="460" t="n">
        <v>2</v>
      </c>
      <c r="K7" s="462" t="s">
        <v>53</v>
      </c>
      <c r="L7" s="463" t="s">
        <v>58</v>
      </c>
      <c r="M7" s="463" t="n">
        <f aca="false">I7-D7</f>
        <v>3046</v>
      </c>
      <c r="N7" s="153"/>
      <c r="O7" s="283" t="s">
        <v>110</v>
      </c>
      <c r="P7" s="283" t="n">
        <f aca="false">COUNTIF($G$2:$G$681,"PF")</f>
        <v>34</v>
      </c>
      <c r="Q7" s="153"/>
      <c r="R7" s="153"/>
      <c r="S7" s="153"/>
    </row>
    <row r="8" customFormat="false" ht="15" hidden="false" customHeight="true" outlineLevel="0" collapsed="false">
      <c r="A8" s="456" t="s">
        <v>8203</v>
      </c>
      <c r="B8" s="457" t="s">
        <v>8204</v>
      </c>
      <c r="C8" s="458" t="n">
        <v>2013</v>
      </c>
      <c r="D8" s="459" t="n">
        <v>41627</v>
      </c>
      <c r="E8" s="380" t="s">
        <v>8205</v>
      </c>
      <c r="F8" s="380" t="s">
        <v>8206</v>
      </c>
      <c r="G8" s="460" t="s">
        <v>1174</v>
      </c>
      <c r="H8" s="380" t="s">
        <v>706</v>
      </c>
      <c r="I8" s="461" t="n">
        <v>44663</v>
      </c>
      <c r="J8" s="460" t="n">
        <v>4</v>
      </c>
      <c r="K8" s="462" t="s">
        <v>53</v>
      </c>
      <c r="L8" s="463" t="s">
        <v>58</v>
      </c>
      <c r="M8" s="463" t="n">
        <f aca="false">I8-D8</f>
        <v>3036</v>
      </c>
      <c r="N8" s="153"/>
      <c r="O8" s="282" t="s">
        <v>115</v>
      </c>
      <c r="P8" s="282" t="n">
        <f aca="false">COUNTIF($G$2:$G$681,"PFN")</f>
        <v>35</v>
      </c>
      <c r="Q8" s="153"/>
      <c r="R8" s="153"/>
      <c r="S8" s="153"/>
    </row>
    <row r="9" customFormat="false" ht="15" hidden="false" customHeight="true" outlineLevel="0" collapsed="false">
      <c r="A9" s="449" t="s">
        <v>8207</v>
      </c>
      <c r="B9" s="465" t="s">
        <v>8208</v>
      </c>
      <c r="C9" s="450" t="n">
        <v>2013</v>
      </c>
      <c r="D9" s="451" t="n">
        <v>41628</v>
      </c>
      <c r="E9" s="378" t="s">
        <v>8209</v>
      </c>
      <c r="F9" s="452" t="s">
        <v>123</v>
      </c>
      <c r="G9" s="378" t="s">
        <v>1174</v>
      </c>
      <c r="H9" s="378" t="s">
        <v>706</v>
      </c>
      <c r="I9" s="453" t="n">
        <v>44708</v>
      </c>
      <c r="J9" s="452" t="n">
        <v>5</v>
      </c>
      <c r="K9" s="464" t="s">
        <v>53</v>
      </c>
      <c r="L9" s="455" t="s">
        <v>58</v>
      </c>
      <c r="M9" s="455" t="n">
        <f aca="false">I9-D9</f>
        <v>3080</v>
      </c>
      <c r="N9" s="153"/>
      <c r="O9" s="283" t="s">
        <v>120</v>
      </c>
      <c r="P9" s="283" t="n">
        <f aca="false">COUNTIF($G$2:$G$681,"PF/PTE")</f>
        <v>168</v>
      </c>
      <c r="Q9" s="153"/>
      <c r="R9" s="153"/>
      <c r="S9" s="153"/>
    </row>
    <row r="10" customFormat="false" ht="15" hidden="false" customHeight="true" outlineLevel="0" collapsed="false">
      <c r="A10" s="456" t="s">
        <v>8210</v>
      </c>
      <c r="B10" s="457" t="s">
        <v>8211</v>
      </c>
      <c r="C10" s="458" t="n">
        <v>2013</v>
      </c>
      <c r="D10" s="459" t="n">
        <v>41343</v>
      </c>
      <c r="E10" s="380" t="s">
        <v>8212</v>
      </c>
      <c r="F10" s="460" t="s">
        <v>699</v>
      </c>
      <c r="G10" s="460" t="s">
        <v>1174</v>
      </c>
      <c r="H10" s="380" t="s">
        <v>310</v>
      </c>
      <c r="I10" s="461" t="n">
        <v>44713</v>
      </c>
      <c r="J10" s="460" t="n">
        <v>6</v>
      </c>
      <c r="K10" s="462" t="s">
        <v>53</v>
      </c>
      <c r="L10" s="463" t="s">
        <v>60</v>
      </c>
      <c r="M10" s="463" t="n">
        <f aca="false">I10-D10</f>
        <v>3370</v>
      </c>
      <c r="N10" s="153"/>
      <c r="O10" s="282" t="s">
        <v>125</v>
      </c>
      <c r="P10" s="282" t="n">
        <f aca="false">COUNTIF($G$2:$G$681,"Bio")</f>
        <v>57</v>
      </c>
      <c r="Q10" s="153"/>
      <c r="R10" s="153"/>
      <c r="S10" s="153"/>
    </row>
    <row r="11" customFormat="false" ht="15" hidden="false" customHeight="true" outlineLevel="0" collapsed="false">
      <c r="A11" s="456" t="s">
        <v>8213</v>
      </c>
      <c r="B11" s="458" t="s">
        <v>8214</v>
      </c>
      <c r="C11" s="458" t="n">
        <v>2014</v>
      </c>
      <c r="D11" s="459" t="n">
        <v>41913</v>
      </c>
      <c r="E11" s="380" t="s">
        <v>8215</v>
      </c>
      <c r="F11" s="460" t="s">
        <v>1324</v>
      </c>
      <c r="G11" s="460" t="s">
        <v>1174</v>
      </c>
      <c r="H11" s="380" t="s">
        <v>1567</v>
      </c>
      <c r="I11" s="461" t="n">
        <v>44588</v>
      </c>
      <c r="J11" s="460" t="n">
        <v>1</v>
      </c>
      <c r="K11" s="462" t="s">
        <v>53</v>
      </c>
      <c r="L11" s="463" t="s">
        <v>60</v>
      </c>
      <c r="M11" s="463" t="n">
        <f aca="false">I11-D11</f>
        <v>2675</v>
      </c>
      <c r="N11" s="153"/>
      <c r="O11" s="284" t="s">
        <v>130</v>
      </c>
      <c r="P11" s="284" t="n">
        <f aca="false">COUNTIF($G$2:$G$681,"Bio/Org")</f>
        <v>79</v>
      </c>
      <c r="Q11" s="153"/>
      <c r="R11" s="153"/>
      <c r="S11" s="153"/>
    </row>
    <row r="12" customFormat="false" ht="15" hidden="false" customHeight="true" outlineLevel="0" collapsed="false">
      <c r="A12" s="456" t="s">
        <v>8216</v>
      </c>
      <c r="B12" s="458" t="s">
        <v>8217</v>
      </c>
      <c r="C12" s="458" t="n">
        <v>2014</v>
      </c>
      <c r="D12" s="459" t="n">
        <v>41717</v>
      </c>
      <c r="E12" s="380" t="s">
        <v>8218</v>
      </c>
      <c r="F12" s="460" t="s">
        <v>8219</v>
      </c>
      <c r="G12" s="460" t="s">
        <v>1174</v>
      </c>
      <c r="H12" s="380" t="s">
        <v>2677</v>
      </c>
      <c r="I12" s="461" t="n">
        <v>44588</v>
      </c>
      <c r="J12" s="460" t="n">
        <v>1</v>
      </c>
      <c r="K12" s="462" t="s">
        <v>53</v>
      </c>
      <c r="L12" s="463" t="s">
        <v>60</v>
      </c>
      <c r="M12" s="463" t="n">
        <f aca="false">I12-D12</f>
        <v>2871</v>
      </c>
      <c r="N12" s="153"/>
      <c r="O12" s="285" t="s">
        <v>140</v>
      </c>
      <c r="P12" s="286" t="n">
        <f aca="false">SUM(P3:P11)</f>
        <v>652</v>
      </c>
      <c r="Q12" s="153"/>
      <c r="R12" s="153"/>
      <c r="S12" s="153"/>
    </row>
    <row r="13" customFormat="false" ht="15" hidden="false" customHeight="true" outlineLevel="0" collapsed="false">
      <c r="A13" s="449" t="s">
        <v>8220</v>
      </c>
      <c r="B13" s="465" t="s">
        <v>8221</v>
      </c>
      <c r="C13" s="450" t="n">
        <v>2014</v>
      </c>
      <c r="D13" s="451" t="n">
        <v>41912</v>
      </c>
      <c r="E13" s="378" t="s">
        <v>8222</v>
      </c>
      <c r="F13" s="452" t="s">
        <v>798</v>
      </c>
      <c r="G13" s="378" t="s">
        <v>1174</v>
      </c>
      <c r="H13" s="378" t="s">
        <v>250</v>
      </c>
      <c r="I13" s="453" t="n">
        <v>44610</v>
      </c>
      <c r="J13" s="452" t="n">
        <v>2</v>
      </c>
      <c r="K13" s="464" t="s">
        <v>53</v>
      </c>
      <c r="L13" s="455" t="s">
        <v>60</v>
      </c>
      <c r="M13" s="455" t="n">
        <f aca="false">I13-D13</f>
        <v>2698</v>
      </c>
      <c r="N13" s="160"/>
      <c r="O13" s="153"/>
      <c r="P13" s="153"/>
      <c r="Q13" s="153"/>
      <c r="R13" s="287"/>
      <c r="S13" s="287"/>
    </row>
    <row r="14" customFormat="false" ht="15" hidden="false" customHeight="true" outlineLevel="0" collapsed="false">
      <c r="A14" s="456" t="s">
        <v>8223</v>
      </c>
      <c r="B14" s="457" t="s">
        <v>8224</v>
      </c>
      <c r="C14" s="458" t="n">
        <v>2014</v>
      </c>
      <c r="D14" s="459" t="n">
        <v>41997</v>
      </c>
      <c r="E14" s="380" t="s">
        <v>8225</v>
      </c>
      <c r="F14" s="460" t="s">
        <v>1817</v>
      </c>
      <c r="G14" s="460" t="s">
        <v>1174</v>
      </c>
      <c r="H14" s="380" t="s">
        <v>267</v>
      </c>
      <c r="I14" s="461" t="n">
        <v>44610</v>
      </c>
      <c r="J14" s="460" t="n">
        <v>2</v>
      </c>
      <c r="K14" s="462" t="s">
        <v>53</v>
      </c>
      <c r="L14" s="463" t="s">
        <v>58</v>
      </c>
      <c r="M14" s="463" t="n">
        <f aca="false">I14-D14</f>
        <v>2613</v>
      </c>
      <c r="N14" s="160"/>
      <c r="O14" s="411" t="s">
        <v>151</v>
      </c>
      <c r="P14" s="411"/>
      <c r="Q14" s="411"/>
      <c r="R14" s="411"/>
      <c r="S14" s="411"/>
    </row>
    <row r="15" customFormat="false" ht="15" hidden="false" customHeight="true" outlineLevel="0" collapsed="false">
      <c r="A15" s="449" t="s">
        <v>8226</v>
      </c>
      <c r="B15" s="450" t="s">
        <v>8227</v>
      </c>
      <c r="C15" s="450" t="n">
        <v>2014</v>
      </c>
      <c r="D15" s="451" t="n">
        <v>41995</v>
      </c>
      <c r="E15" s="378" t="s">
        <v>8228</v>
      </c>
      <c r="F15" s="452" t="s">
        <v>569</v>
      </c>
      <c r="G15" s="378" t="s">
        <v>1174</v>
      </c>
      <c r="H15" s="378" t="s">
        <v>350</v>
      </c>
      <c r="I15" s="453" t="n">
        <v>44610</v>
      </c>
      <c r="J15" s="452" t="n">
        <v>2</v>
      </c>
      <c r="K15" s="464" t="s">
        <v>53</v>
      </c>
      <c r="L15" s="455" t="s">
        <v>58</v>
      </c>
      <c r="M15" s="455" t="n">
        <f aca="false">I15-D15</f>
        <v>2615</v>
      </c>
      <c r="N15" s="153"/>
      <c r="O15" s="411"/>
      <c r="P15" s="411"/>
      <c r="Q15" s="411"/>
      <c r="R15" s="411"/>
      <c r="S15" s="411"/>
    </row>
    <row r="16" customFormat="false" ht="15" hidden="false" customHeight="true" outlineLevel="0" collapsed="false">
      <c r="A16" s="449" t="s">
        <v>8229</v>
      </c>
      <c r="B16" s="465" t="s">
        <v>8230</v>
      </c>
      <c r="C16" s="450" t="n">
        <v>2014</v>
      </c>
      <c r="D16" s="451" t="n">
        <v>41800</v>
      </c>
      <c r="E16" s="378" t="s">
        <v>8231</v>
      </c>
      <c r="F16" s="452" t="s">
        <v>8232</v>
      </c>
      <c r="G16" s="378" t="s">
        <v>1174</v>
      </c>
      <c r="H16" s="378" t="s">
        <v>243</v>
      </c>
      <c r="I16" s="453" t="n">
        <v>44652</v>
      </c>
      <c r="J16" s="452" t="n">
        <v>4</v>
      </c>
      <c r="K16" s="464" t="s">
        <v>53</v>
      </c>
      <c r="L16" s="455" t="s">
        <v>60</v>
      </c>
      <c r="M16" s="455" t="n">
        <f aca="false">I16-D16</f>
        <v>2852</v>
      </c>
      <c r="N16" s="153"/>
      <c r="O16" s="412" t="s">
        <v>2194</v>
      </c>
      <c r="P16" s="412"/>
      <c r="Q16" s="412"/>
      <c r="R16" s="412"/>
      <c r="S16" s="412"/>
    </row>
    <row r="17" customFormat="false" ht="15" hidden="false" customHeight="true" outlineLevel="0" collapsed="false">
      <c r="A17" s="456" t="s">
        <v>8233</v>
      </c>
      <c r="B17" s="457" t="s">
        <v>8234</v>
      </c>
      <c r="C17" s="458" t="n">
        <v>2014</v>
      </c>
      <c r="D17" s="459" t="n">
        <v>41879</v>
      </c>
      <c r="E17" s="380" t="s">
        <v>8235</v>
      </c>
      <c r="F17" s="460" t="s">
        <v>1243</v>
      </c>
      <c r="G17" s="460" t="s">
        <v>1174</v>
      </c>
      <c r="H17" s="380" t="s">
        <v>267</v>
      </c>
      <c r="I17" s="461" t="n">
        <v>44663</v>
      </c>
      <c r="J17" s="460" t="n">
        <v>4</v>
      </c>
      <c r="K17" s="462" t="s">
        <v>53</v>
      </c>
      <c r="L17" s="463" t="s">
        <v>60</v>
      </c>
      <c r="M17" s="463" t="n">
        <f aca="false">I17-D17</f>
        <v>2784</v>
      </c>
      <c r="N17" s="153"/>
      <c r="O17" s="413" t="s">
        <v>2198</v>
      </c>
      <c r="P17" s="413"/>
      <c r="Q17" s="413"/>
      <c r="R17" s="413"/>
      <c r="S17" s="413"/>
    </row>
    <row r="18" customFormat="false" ht="15" hidden="false" customHeight="true" outlineLevel="0" collapsed="false">
      <c r="A18" s="449" t="s">
        <v>8236</v>
      </c>
      <c r="B18" s="465" t="s">
        <v>8237</v>
      </c>
      <c r="C18" s="450" t="n">
        <v>2014</v>
      </c>
      <c r="D18" s="451" t="n">
        <v>41709</v>
      </c>
      <c r="E18" s="378" t="s">
        <v>8238</v>
      </c>
      <c r="F18" s="452" t="s">
        <v>365</v>
      </c>
      <c r="G18" s="378" t="s">
        <v>1174</v>
      </c>
      <c r="H18" s="378" t="s">
        <v>2677</v>
      </c>
      <c r="I18" s="453" t="n">
        <v>44663</v>
      </c>
      <c r="J18" s="452" t="n">
        <v>4</v>
      </c>
      <c r="K18" s="464" t="s">
        <v>53</v>
      </c>
      <c r="L18" s="455" t="s">
        <v>60</v>
      </c>
      <c r="M18" s="455" t="n">
        <f aca="false">I18-D18</f>
        <v>2954</v>
      </c>
      <c r="N18" s="153"/>
      <c r="O18" s="414" t="s">
        <v>2203</v>
      </c>
      <c r="P18" s="414"/>
      <c r="Q18" s="414"/>
      <c r="R18" s="414"/>
      <c r="S18" s="414"/>
    </row>
    <row r="19" customFormat="false" ht="15" hidden="false" customHeight="true" outlineLevel="0" collapsed="false">
      <c r="A19" s="456" t="s">
        <v>8239</v>
      </c>
      <c r="B19" s="457" t="s">
        <v>8240</v>
      </c>
      <c r="C19" s="458" t="n">
        <v>2014</v>
      </c>
      <c r="D19" s="459" t="n">
        <v>41988</v>
      </c>
      <c r="E19" s="380" t="s">
        <v>8241</v>
      </c>
      <c r="F19" s="380" t="s">
        <v>8190</v>
      </c>
      <c r="G19" s="460" t="s">
        <v>1174</v>
      </c>
      <c r="H19" s="380" t="s">
        <v>350</v>
      </c>
      <c r="I19" s="461" t="n">
        <v>44663</v>
      </c>
      <c r="J19" s="460" t="n">
        <v>4</v>
      </c>
      <c r="K19" s="462" t="s">
        <v>53</v>
      </c>
      <c r="L19" s="463" t="s">
        <v>60</v>
      </c>
      <c r="M19" s="463" t="n">
        <f aca="false">I19-D19</f>
        <v>2675</v>
      </c>
      <c r="N19" s="153"/>
      <c r="O19" s="413" t="s">
        <v>2207</v>
      </c>
      <c r="P19" s="413"/>
      <c r="Q19" s="413"/>
      <c r="R19" s="413"/>
      <c r="S19" s="413"/>
    </row>
    <row r="20" customFormat="false" ht="15" hidden="false" customHeight="true" outlineLevel="0" collapsed="false">
      <c r="A20" s="456" t="s">
        <v>8242</v>
      </c>
      <c r="B20" s="457" t="s">
        <v>8243</v>
      </c>
      <c r="C20" s="458" t="n">
        <v>2015</v>
      </c>
      <c r="D20" s="459" t="n">
        <v>42271</v>
      </c>
      <c r="E20" s="380" t="s">
        <v>8244</v>
      </c>
      <c r="F20" s="460" t="s">
        <v>8245</v>
      </c>
      <c r="G20" s="460" t="s">
        <v>1188</v>
      </c>
      <c r="H20" s="380" t="s">
        <v>453</v>
      </c>
      <c r="I20" s="461" t="n">
        <v>44610</v>
      </c>
      <c r="J20" s="460" t="n">
        <v>2</v>
      </c>
      <c r="K20" s="466" t="s">
        <v>49</v>
      </c>
      <c r="L20" s="463" t="s">
        <v>58</v>
      </c>
      <c r="M20" s="463" t="n">
        <f aca="false">I20-D20</f>
        <v>2339</v>
      </c>
      <c r="N20" s="153"/>
      <c r="O20" s="414" t="s">
        <v>2211</v>
      </c>
      <c r="P20" s="414"/>
      <c r="Q20" s="414"/>
      <c r="R20" s="414"/>
      <c r="S20" s="414"/>
    </row>
    <row r="21" customFormat="false" ht="15" hidden="false" customHeight="true" outlineLevel="0" collapsed="false">
      <c r="A21" s="449" t="s">
        <v>8246</v>
      </c>
      <c r="B21" s="465" t="s">
        <v>8247</v>
      </c>
      <c r="C21" s="450" t="n">
        <v>2014</v>
      </c>
      <c r="D21" s="451" t="n">
        <v>41707</v>
      </c>
      <c r="E21" s="378" t="s">
        <v>8248</v>
      </c>
      <c r="F21" s="452" t="s">
        <v>668</v>
      </c>
      <c r="G21" s="378" t="s">
        <v>1174</v>
      </c>
      <c r="H21" s="378" t="s">
        <v>184</v>
      </c>
      <c r="I21" s="453" t="n">
        <v>44708</v>
      </c>
      <c r="J21" s="452" t="n">
        <v>5</v>
      </c>
      <c r="K21" s="464" t="s">
        <v>53</v>
      </c>
      <c r="L21" s="455" t="s">
        <v>58</v>
      </c>
      <c r="M21" s="455" t="n">
        <f aca="false">I21-D21</f>
        <v>3001</v>
      </c>
      <c r="N21" s="153"/>
      <c r="O21" s="413" t="s">
        <v>2215</v>
      </c>
      <c r="P21" s="413"/>
      <c r="Q21" s="413"/>
      <c r="R21" s="413"/>
      <c r="S21" s="413"/>
    </row>
    <row r="22" customFormat="false" ht="15" hidden="false" customHeight="true" outlineLevel="0" collapsed="false">
      <c r="A22" s="456" t="s">
        <v>8249</v>
      </c>
      <c r="B22" s="458" t="s">
        <v>8250</v>
      </c>
      <c r="C22" s="458" t="n">
        <v>2014</v>
      </c>
      <c r="D22" s="459" t="n">
        <v>41834</v>
      </c>
      <c r="E22" s="380" t="s">
        <v>8251</v>
      </c>
      <c r="F22" s="460" t="s">
        <v>2224</v>
      </c>
      <c r="G22" s="460" t="s">
        <v>1174</v>
      </c>
      <c r="H22" s="380" t="s">
        <v>354</v>
      </c>
      <c r="I22" s="461" t="n">
        <v>44708</v>
      </c>
      <c r="J22" s="460" t="n">
        <v>5</v>
      </c>
      <c r="K22" s="462" t="s">
        <v>53</v>
      </c>
      <c r="L22" s="463" t="s">
        <v>58</v>
      </c>
      <c r="M22" s="463" t="n">
        <f aca="false">I22-D22</f>
        <v>2874</v>
      </c>
      <c r="N22" s="153"/>
      <c r="O22" s="414" t="s">
        <v>2220</v>
      </c>
      <c r="P22" s="414"/>
      <c r="Q22" s="414"/>
      <c r="R22" s="414"/>
      <c r="S22" s="414"/>
    </row>
    <row r="23" customFormat="false" ht="15" hidden="false" customHeight="true" outlineLevel="0" collapsed="false">
      <c r="A23" s="456" t="s">
        <v>8252</v>
      </c>
      <c r="B23" s="457" t="s">
        <v>8253</v>
      </c>
      <c r="C23" s="458" t="n">
        <v>2014</v>
      </c>
      <c r="D23" s="459" t="n">
        <v>41889</v>
      </c>
      <c r="E23" s="380" t="s">
        <v>8254</v>
      </c>
      <c r="F23" s="460" t="s">
        <v>138</v>
      </c>
      <c r="G23" s="460" t="s">
        <v>1174</v>
      </c>
      <c r="H23" s="380" t="s">
        <v>8255</v>
      </c>
      <c r="I23" s="461" t="n">
        <v>44711</v>
      </c>
      <c r="J23" s="460" t="n">
        <v>5</v>
      </c>
      <c r="K23" s="462" t="s">
        <v>53</v>
      </c>
      <c r="L23" s="463" t="s">
        <v>60</v>
      </c>
      <c r="M23" s="463" t="n">
        <f aca="false">I23-D23</f>
        <v>2822</v>
      </c>
      <c r="N23" s="153"/>
      <c r="O23" s="413" t="s">
        <v>2225</v>
      </c>
      <c r="P23" s="413"/>
      <c r="Q23" s="413"/>
      <c r="R23" s="413"/>
      <c r="S23" s="413"/>
    </row>
    <row r="24" customFormat="false" ht="15" hidden="false" customHeight="true" outlineLevel="0" collapsed="false">
      <c r="A24" s="449" t="s">
        <v>8256</v>
      </c>
      <c r="B24" s="450" t="s">
        <v>8257</v>
      </c>
      <c r="C24" s="450" t="n">
        <v>2014</v>
      </c>
      <c r="D24" s="451" t="n">
        <v>43049</v>
      </c>
      <c r="E24" s="452" t="s">
        <v>8258</v>
      </c>
      <c r="F24" s="452" t="s">
        <v>8259</v>
      </c>
      <c r="G24" s="378" t="s">
        <v>1174</v>
      </c>
      <c r="H24" s="378" t="s">
        <v>522</v>
      </c>
      <c r="I24" s="453" t="n">
        <v>44763</v>
      </c>
      <c r="J24" s="452" t="n">
        <v>7</v>
      </c>
      <c r="K24" s="464" t="s">
        <v>53</v>
      </c>
      <c r="L24" s="455" t="s">
        <v>60</v>
      </c>
      <c r="M24" s="455" t="n">
        <f aca="false">I24-D24</f>
        <v>1714</v>
      </c>
      <c r="N24" s="153"/>
      <c r="O24" s="415" t="s">
        <v>2229</v>
      </c>
      <c r="P24" s="415"/>
      <c r="Q24" s="415"/>
      <c r="R24" s="415"/>
      <c r="S24" s="415"/>
    </row>
    <row r="25" customFormat="false" ht="15" hidden="false" customHeight="true" outlineLevel="0" collapsed="false">
      <c r="A25" s="449" t="s">
        <v>8260</v>
      </c>
      <c r="B25" s="450" t="s">
        <v>8261</v>
      </c>
      <c r="C25" s="450" t="n">
        <v>2014</v>
      </c>
      <c r="D25" s="451" t="n">
        <v>43048</v>
      </c>
      <c r="E25" s="452" t="s">
        <v>8262</v>
      </c>
      <c r="F25" s="452" t="s">
        <v>823</v>
      </c>
      <c r="G25" s="378" t="s">
        <v>1174</v>
      </c>
      <c r="H25" s="378" t="s">
        <v>706</v>
      </c>
      <c r="I25" s="453" t="n">
        <v>44763</v>
      </c>
      <c r="J25" s="452" t="n">
        <v>7</v>
      </c>
      <c r="K25" s="464" t="s">
        <v>53</v>
      </c>
      <c r="L25" s="455" t="s">
        <v>58</v>
      </c>
      <c r="M25" s="455" t="n">
        <f aca="false">I25-D25</f>
        <v>1715</v>
      </c>
      <c r="N25" s="153"/>
      <c r="O25" s="153"/>
      <c r="P25" s="153"/>
      <c r="Q25" s="153"/>
      <c r="R25" s="153"/>
      <c r="S25" s="153"/>
    </row>
    <row r="26" customFormat="false" ht="15" hidden="false" customHeight="true" outlineLevel="0" collapsed="false">
      <c r="A26" s="449" t="s">
        <v>8263</v>
      </c>
      <c r="B26" s="450" t="s">
        <v>8264</v>
      </c>
      <c r="C26" s="450" t="n">
        <v>2014</v>
      </c>
      <c r="D26" s="451" t="n">
        <v>41905</v>
      </c>
      <c r="E26" s="452" t="s">
        <v>8265</v>
      </c>
      <c r="F26" s="452" t="s">
        <v>1324</v>
      </c>
      <c r="G26" s="378" t="s">
        <v>1174</v>
      </c>
      <c r="H26" s="378" t="s">
        <v>471</v>
      </c>
      <c r="I26" s="453" t="n">
        <v>44777</v>
      </c>
      <c r="J26" s="452" t="n">
        <v>8</v>
      </c>
      <c r="K26" s="464" t="s">
        <v>53</v>
      </c>
      <c r="L26" s="455" t="s">
        <v>60</v>
      </c>
      <c r="M26" s="455" t="n">
        <f aca="false">I26-D26</f>
        <v>2872</v>
      </c>
      <c r="N26" s="153"/>
      <c r="O26" s="326" t="s">
        <v>185</v>
      </c>
      <c r="P26" s="326"/>
      <c r="Q26" s="326"/>
      <c r="R26" s="326"/>
      <c r="S26" s="326"/>
    </row>
    <row r="27" customFormat="false" ht="15" hidden="false" customHeight="true" outlineLevel="0" collapsed="false">
      <c r="A27" s="456" t="s">
        <v>8266</v>
      </c>
      <c r="B27" s="458" t="s">
        <v>8267</v>
      </c>
      <c r="C27" s="458" t="n">
        <v>2014</v>
      </c>
      <c r="D27" s="459" t="n">
        <v>41708</v>
      </c>
      <c r="E27" s="380" t="s">
        <v>8268</v>
      </c>
      <c r="F27" s="460" t="s">
        <v>365</v>
      </c>
      <c r="G27" s="460" t="s">
        <v>1174</v>
      </c>
      <c r="H27" s="380" t="s">
        <v>1501</v>
      </c>
      <c r="I27" s="461" t="n">
        <v>44777</v>
      </c>
      <c r="J27" s="460" t="n">
        <v>8</v>
      </c>
      <c r="K27" s="462" t="s">
        <v>53</v>
      </c>
      <c r="L27" s="463" t="s">
        <v>60</v>
      </c>
      <c r="M27" s="463" t="n">
        <f aca="false">I27-D27</f>
        <v>3069</v>
      </c>
      <c r="N27" s="153"/>
      <c r="O27" s="326"/>
      <c r="P27" s="326"/>
      <c r="Q27" s="326"/>
      <c r="R27" s="326"/>
      <c r="S27" s="326"/>
    </row>
    <row r="28" customFormat="false" ht="15" hidden="false" customHeight="true" outlineLevel="0" collapsed="false">
      <c r="A28" s="456" t="s">
        <v>8269</v>
      </c>
      <c r="B28" s="458" t="s">
        <v>8270</v>
      </c>
      <c r="C28" s="458" t="n">
        <v>2014</v>
      </c>
      <c r="D28" s="459" t="n">
        <v>41885</v>
      </c>
      <c r="E28" s="380" t="s">
        <v>8271</v>
      </c>
      <c r="F28" s="460" t="s">
        <v>157</v>
      </c>
      <c r="G28" s="460" t="s">
        <v>1174</v>
      </c>
      <c r="H28" s="380" t="s">
        <v>6674</v>
      </c>
      <c r="I28" s="461" t="n">
        <v>44777</v>
      </c>
      <c r="J28" s="460" t="n">
        <v>8</v>
      </c>
      <c r="K28" s="462" t="s">
        <v>53</v>
      </c>
      <c r="L28" s="463" t="s">
        <v>58</v>
      </c>
      <c r="M28" s="463" t="n">
        <f aca="false">I28-D28</f>
        <v>2892</v>
      </c>
      <c r="N28" s="153"/>
      <c r="O28" s="309" t="s">
        <v>39</v>
      </c>
      <c r="P28" s="416" t="s">
        <v>40</v>
      </c>
      <c r="Q28" s="416"/>
      <c r="R28" s="416"/>
      <c r="S28" s="313" t="s">
        <v>41</v>
      </c>
    </row>
    <row r="29" customFormat="false" ht="15" hidden="false" customHeight="true" outlineLevel="0" collapsed="false">
      <c r="A29" s="449" t="s">
        <v>8272</v>
      </c>
      <c r="B29" s="450" t="s">
        <v>8273</v>
      </c>
      <c r="C29" s="450" t="n">
        <v>2014</v>
      </c>
      <c r="D29" s="451" t="n">
        <v>41815</v>
      </c>
      <c r="E29" s="452" t="s">
        <v>8274</v>
      </c>
      <c r="F29" s="452" t="s">
        <v>365</v>
      </c>
      <c r="G29" s="378" t="s">
        <v>1174</v>
      </c>
      <c r="H29" s="378" t="s">
        <v>192</v>
      </c>
      <c r="I29" s="453" t="n">
        <v>44792</v>
      </c>
      <c r="J29" s="452" t="n">
        <v>8</v>
      </c>
      <c r="K29" s="464" t="s">
        <v>53</v>
      </c>
      <c r="L29" s="455" t="s">
        <v>60</v>
      </c>
      <c r="M29" s="455" t="n">
        <f aca="false">I29-D29</f>
        <v>2977</v>
      </c>
      <c r="N29" s="153"/>
      <c r="O29" s="283" t="n">
        <v>2008</v>
      </c>
      <c r="P29" s="314" t="n">
        <f aca="false">COUNTIF($C$2:$C$680,"2008")</f>
        <v>1</v>
      </c>
      <c r="Q29" s="314"/>
      <c r="R29" s="314"/>
      <c r="S29" s="315" t="n">
        <f aca="false">(P29/P44)</f>
        <v>0.00153374233128834</v>
      </c>
    </row>
    <row r="30" customFormat="false" ht="15" hidden="false" customHeight="true" outlineLevel="0" collapsed="false">
      <c r="A30" s="456" t="s">
        <v>8275</v>
      </c>
      <c r="B30" s="458" t="s">
        <v>8276</v>
      </c>
      <c r="C30" s="458" t="n">
        <v>2014</v>
      </c>
      <c r="D30" s="459" t="n">
        <v>41874</v>
      </c>
      <c r="E30" s="380" t="s">
        <v>8277</v>
      </c>
      <c r="F30" s="460" t="s">
        <v>2003</v>
      </c>
      <c r="G30" s="460" t="s">
        <v>1174</v>
      </c>
      <c r="H30" s="380" t="s">
        <v>706</v>
      </c>
      <c r="I30" s="461" t="n">
        <v>44838</v>
      </c>
      <c r="J30" s="460" t="n">
        <v>10</v>
      </c>
      <c r="K30" s="462" t="s">
        <v>53</v>
      </c>
      <c r="L30" s="463" t="s">
        <v>58</v>
      </c>
      <c r="M30" s="463" t="n">
        <f aca="false">I30-D30</f>
        <v>2964</v>
      </c>
      <c r="N30" s="153"/>
      <c r="O30" s="282" t="n">
        <v>2009</v>
      </c>
      <c r="P30" s="282" t="n">
        <f aca="false">COUNTIF($C$2:$C$680,"2009")</f>
        <v>2</v>
      </c>
      <c r="Q30" s="282"/>
      <c r="R30" s="282"/>
      <c r="S30" s="316" t="n">
        <f aca="false">(P30/P44)</f>
        <v>0.00306748466257669</v>
      </c>
    </row>
    <row r="31" customFormat="false" ht="15" hidden="false" customHeight="true" outlineLevel="0" collapsed="false">
      <c r="A31" s="449" t="s">
        <v>8278</v>
      </c>
      <c r="B31" s="450" t="s">
        <v>8279</v>
      </c>
      <c r="C31" s="450" t="n">
        <v>2014</v>
      </c>
      <c r="D31" s="451" t="n">
        <v>41698</v>
      </c>
      <c r="E31" s="452" t="s">
        <v>8280</v>
      </c>
      <c r="F31" s="452" t="s">
        <v>1890</v>
      </c>
      <c r="G31" s="378" t="s">
        <v>1174</v>
      </c>
      <c r="H31" s="378" t="s">
        <v>706</v>
      </c>
      <c r="I31" s="453" t="n">
        <v>44838</v>
      </c>
      <c r="J31" s="452" t="n">
        <v>10</v>
      </c>
      <c r="K31" s="464" t="s">
        <v>53</v>
      </c>
      <c r="L31" s="455" t="s">
        <v>58</v>
      </c>
      <c r="M31" s="455" t="n">
        <f aca="false">I31-D31</f>
        <v>3140</v>
      </c>
      <c r="N31" s="153"/>
      <c r="O31" s="283" t="n">
        <v>2010</v>
      </c>
      <c r="P31" s="283" t="n">
        <f aca="false">COUNTIF($C$2:$C$680,"2010")</f>
        <v>8</v>
      </c>
      <c r="Q31" s="283"/>
      <c r="R31" s="283"/>
      <c r="S31" s="315" t="n">
        <f aca="false">(P31/P44)</f>
        <v>0.0122699386503067</v>
      </c>
    </row>
    <row r="32" customFormat="false" ht="15" hidden="false" customHeight="true" outlineLevel="0" collapsed="false">
      <c r="A32" s="449" t="s">
        <v>8281</v>
      </c>
      <c r="B32" s="450" t="s">
        <v>8282</v>
      </c>
      <c r="C32" s="450" t="n">
        <v>2014</v>
      </c>
      <c r="D32" s="451" t="n">
        <v>41969</v>
      </c>
      <c r="E32" s="452" t="s">
        <v>8283</v>
      </c>
      <c r="F32" s="452" t="s">
        <v>1916</v>
      </c>
      <c r="G32" s="378" t="s">
        <v>1174</v>
      </c>
      <c r="H32" s="378" t="s">
        <v>192</v>
      </c>
      <c r="I32" s="453" t="n">
        <v>44838</v>
      </c>
      <c r="J32" s="452" t="n">
        <v>10</v>
      </c>
      <c r="K32" s="464" t="s">
        <v>53</v>
      </c>
      <c r="L32" s="455" t="s">
        <v>58</v>
      </c>
      <c r="M32" s="455" t="n">
        <f aca="false">I32-D32</f>
        <v>2869</v>
      </c>
      <c r="N32" s="153"/>
      <c r="O32" s="282" t="n">
        <v>2011</v>
      </c>
      <c r="P32" s="282" t="n">
        <f aca="false">COUNTIF($C$2:$C$680,"2011")</f>
        <v>7</v>
      </c>
      <c r="Q32" s="282"/>
      <c r="R32" s="282"/>
      <c r="S32" s="316" t="n">
        <f aca="false">(P32/P44)</f>
        <v>0.0107361963190184</v>
      </c>
    </row>
    <row r="33" customFormat="false" ht="15" hidden="false" customHeight="true" outlineLevel="0" collapsed="false">
      <c r="A33" s="456" t="s">
        <v>8284</v>
      </c>
      <c r="B33" s="458" t="s">
        <v>8285</v>
      </c>
      <c r="C33" s="458" t="n">
        <v>2014</v>
      </c>
      <c r="D33" s="459" t="n">
        <v>41856</v>
      </c>
      <c r="E33" s="380" t="s">
        <v>8286</v>
      </c>
      <c r="F33" s="460" t="s">
        <v>1890</v>
      </c>
      <c r="G33" s="460" t="s">
        <v>1174</v>
      </c>
      <c r="H33" s="380" t="s">
        <v>223</v>
      </c>
      <c r="I33" s="461" t="n">
        <v>44839</v>
      </c>
      <c r="J33" s="460" t="n">
        <v>10</v>
      </c>
      <c r="K33" s="462" t="s">
        <v>53</v>
      </c>
      <c r="L33" s="463" t="s">
        <v>58</v>
      </c>
      <c r="M33" s="463" t="n">
        <f aca="false">I33-D33</f>
        <v>2983</v>
      </c>
      <c r="N33" s="153"/>
      <c r="O33" s="283" t="n">
        <v>2012</v>
      </c>
      <c r="P33" s="283" t="n">
        <f aca="false">COUNTIF($C$2:$C$680,"2012")</f>
        <v>13</v>
      </c>
      <c r="Q33" s="283"/>
      <c r="R33" s="283"/>
      <c r="S33" s="315" t="n">
        <f aca="false">(P33/P44)</f>
        <v>0.0199386503067485</v>
      </c>
    </row>
    <row r="34" customFormat="false" ht="15" hidden="false" customHeight="true" outlineLevel="0" collapsed="false">
      <c r="A34" s="456" t="s">
        <v>8287</v>
      </c>
      <c r="B34" s="458" t="s">
        <v>8288</v>
      </c>
      <c r="C34" s="458" t="n">
        <v>2014</v>
      </c>
      <c r="D34" s="459" t="n">
        <v>41722</v>
      </c>
      <c r="E34" s="380" t="s">
        <v>8289</v>
      </c>
      <c r="F34" s="460" t="s">
        <v>1890</v>
      </c>
      <c r="G34" s="460" t="s">
        <v>1174</v>
      </c>
      <c r="H34" s="380" t="s">
        <v>350</v>
      </c>
      <c r="I34" s="459" t="n">
        <v>44861</v>
      </c>
      <c r="J34" s="460" t="n">
        <v>10</v>
      </c>
      <c r="K34" s="462" t="s">
        <v>53</v>
      </c>
      <c r="L34" s="463" t="s">
        <v>58</v>
      </c>
      <c r="M34" s="463" t="n">
        <f aca="false">I34-D34</f>
        <v>3139</v>
      </c>
      <c r="N34" s="153"/>
      <c r="O34" s="282" t="n">
        <v>2013</v>
      </c>
      <c r="P34" s="282" t="n">
        <f aca="false">COUNTIF($C$2:$C$680,"2013")</f>
        <v>15</v>
      </c>
      <c r="Q34" s="282"/>
      <c r="R34" s="282"/>
      <c r="S34" s="316" t="n">
        <f aca="false">(P34/P44)</f>
        <v>0.0230061349693252</v>
      </c>
    </row>
    <row r="35" customFormat="false" ht="15" hidden="false" customHeight="true" outlineLevel="0" collapsed="false">
      <c r="A35" s="449" t="s">
        <v>8290</v>
      </c>
      <c r="B35" s="450" t="s">
        <v>8291</v>
      </c>
      <c r="C35" s="450" t="n">
        <v>2014</v>
      </c>
      <c r="D35" s="453" t="n">
        <v>41851</v>
      </c>
      <c r="E35" s="452" t="s">
        <v>8292</v>
      </c>
      <c r="F35" s="452" t="s">
        <v>1324</v>
      </c>
      <c r="G35" s="378" t="s">
        <v>1174</v>
      </c>
      <c r="H35" s="378" t="s">
        <v>513</v>
      </c>
      <c r="I35" s="453" t="n">
        <v>44914</v>
      </c>
      <c r="J35" s="452" t="n">
        <v>12</v>
      </c>
      <c r="K35" s="464" t="s">
        <v>53</v>
      </c>
      <c r="L35" s="455" t="s">
        <v>60</v>
      </c>
      <c r="M35" s="455" t="n">
        <f aca="false">I35-D35</f>
        <v>3063</v>
      </c>
      <c r="N35" s="153"/>
      <c r="O35" s="283" t="n">
        <v>2014</v>
      </c>
      <c r="P35" s="283" t="n">
        <f aca="false">COUNTIF($C$2:$C$680,"2014")</f>
        <v>43</v>
      </c>
      <c r="Q35" s="283"/>
      <c r="R35" s="283"/>
      <c r="S35" s="315" t="n">
        <f aca="false">(P35/P44)</f>
        <v>0.0659509202453988</v>
      </c>
    </row>
    <row r="36" customFormat="false" ht="15" hidden="false" customHeight="true" outlineLevel="0" collapsed="false">
      <c r="A36" s="449" t="s">
        <v>8293</v>
      </c>
      <c r="B36" s="450" t="s">
        <v>8294</v>
      </c>
      <c r="C36" s="450" t="n">
        <v>2014</v>
      </c>
      <c r="D36" s="453" t="n">
        <v>41995</v>
      </c>
      <c r="E36" s="452" t="s">
        <v>8295</v>
      </c>
      <c r="F36" s="452" t="s">
        <v>671</v>
      </c>
      <c r="G36" s="378" t="s">
        <v>1174</v>
      </c>
      <c r="H36" s="378" t="s">
        <v>184</v>
      </c>
      <c r="I36" s="453" t="n">
        <v>44918</v>
      </c>
      <c r="J36" s="452" t="n">
        <v>12</v>
      </c>
      <c r="K36" s="464" t="s">
        <v>53</v>
      </c>
      <c r="L36" s="455" t="s">
        <v>2848</v>
      </c>
      <c r="M36" s="455" t="n">
        <f aca="false">I36-D36</f>
        <v>2923</v>
      </c>
      <c r="N36" s="153"/>
      <c r="O36" s="282" t="n">
        <v>2015</v>
      </c>
      <c r="P36" s="282" t="n">
        <f aca="false">COUNTIF($C$2:$C$680,"2015")</f>
        <v>92</v>
      </c>
      <c r="Q36" s="282"/>
      <c r="R36" s="282"/>
      <c r="S36" s="316" t="n">
        <f aca="false">(P36/P44)</f>
        <v>0.141104294478528</v>
      </c>
    </row>
    <row r="37" customFormat="false" ht="15" hidden="false" customHeight="true" outlineLevel="0" collapsed="false">
      <c r="A37" s="456" t="s">
        <v>8296</v>
      </c>
      <c r="B37" s="458" t="s">
        <v>8297</v>
      </c>
      <c r="C37" s="458" t="n">
        <v>2014</v>
      </c>
      <c r="D37" s="461" t="n">
        <v>41684</v>
      </c>
      <c r="E37" s="380" t="s">
        <v>8298</v>
      </c>
      <c r="F37" s="460" t="s">
        <v>1254</v>
      </c>
      <c r="G37" s="460" t="s">
        <v>1174</v>
      </c>
      <c r="H37" s="380" t="s">
        <v>2677</v>
      </c>
      <c r="I37" s="461" t="n">
        <v>44918</v>
      </c>
      <c r="J37" s="460" t="n">
        <v>12</v>
      </c>
      <c r="K37" s="462" t="s">
        <v>53</v>
      </c>
      <c r="L37" s="463" t="s">
        <v>60</v>
      </c>
      <c r="M37" s="463" t="n">
        <f aca="false">I37-D37</f>
        <v>3234</v>
      </c>
      <c r="N37" s="153"/>
      <c r="O37" s="283" t="n">
        <v>2016</v>
      </c>
      <c r="P37" s="283" t="n">
        <f aca="false">COUNTIF($C$2:$C$680,"2016")</f>
        <v>75</v>
      </c>
      <c r="Q37" s="283"/>
      <c r="R37" s="283"/>
      <c r="S37" s="315" t="n">
        <f aca="false">(P37/P44)</f>
        <v>0.115030674846626</v>
      </c>
    </row>
    <row r="38" customFormat="false" ht="15" hidden="false" customHeight="true" outlineLevel="0" collapsed="false">
      <c r="A38" s="449" t="s">
        <v>8299</v>
      </c>
      <c r="B38" s="450" t="s">
        <v>8300</v>
      </c>
      <c r="C38" s="450" t="n">
        <v>2015</v>
      </c>
      <c r="D38" s="451" t="n">
        <v>42177</v>
      </c>
      <c r="E38" s="452" t="s">
        <v>8301</v>
      </c>
      <c r="F38" s="452" t="s">
        <v>1324</v>
      </c>
      <c r="G38" s="378" t="s">
        <v>1174</v>
      </c>
      <c r="H38" s="378" t="s">
        <v>192</v>
      </c>
      <c r="I38" s="453" t="n">
        <v>44588</v>
      </c>
      <c r="J38" s="452" t="n">
        <v>1</v>
      </c>
      <c r="K38" s="464" t="s">
        <v>53</v>
      </c>
      <c r="L38" s="455" t="s">
        <v>60</v>
      </c>
      <c r="M38" s="455" t="n">
        <f aca="false">I38-D38</f>
        <v>2411</v>
      </c>
      <c r="N38" s="153"/>
      <c r="O38" s="282" t="n">
        <v>2017</v>
      </c>
      <c r="P38" s="282" t="n">
        <f aca="false">COUNTIF($C$2:$C$680,"2017")</f>
        <v>65</v>
      </c>
      <c r="Q38" s="282"/>
      <c r="R38" s="282"/>
      <c r="S38" s="316" t="n">
        <f aca="false">(P38/P44)</f>
        <v>0.0996932515337423</v>
      </c>
    </row>
    <row r="39" customFormat="false" ht="15" hidden="false" customHeight="true" outlineLevel="0" collapsed="false">
      <c r="A39" s="449" t="s">
        <v>8302</v>
      </c>
      <c r="B39" s="450" t="s">
        <v>8303</v>
      </c>
      <c r="C39" s="450" t="n">
        <v>2015</v>
      </c>
      <c r="D39" s="451" t="n">
        <v>42100</v>
      </c>
      <c r="E39" s="452" t="s">
        <v>8304</v>
      </c>
      <c r="F39" s="452" t="s">
        <v>1262</v>
      </c>
      <c r="G39" s="378" t="s">
        <v>1174</v>
      </c>
      <c r="H39" s="378" t="s">
        <v>250</v>
      </c>
      <c r="I39" s="453" t="n">
        <v>44588</v>
      </c>
      <c r="J39" s="452" t="n">
        <v>1</v>
      </c>
      <c r="K39" s="464" t="s">
        <v>53</v>
      </c>
      <c r="L39" s="455" t="s">
        <v>58</v>
      </c>
      <c r="M39" s="455" t="n">
        <f aca="false">I39-D39</f>
        <v>2488</v>
      </c>
      <c r="N39" s="153"/>
      <c r="O39" s="283" t="n">
        <v>2018</v>
      </c>
      <c r="P39" s="283" t="n">
        <f aca="false">COUNTIF($C$2:$C$680,"2018")</f>
        <v>48</v>
      </c>
      <c r="Q39" s="283"/>
      <c r="R39" s="283"/>
      <c r="S39" s="315" t="n">
        <f aca="false">(P39/P44)</f>
        <v>0.0736196319018405</v>
      </c>
    </row>
    <row r="40" customFormat="false" ht="15" hidden="false" customHeight="true" outlineLevel="0" collapsed="false">
      <c r="A40" s="456" t="s">
        <v>8305</v>
      </c>
      <c r="B40" s="458" t="s">
        <v>8306</v>
      </c>
      <c r="C40" s="458" t="n">
        <v>2015</v>
      </c>
      <c r="D40" s="459" t="n">
        <v>42193</v>
      </c>
      <c r="E40" s="380" t="s">
        <v>8307</v>
      </c>
      <c r="F40" s="460" t="s">
        <v>1987</v>
      </c>
      <c r="G40" s="460" t="s">
        <v>1174</v>
      </c>
      <c r="H40" s="380" t="s">
        <v>471</v>
      </c>
      <c r="I40" s="461" t="n">
        <v>44588</v>
      </c>
      <c r="J40" s="460" t="n">
        <v>1</v>
      </c>
      <c r="K40" s="462" t="s">
        <v>53</v>
      </c>
      <c r="L40" s="463" t="s">
        <v>58</v>
      </c>
      <c r="M40" s="463" t="n">
        <f aca="false">I40-D40</f>
        <v>2395</v>
      </c>
      <c r="N40" s="153"/>
      <c r="O40" s="282" t="n">
        <v>2019</v>
      </c>
      <c r="P40" s="282" t="n">
        <f aca="false">COUNTIF($C$2:$C$680,"2019")</f>
        <v>53</v>
      </c>
      <c r="Q40" s="282"/>
      <c r="R40" s="282"/>
      <c r="S40" s="316" t="n">
        <f aca="false">(P40/P44)</f>
        <v>0.0812883435582822</v>
      </c>
    </row>
    <row r="41" customFormat="false" ht="15" hidden="false" customHeight="true" outlineLevel="0" collapsed="false">
      <c r="A41" s="449" t="s">
        <v>8308</v>
      </c>
      <c r="B41" s="450" t="s">
        <v>8309</v>
      </c>
      <c r="C41" s="450" t="n">
        <v>2010</v>
      </c>
      <c r="D41" s="451" t="n">
        <v>40241</v>
      </c>
      <c r="E41" s="452" t="s">
        <v>8310</v>
      </c>
      <c r="F41" s="452" t="s">
        <v>8311</v>
      </c>
      <c r="G41" s="378" t="s">
        <v>1188</v>
      </c>
      <c r="H41" s="378" t="s">
        <v>1109</v>
      </c>
      <c r="I41" s="467" t="n">
        <v>44634</v>
      </c>
      <c r="J41" s="452" t="n">
        <v>3</v>
      </c>
      <c r="K41" s="468" t="s">
        <v>290</v>
      </c>
      <c r="L41" s="455" t="s">
        <v>60</v>
      </c>
      <c r="M41" s="455" t="n">
        <f aca="false">I41-D41</f>
        <v>4393</v>
      </c>
      <c r="N41" s="153"/>
      <c r="O41" s="283" t="n">
        <v>2020</v>
      </c>
      <c r="P41" s="283" t="n">
        <f aca="false">COUNTIF($C$2:$C$680,"2020")</f>
        <v>58</v>
      </c>
      <c r="Q41" s="283"/>
      <c r="R41" s="283"/>
      <c r="S41" s="315" t="n">
        <f aca="false">(P41/P44)</f>
        <v>0.0889570552147239</v>
      </c>
    </row>
    <row r="42" customFormat="false" ht="15" hidden="false" customHeight="true" outlineLevel="0" collapsed="false">
      <c r="A42" s="456" t="s">
        <v>8312</v>
      </c>
      <c r="B42" s="380" t="s">
        <v>8313</v>
      </c>
      <c r="C42" s="458" t="n">
        <v>2015</v>
      </c>
      <c r="D42" s="461" t="n">
        <v>42334</v>
      </c>
      <c r="E42" s="380" t="s">
        <v>8314</v>
      </c>
      <c r="F42" s="460" t="s">
        <v>798</v>
      </c>
      <c r="G42" s="460" t="s">
        <v>1174</v>
      </c>
      <c r="H42" s="380" t="s">
        <v>254</v>
      </c>
      <c r="I42" s="461" t="n">
        <v>44610</v>
      </c>
      <c r="J42" s="460" t="n">
        <v>2</v>
      </c>
      <c r="K42" s="462" t="s">
        <v>53</v>
      </c>
      <c r="L42" s="463" t="s">
        <v>60</v>
      </c>
      <c r="M42" s="463" t="n">
        <f aca="false">I42-D42</f>
        <v>2276</v>
      </c>
      <c r="N42" s="153"/>
      <c r="O42" s="282" t="n">
        <v>2021</v>
      </c>
      <c r="P42" s="282" t="n">
        <f aca="false">COUNTIF($C$2:$C$680,"2021")</f>
        <v>123</v>
      </c>
      <c r="Q42" s="282"/>
      <c r="R42" s="282"/>
      <c r="S42" s="316" t="n">
        <f aca="false">(P42/P44)</f>
        <v>0.188650306748466</v>
      </c>
    </row>
    <row r="43" customFormat="false" ht="15" hidden="false" customHeight="true" outlineLevel="0" collapsed="false">
      <c r="A43" s="449" t="s">
        <v>8315</v>
      </c>
      <c r="B43" s="465" t="s">
        <v>8316</v>
      </c>
      <c r="C43" s="450" t="n">
        <v>2015</v>
      </c>
      <c r="D43" s="451" t="n">
        <v>42249</v>
      </c>
      <c r="E43" s="378" t="s">
        <v>8317</v>
      </c>
      <c r="F43" s="452" t="s">
        <v>401</v>
      </c>
      <c r="G43" s="378" t="s">
        <v>1174</v>
      </c>
      <c r="H43" s="378" t="s">
        <v>2654</v>
      </c>
      <c r="I43" s="453" t="n">
        <v>44610</v>
      </c>
      <c r="J43" s="452" t="n">
        <v>2</v>
      </c>
      <c r="K43" s="464" t="s">
        <v>53</v>
      </c>
      <c r="L43" s="455" t="s">
        <v>58</v>
      </c>
      <c r="M43" s="455" t="n">
        <f aca="false">I43-D43</f>
        <v>2361</v>
      </c>
      <c r="N43" s="153"/>
      <c r="O43" s="283" t="n">
        <v>2022</v>
      </c>
      <c r="P43" s="283" t="n">
        <f aca="false">COUNTIF($C$2:$C$680,"2022")</f>
        <v>49</v>
      </c>
      <c r="Q43" s="283"/>
      <c r="R43" s="283"/>
      <c r="S43" s="315" t="n">
        <f aca="false">(P43/P44)</f>
        <v>0.0751533742331288</v>
      </c>
    </row>
    <row r="44" customFormat="false" ht="15" hidden="false" customHeight="true" outlineLevel="0" collapsed="false">
      <c r="A44" s="456" t="s">
        <v>8318</v>
      </c>
      <c r="B44" s="457" t="s">
        <v>8319</v>
      </c>
      <c r="C44" s="458" t="n">
        <v>2015</v>
      </c>
      <c r="D44" s="459" t="n">
        <v>42124</v>
      </c>
      <c r="E44" s="380" t="s">
        <v>8320</v>
      </c>
      <c r="F44" s="460" t="s">
        <v>798</v>
      </c>
      <c r="G44" s="460" t="s">
        <v>1174</v>
      </c>
      <c r="H44" s="380" t="s">
        <v>184</v>
      </c>
      <c r="I44" s="461" t="n">
        <v>44610</v>
      </c>
      <c r="J44" s="460" t="n">
        <v>2</v>
      </c>
      <c r="K44" s="462" t="s">
        <v>53</v>
      </c>
      <c r="L44" s="463" t="s">
        <v>60</v>
      </c>
      <c r="M44" s="463" t="n">
        <f aca="false">I44-D44</f>
        <v>2486</v>
      </c>
      <c r="N44" s="153"/>
      <c r="O44" s="323" t="s">
        <v>56</v>
      </c>
      <c r="P44" s="418" t="n">
        <f aca="false">SUM(P29:R43)</f>
        <v>652</v>
      </c>
      <c r="Q44" s="418"/>
      <c r="R44" s="418"/>
      <c r="S44" s="325" t="n">
        <f aca="false">SUM(S29:S43)</f>
        <v>1</v>
      </c>
    </row>
    <row r="45" customFormat="false" ht="15" hidden="false" customHeight="true" outlineLevel="0" collapsed="false">
      <c r="A45" s="449" t="s">
        <v>8321</v>
      </c>
      <c r="B45" s="465" t="s">
        <v>8322</v>
      </c>
      <c r="C45" s="450" t="n">
        <v>2015</v>
      </c>
      <c r="D45" s="451" t="n">
        <v>42359</v>
      </c>
      <c r="E45" s="378" t="s">
        <v>8323</v>
      </c>
      <c r="F45" s="452" t="s">
        <v>8232</v>
      </c>
      <c r="G45" s="378" t="s">
        <v>1174</v>
      </c>
      <c r="H45" s="378" t="s">
        <v>267</v>
      </c>
      <c r="I45" s="453" t="n">
        <v>44610</v>
      </c>
      <c r="J45" s="452" t="n">
        <v>2</v>
      </c>
      <c r="K45" s="464" t="s">
        <v>53</v>
      </c>
      <c r="L45" s="455" t="s">
        <v>60</v>
      </c>
      <c r="M45" s="455" t="n">
        <f aca="false">I45-D45</f>
        <v>2251</v>
      </c>
      <c r="N45" s="153"/>
      <c r="O45" s="153"/>
      <c r="P45" s="153"/>
      <c r="Q45" s="153"/>
      <c r="R45" s="153"/>
      <c r="S45" s="153"/>
    </row>
    <row r="46" customFormat="false" ht="15" hidden="false" customHeight="true" outlineLevel="0" collapsed="false">
      <c r="A46" s="456" t="s">
        <v>8324</v>
      </c>
      <c r="B46" s="457" t="s">
        <v>8325</v>
      </c>
      <c r="C46" s="458" t="n">
        <v>2015</v>
      </c>
      <c r="D46" s="459" t="n">
        <v>42027</v>
      </c>
      <c r="E46" s="380" t="s">
        <v>8326</v>
      </c>
      <c r="F46" s="460" t="s">
        <v>798</v>
      </c>
      <c r="G46" s="460" t="s">
        <v>1174</v>
      </c>
      <c r="H46" s="380" t="s">
        <v>1567</v>
      </c>
      <c r="I46" s="461" t="n">
        <v>44610</v>
      </c>
      <c r="J46" s="460" t="n">
        <v>2</v>
      </c>
      <c r="K46" s="462" t="s">
        <v>53</v>
      </c>
      <c r="L46" s="463" t="s">
        <v>60</v>
      </c>
      <c r="M46" s="463" t="n">
        <f aca="false">I46-D46</f>
        <v>2583</v>
      </c>
      <c r="N46" s="153"/>
      <c r="O46" s="326" t="s">
        <v>272</v>
      </c>
      <c r="P46" s="326"/>
      <c r="Q46" s="326"/>
      <c r="R46" s="326"/>
      <c r="S46" s="326"/>
    </row>
    <row r="47" customFormat="false" ht="15" hidden="false" customHeight="true" outlineLevel="0" collapsed="false">
      <c r="A47" s="456" t="s">
        <v>8327</v>
      </c>
      <c r="B47" s="457" t="s">
        <v>8328</v>
      </c>
      <c r="C47" s="458" t="n">
        <v>2015</v>
      </c>
      <c r="D47" s="459" t="n">
        <v>42013</v>
      </c>
      <c r="E47" s="380" t="s">
        <v>8329</v>
      </c>
      <c r="F47" s="380" t="s">
        <v>8206</v>
      </c>
      <c r="G47" s="460" t="s">
        <v>1174</v>
      </c>
      <c r="H47" s="380" t="s">
        <v>267</v>
      </c>
      <c r="I47" s="461" t="n">
        <v>44663</v>
      </c>
      <c r="J47" s="460" t="n">
        <v>4</v>
      </c>
      <c r="K47" s="462" t="s">
        <v>53</v>
      </c>
      <c r="L47" s="463" t="s">
        <v>58</v>
      </c>
      <c r="M47" s="463" t="n">
        <f aca="false">I47-D47</f>
        <v>2650</v>
      </c>
      <c r="N47" s="153"/>
      <c r="O47" s="326"/>
      <c r="P47" s="326"/>
      <c r="Q47" s="326"/>
      <c r="R47" s="326"/>
      <c r="S47" s="326"/>
    </row>
    <row r="48" customFormat="false" ht="15" hidden="false" customHeight="true" outlineLevel="0" collapsed="false">
      <c r="A48" s="449" t="s">
        <v>8330</v>
      </c>
      <c r="B48" s="465" t="s">
        <v>8331</v>
      </c>
      <c r="C48" s="450" t="n">
        <v>2015</v>
      </c>
      <c r="D48" s="451" t="n">
        <v>42160</v>
      </c>
      <c r="E48" s="378" t="s">
        <v>8332</v>
      </c>
      <c r="F48" s="452" t="s">
        <v>365</v>
      </c>
      <c r="G48" s="378" t="s">
        <v>1174</v>
      </c>
      <c r="H48" s="378" t="s">
        <v>350</v>
      </c>
      <c r="I48" s="453" t="n">
        <v>44663</v>
      </c>
      <c r="J48" s="452" t="n">
        <v>4</v>
      </c>
      <c r="K48" s="464" t="s">
        <v>53</v>
      </c>
      <c r="L48" s="455" t="s">
        <v>60</v>
      </c>
      <c r="M48" s="455" t="n">
        <f aca="false">I48-D48</f>
        <v>2503</v>
      </c>
      <c r="N48" s="153"/>
      <c r="O48" s="309" t="s">
        <v>100</v>
      </c>
      <c r="P48" s="416" t="s">
        <v>40</v>
      </c>
      <c r="Q48" s="416"/>
      <c r="R48" s="416"/>
      <c r="S48" s="313" t="s">
        <v>41</v>
      </c>
    </row>
    <row r="49" customFormat="false" ht="15" hidden="false" customHeight="true" outlineLevel="0" collapsed="false">
      <c r="A49" s="449" t="s">
        <v>8333</v>
      </c>
      <c r="B49" s="465" t="s">
        <v>8334</v>
      </c>
      <c r="C49" s="450" t="n">
        <v>2015</v>
      </c>
      <c r="D49" s="451" t="n">
        <v>42360</v>
      </c>
      <c r="E49" s="378" t="s">
        <v>8335</v>
      </c>
      <c r="F49" s="452" t="s">
        <v>1196</v>
      </c>
      <c r="G49" s="378" t="s">
        <v>1174</v>
      </c>
      <c r="H49" s="378" t="s">
        <v>1501</v>
      </c>
      <c r="I49" s="453" t="n">
        <v>44663</v>
      </c>
      <c r="J49" s="452" t="n">
        <v>4</v>
      </c>
      <c r="K49" s="464" t="s">
        <v>53</v>
      </c>
      <c r="L49" s="455" t="s">
        <v>58</v>
      </c>
      <c r="M49" s="455" t="n">
        <f aca="false">I49-D49</f>
        <v>2303</v>
      </c>
      <c r="N49" s="153"/>
      <c r="O49" s="314" t="s">
        <v>63</v>
      </c>
      <c r="P49" s="314" t="n">
        <f aca="false">COUNTIF($J$2:$J$680,"1")</f>
        <v>38</v>
      </c>
      <c r="Q49" s="314"/>
      <c r="R49" s="314"/>
      <c r="S49" s="469" t="n">
        <f aca="false">(P49/P61)</f>
        <v>0.0582822085889571</v>
      </c>
      <c r="T49" s="153"/>
    </row>
    <row r="50" customFormat="false" ht="15" hidden="false" customHeight="true" outlineLevel="0" collapsed="false">
      <c r="A50" s="449" t="s">
        <v>8336</v>
      </c>
      <c r="B50" s="465" t="s">
        <v>8337</v>
      </c>
      <c r="C50" s="450" t="n">
        <v>2015</v>
      </c>
      <c r="D50" s="451" t="n">
        <v>42048</v>
      </c>
      <c r="E50" s="378" t="s">
        <v>8338</v>
      </c>
      <c r="F50" s="452" t="s">
        <v>365</v>
      </c>
      <c r="G50" s="378" t="s">
        <v>1174</v>
      </c>
      <c r="H50" s="378" t="s">
        <v>184</v>
      </c>
      <c r="I50" s="453" t="n">
        <v>44663</v>
      </c>
      <c r="J50" s="452" t="n">
        <v>4</v>
      </c>
      <c r="K50" s="464" t="s">
        <v>53</v>
      </c>
      <c r="L50" s="455" t="s">
        <v>60</v>
      </c>
      <c r="M50" s="455" t="n">
        <f aca="false">I50-D50</f>
        <v>2615</v>
      </c>
      <c r="N50" s="153"/>
      <c r="O50" s="282" t="s">
        <v>64</v>
      </c>
      <c r="P50" s="282" t="n">
        <f aca="false">COUNTIF($J$2:$J$680,"2")</f>
        <v>52</v>
      </c>
      <c r="Q50" s="282"/>
      <c r="R50" s="282"/>
      <c r="S50" s="316" t="n">
        <f aca="false">(P50/P61)</f>
        <v>0.0797546012269939</v>
      </c>
      <c r="T50" s="153"/>
    </row>
    <row r="51" customFormat="false" ht="15" hidden="false" customHeight="true" outlineLevel="0" collapsed="false">
      <c r="A51" s="449" t="s">
        <v>8339</v>
      </c>
      <c r="B51" s="465" t="s">
        <v>8340</v>
      </c>
      <c r="C51" s="450" t="n">
        <v>2015</v>
      </c>
      <c r="D51" s="451" t="n">
        <v>42118</v>
      </c>
      <c r="E51" s="378" t="s">
        <v>8341</v>
      </c>
      <c r="F51" s="378" t="s">
        <v>8342</v>
      </c>
      <c r="G51" s="378" t="s">
        <v>1174</v>
      </c>
      <c r="H51" s="378" t="s">
        <v>8343</v>
      </c>
      <c r="I51" s="453" t="n">
        <v>44663</v>
      </c>
      <c r="J51" s="452" t="n">
        <v>4</v>
      </c>
      <c r="K51" s="464" t="s">
        <v>53</v>
      </c>
      <c r="L51" s="455" t="s">
        <v>58</v>
      </c>
      <c r="M51" s="455" t="n">
        <f aca="false">I51-D51</f>
        <v>2545</v>
      </c>
      <c r="N51" s="153"/>
      <c r="O51" s="283" t="s">
        <v>66</v>
      </c>
      <c r="P51" s="283" t="n">
        <f aca="false">COUNTIF($J$2:$J$680,"3")</f>
        <v>23</v>
      </c>
      <c r="Q51" s="283"/>
      <c r="R51" s="283"/>
      <c r="S51" s="315" t="n">
        <f aca="false">(P51/P61)</f>
        <v>0.0352760736196319</v>
      </c>
      <c r="T51" s="153"/>
    </row>
    <row r="52" customFormat="false" ht="15" hidden="false" customHeight="true" outlineLevel="0" collapsed="false">
      <c r="A52" s="449" t="s">
        <v>8344</v>
      </c>
      <c r="B52" s="465" t="s">
        <v>8345</v>
      </c>
      <c r="C52" s="450" t="n">
        <v>2015</v>
      </c>
      <c r="D52" s="451" t="n">
        <v>42014</v>
      </c>
      <c r="E52" s="378" t="s">
        <v>8346</v>
      </c>
      <c r="F52" s="378" t="s">
        <v>8347</v>
      </c>
      <c r="G52" s="378" t="s">
        <v>1174</v>
      </c>
      <c r="H52" s="378" t="s">
        <v>267</v>
      </c>
      <c r="I52" s="453" t="n">
        <v>44708</v>
      </c>
      <c r="J52" s="452" t="n">
        <v>5</v>
      </c>
      <c r="K52" s="464" t="s">
        <v>53</v>
      </c>
      <c r="L52" s="455" t="s">
        <v>60</v>
      </c>
      <c r="M52" s="455" t="n">
        <f aca="false">I52-D52</f>
        <v>2694</v>
      </c>
      <c r="N52" s="153"/>
      <c r="O52" s="282" t="s">
        <v>67</v>
      </c>
      <c r="P52" s="282" t="n">
        <f aca="false">COUNTIF($J$2:$J$680,"4")</f>
        <v>54</v>
      </c>
      <c r="Q52" s="282"/>
      <c r="R52" s="282"/>
      <c r="S52" s="316" t="n">
        <f aca="false">(P52/P61)</f>
        <v>0.0828220858895706</v>
      </c>
      <c r="T52" s="153"/>
    </row>
    <row r="53" customFormat="false" ht="15" hidden="false" customHeight="true" outlineLevel="0" collapsed="false">
      <c r="A53" s="449" t="s">
        <v>8348</v>
      </c>
      <c r="B53" s="465" t="s">
        <v>8349</v>
      </c>
      <c r="C53" s="450" t="n">
        <v>2015</v>
      </c>
      <c r="D53" s="451" t="n">
        <v>42102</v>
      </c>
      <c r="E53" s="378" t="s">
        <v>8350</v>
      </c>
      <c r="F53" s="378" t="s">
        <v>8351</v>
      </c>
      <c r="G53" s="378" t="s">
        <v>1174</v>
      </c>
      <c r="H53" s="378" t="s">
        <v>223</v>
      </c>
      <c r="I53" s="453" t="n">
        <v>44708</v>
      </c>
      <c r="J53" s="452" t="n">
        <v>5</v>
      </c>
      <c r="K53" s="464" t="s">
        <v>53</v>
      </c>
      <c r="L53" s="455" t="s">
        <v>2848</v>
      </c>
      <c r="M53" s="455" t="n">
        <f aca="false">I53-D53</f>
        <v>2606</v>
      </c>
      <c r="N53" s="153"/>
      <c r="O53" s="283" t="s">
        <v>68</v>
      </c>
      <c r="P53" s="283" t="n">
        <f aca="false">COUNTIF($J$2:$J$680,"5")</f>
        <v>99</v>
      </c>
      <c r="Q53" s="283"/>
      <c r="R53" s="283"/>
      <c r="S53" s="315" t="n">
        <f aca="false">(P53/P61)</f>
        <v>0.151840490797546</v>
      </c>
      <c r="T53" s="153"/>
    </row>
    <row r="54" customFormat="false" ht="15" hidden="false" customHeight="true" outlineLevel="0" collapsed="false">
      <c r="A54" s="456" t="s">
        <v>8352</v>
      </c>
      <c r="B54" s="457" t="s">
        <v>8353</v>
      </c>
      <c r="C54" s="458" t="n">
        <v>2015</v>
      </c>
      <c r="D54" s="459" t="n">
        <v>42075</v>
      </c>
      <c r="E54" s="380" t="s">
        <v>8354</v>
      </c>
      <c r="F54" s="460" t="s">
        <v>798</v>
      </c>
      <c r="G54" s="460" t="s">
        <v>1174</v>
      </c>
      <c r="H54" s="380" t="s">
        <v>350</v>
      </c>
      <c r="I54" s="461" t="n">
        <v>44708</v>
      </c>
      <c r="J54" s="460" t="n">
        <v>5</v>
      </c>
      <c r="K54" s="462" t="s">
        <v>53</v>
      </c>
      <c r="L54" s="463" t="s">
        <v>60</v>
      </c>
      <c r="M54" s="463" t="n">
        <f aca="false">I54-D54</f>
        <v>2633</v>
      </c>
      <c r="N54" s="153"/>
      <c r="O54" s="282" t="s">
        <v>70</v>
      </c>
      <c r="P54" s="282" t="n">
        <f aca="false">COUNTIF($J$2:$J$680,"6")</f>
        <v>50</v>
      </c>
      <c r="Q54" s="282"/>
      <c r="R54" s="282"/>
      <c r="S54" s="316" t="n">
        <f aca="false">(P54/P61)</f>
        <v>0.0766871165644172</v>
      </c>
      <c r="T54" s="153"/>
    </row>
    <row r="55" customFormat="false" ht="15" hidden="false" customHeight="true" outlineLevel="0" collapsed="false">
      <c r="A55" s="449" t="s">
        <v>8355</v>
      </c>
      <c r="B55" s="378" t="s">
        <v>8356</v>
      </c>
      <c r="C55" s="450" t="n">
        <v>2015</v>
      </c>
      <c r="D55" s="451" t="n">
        <v>42181</v>
      </c>
      <c r="E55" s="378" t="s">
        <v>8357</v>
      </c>
      <c r="F55" s="452" t="s">
        <v>798</v>
      </c>
      <c r="G55" s="378" t="s">
        <v>1174</v>
      </c>
      <c r="H55" s="378" t="s">
        <v>1059</v>
      </c>
      <c r="I55" s="453" t="n">
        <v>44708</v>
      </c>
      <c r="J55" s="452" t="n">
        <v>5</v>
      </c>
      <c r="K55" s="464" t="s">
        <v>53</v>
      </c>
      <c r="L55" s="455" t="s">
        <v>60</v>
      </c>
      <c r="M55" s="455" t="n">
        <f aca="false">I55-D55</f>
        <v>2527</v>
      </c>
      <c r="N55" s="153"/>
      <c r="O55" s="283" t="s">
        <v>72</v>
      </c>
      <c r="P55" s="283" t="n">
        <f aca="false">COUNTIF($J$2:$J$680,"7")</f>
        <v>53</v>
      </c>
      <c r="Q55" s="283"/>
      <c r="R55" s="283"/>
      <c r="S55" s="315" t="n">
        <f aca="false">(P55/P61)</f>
        <v>0.0812883435582822</v>
      </c>
      <c r="T55" s="153"/>
    </row>
    <row r="56" customFormat="false" ht="15" hidden="false" customHeight="true" outlineLevel="0" collapsed="false">
      <c r="A56" s="449" t="s">
        <v>8358</v>
      </c>
      <c r="B56" s="465" t="s">
        <v>8359</v>
      </c>
      <c r="C56" s="450" t="n">
        <v>2015</v>
      </c>
      <c r="D56" s="451" t="n">
        <v>42268</v>
      </c>
      <c r="E56" s="378" t="s">
        <v>8360</v>
      </c>
      <c r="F56" s="452" t="s">
        <v>798</v>
      </c>
      <c r="G56" s="378" t="s">
        <v>1174</v>
      </c>
      <c r="H56" s="378" t="s">
        <v>184</v>
      </c>
      <c r="I56" s="453" t="n">
        <v>44708</v>
      </c>
      <c r="J56" s="452" t="n">
        <v>5</v>
      </c>
      <c r="K56" s="464" t="s">
        <v>53</v>
      </c>
      <c r="L56" s="455" t="s">
        <v>60</v>
      </c>
      <c r="M56" s="455" t="n">
        <f aca="false">I56-D56</f>
        <v>2440</v>
      </c>
      <c r="N56" s="160"/>
      <c r="O56" s="282" t="s">
        <v>74</v>
      </c>
      <c r="P56" s="282" t="n">
        <f aca="false">COUNTIF($J$2:$J$680,"8")</f>
        <v>74</v>
      </c>
      <c r="Q56" s="282"/>
      <c r="R56" s="282"/>
      <c r="S56" s="316" t="n">
        <f aca="false">(P56/P61)</f>
        <v>0.113496932515337</v>
      </c>
      <c r="T56" s="153"/>
    </row>
    <row r="57" customFormat="false" ht="15" hidden="false" customHeight="true" outlineLevel="0" collapsed="false">
      <c r="A57" s="449" t="s">
        <v>8361</v>
      </c>
      <c r="B57" s="465" t="s">
        <v>8362</v>
      </c>
      <c r="C57" s="450" t="n">
        <v>2015</v>
      </c>
      <c r="D57" s="451" t="n">
        <v>42097</v>
      </c>
      <c r="E57" s="378" t="s">
        <v>8363</v>
      </c>
      <c r="F57" s="452" t="s">
        <v>668</v>
      </c>
      <c r="G57" s="378" t="s">
        <v>1174</v>
      </c>
      <c r="H57" s="378" t="s">
        <v>5263</v>
      </c>
      <c r="I57" s="453" t="n">
        <v>44708</v>
      </c>
      <c r="J57" s="452" t="n">
        <v>5</v>
      </c>
      <c r="K57" s="464" t="s">
        <v>53</v>
      </c>
      <c r="L57" s="455" t="s">
        <v>58</v>
      </c>
      <c r="M57" s="455" t="n">
        <f aca="false">I57-D57</f>
        <v>2611</v>
      </c>
      <c r="N57" s="153"/>
      <c r="O57" s="283" t="s">
        <v>76</v>
      </c>
      <c r="P57" s="283" t="n">
        <f aca="false">COUNTIF($J$2:$J$680,"9")</f>
        <v>19</v>
      </c>
      <c r="Q57" s="283"/>
      <c r="R57" s="283"/>
      <c r="S57" s="315" t="n">
        <f aca="false">(P57/P61)</f>
        <v>0.0291411042944785</v>
      </c>
      <c r="T57" s="153"/>
    </row>
    <row r="58" customFormat="false" ht="15" hidden="false" customHeight="true" outlineLevel="0" collapsed="false">
      <c r="A58" s="449" t="s">
        <v>8364</v>
      </c>
      <c r="B58" s="465" t="s">
        <v>8365</v>
      </c>
      <c r="C58" s="450" t="n">
        <v>2015</v>
      </c>
      <c r="D58" s="451" t="n">
        <v>42076</v>
      </c>
      <c r="E58" s="452" t="s">
        <v>8366</v>
      </c>
      <c r="F58" s="452" t="s">
        <v>3844</v>
      </c>
      <c r="G58" s="378" t="s">
        <v>1174</v>
      </c>
      <c r="H58" s="378" t="s">
        <v>1567</v>
      </c>
      <c r="I58" s="453" t="n">
        <v>44708</v>
      </c>
      <c r="J58" s="452" t="n">
        <v>5</v>
      </c>
      <c r="K58" s="464" t="s">
        <v>53</v>
      </c>
      <c r="L58" s="455" t="s">
        <v>58</v>
      </c>
      <c r="M58" s="455" t="n">
        <f aca="false">I58-D58</f>
        <v>2632</v>
      </c>
      <c r="N58" s="153"/>
      <c r="O58" s="282" t="s">
        <v>78</v>
      </c>
      <c r="P58" s="282" t="n">
        <f aca="false">COUNTIF($J$2:$J$680,"10")</f>
        <v>30</v>
      </c>
      <c r="Q58" s="282"/>
      <c r="R58" s="282"/>
      <c r="S58" s="316" t="n">
        <f aca="false">(P58/P61)</f>
        <v>0.0460122699386503</v>
      </c>
      <c r="T58" s="153"/>
    </row>
    <row r="59" customFormat="false" ht="15" hidden="false" customHeight="true" outlineLevel="0" collapsed="false">
      <c r="A59" s="449" t="s">
        <v>8367</v>
      </c>
      <c r="B59" s="465" t="s">
        <v>8368</v>
      </c>
      <c r="C59" s="450" t="n">
        <v>2015</v>
      </c>
      <c r="D59" s="451" t="n">
        <v>42276</v>
      </c>
      <c r="E59" s="452" t="s">
        <v>8369</v>
      </c>
      <c r="F59" s="452" t="s">
        <v>2224</v>
      </c>
      <c r="G59" s="378" t="s">
        <v>1174</v>
      </c>
      <c r="H59" s="378" t="s">
        <v>254</v>
      </c>
      <c r="I59" s="453" t="n">
        <v>44708</v>
      </c>
      <c r="J59" s="452" t="n">
        <v>5</v>
      </c>
      <c r="K59" s="464" t="s">
        <v>53</v>
      </c>
      <c r="L59" s="455" t="s">
        <v>58</v>
      </c>
      <c r="M59" s="455" t="n">
        <f aca="false">I59-D59</f>
        <v>2432</v>
      </c>
      <c r="N59" s="153"/>
      <c r="O59" s="283" t="s">
        <v>80</v>
      </c>
      <c r="P59" s="283" t="n">
        <f aca="false">COUNTIF($J$2:$J$680,"11")</f>
        <v>66</v>
      </c>
      <c r="Q59" s="283"/>
      <c r="R59" s="283"/>
      <c r="S59" s="315" t="n">
        <f aca="false">(P59/P61)</f>
        <v>0.101226993865031</v>
      </c>
      <c r="T59" s="153"/>
    </row>
    <row r="60" customFormat="false" ht="15" hidden="false" customHeight="true" outlineLevel="0" collapsed="false">
      <c r="A60" s="449" t="s">
        <v>8370</v>
      </c>
      <c r="B60" s="465" t="s">
        <v>8371</v>
      </c>
      <c r="C60" s="450" t="n">
        <v>2015</v>
      </c>
      <c r="D60" s="451" t="n">
        <v>42200</v>
      </c>
      <c r="E60" s="378" t="s">
        <v>8372</v>
      </c>
      <c r="F60" s="452" t="s">
        <v>1262</v>
      </c>
      <c r="G60" s="378" t="s">
        <v>1174</v>
      </c>
      <c r="H60" s="378" t="s">
        <v>192</v>
      </c>
      <c r="I60" s="453" t="n">
        <v>44713</v>
      </c>
      <c r="J60" s="452" t="n">
        <v>6</v>
      </c>
      <c r="K60" s="464" t="s">
        <v>53</v>
      </c>
      <c r="L60" s="455" t="s">
        <v>58</v>
      </c>
      <c r="M60" s="455" t="n">
        <f aca="false">I60-D60</f>
        <v>2513</v>
      </c>
      <c r="N60" s="153"/>
      <c r="O60" s="336" t="s">
        <v>82</v>
      </c>
      <c r="P60" s="282" t="n">
        <f aca="false">COUNTIF($J$2:$J$680,"12")</f>
        <v>94</v>
      </c>
      <c r="Q60" s="282"/>
      <c r="R60" s="282"/>
      <c r="S60" s="470" t="n">
        <f aca="false">(P60/P61)</f>
        <v>0.144171779141104</v>
      </c>
      <c r="T60" s="153"/>
    </row>
    <row r="61" customFormat="false" ht="15" hidden="false" customHeight="true" outlineLevel="0" collapsed="false">
      <c r="A61" s="456" t="s">
        <v>8373</v>
      </c>
      <c r="B61" s="457" t="s">
        <v>8374</v>
      </c>
      <c r="C61" s="458" t="n">
        <v>2015</v>
      </c>
      <c r="D61" s="459" t="n">
        <v>42271</v>
      </c>
      <c r="E61" s="380" t="s">
        <v>8375</v>
      </c>
      <c r="F61" s="460" t="s">
        <v>1262</v>
      </c>
      <c r="G61" s="460" t="s">
        <v>1174</v>
      </c>
      <c r="H61" s="380" t="s">
        <v>184</v>
      </c>
      <c r="I61" s="461" t="n">
        <v>44713</v>
      </c>
      <c r="J61" s="460" t="n">
        <v>6</v>
      </c>
      <c r="K61" s="462" t="s">
        <v>53</v>
      </c>
      <c r="L61" s="463" t="s">
        <v>58</v>
      </c>
      <c r="M61" s="463" t="n">
        <f aca="false">I61-D61</f>
        <v>2442</v>
      </c>
      <c r="N61" s="153"/>
      <c r="O61" s="323" t="s">
        <v>54</v>
      </c>
      <c r="P61" s="418" t="n">
        <f aca="false">SUM(P49:R60)</f>
        <v>652</v>
      </c>
      <c r="Q61" s="418"/>
      <c r="R61" s="418"/>
      <c r="S61" s="325" t="n">
        <f aca="false">SUM(S49:S60)</f>
        <v>1</v>
      </c>
      <c r="T61" s="153"/>
    </row>
    <row r="62" customFormat="false" ht="15" hidden="false" customHeight="true" outlineLevel="0" collapsed="false">
      <c r="A62" s="449" t="s">
        <v>8376</v>
      </c>
      <c r="B62" s="465" t="s">
        <v>8377</v>
      </c>
      <c r="C62" s="450" t="n">
        <v>2015</v>
      </c>
      <c r="D62" s="451" t="n">
        <v>42353</v>
      </c>
      <c r="E62" s="378" t="s">
        <v>8378</v>
      </c>
      <c r="F62" s="452" t="s">
        <v>4956</v>
      </c>
      <c r="G62" s="378" t="s">
        <v>1174</v>
      </c>
      <c r="H62" s="378" t="s">
        <v>263</v>
      </c>
      <c r="I62" s="453" t="n">
        <v>44713</v>
      </c>
      <c r="J62" s="452" t="n">
        <v>6</v>
      </c>
      <c r="K62" s="464" t="s">
        <v>53</v>
      </c>
      <c r="L62" s="455" t="s">
        <v>58</v>
      </c>
      <c r="M62" s="455" t="n">
        <f aca="false">I62-D62</f>
        <v>2360</v>
      </c>
      <c r="N62" s="153"/>
      <c r="O62" s="153"/>
      <c r="P62" s="153"/>
      <c r="Q62" s="153"/>
      <c r="R62" s="153"/>
      <c r="S62" s="153"/>
      <c r="T62" s="153"/>
    </row>
    <row r="63" customFormat="false" ht="15" hidden="false" customHeight="true" outlineLevel="0" collapsed="false">
      <c r="A63" s="449" t="s">
        <v>8379</v>
      </c>
      <c r="B63" s="465" t="s">
        <v>8380</v>
      </c>
      <c r="C63" s="450" t="n">
        <v>2015</v>
      </c>
      <c r="D63" s="451" t="n">
        <v>42339</v>
      </c>
      <c r="E63" s="378" t="s">
        <v>8381</v>
      </c>
      <c r="F63" s="452" t="s">
        <v>798</v>
      </c>
      <c r="G63" s="378" t="s">
        <v>1174</v>
      </c>
      <c r="H63" s="378" t="s">
        <v>267</v>
      </c>
      <c r="I63" s="453" t="n">
        <v>44713</v>
      </c>
      <c r="J63" s="452" t="n">
        <v>6</v>
      </c>
      <c r="K63" s="464" t="s">
        <v>53</v>
      </c>
      <c r="L63" s="455" t="s">
        <v>60</v>
      </c>
      <c r="M63" s="455" t="n">
        <f aca="false">I63-D63</f>
        <v>2374</v>
      </c>
      <c r="N63" s="153"/>
      <c r="O63" s="339" t="s">
        <v>335</v>
      </c>
      <c r="P63" s="339"/>
      <c r="Q63" s="339"/>
      <c r="R63" s="339"/>
      <c r="S63" s="339"/>
      <c r="T63" s="339"/>
    </row>
    <row r="64" customFormat="false" ht="15" hidden="false" customHeight="true" outlineLevel="0" collapsed="false">
      <c r="A64" s="449" t="s">
        <v>8382</v>
      </c>
      <c r="B64" s="465" t="s">
        <v>8383</v>
      </c>
      <c r="C64" s="450" t="n">
        <v>2015</v>
      </c>
      <c r="D64" s="451" t="n">
        <v>42020</v>
      </c>
      <c r="E64" s="378" t="s">
        <v>8384</v>
      </c>
      <c r="F64" s="452" t="s">
        <v>798</v>
      </c>
      <c r="G64" s="378" t="s">
        <v>1174</v>
      </c>
      <c r="H64" s="378" t="s">
        <v>192</v>
      </c>
      <c r="I64" s="453" t="n">
        <v>44713</v>
      </c>
      <c r="J64" s="452" t="n">
        <v>6</v>
      </c>
      <c r="K64" s="464" t="s">
        <v>53</v>
      </c>
      <c r="L64" s="455" t="s">
        <v>60</v>
      </c>
      <c r="M64" s="455" t="n">
        <f aca="false">I64-D64</f>
        <v>2693</v>
      </c>
      <c r="N64" s="153"/>
      <c r="O64" s="339"/>
      <c r="P64" s="339"/>
      <c r="Q64" s="339"/>
      <c r="R64" s="339"/>
      <c r="S64" s="339"/>
      <c r="T64" s="339"/>
    </row>
    <row r="65" customFormat="false" ht="15" hidden="false" customHeight="true" outlineLevel="0" collapsed="false">
      <c r="A65" s="456" t="s">
        <v>8385</v>
      </c>
      <c r="B65" s="458" t="s">
        <v>8386</v>
      </c>
      <c r="C65" s="458" t="n">
        <v>2015</v>
      </c>
      <c r="D65" s="459" t="n">
        <v>42034</v>
      </c>
      <c r="E65" s="380" t="s">
        <v>8387</v>
      </c>
      <c r="F65" s="460" t="s">
        <v>8388</v>
      </c>
      <c r="G65" s="460" t="s">
        <v>1174</v>
      </c>
      <c r="H65" s="380" t="s">
        <v>354</v>
      </c>
      <c r="I65" s="461" t="n">
        <v>44763</v>
      </c>
      <c r="J65" s="460" t="n">
        <v>7</v>
      </c>
      <c r="K65" s="462" t="s">
        <v>53</v>
      </c>
      <c r="L65" s="463" t="s">
        <v>60</v>
      </c>
      <c r="M65" s="463" t="n">
        <f aca="false">I65-D65</f>
        <v>2729</v>
      </c>
      <c r="N65" s="160"/>
      <c r="O65" s="340" t="s">
        <v>38</v>
      </c>
      <c r="P65" s="340"/>
      <c r="Q65" s="340"/>
      <c r="R65" s="340"/>
      <c r="S65" s="341" t="s">
        <v>343</v>
      </c>
      <c r="T65" s="342" t="s">
        <v>41</v>
      </c>
    </row>
    <row r="66" customFormat="false" ht="15" hidden="false" customHeight="true" outlineLevel="0" collapsed="false">
      <c r="A66" s="456" t="s">
        <v>8389</v>
      </c>
      <c r="B66" s="458" t="s">
        <v>8390</v>
      </c>
      <c r="C66" s="458" t="n">
        <v>2015</v>
      </c>
      <c r="D66" s="459" t="n">
        <v>42101</v>
      </c>
      <c r="E66" s="380" t="s">
        <v>8391</v>
      </c>
      <c r="F66" s="460" t="s">
        <v>1324</v>
      </c>
      <c r="G66" s="460" t="s">
        <v>1174</v>
      </c>
      <c r="H66" s="380" t="s">
        <v>267</v>
      </c>
      <c r="I66" s="461" t="n">
        <v>44777</v>
      </c>
      <c r="J66" s="460" t="n">
        <v>8</v>
      </c>
      <c r="K66" s="462" t="s">
        <v>53</v>
      </c>
      <c r="L66" s="463" t="s">
        <v>60</v>
      </c>
      <c r="M66" s="463" t="n">
        <f aca="false">I66-D66</f>
        <v>2676</v>
      </c>
      <c r="N66" s="153"/>
      <c r="O66" s="471" t="s">
        <v>42</v>
      </c>
      <c r="P66" s="471"/>
      <c r="Q66" s="471"/>
      <c r="R66" s="471"/>
      <c r="S66" s="471" t="n">
        <f aca="false">COUNTIF($K$2:$K$680,"I - Extremamente tóxico")</f>
        <v>1</v>
      </c>
      <c r="T66" s="472" t="n">
        <f aca="false">(S66/S78)</f>
        <v>0.00153374233128834</v>
      </c>
    </row>
    <row r="67" customFormat="false" ht="15" hidden="false" customHeight="true" outlineLevel="0" collapsed="false">
      <c r="A67" s="449" t="s">
        <v>8392</v>
      </c>
      <c r="B67" s="450" t="s">
        <v>8393</v>
      </c>
      <c r="C67" s="450" t="n">
        <v>2015</v>
      </c>
      <c r="D67" s="451" t="n">
        <v>42355</v>
      </c>
      <c r="E67" s="452" t="s">
        <v>8394</v>
      </c>
      <c r="F67" s="452" t="s">
        <v>2003</v>
      </c>
      <c r="G67" s="378" t="s">
        <v>1174</v>
      </c>
      <c r="H67" s="378" t="s">
        <v>350</v>
      </c>
      <c r="I67" s="453" t="n">
        <v>44777</v>
      </c>
      <c r="J67" s="452" t="n">
        <v>8</v>
      </c>
      <c r="K67" s="464" t="s">
        <v>53</v>
      </c>
      <c r="L67" s="455" t="s">
        <v>58</v>
      </c>
      <c r="M67" s="455" t="n">
        <f aca="false">I67-D67</f>
        <v>2422</v>
      </c>
      <c r="N67" s="153"/>
      <c r="O67" s="345" t="s">
        <v>43</v>
      </c>
      <c r="P67" s="345"/>
      <c r="Q67" s="345"/>
      <c r="R67" s="345"/>
      <c r="S67" s="345" t="n">
        <f aca="false">COUNTIF($K$2:$K$680,"Categoria 1 - Produto Extremamente Tóxico")</f>
        <v>1</v>
      </c>
      <c r="T67" s="473" t="n">
        <f aca="false">(S67/S78)</f>
        <v>0.00153374233128834</v>
      </c>
    </row>
    <row r="68" customFormat="false" ht="15" hidden="false" customHeight="true" outlineLevel="0" collapsed="false">
      <c r="A68" s="456" t="s">
        <v>8395</v>
      </c>
      <c r="B68" s="458" t="s">
        <v>8396</v>
      </c>
      <c r="C68" s="458" t="n">
        <v>2015</v>
      </c>
      <c r="D68" s="459" t="n">
        <v>42184</v>
      </c>
      <c r="E68" s="380" t="s">
        <v>8397</v>
      </c>
      <c r="F68" s="460" t="s">
        <v>2003</v>
      </c>
      <c r="G68" s="460" t="s">
        <v>1174</v>
      </c>
      <c r="H68" s="380" t="s">
        <v>192</v>
      </c>
      <c r="I68" s="461" t="n">
        <v>44777</v>
      </c>
      <c r="J68" s="460" t="n">
        <v>8</v>
      </c>
      <c r="K68" s="462" t="s">
        <v>53</v>
      </c>
      <c r="L68" s="463" t="s">
        <v>58</v>
      </c>
      <c r="M68" s="463" t="n">
        <f aca="false">I68-D68</f>
        <v>2593</v>
      </c>
      <c r="N68" s="153"/>
      <c r="O68" s="345" t="s">
        <v>44</v>
      </c>
      <c r="P68" s="345"/>
      <c r="Q68" s="345"/>
      <c r="R68" s="345"/>
      <c r="S68" s="345" t="n">
        <f aca="false">COUNTIF($K$2:$K$680,"Categoria 2 - Produto Altamente Tóxico")</f>
        <v>10</v>
      </c>
      <c r="T68" s="473" t="n">
        <f aca="false">(S68/S78)</f>
        <v>0.0153374233128834</v>
      </c>
    </row>
    <row r="69" customFormat="false" ht="15" hidden="false" customHeight="true" outlineLevel="0" collapsed="false">
      <c r="A69" s="456" t="s">
        <v>8398</v>
      </c>
      <c r="B69" s="458" t="s">
        <v>8399</v>
      </c>
      <c r="C69" s="458" t="n">
        <v>2015</v>
      </c>
      <c r="D69" s="459" t="n">
        <v>42332</v>
      </c>
      <c r="E69" s="380" t="s">
        <v>8400</v>
      </c>
      <c r="F69" s="460" t="s">
        <v>467</v>
      </c>
      <c r="G69" s="460" t="s">
        <v>1174</v>
      </c>
      <c r="H69" s="380" t="s">
        <v>706</v>
      </c>
      <c r="I69" s="461" t="n">
        <v>44777</v>
      </c>
      <c r="J69" s="460" t="n">
        <v>8</v>
      </c>
      <c r="K69" s="462" t="s">
        <v>53</v>
      </c>
      <c r="L69" s="463" t="s">
        <v>60</v>
      </c>
      <c r="M69" s="463" t="n">
        <f aca="false">I69-D69</f>
        <v>2445</v>
      </c>
      <c r="N69" s="153"/>
      <c r="O69" s="349" t="s">
        <v>45</v>
      </c>
      <c r="P69" s="349"/>
      <c r="Q69" s="349"/>
      <c r="R69" s="349"/>
      <c r="S69" s="349" t="n">
        <f aca="false">COUNTIF($K$2:$K$680,"II - Altamente tóxico")</f>
        <v>0</v>
      </c>
      <c r="T69" s="474" t="n">
        <f aca="false">(S69/S78)</f>
        <v>0</v>
      </c>
    </row>
    <row r="70" customFormat="false" ht="15" hidden="false" customHeight="true" outlineLevel="0" collapsed="false">
      <c r="A70" s="449" t="s">
        <v>8401</v>
      </c>
      <c r="B70" s="450" t="s">
        <v>8402</v>
      </c>
      <c r="C70" s="450" t="n">
        <v>2015</v>
      </c>
      <c r="D70" s="451" t="n">
        <v>42359</v>
      </c>
      <c r="E70" s="452" t="s">
        <v>8403</v>
      </c>
      <c r="F70" s="452" t="s">
        <v>902</v>
      </c>
      <c r="G70" s="378" t="s">
        <v>1174</v>
      </c>
      <c r="H70" s="378" t="s">
        <v>522</v>
      </c>
      <c r="I70" s="453" t="n">
        <v>44777</v>
      </c>
      <c r="J70" s="452" t="n">
        <v>8</v>
      </c>
      <c r="K70" s="464" t="s">
        <v>53</v>
      </c>
      <c r="L70" s="455" t="s">
        <v>58</v>
      </c>
      <c r="M70" s="455" t="n">
        <f aca="false">I70-D70</f>
        <v>2418</v>
      </c>
      <c r="N70" s="153"/>
      <c r="O70" s="349" t="s">
        <v>46</v>
      </c>
      <c r="P70" s="349"/>
      <c r="Q70" s="349"/>
      <c r="R70" s="349"/>
      <c r="S70" s="349" t="n">
        <f aca="false">COUNTIF($K$2:$K$680,"Categoria 3 - Produto Moderadamente Tóxico")</f>
        <v>20</v>
      </c>
      <c r="T70" s="474" t="n">
        <f aca="false">(S70/S78)</f>
        <v>0.0306748466257669</v>
      </c>
    </row>
    <row r="71" customFormat="false" ht="15" hidden="false" customHeight="true" outlineLevel="0" collapsed="false">
      <c r="A71" s="456" t="s">
        <v>8404</v>
      </c>
      <c r="B71" s="458" t="s">
        <v>8405</v>
      </c>
      <c r="C71" s="458" t="n">
        <v>2015</v>
      </c>
      <c r="D71" s="459" t="n">
        <v>42340</v>
      </c>
      <c r="E71" s="380" t="s">
        <v>8406</v>
      </c>
      <c r="F71" s="460" t="s">
        <v>365</v>
      </c>
      <c r="G71" s="460" t="s">
        <v>1174</v>
      </c>
      <c r="H71" s="380" t="s">
        <v>2278</v>
      </c>
      <c r="I71" s="461" t="n">
        <v>44792</v>
      </c>
      <c r="J71" s="460" t="n">
        <v>8</v>
      </c>
      <c r="K71" s="462" t="s">
        <v>53</v>
      </c>
      <c r="L71" s="463" t="s">
        <v>60</v>
      </c>
      <c r="M71" s="463" t="n">
        <f aca="false">I71-D71</f>
        <v>2452</v>
      </c>
      <c r="N71" s="153"/>
      <c r="O71" s="351" t="s">
        <v>47</v>
      </c>
      <c r="P71" s="351"/>
      <c r="Q71" s="351"/>
      <c r="R71" s="351"/>
      <c r="S71" s="351" t="n">
        <f aca="false">COUNTIF($K$2:$K$680,"III - Medianamente tóxico")</f>
        <v>5</v>
      </c>
      <c r="T71" s="475" t="n">
        <f aca="false">(S71/S78)</f>
        <v>0.00766871165644172</v>
      </c>
    </row>
    <row r="72" customFormat="false" ht="15" hidden="false" customHeight="true" outlineLevel="0" collapsed="false">
      <c r="A72" s="449" t="s">
        <v>8407</v>
      </c>
      <c r="B72" s="450" t="s">
        <v>8408</v>
      </c>
      <c r="C72" s="450" t="n">
        <v>2015</v>
      </c>
      <c r="D72" s="451" t="n">
        <v>42074</v>
      </c>
      <c r="E72" s="452" t="s">
        <v>8409</v>
      </c>
      <c r="F72" s="452" t="s">
        <v>1180</v>
      </c>
      <c r="G72" s="378" t="s">
        <v>1174</v>
      </c>
      <c r="H72" s="378" t="s">
        <v>184</v>
      </c>
      <c r="I72" s="453" t="n">
        <v>44792</v>
      </c>
      <c r="J72" s="452" t="n">
        <v>8</v>
      </c>
      <c r="K72" s="464" t="s">
        <v>53</v>
      </c>
      <c r="L72" s="455" t="s">
        <v>58</v>
      </c>
      <c r="M72" s="455" t="n">
        <f aca="false">I72-D72</f>
        <v>2718</v>
      </c>
      <c r="N72" s="153"/>
      <c r="O72" s="351" t="s">
        <v>48</v>
      </c>
      <c r="P72" s="351"/>
      <c r="Q72" s="351"/>
      <c r="R72" s="351"/>
      <c r="S72" s="351" t="n">
        <f aca="false">COUNTIF($K$2:$K$680,"Categoria 4 - Produto Pouco Tóxico")</f>
        <v>81</v>
      </c>
      <c r="T72" s="475" t="n">
        <f aca="false">(S72/S78)</f>
        <v>0.124233128834356</v>
      </c>
    </row>
    <row r="73" customFormat="false" ht="15" hidden="false" customHeight="true" outlineLevel="0" collapsed="false">
      <c r="A73" s="449" t="s">
        <v>8410</v>
      </c>
      <c r="B73" s="450" t="s">
        <v>8411</v>
      </c>
      <c r="C73" s="450" t="n">
        <v>2015</v>
      </c>
      <c r="D73" s="451" t="n">
        <v>42316</v>
      </c>
      <c r="E73" s="452" t="s">
        <v>8412</v>
      </c>
      <c r="F73" s="452" t="s">
        <v>2003</v>
      </c>
      <c r="G73" s="378" t="s">
        <v>1174</v>
      </c>
      <c r="H73" s="378" t="s">
        <v>2278</v>
      </c>
      <c r="I73" s="453" t="n">
        <v>44838</v>
      </c>
      <c r="J73" s="452" t="n">
        <v>10</v>
      </c>
      <c r="K73" s="464" t="s">
        <v>53</v>
      </c>
      <c r="L73" s="455" t="s">
        <v>58</v>
      </c>
      <c r="M73" s="455" t="n">
        <f aca="false">I73-D73</f>
        <v>2522</v>
      </c>
      <c r="N73" s="153"/>
      <c r="O73" s="351" t="s">
        <v>49</v>
      </c>
      <c r="P73" s="351"/>
      <c r="Q73" s="351"/>
      <c r="R73" s="351"/>
      <c r="S73" s="351" t="n">
        <f aca="false">COUNTIF($K$2:$K$680,"Categoria 5 - Produto Improvável de Causar Dano Agudo")</f>
        <v>210</v>
      </c>
      <c r="T73" s="475" t="n">
        <f aca="false">(S73/S78)</f>
        <v>0.322085889570552</v>
      </c>
    </row>
    <row r="74" customFormat="false" ht="15" hidden="false" customHeight="true" outlineLevel="0" collapsed="false">
      <c r="A74" s="449" t="s">
        <v>8413</v>
      </c>
      <c r="B74" s="450" t="s">
        <v>8414</v>
      </c>
      <c r="C74" s="450" t="n">
        <v>2015</v>
      </c>
      <c r="D74" s="451" t="n">
        <v>42226</v>
      </c>
      <c r="E74" s="452" t="s">
        <v>8415</v>
      </c>
      <c r="F74" s="452" t="s">
        <v>689</v>
      </c>
      <c r="G74" s="378" t="s">
        <v>1174</v>
      </c>
      <c r="H74" s="378" t="s">
        <v>1059</v>
      </c>
      <c r="I74" s="453" t="n">
        <v>44839</v>
      </c>
      <c r="J74" s="452" t="n">
        <v>10</v>
      </c>
      <c r="K74" s="464" t="s">
        <v>53</v>
      </c>
      <c r="L74" s="455" t="s">
        <v>60</v>
      </c>
      <c r="M74" s="455" t="n">
        <f aca="false">I74-D74</f>
        <v>2613</v>
      </c>
      <c r="N74" s="153"/>
      <c r="O74" s="353" t="s">
        <v>50</v>
      </c>
      <c r="P74" s="353"/>
      <c r="Q74" s="353"/>
      <c r="R74" s="353"/>
      <c r="S74" s="353" t="n">
        <f aca="false">COUNTIF($K$2:$K$680,"IV - Pouco tóxico")</f>
        <v>0</v>
      </c>
      <c r="T74" s="476" t="n">
        <f aca="false">(S74/S78)</f>
        <v>0</v>
      </c>
    </row>
    <row r="75" customFormat="false" ht="15" hidden="false" customHeight="true" outlineLevel="0" collapsed="false">
      <c r="A75" s="449" t="s">
        <v>8416</v>
      </c>
      <c r="B75" s="450" t="s">
        <v>8417</v>
      </c>
      <c r="C75" s="450" t="n">
        <v>2015</v>
      </c>
      <c r="D75" s="451" t="n">
        <v>42328</v>
      </c>
      <c r="E75" s="452" t="s">
        <v>8418</v>
      </c>
      <c r="F75" s="452" t="s">
        <v>1890</v>
      </c>
      <c r="G75" s="378" t="s">
        <v>1174</v>
      </c>
      <c r="H75" s="378" t="s">
        <v>471</v>
      </c>
      <c r="I75" s="451" t="n">
        <v>44858</v>
      </c>
      <c r="J75" s="452" t="n">
        <v>10</v>
      </c>
      <c r="K75" s="464" t="s">
        <v>53</v>
      </c>
      <c r="L75" s="455" t="s">
        <v>58</v>
      </c>
      <c r="M75" s="455" t="n">
        <f aca="false">I75-D75</f>
        <v>2530</v>
      </c>
      <c r="N75" s="153"/>
      <c r="O75" s="353" t="s">
        <v>51</v>
      </c>
      <c r="P75" s="353"/>
      <c r="Q75" s="353"/>
      <c r="R75" s="353"/>
      <c r="S75" s="353" t="n">
        <f aca="false">COUNTIF($K$2:$K$680,"Não classificado - Produto não classificado")</f>
        <v>52</v>
      </c>
      <c r="T75" s="476" t="n">
        <f aca="false">(S75/S78)</f>
        <v>0.0797546012269939</v>
      </c>
    </row>
    <row r="76" customFormat="false" ht="15" hidden="false" customHeight="true" outlineLevel="0" collapsed="false">
      <c r="A76" s="449" t="s">
        <v>8419</v>
      </c>
      <c r="B76" s="450" t="s">
        <v>8420</v>
      </c>
      <c r="C76" s="450" t="n">
        <v>2015</v>
      </c>
      <c r="D76" s="451" t="n">
        <v>42030</v>
      </c>
      <c r="E76" s="452" t="s">
        <v>8421</v>
      </c>
      <c r="F76" s="452" t="s">
        <v>401</v>
      </c>
      <c r="G76" s="378" t="s">
        <v>1174</v>
      </c>
      <c r="H76" s="378" t="s">
        <v>522</v>
      </c>
      <c r="I76" s="451" t="n">
        <v>44876</v>
      </c>
      <c r="J76" s="452" t="n">
        <v>11</v>
      </c>
      <c r="K76" s="464" t="s">
        <v>53</v>
      </c>
      <c r="L76" s="455" t="s">
        <v>58</v>
      </c>
      <c r="M76" s="455" t="n">
        <f aca="false">I76-D76</f>
        <v>2846</v>
      </c>
      <c r="N76" s="153"/>
      <c r="O76" s="353" t="s">
        <v>2407</v>
      </c>
      <c r="P76" s="353"/>
      <c r="Q76" s="353"/>
      <c r="R76" s="353"/>
      <c r="S76" s="353" t="n">
        <f aca="false">COUNTIF($K$2:$K$680,"Não determinada devido à natureza do produto (Inimigos naturais)")</f>
        <v>0</v>
      </c>
      <c r="T76" s="476" t="n">
        <f aca="false">(S76/S78)</f>
        <v>0</v>
      </c>
    </row>
    <row r="77" customFormat="false" ht="15" hidden="false" customHeight="true" outlineLevel="0" collapsed="false">
      <c r="A77" s="449" t="s">
        <v>8422</v>
      </c>
      <c r="B77" s="450" t="s">
        <v>8423</v>
      </c>
      <c r="C77" s="450" t="n">
        <v>2015</v>
      </c>
      <c r="D77" s="477" t="n">
        <v>42207</v>
      </c>
      <c r="E77" s="452" t="s">
        <v>8424</v>
      </c>
      <c r="F77" s="378" t="s">
        <v>8342</v>
      </c>
      <c r="G77" s="378" t="s">
        <v>1174</v>
      </c>
      <c r="H77" s="378" t="s">
        <v>192</v>
      </c>
      <c r="I77" s="453" t="n">
        <v>44907</v>
      </c>
      <c r="J77" s="452" t="n">
        <v>12</v>
      </c>
      <c r="K77" s="464" t="s">
        <v>53</v>
      </c>
      <c r="L77" s="455" t="s">
        <v>58</v>
      </c>
      <c r="M77" s="455" t="n">
        <f aca="false">I77-D77</f>
        <v>2700</v>
      </c>
      <c r="N77" s="153"/>
      <c r="O77" s="478" t="s">
        <v>53</v>
      </c>
      <c r="P77" s="478"/>
      <c r="Q77" s="478"/>
      <c r="R77" s="478"/>
      <c r="S77" s="478" t="n">
        <f aca="false">COUNTIF($K$2:$K$680,"O perfil toxicológico foi considerado equivalente ao produto técnico de referência")</f>
        <v>272</v>
      </c>
      <c r="T77" s="479" t="n">
        <f aca="false">(S77/S78)</f>
        <v>0.417177914110429</v>
      </c>
    </row>
    <row r="78" customFormat="false" ht="15" hidden="false" customHeight="true" outlineLevel="0" collapsed="false">
      <c r="A78" s="456" t="s">
        <v>8425</v>
      </c>
      <c r="B78" s="458" t="s">
        <v>8426</v>
      </c>
      <c r="C78" s="458" t="n">
        <v>2015</v>
      </c>
      <c r="D78" s="461" t="n">
        <v>42326</v>
      </c>
      <c r="E78" s="380" t="s">
        <v>8427</v>
      </c>
      <c r="F78" s="460" t="s">
        <v>793</v>
      </c>
      <c r="G78" s="460" t="s">
        <v>1174</v>
      </c>
      <c r="H78" s="380" t="s">
        <v>223</v>
      </c>
      <c r="I78" s="461" t="n">
        <v>44909</v>
      </c>
      <c r="J78" s="460" t="n">
        <v>12</v>
      </c>
      <c r="K78" s="462" t="s">
        <v>53</v>
      </c>
      <c r="L78" s="463" t="s">
        <v>58</v>
      </c>
      <c r="M78" s="463" t="n">
        <f aca="false">I78-D78</f>
        <v>2583</v>
      </c>
      <c r="N78" s="153"/>
      <c r="O78" s="419" t="s">
        <v>54</v>
      </c>
      <c r="P78" s="419"/>
      <c r="Q78" s="419"/>
      <c r="R78" s="419"/>
      <c r="S78" s="363" t="n">
        <f aca="false">SUM(S66:S77)</f>
        <v>652</v>
      </c>
      <c r="T78" s="364" t="n">
        <f aca="false">(S78/S78)</f>
        <v>1</v>
      </c>
    </row>
    <row r="79" customFormat="false" ht="15" hidden="false" customHeight="true" outlineLevel="0" collapsed="false">
      <c r="A79" s="449" t="s">
        <v>8428</v>
      </c>
      <c r="B79" s="450" t="s">
        <v>8429</v>
      </c>
      <c r="C79" s="450" t="n">
        <v>2015</v>
      </c>
      <c r="D79" s="453" t="n">
        <v>42247</v>
      </c>
      <c r="E79" s="452" t="s">
        <v>8430</v>
      </c>
      <c r="F79" s="452" t="s">
        <v>123</v>
      </c>
      <c r="G79" s="378" t="s">
        <v>1174</v>
      </c>
      <c r="H79" s="378" t="s">
        <v>192</v>
      </c>
      <c r="I79" s="453" t="n">
        <v>44917</v>
      </c>
      <c r="J79" s="452" t="n">
        <v>12</v>
      </c>
      <c r="K79" s="464" t="s">
        <v>53</v>
      </c>
      <c r="L79" s="455" t="s">
        <v>58</v>
      </c>
      <c r="M79" s="455" t="n">
        <f aca="false">I79-D79</f>
        <v>2670</v>
      </c>
      <c r="N79" s="153"/>
      <c r="O79" s="153"/>
      <c r="P79" s="153"/>
      <c r="Q79" s="153"/>
      <c r="R79" s="153"/>
      <c r="S79" s="153"/>
      <c r="T79" s="153"/>
    </row>
    <row r="80" customFormat="false" ht="15" hidden="false" customHeight="true" outlineLevel="0" collapsed="false">
      <c r="A80" s="449" t="s">
        <v>8431</v>
      </c>
      <c r="B80" s="450" t="s">
        <v>8432</v>
      </c>
      <c r="C80" s="450" t="n">
        <v>2015</v>
      </c>
      <c r="D80" s="453" t="n">
        <v>42216</v>
      </c>
      <c r="E80" s="452" t="s">
        <v>8433</v>
      </c>
      <c r="F80" s="452" t="s">
        <v>1243</v>
      </c>
      <c r="G80" s="378" t="s">
        <v>1174</v>
      </c>
      <c r="H80" s="378" t="s">
        <v>350</v>
      </c>
      <c r="I80" s="453" t="n">
        <v>44918</v>
      </c>
      <c r="J80" s="452" t="n">
        <v>12</v>
      </c>
      <c r="K80" s="464" t="s">
        <v>53</v>
      </c>
      <c r="L80" s="455" t="s">
        <v>60</v>
      </c>
      <c r="M80" s="455" t="n">
        <f aca="false">I80-D80</f>
        <v>2702</v>
      </c>
      <c r="N80" s="153"/>
      <c r="O80" s="339" t="s">
        <v>102</v>
      </c>
      <c r="P80" s="339"/>
      <c r="Q80" s="339"/>
      <c r="R80" s="339"/>
      <c r="S80" s="339"/>
      <c r="T80" s="339"/>
    </row>
    <row r="81" customFormat="false" ht="15" hidden="false" customHeight="true" outlineLevel="0" collapsed="false">
      <c r="A81" s="449" t="s">
        <v>8434</v>
      </c>
      <c r="B81" s="450" t="s">
        <v>8435</v>
      </c>
      <c r="C81" s="450" t="n">
        <v>2016</v>
      </c>
      <c r="D81" s="451" t="n">
        <v>42467</v>
      </c>
      <c r="E81" s="452" t="s">
        <v>8436</v>
      </c>
      <c r="F81" s="452" t="s">
        <v>8437</v>
      </c>
      <c r="G81" s="378" t="s">
        <v>1174</v>
      </c>
      <c r="H81" s="378" t="s">
        <v>192</v>
      </c>
      <c r="I81" s="453" t="n">
        <v>44588</v>
      </c>
      <c r="J81" s="452" t="n">
        <v>1</v>
      </c>
      <c r="K81" s="464" t="s">
        <v>53</v>
      </c>
      <c r="L81" s="455" t="s">
        <v>60</v>
      </c>
      <c r="M81" s="455" t="n">
        <f aca="false">I81-D81</f>
        <v>2121</v>
      </c>
      <c r="N81" s="153"/>
      <c r="O81" s="339"/>
      <c r="P81" s="339"/>
      <c r="Q81" s="339"/>
      <c r="R81" s="339"/>
      <c r="S81" s="339"/>
      <c r="T81" s="339"/>
    </row>
    <row r="82" customFormat="false" ht="15" hidden="false" customHeight="true" outlineLevel="0" collapsed="false">
      <c r="A82" s="456" t="s">
        <v>8438</v>
      </c>
      <c r="B82" s="458" t="s">
        <v>8439</v>
      </c>
      <c r="C82" s="458" t="n">
        <v>2016</v>
      </c>
      <c r="D82" s="459" t="n">
        <v>42702</v>
      </c>
      <c r="E82" s="380" t="s">
        <v>8440</v>
      </c>
      <c r="F82" s="460" t="s">
        <v>509</v>
      </c>
      <c r="G82" s="460" t="s">
        <v>1174</v>
      </c>
      <c r="H82" s="380" t="s">
        <v>2278</v>
      </c>
      <c r="I82" s="461" t="n">
        <v>44588</v>
      </c>
      <c r="J82" s="460" t="n">
        <v>1</v>
      </c>
      <c r="K82" s="462" t="s">
        <v>53</v>
      </c>
      <c r="L82" s="463" t="s">
        <v>58</v>
      </c>
      <c r="M82" s="463" t="n">
        <f aca="false">I82-D82</f>
        <v>1886</v>
      </c>
      <c r="N82" s="153"/>
      <c r="O82" s="340" t="s">
        <v>38</v>
      </c>
      <c r="P82" s="340"/>
      <c r="Q82" s="340"/>
      <c r="R82" s="340"/>
      <c r="S82" s="374" t="s">
        <v>343</v>
      </c>
      <c r="T82" s="375" t="s">
        <v>41</v>
      </c>
    </row>
    <row r="83" customFormat="false" ht="15" hidden="false" customHeight="true" outlineLevel="0" collapsed="false">
      <c r="A83" s="449" t="s">
        <v>8441</v>
      </c>
      <c r="B83" s="450" t="s">
        <v>8442</v>
      </c>
      <c r="C83" s="450" t="n">
        <v>2016</v>
      </c>
      <c r="D83" s="451" t="n">
        <v>42580</v>
      </c>
      <c r="E83" s="452" t="s">
        <v>8443</v>
      </c>
      <c r="F83" s="452" t="s">
        <v>1150</v>
      </c>
      <c r="G83" s="378" t="s">
        <v>1174</v>
      </c>
      <c r="H83" s="378" t="s">
        <v>522</v>
      </c>
      <c r="I83" s="453" t="n">
        <v>44588</v>
      </c>
      <c r="J83" s="452" t="n">
        <v>1</v>
      </c>
      <c r="K83" s="464" t="s">
        <v>53</v>
      </c>
      <c r="L83" s="455" t="s">
        <v>58</v>
      </c>
      <c r="M83" s="455" t="n">
        <f aca="false">I83-D83</f>
        <v>2008</v>
      </c>
      <c r="N83" s="153"/>
      <c r="O83" s="480" t="s">
        <v>57</v>
      </c>
      <c r="P83" s="480"/>
      <c r="Q83" s="480"/>
      <c r="R83" s="480"/>
      <c r="S83" s="380" t="n">
        <f aca="false">COUNTIF($L$2:$L$680,"I - Produto Altamente Perigoso ao Meio Ambiente")</f>
        <v>20</v>
      </c>
      <c r="T83" s="377" t="n">
        <f aca="false">(S83/S87)</f>
        <v>0.0306748466257669</v>
      </c>
    </row>
    <row r="84" customFormat="false" ht="15" hidden="false" customHeight="true" outlineLevel="0" collapsed="false">
      <c r="A84" s="449" t="s">
        <v>8444</v>
      </c>
      <c r="B84" s="450" t="s">
        <v>8445</v>
      </c>
      <c r="C84" s="450" t="n">
        <v>2016</v>
      </c>
      <c r="D84" s="451" t="n">
        <v>42564</v>
      </c>
      <c r="E84" s="452" t="s">
        <v>8446</v>
      </c>
      <c r="F84" s="452" t="s">
        <v>2003</v>
      </c>
      <c r="G84" s="378" t="s">
        <v>1174</v>
      </c>
      <c r="H84" s="378" t="s">
        <v>1266</v>
      </c>
      <c r="I84" s="453" t="n">
        <v>44588</v>
      </c>
      <c r="J84" s="452" t="n">
        <v>1</v>
      </c>
      <c r="K84" s="464" t="s">
        <v>53</v>
      </c>
      <c r="L84" s="455" t="s">
        <v>58</v>
      </c>
      <c r="M84" s="455" t="n">
        <f aca="false">I84-D84</f>
        <v>2024</v>
      </c>
      <c r="N84" s="153"/>
      <c r="O84" s="378" t="s">
        <v>58</v>
      </c>
      <c r="P84" s="378"/>
      <c r="Q84" s="378"/>
      <c r="R84" s="378"/>
      <c r="S84" s="378" t="n">
        <f aca="false">COUNTIF($L$2:$L$680,"II - Produto muito perigoso ao meio ambiente")</f>
        <v>254</v>
      </c>
      <c r="T84" s="379" t="n">
        <f aca="false">(S84/S87)</f>
        <v>0.389570552147239</v>
      </c>
    </row>
    <row r="85" customFormat="false" ht="15" hidden="false" customHeight="true" outlineLevel="0" collapsed="false">
      <c r="A85" s="449" t="s">
        <v>8447</v>
      </c>
      <c r="B85" s="465" t="s">
        <v>8448</v>
      </c>
      <c r="C85" s="450" t="n">
        <v>2016</v>
      </c>
      <c r="D85" s="451" t="n">
        <v>42450</v>
      </c>
      <c r="E85" s="378" t="s">
        <v>8449</v>
      </c>
      <c r="F85" s="452" t="s">
        <v>793</v>
      </c>
      <c r="G85" s="378" t="s">
        <v>1174</v>
      </c>
      <c r="H85" s="378" t="s">
        <v>192</v>
      </c>
      <c r="I85" s="453" t="n">
        <v>44610</v>
      </c>
      <c r="J85" s="452" t="n">
        <v>2</v>
      </c>
      <c r="K85" s="464" t="s">
        <v>53</v>
      </c>
      <c r="L85" s="455" t="s">
        <v>58</v>
      </c>
      <c r="M85" s="455" t="n">
        <f aca="false">I85-D85</f>
        <v>2160</v>
      </c>
      <c r="N85" s="153"/>
      <c r="O85" s="380" t="s">
        <v>60</v>
      </c>
      <c r="P85" s="380"/>
      <c r="Q85" s="380"/>
      <c r="R85" s="380"/>
      <c r="S85" s="380" t="n">
        <f aca="false">COUNTIF($L$2:$L$680,"III - Produto perigoso ao meio ambiente")</f>
        <v>226</v>
      </c>
      <c r="T85" s="377" t="n">
        <f aca="false">(S85/S87)</f>
        <v>0.346625766871166</v>
      </c>
    </row>
    <row r="86" customFormat="false" ht="15" hidden="false" customHeight="true" outlineLevel="0" collapsed="false">
      <c r="A86" s="449" t="s">
        <v>8450</v>
      </c>
      <c r="B86" s="465" t="s">
        <v>8451</v>
      </c>
      <c r="C86" s="450" t="n">
        <v>2016</v>
      </c>
      <c r="D86" s="451" t="n">
        <v>42576</v>
      </c>
      <c r="E86" s="378" t="s">
        <v>8452</v>
      </c>
      <c r="F86" s="452" t="s">
        <v>1400</v>
      </c>
      <c r="G86" s="378" t="s">
        <v>1174</v>
      </c>
      <c r="H86" s="378" t="s">
        <v>267</v>
      </c>
      <c r="I86" s="453" t="n">
        <v>44610</v>
      </c>
      <c r="J86" s="452" t="n">
        <v>2</v>
      </c>
      <c r="K86" s="464" t="s">
        <v>53</v>
      </c>
      <c r="L86" s="455" t="s">
        <v>58</v>
      </c>
      <c r="M86" s="455" t="n">
        <f aca="false">I86-D86</f>
        <v>2034</v>
      </c>
      <c r="N86" s="153"/>
      <c r="O86" s="378" t="s">
        <v>61</v>
      </c>
      <c r="P86" s="378"/>
      <c r="Q86" s="378"/>
      <c r="R86" s="378"/>
      <c r="S86" s="378" t="n">
        <f aca="false">COUNTIF($L$2:$L$680,"IV - Produto pouco perigoso ao meio ambiente")</f>
        <v>152</v>
      </c>
      <c r="T86" s="379" t="n">
        <f aca="false">(S86/S87)</f>
        <v>0.233128834355828</v>
      </c>
    </row>
    <row r="87" customFormat="false" ht="15" hidden="false" customHeight="true" outlineLevel="0" collapsed="false">
      <c r="A87" s="456" t="s">
        <v>8453</v>
      </c>
      <c r="B87" s="458" t="s">
        <v>8454</v>
      </c>
      <c r="C87" s="458" t="n">
        <v>2016</v>
      </c>
      <c r="D87" s="459" t="n">
        <v>42734</v>
      </c>
      <c r="E87" s="380" t="s">
        <v>8455</v>
      </c>
      <c r="F87" s="460" t="s">
        <v>8456</v>
      </c>
      <c r="G87" s="460" t="s">
        <v>1174</v>
      </c>
      <c r="H87" s="380" t="s">
        <v>706</v>
      </c>
      <c r="I87" s="461" t="n">
        <v>44634</v>
      </c>
      <c r="J87" s="460" t="n">
        <v>3</v>
      </c>
      <c r="K87" s="462" t="s">
        <v>53</v>
      </c>
      <c r="L87" s="463" t="s">
        <v>60</v>
      </c>
      <c r="M87" s="463" t="n">
        <f aca="false">I87-D87</f>
        <v>1900</v>
      </c>
      <c r="N87" s="153"/>
      <c r="O87" s="340" t="s">
        <v>54</v>
      </c>
      <c r="P87" s="340"/>
      <c r="Q87" s="340"/>
      <c r="R87" s="340"/>
      <c r="S87" s="363" t="n">
        <f aca="false">SUM(S83:S86)</f>
        <v>652</v>
      </c>
      <c r="T87" s="364" t="n">
        <f aca="false">(S87/S87)</f>
        <v>1</v>
      </c>
    </row>
    <row r="88" customFormat="false" ht="15" hidden="false" customHeight="true" outlineLevel="0" collapsed="false">
      <c r="A88" s="449" t="s">
        <v>8457</v>
      </c>
      <c r="B88" s="465" t="s">
        <v>8458</v>
      </c>
      <c r="C88" s="450" t="n">
        <v>2016</v>
      </c>
      <c r="D88" s="451" t="n">
        <v>42648</v>
      </c>
      <c r="E88" s="378" t="s">
        <v>8459</v>
      </c>
      <c r="F88" s="452" t="s">
        <v>2003</v>
      </c>
      <c r="G88" s="378" t="s">
        <v>1174</v>
      </c>
      <c r="H88" s="378" t="s">
        <v>5263</v>
      </c>
      <c r="I88" s="453" t="n">
        <v>44651</v>
      </c>
      <c r="J88" s="452" t="n">
        <v>3</v>
      </c>
      <c r="K88" s="464" t="s">
        <v>53</v>
      </c>
      <c r="L88" s="455" t="s">
        <v>58</v>
      </c>
      <c r="M88" s="455" t="n">
        <f aca="false">I88-D88</f>
        <v>2003</v>
      </c>
      <c r="N88" s="153"/>
      <c r="O88" s="153"/>
      <c r="P88" s="153"/>
      <c r="Q88" s="153"/>
      <c r="R88" s="153"/>
      <c r="S88" s="153"/>
      <c r="T88" s="153"/>
    </row>
    <row r="89" customFormat="false" ht="15" hidden="false" customHeight="true" outlineLevel="0" collapsed="false">
      <c r="A89" s="456" t="s">
        <v>8460</v>
      </c>
      <c r="B89" s="457" t="s">
        <v>8461</v>
      </c>
      <c r="C89" s="458" t="n">
        <v>2016</v>
      </c>
      <c r="D89" s="459" t="n">
        <v>42487</v>
      </c>
      <c r="E89" s="380" t="s">
        <v>8462</v>
      </c>
      <c r="F89" s="460" t="s">
        <v>1987</v>
      </c>
      <c r="G89" s="460" t="s">
        <v>1174</v>
      </c>
      <c r="H89" s="380" t="s">
        <v>192</v>
      </c>
      <c r="I89" s="461" t="n">
        <v>44652</v>
      </c>
      <c r="J89" s="460" t="n">
        <v>4</v>
      </c>
      <c r="K89" s="462" t="s">
        <v>53</v>
      </c>
      <c r="L89" s="463" t="s">
        <v>58</v>
      </c>
      <c r="M89" s="463" t="n">
        <f aca="false">I89-D89</f>
        <v>2165</v>
      </c>
      <c r="N89" s="153"/>
      <c r="O89" s="421" t="s">
        <v>425</v>
      </c>
      <c r="P89" s="421"/>
      <c r="Q89" s="421"/>
      <c r="R89" s="421"/>
      <c r="S89" s="153"/>
      <c r="T89" s="153"/>
    </row>
    <row r="90" customFormat="false" ht="15" hidden="false" customHeight="true" outlineLevel="0" collapsed="false">
      <c r="A90" s="456" t="s">
        <v>8463</v>
      </c>
      <c r="B90" s="457" t="s">
        <v>8464</v>
      </c>
      <c r="C90" s="458" t="n">
        <v>2016</v>
      </c>
      <c r="D90" s="459" t="n">
        <v>42388</v>
      </c>
      <c r="E90" s="380" t="s">
        <v>8465</v>
      </c>
      <c r="F90" s="460" t="s">
        <v>365</v>
      </c>
      <c r="G90" s="460" t="s">
        <v>1174</v>
      </c>
      <c r="H90" s="380" t="s">
        <v>263</v>
      </c>
      <c r="I90" s="461" t="n">
        <v>44663</v>
      </c>
      <c r="J90" s="460" t="n">
        <v>4</v>
      </c>
      <c r="K90" s="462" t="s">
        <v>53</v>
      </c>
      <c r="L90" s="463" t="s">
        <v>60</v>
      </c>
      <c r="M90" s="463" t="n">
        <f aca="false">I90-D90</f>
        <v>2275</v>
      </c>
      <c r="N90" s="153"/>
      <c r="O90" s="421"/>
      <c r="P90" s="421"/>
      <c r="Q90" s="421"/>
      <c r="R90" s="421"/>
      <c r="S90" s="153"/>
      <c r="T90" s="153"/>
    </row>
    <row r="91" customFormat="false" ht="15" hidden="false" customHeight="true" outlineLevel="0" collapsed="false">
      <c r="A91" s="456" t="s">
        <v>8466</v>
      </c>
      <c r="B91" s="457" t="s">
        <v>8467</v>
      </c>
      <c r="C91" s="458" t="n">
        <v>2016</v>
      </c>
      <c r="D91" s="459" t="n">
        <v>42635</v>
      </c>
      <c r="E91" s="380" t="s">
        <v>8468</v>
      </c>
      <c r="F91" s="380" t="s">
        <v>8469</v>
      </c>
      <c r="G91" s="460" t="s">
        <v>1174</v>
      </c>
      <c r="H91" s="380" t="s">
        <v>5263</v>
      </c>
      <c r="I91" s="461" t="n">
        <v>44663</v>
      </c>
      <c r="J91" s="460" t="n">
        <v>4</v>
      </c>
      <c r="K91" s="462" t="s">
        <v>53</v>
      </c>
      <c r="L91" s="463" t="s">
        <v>58</v>
      </c>
      <c r="M91" s="463" t="n">
        <f aca="false">I91-D91</f>
        <v>2028</v>
      </c>
      <c r="N91" s="153"/>
      <c r="O91" s="390" t="s">
        <v>69</v>
      </c>
      <c r="P91" s="422" t="s">
        <v>433</v>
      </c>
      <c r="Q91" s="422"/>
      <c r="R91" s="422"/>
      <c r="S91" s="153"/>
      <c r="T91" s="153"/>
    </row>
    <row r="92" customFormat="false" ht="15" hidden="false" customHeight="true" outlineLevel="0" collapsed="false">
      <c r="A92" s="456" t="s">
        <v>8470</v>
      </c>
      <c r="B92" s="457" t="s">
        <v>8471</v>
      </c>
      <c r="C92" s="458" t="n">
        <v>2016</v>
      </c>
      <c r="D92" s="459" t="n">
        <v>42685</v>
      </c>
      <c r="E92" s="380" t="s">
        <v>8472</v>
      </c>
      <c r="F92" s="460" t="s">
        <v>1338</v>
      </c>
      <c r="G92" s="460" t="s">
        <v>1174</v>
      </c>
      <c r="H92" s="380" t="s">
        <v>192</v>
      </c>
      <c r="I92" s="461" t="n">
        <v>44708</v>
      </c>
      <c r="J92" s="460" t="n">
        <v>5</v>
      </c>
      <c r="K92" s="462" t="s">
        <v>53</v>
      </c>
      <c r="L92" s="463" t="s">
        <v>61</v>
      </c>
      <c r="M92" s="463" t="n">
        <f aca="false">I92-D92</f>
        <v>2023</v>
      </c>
      <c r="N92" s="153"/>
      <c r="O92" s="394" t="s">
        <v>1474</v>
      </c>
      <c r="P92" s="481" t="e">
        <f aca="false">AVERAGEIF(G2:G564,"PT",M2:M564)</f>
        <v>#DIV/0!</v>
      </c>
      <c r="Q92" s="481"/>
      <c r="R92" s="481"/>
      <c r="S92" s="153"/>
      <c r="T92" s="153"/>
    </row>
    <row r="93" customFormat="false" ht="15" hidden="false" customHeight="true" outlineLevel="0" collapsed="false">
      <c r="A93" s="449" t="s">
        <v>8473</v>
      </c>
      <c r="B93" s="465" t="s">
        <v>8474</v>
      </c>
      <c r="C93" s="450" t="n">
        <v>2016</v>
      </c>
      <c r="D93" s="451" t="n">
        <v>42488</v>
      </c>
      <c r="E93" s="378" t="s">
        <v>8475</v>
      </c>
      <c r="F93" s="452" t="s">
        <v>798</v>
      </c>
      <c r="G93" s="378" t="s">
        <v>1174</v>
      </c>
      <c r="H93" s="378" t="s">
        <v>2677</v>
      </c>
      <c r="I93" s="453" t="n">
        <v>44708</v>
      </c>
      <c r="J93" s="452" t="n">
        <v>5</v>
      </c>
      <c r="K93" s="464" t="s">
        <v>53</v>
      </c>
      <c r="L93" s="455" t="s">
        <v>60</v>
      </c>
      <c r="M93" s="455" t="n">
        <f aca="false">I93-D93</f>
        <v>2220</v>
      </c>
      <c r="N93" s="153"/>
      <c r="O93" s="396" t="s">
        <v>1188</v>
      </c>
      <c r="P93" s="482" t="n">
        <f aca="false">AVERAGEIF(G2:G564,"PTN",M2:M564)</f>
        <v>2627.5</v>
      </c>
      <c r="Q93" s="482"/>
      <c r="R93" s="482"/>
      <c r="S93" s="153"/>
      <c r="T93" s="153"/>
    </row>
    <row r="94" customFormat="false" ht="15" hidden="false" customHeight="true" outlineLevel="0" collapsed="false">
      <c r="A94" s="456" t="s">
        <v>8476</v>
      </c>
      <c r="B94" s="457" t="s">
        <v>8477</v>
      </c>
      <c r="C94" s="458" t="n">
        <v>2016</v>
      </c>
      <c r="D94" s="459" t="n">
        <v>42613</v>
      </c>
      <c r="E94" s="380" t="s">
        <v>8478</v>
      </c>
      <c r="F94" s="460" t="s">
        <v>123</v>
      </c>
      <c r="G94" s="460" t="s">
        <v>1174</v>
      </c>
      <c r="H94" s="380" t="s">
        <v>453</v>
      </c>
      <c r="I94" s="461" t="n">
        <v>44708</v>
      </c>
      <c r="J94" s="460" t="n">
        <v>5</v>
      </c>
      <c r="K94" s="462" t="s">
        <v>53</v>
      </c>
      <c r="L94" s="463" t="s">
        <v>58</v>
      </c>
      <c r="M94" s="463" t="n">
        <f aca="false">I94-D94</f>
        <v>2095</v>
      </c>
      <c r="N94" s="153"/>
      <c r="O94" s="394" t="s">
        <v>1174</v>
      </c>
      <c r="P94" s="481" t="n">
        <f aca="false">AVERAGEIF(G2:G564,"PTE",M2:M564)</f>
        <v>1721.15129151292</v>
      </c>
      <c r="Q94" s="481"/>
      <c r="R94" s="481"/>
      <c r="S94" s="153"/>
      <c r="T94" s="153"/>
    </row>
    <row r="95" customFormat="false" ht="15" hidden="false" customHeight="true" outlineLevel="0" collapsed="false">
      <c r="A95" s="449" t="s">
        <v>8479</v>
      </c>
      <c r="B95" s="450" t="s">
        <v>8480</v>
      </c>
      <c r="C95" s="450" t="n">
        <v>2016</v>
      </c>
      <c r="D95" s="451" t="n">
        <v>42669</v>
      </c>
      <c r="E95" s="378" t="s">
        <v>8481</v>
      </c>
      <c r="F95" s="452" t="s">
        <v>3844</v>
      </c>
      <c r="G95" s="378" t="s">
        <v>1174</v>
      </c>
      <c r="H95" s="378" t="s">
        <v>263</v>
      </c>
      <c r="I95" s="453" t="n">
        <v>44708</v>
      </c>
      <c r="J95" s="452" t="n">
        <v>5</v>
      </c>
      <c r="K95" s="464" t="s">
        <v>53</v>
      </c>
      <c r="L95" s="455" t="s">
        <v>58</v>
      </c>
      <c r="M95" s="455" t="n">
        <f aca="false">I95-D95</f>
        <v>2039</v>
      </c>
      <c r="N95" s="153"/>
      <c r="O95" s="396" t="s">
        <v>8</v>
      </c>
      <c r="P95" s="482" t="e">
        <f aca="false">AVERAGEIF(G2:G564,"Pré-Mistura",M2:M564)</f>
        <v>#DIV/0!</v>
      </c>
      <c r="Q95" s="482"/>
      <c r="R95" s="482"/>
      <c r="S95" s="153"/>
      <c r="T95" s="153"/>
    </row>
    <row r="96" customFormat="false" ht="15" hidden="false" customHeight="true" outlineLevel="0" collapsed="false">
      <c r="A96" s="456" t="s">
        <v>8482</v>
      </c>
      <c r="B96" s="457" t="s">
        <v>8483</v>
      </c>
      <c r="C96" s="458" t="n">
        <v>2016</v>
      </c>
      <c r="D96" s="459" t="n">
        <v>42489</v>
      </c>
      <c r="E96" s="380" t="s">
        <v>8484</v>
      </c>
      <c r="F96" s="460" t="s">
        <v>8456</v>
      </c>
      <c r="G96" s="460" t="s">
        <v>1174</v>
      </c>
      <c r="H96" s="380" t="s">
        <v>522</v>
      </c>
      <c r="I96" s="461" t="n">
        <v>44708</v>
      </c>
      <c r="J96" s="460" t="n">
        <v>5</v>
      </c>
      <c r="K96" s="462" t="s">
        <v>53</v>
      </c>
      <c r="L96" s="463" t="s">
        <v>58</v>
      </c>
      <c r="M96" s="463" t="n">
        <f aca="false">I96-D96</f>
        <v>2219</v>
      </c>
      <c r="N96" s="153"/>
      <c r="O96" s="394" t="s">
        <v>144</v>
      </c>
      <c r="P96" s="481" t="n">
        <f aca="false">AVERAGEIF(G2:G564,"PF",M2:M564)</f>
        <v>1945.62068965517</v>
      </c>
      <c r="Q96" s="481"/>
      <c r="R96" s="481"/>
      <c r="S96" s="153"/>
      <c r="T96" s="153"/>
    </row>
    <row r="97" customFormat="false" ht="15" hidden="false" customHeight="true" outlineLevel="0" collapsed="false">
      <c r="A97" s="449" t="s">
        <v>8485</v>
      </c>
      <c r="B97" s="465" t="s">
        <v>8486</v>
      </c>
      <c r="C97" s="450" t="n">
        <v>2016</v>
      </c>
      <c r="D97" s="451" t="n">
        <v>42437</v>
      </c>
      <c r="E97" s="378" t="s">
        <v>8487</v>
      </c>
      <c r="F97" s="452" t="s">
        <v>2224</v>
      </c>
      <c r="G97" s="378" t="s">
        <v>1174</v>
      </c>
      <c r="H97" s="378" t="s">
        <v>254</v>
      </c>
      <c r="I97" s="453" t="n">
        <v>44708</v>
      </c>
      <c r="J97" s="452" t="n">
        <v>5</v>
      </c>
      <c r="K97" s="464" t="s">
        <v>53</v>
      </c>
      <c r="L97" s="455" t="s">
        <v>58</v>
      </c>
      <c r="M97" s="455" t="n">
        <f aca="false">I97-D97</f>
        <v>2271</v>
      </c>
      <c r="N97" s="153"/>
      <c r="O97" s="396" t="s">
        <v>115</v>
      </c>
      <c r="P97" s="482" t="n">
        <f aca="false">AVERAGEIF(G2:G564,"PFN",M2:M564)</f>
        <v>2299.32</v>
      </c>
      <c r="Q97" s="482"/>
      <c r="R97" s="482"/>
    </row>
    <row r="98" customFormat="false" ht="15" hidden="false" customHeight="true" outlineLevel="0" collapsed="false">
      <c r="A98" s="449" t="s">
        <v>8488</v>
      </c>
      <c r="B98" s="465" t="s">
        <v>8489</v>
      </c>
      <c r="C98" s="450" t="n">
        <v>2016</v>
      </c>
      <c r="D98" s="451" t="n">
        <v>42676</v>
      </c>
      <c r="E98" s="378" t="s">
        <v>8490</v>
      </c>
      <c r="F98" s="452" t="s">
        <v>5463</v>
      </c>
      <c r="G98" s="378" t="s">
        <v>1174</v>
      </c>
      <c r="H98" s="378" t="s">
        <v>5263</v>
      </c>
      <c r="I98" s="453" t="n">
        <v>44708</v>
      </c>
      <c r="J98" s="452" t="n">
        <v>5</v>
      </c>
      <c r="K98" s="464" t="s">
        <v>53</v>
      </c>
      <c r="L98" s="455" t="s">
        <v>60</v>
      </c>
      <c r="M98" s="455" t="n">
        <f aca="false">I98-D98</f>
        <v>2032</v>
      </c>
      <c r="N98" s="153"/>
      <c r="O98" s="394" t="s">
        <v>441</v>
      </c>
      <c r="P98" s="481" t="n">
        <f aca="false">AVERAGEIF(G2:G564,"PF/PTE",M2:M564)</f>
        <v>2051.71532846715</v>
      </c>
      <c r="Q98" s="481"/>
      <c r="R98" s="481"/>
    </row>
    <row r="99" customFormat="false" ht="15" hidden="false" customHeight="true" outlineLevel="0" collapsed="false">
      <c r="A99" s="456" t="s">
        <v>8491</v>
      </c>
      <c r="B99" s="457" t="s">
        <v>8492</v>
      </c>
      <c r="C99" s="458" t="n">
        <v>2016</v>
      </c>
      <c r="D99" s="459" t="n">
        <v>42578</v>
      </c>
      <c r="E99" s="380" t="s">
        <v>8493</v>
      </c>
      <c r="F99" s="460" t="s">
        <v>1262</v>
      </c>
      <c r="G99" s="460" t="s">
        <v>1174</v>
      </c>
      <c r="H99" s="380" t="s">
        <v>192</v>
      </c>
      <c r="I99" s="461" t="n">
        <v>44713</v>
      </c>
      <c r="J99" s="460" t="n">
        <v>6</v>
      </c>
      <c r="K99" s="462" t="s">
        <v>53</v>
      </c>
      <c r="L99" s="463" t="s">
        <v>58</v>
      </c>
      <c r="M99" s="463" t="n">
        <f aca="false">I99-D99</f>
        <v>2135</v>
      </c>
      <c r="N99" s="153"/>
      <c r="O99" s="396" t="s">
        <v>125</v>
      </c>
      <c r="P99" s="482" t="n">
        <f aca="false">AVERAGEIF(G2:G546,"Bio",M2:M564)</f>
        <v>284.263157894737</v>
      </c>
      <c r="Q99" s="482"/>
      <c r="R99" s="482"/>
    </row>
    <row r="100" customFormat="false" ht="15" hidden="false" customHeight="true" outlineLevel="0" collapsed="false">
      <c r="A100" s="456" t="s">
        <v>8494</v>
      </c>
      <c r="B100" s="457" t="s">
        <v>8495</v>
      </c>
      <c r="C100" s="458" t="n">
        <v>2016</v>
      </c>
      <c r="D100" s="459" t="n">
        <v>42541</v>
      </c>
      <c r="E100" s="380" t="s">
        <v>8496</v>
      </c>
      <c r="F100" s="460" t="s">
        <v>798</v>
      </c>
      <c r="G100" s="460" t="s">
        <v>1174</v>
      </c>
      <c r="H100" s="380" t="s">
        <v>263</v>
      </c>
      <c r="I100" s="461" t="n">
        <v>44713</v>
      </c>
      <c r="J100" s="460" t="n">
        <v>6</v>
      </c>
      <c r="K100" s="462" t="s">
        <v>53</v>
      </c>
      <c r="L100" s="463" t="s">
        <v>60</v>
      </c>
      <c r="M100" s="463" t="n">
        <f aca="false">I100-D100</f>
        <v>2172</v>
      </c>
      <c r="N100" s="153"/>
      <c r="O100" s="394" t="s">
        <v>130</v>
      </c>
      <c r="P100" s="481" t="n">
        <f aca="false">AVERAGEIF(G2:G564,"Bio/Org",M2:M564)</f>
        <v>236.555555555556</v>
      </c>
      <c r="Q100" s="481"/>
      <c r="R100" s="481"/>
    </row>
    <row r="101" customFormat="false" ht="15" hidden="false" customHeight="true" outlineLevel="0" collapsed="false">
      <c r="A101" s="456" t="s">
        <v>8497</v>
      </c>
      <c r="B101" s="457" t="s">
        <v>8498</v>
      </c>
      <c r="C101" s="458" t="n">
        <v>2016</v>
      </c>
      <c r="D101" s="459" t="n">
        <v>42717</v>
      </c>
      <c r="E101" s="380" t="s">
        <v>8499</v>
      </c>
      <c r="F101" s="460" t="s">
        <v>798</v>
      </c>
      <c r="G101" s="460" t="s">
        <v>1174</v>
      </c>
      <c r="H101" s="380" t="s">
        <v>1059</v>
      </c>
      <c r="I101" s="461" t="n">
        <v>44713</v>
      </c>
      <c r="J101" s="460" t="n">
        <v>6</v>
      </c>
      <c r="K101" s="462" t="s">
        <v>53</v>
      </c>
      <c r="L101" s="463" t="s">
        <v>60</v>
      </c>
      <c r="M101" s="463" t="n">
        <f aca="false">I101-D101</f>
        <v>1996</v>
      </c>
      <c r="N101" s="153"/>
      <c r="O101" s="398" t="s">
        <v>86</v>
      </c>
      <c r="P101" s="399" t="n">
        <f aca="false">AVERAGE(M2:M563)</f>
        <v>1612.62455516014</v>
      </c>
      <c r="Q101" s="399"/>
      <c r="R101" s="399"/>
    </row>
    <row r="102" customFormat="false" ht="15" hidden="false" customHeight="true" outlineLevel="0" collapsed="false">
      <c r="A102" s="456" t="s">
        <v>8500</v>
      </c>
      <c r="B102" s="457" t="s">
        <v>8501</v>
      </c>
      <c r="C102" s="458" t="n">
        <v>2016</v>
      </c>
      <c r="D102" s="459" t="n">
        <v>42579</v>
      </c>
      <c r="E102" s="380" t="s">
        <v>8502</v>
      </c>
      <c r="F102" s="460" t="s">
        <v>1316</v>
      </c>
      <c r="G102" s="460" t="s">
        <v>1174</v>
      </c>
      <c r="H102" s="380" t="s">
        <v>471</v>
      </c>
      <c r="I102" s="461" t="n">
        <v>44713</v>
      </c>
      <c r="J102" s="460" t="n">
        <v>6</v>
      </c>
      <c r="K102" s="462" t="s">
        <v>53</v>
      </c>
      <c r="L102" s="463" t="s">
        <v>58</v>
      </c>
      <c r="M102" s="463" t="n">
        <f aca="false">I102-D102</f>
        <v>2134</v>
      </c>
      <c r="N102" s="153"/>
      <c r="O102" s="153"/>
      <c r="P102" s="153"/>
      <c r="Q102" s="153"/>
      <c r="R102" s="153"/>
    </row>
    <row r="103" customFormat="false" ht="15" hidden="false" customHeight="true" outlineLevel="0" collapsed="false">
      <c r="A103" s="449" t="s">
        <v>8503</v>
      </c>
      <c r="B103" s="465" t="s">
        <v>8504</v>
      </c>
      <c r="C103" s="450" t="n">
        <v>2016</v>
      </c>
      <c r="D103" s="451" t="n">
        <v>42459</v>
      </c>
      <c r="E103" s="378" t="s">
        <v>8505</v>
      </c>
      <c r="F103" s="452" t="s">
        <v>180</v>
      </c>
      <c r="G103" s="378" t="s">
        <v>1174</v>
      </c>
      <c r="H103" s="378" t="s">
        <v>522</v>
      </c>
      <c r="I103" s="453" t="n">
        <v>44713</v>
      </c>
      <c r="J103" s="452" t="n">
        <v>6</v>
      </c>
      <c r="K103" s="464" t="s">
        <v>53</v>
      </c>
      <c r="L103" s="455" t="s">
        <v>58</v>
      </c>
      <c r="M103" s="455" t="n">
        <f aca="false">I103-D103</f>
        <v>2254</v>
      </c>
      <c r="N103" s="153"/>
      <c r="O103" s="153"/>
      <c r="P103" s="153"/>
      <c r="Q103" s="153"/>
      <c r="R103" s="153"/>
    </row>
    <row r="104" customFormat="false" ht="15" hidden="false" customHeight="true" outlineLevel="0" collapsed="false">
      <c r="A104" s="456" t="s">
        <v>8506</v>
      </c>
      <c r="B104" s="457" t="s">
        <v>8507</v>
      </c>
      <c r="C104" s="458" t="n">
        <v>2016</v>
      </c>
      <c r="D104" s="459" t="n">
        <v>42525</v>
      </c>
      <c r="E104" s="380" t="s">
        <v>8508</v>
      </c>
      <c r="F104" s="460" t="s">
        <v>180</v>
      </c>
      <c r="G104" s="460" t="s">
        <v>1174</v>
      </c>
      <c r="H104" s="380" t="s">
        <v>263</v>
      </c>
      <c r="I104" s="461" t="n">
        <v>44713</v>
      </c>
      <c r="J104" s="460" t="n">
        <v>6</v>
      </c>
      <c r="K104" s="462" t="s">
        <v>53</v>
      </c>
      <c r="L104" s="463" t="s">
        <v>58</v>
      </c>
      <c r="M104" s="463" t="n">
        <f aca="false">I104-D104</f>
        <v>2188</v>
      </c>
      <c r="N104" s="153"/>
      <c r="O104" s="153"/>
      <c r="P104" s="153"/>
      <c r="Q104" s="153"/>
      <c r="R104" s="153"/>
    </row>
    <row r="105" customFormat="false" ht="15" hidden="false" customHeight="true" outlineLevel="0" collapsed="false">
      <c r="A105" s="449" t="s">
        <v>8509</v>
      </c>
      <c r="B105" s="465" t="s">
        <v>8510</v>
      </c>
      <c r="C105" s="450" t="n">
        <v>2016</v>
      </c>
      <c r="D105" s="451" t="n">
        <v>42431</v>
      </c>
      <c r="E105" s="378" t="s">
        <v>8511</v>
      </c>
      <c r="F105" s="452" t="s">
        <v>8232</v>
      </c>
      <c r="G105" s="378" t="s">
        <v>1174</v>
      </c>
      <c r="H105" s="378" t="s">
        <v>267</v>
      </c>
      <c r="I105" s="453" t="n">
        <v>44713</v>
      </c>
      <c r="J105" s="452" t="n">
        <v>6</v>
      </c>
      <c r="K105" s="464" t="s">
        <v>53</v>
      </c>
      <c r="L105" s="455" t="s">
        <v>60</v>
      </c>
      <c r="M105" s="455" t="n">
        <f aca="false">I105-D105</f>
        <v>2282</v>
      </c>
      <c r="N105" s="153"/>
      <c r="O105" s="153"/>
      <c r="P105" s="153"/>
      <c r="Q105" s="153"/>
      <c r="R105" s="153"/>
    </row>
    <row r="106" customFormat="false" ht="15" hidden="false" customHeight="true" outlineLevel="0" collapsed="false">
      <c r="A106" s="456" t="s">
        <v>8512</v>
      </c>
      <c r="B106" s="458" t="s">
        <v>8513</v>
      </c>
      <c r="C106" s="458" t="n">
        <v>2016</v>
      </c>
      <c r="D106" s="459" t="n">
        <v>42618</v>
      </c>
      <c r="E106" s="380" t="s">
        <v>8514</v>
      </c>
      <c r="F106" s="460" t="s">
        <v>671</v>
      </c>
      <c r="G106" s="460" t="s">
        <v>1174</v>
      </c>
      <c r="H106" s="380" t="s">
        <v>471</v>
      </c>
      <c r="I106" s="461" t="n">
        <v>44777</v>
      </c>
      <c r="J106" s="460" t="n">
        <v>8</v>
      </c>
      <c r="K106" s="462" t="s">
        <v>53</v>
      </c>
      <c r="L106" s="463" t="s">
        <v>2848</v>
      </c>
      <c r="M106" s="463" t="n">
        <f aca="false">I106-D106</f>
        <v>2159</v>
      </c>
      <c r="N106" s="153"/>
      <c r="O106" s="153"/>
      <c r="P106" s="153"/>
      <c r="Q106" s="153"/>
      <c r="R106" s="153"/>
    </row>
    <row r="107" customFormat="false" ht="15" hidden="false" customHeight="true" outlineLevel="0" collapsed="false">
      <c r="A107" s="449" t="s">
        <v>8515</v>
      </c>
      <c r="B107" s="450" t="s">
        <v>8516</v>
      </c>
      <c r="C107" s="450" t="n">
        <v>2016</v>
      </c>
      <c r="D107" s="451" t="n">
        <v>42487</v>
      </c>
      <c r="E107" s="452" t="s">
        <v>8517</v>
      </c>
      <c r="F107" s="452" t="s">
        <v>157</v>
      </c>
      <c r="G107" s="378" t="s">
        <v>1174</v>
      </c>
      <c r="H107" s="378" t="s">
        <v>6674</v>
      </c>
      <c r="I107" s="453" t="n">
        <v>44777</v>
      </c>
      <c r="J107" s="452" t="n">
        <v>8</v>
      </c>
      <c r="K107" s="464" t="s">
        <v>53</v>
      </c>
      <c r="L107" s="455" t="s">
        <v>58</v>
      </c>
      <c r="M107" s="455" t="n">
        <f aca="false">I107-D107</f>
        <v>2290</v>
      </c>
      <c r="N107" s="153"/>
      <c r="O107" s="153"/>
      <c r="P107" s="153"/>
      <c r="Q107" s="153"/>
      <c r="R107" s="153"/>
    </row>
    <row r="108" customFormat="false" ht="15" hidden="false" customHeight="true" outlineLevel="0" collapsed="false">
      <c r="A108" s="456" t="s">
        <v>8518</v>
      </c>
      <c r="B108" s="458" t="s">
        <v>8519</v>
      </c>
      <c r="C108" s="458" t="n">
        <v>2016</v>
      </c>
      <c r="D108" s="459" t="n">
        <v>42613</v>
      </c>
      <c r="E108" s="380" t="s">
        <v>8520</v>
      </c>
      <c r="F108" s="460" t="s">
        <v>1916</v>
      </c>
      <c r="G108" s="460" t="s">
        <v>1174</v>
      </c>
      <c r="H108" s="380" t="s">
        <v>354</v>
      </c>
      <c r="I108" s="461" t="n">
        <v>44778</v>
      </c>
      <c r="J108" s="460" t="n">
        <v>8</v>
      </c>
      <c r="K108" s="462" t="s">
        <v>53</v>
      </c>
      <c r="L108" s="463" t="s">
        <v>58</v>
      </c>
      <c r="M108" s="463" t="n">
        <f aca="false">I108-D108</f>
        <v>2165</v>
      </c>
      <c r="N108" s="153"/>
      <c r="O108" s="153"/>
      <c r="P108" s="153"/>
      <c r="Q108" s="153"/>
      <c r="R108" s="153"/>
    </row>
    <row r="109" customFormat="false" ht="15" hidden="false" customHeight="true" outlineLevel="0" collapsed="false">
      <c r="A109" s="456" t="s">
        <v>8521</v>
      </c>
      <c r="B109" s="458" t="s">
        <v>8522</v>
      </c>
      <c r="C109" s="458" t="n">
        <v>2016</v>
      </c>
      <c r="D109" s="459" t="n">
        <v>42405</v>
      </c>
      <c r="E109" s="380" t="s">
        <v>8523</v>
      </c>
      <c r="F109" s="460" t="s">
        <v>569</v>
      </c>
      <c r="G109" s="460" t="s">
        <v>1174</v>
      </c>
      <c r="H109" s="380" t="s">
        <v>522</v>
      </c>
      <c r="I109" s="461" t="n">
        <v>44789</v>
      </c>
      <c r="J109" s="460" t="n">
        <v>8</v>
      </c>
      <c r="K109" s="462" t="s">
        <v>53</v>
      </c>
      <c r="L109" s="463" t="s">
        <v>58</v>
      </c>
      <c r="M109" s="463" t="n">
        <f aca="false">I109-D109</f>
        <v>2384</v>
      </c>
      <c r="N109" s="153"/>
      <c r="O109" s="153"/>
      <c r="P109" s="153"/>
      <c r="Q109" s="153"/>
      <c r="R109" s="153"/>
    </row>
    <row r="110" customFormat="false" ht="15" hidden="false" customHeight="true" outlineLevel="0" collapsed="false">
      <c r="A110" s="449" t="s">
        <v>8524</v>
      </c>
      <c r="B110" s="450" t="s">
        <v>8525</v>
      </c>
      <c r="C110" s="450" t="n">
        <v>2016</v>
      </c>
      <c r="D110" s="451" t="n">
        <v>42551</v>
      </c>
      <c r="E110" s="452" t="s">
        <v>8526</v>
      </c>
      <c r="F110" s="452" t="s">
        <v>2202</v>
      </c>
      <c r="G110" s="378" t="s">
        <v>1174</v>
      </c>
      <c r="H110" s="378" t="s">
        <v>522</v>
      </c>
      <c r="I110" s="453" t="n">
        <v>44789</v>
      </c>
      <c r="J110" s="452" t="n">
        <v>8</v>
      </c>
      <c r="K110" s="464" t="s">
        <v>53</v>
      </c>
      <c r="L110" s="455" t="s">
        <v>58</v>
      </c>
      <c r="M110" s="455" t="n">
        <f aca="false">I110-D110</f>
        <v>2238</v>
      </c>
      <c r="N110" s="153"/>
      <c r="O110" s="153"/>
      <c r="P110" s="153"/>
      <c r="Q110" s="153"/>
      <c r="R110" s="153"/>
    </row>
    <row r="111" customFormat="false" ht="15" hidden="false" customHeight="true" outlineLevel="0" collapsed="false">
      <c r="A111" s="456" t="s">
        <v>8527</v>
      </c>
      <c r="B111" s="458" t="s">
        <v>8528</v>
      </c>
      <c r="C111" s="458" t="n">
        <v>2016</v>
      </c>
      <c r="D111" s="459" t="n">
        <v>42591</v>
      </c>
      <c r="E111" s="380" t="s">
        <v>8529</v>
      </c>
      <c r="F111" s="460" t="s">
        <v>382</v>
      </c>
      <c r="G111" s="460" t="s">
        <v>1174</v>
      </c>
      <c r="H111" s="380" t="s">
        <v>1231</v>
      </c>
      <c r="I111" s="461" t="n">
        <v>44792</v>
      </c>
      <c r="J111" s="460" t="n">
        <v>8</v>
      </c>
      <c r="K111" s="462" t="s">
        <v>53</v>
      </c>
      <c r="L111" s="463" t="s">
        <v>60</v>
      </c>
      <c r="M111" s="463" t="n">
        <f aca="false">I111-D111</f>
        <v>2201</v>
      </c>
      <c r="N111" s="153"/>
      <c r="O111" s="153"/>
      <c r="P111" s="153"/>
      <c r="Q111" s="153"/>
      <c r="R111" s="153"/>
    </row>
    <row r="112" customFormat="false" ht="15" hidden="false" customHeight="true" outlineLevel="0" collapsed="false">
      <c r="A112" s="456" t="s">
        <v>8530</v>
      </c>
      <c r="B112" s="458" t="s">
        <v>8531</v>
      </c>
      <c r="C112" s="458" t="n">
        <v>2016</v>
      </c>
      <c r="D112" s="459" t="n">
        <v>42418</v>
      </c>
      <c r="E112" s="380" t="s">
        <v>8532</v>
      </c>
      <c r="F112" s="460" t="s">
        <v>382</v>
      </c>
      <c r="G112" s="460" t="s">
        <v>1174</v>
      </c>
      <c r="H112" s="380" t="s">
        <v>192</v>
      </c>
      <c r="I112" s="461" t="n">
        <v>44792</v>
      </c>
      <c r="J112" s="460" t="n">
        <v>8</v>
      </c>
      <c r="K112" s="462" t="s">
        <v>53</v>
      </c>
      <c r="L112" s="463" t="s">
        <v>60</v>
      </c>
      <c r="M112" s="463" t="n">
        <f aca="false">I112-D112</f>
        <v>2374</v>
      </c>
      <c r="N112" s="153"/>
      <c r="O112" s="153"/>
      <c r="P112" s="153"/>
      <c r="Q112" s="153"/>
      <c r="R112" s="153"/>
    </row>
    <row r="113" customFormat="false" ht="15" hidden="false" customHeight="true" outlineLevel="0" collapsed="false">
      <c r="A113" s="456" t="s">
        <v>8533</v>
      </c>
      <c r="B113" s="458" t="s">
        <v>8534</v>
      </c>
      <c r="C113" s="458" t="n">
        <v>2016</v>
      </c>
      <c r="D113" s="459" t="n">
        <v>42698</v>
      </c>
      <c r="E113" s="380" t="s">
        <v>8535</v>
      </c>
      <c r="F113" s="460" t="s">
        <v>1068</v>
      </c>
      <c r="G113" s="460" t="s">
        <v>1174</v>
      </c>
      <c r="H113" s="380" t="s">
        <v>254</v>
      </c>
      <c r="I113" s="461" t="n">
        <v>44839</v>
      </c>
      <c r="J113" s="460" t="n">
        <v>10</v>
      </c>
      <c r="K113" s="462" t="s">
        <v>53</v>
      </c>
      <c r="L113" s="463" t="s">
        <v>60</v>
      </c>
      <c r="M113" s="463" t="n">
        <f aca="false">I113-D113</f>
        <v>2141</v>
      </c>
    </row>
    <row r="114" customFormat="false" ht="15" hidden="false" customHeight="true" outlineLevel="0" collapsed="false">
      <c r="A114" s="449" t="s">
        <v>8536</v>
      </c>
      <c r="B114" s="450" t="s">
        <v>8537</v>
      </c>
      <c r="C114" s="450" t="n">
        <v>2016</v>
      </c>
      <c r="D114" s="451" t="n">
        <v>42594</v>
      </c>
      <c r="E114" s="452" t="s">
        <v>8538</v>
      </c>
      <c r="F114" s="452" t="s">
        <v>689</v>
      </c>
      <c r="G114" s="378" t="s">
        <v>1174</v>
      </c>
      <c r="H114" s="378" t="s">
        <v>513</v>
      </c>
      <c r="I114" s="451" t="n">
        <v>44861</v>
      </c>
      <c r="J114" s="452" t="n">
        <v>10</v>
      </c>
      <c r="K114" s="464" t="s">
        <v>53</v>
      </c>
      <c r="L114" s="455" t="s">
        <v>60</v>
      </c>
      <c r="M114" s="455" t="n">
        <f aca="false">I114-D114</f>
        <v>2267</v>
      </c>
    </row>
    <row r="115" customFormat="false" ht="15" hidden="false" customHeight="true" outlineLevel="0" collapsed="false">
      <c r="A115" s="449" t="s">
        <v>8539</v>
      </c>
      <c r="B115" s="450" t="s">
        <v>8540</v>
      </c>
      <c r="C115" s="450" t="n">
        <v>2016</v>
      </c>
      <c r="D115" s="451" t="n">
        <v>42474</v>
      </c>
      <c r="E115" s="452" t="s">
        <v>8541</v>
      </c>
      <c r="F115" s="452" t="s">
        <v>1987</v>
      </c>
      <c r="G115" s="378" t="s">
        <v>1174</v>
      </c>
      <c r="H115" s="378" t="s">
        <v>192</v>
      </c>
      <c r="I115" s="451" t="n">
        <v>44876</v>
      </c>
      <c r="J115" s="452" t="n">
        <v>11</v>
      </c>
      <c r="K115" s="464" t="s">
        <v>53</v>
      </c>
      <c r="L115" s="455" t="s">
        <v>58</v>
      </c>
      <c r="M115" s="455" t="n">
        <f aca="false">I115-D115</f>
        <v>2402</v>
      </c>
    </row>
    <row r="116" customFormat="false" ht="15" hidden="false" customHeight="true" outlineLevel="0" collapsed="false">
      <c r="A116" s="449" t="s">
        <v>8542</v>
      </c>
      <c r="B116" s="450" t="s">
        <v>8543</v>
      </c>
      <c r="C116" s="450" t="n">
        <v>2016</v>
      </c>
      <c r="D116" s="451" t="n">
        <v>42608</v>
      </c>
      <c r="E116" s="452" t="s">
        <v>8544</v>
      </c>
      <c r="F116" s="452" t="s">
        <v>8545</v>
      </c>
      <c r="G116" s="378" t="s">
        <v>1174</v>
      </c>
      <c r="H116" s="378" t="s">
        <v>373</v>
      </c>
      <c r="I116" s="451" t="n">
        <v>44876</v>
      </c>
      <c r="J116" s="452" t="n">
        <v>11</v>
      </c>
      <c r="K116" s="464" t="s">
        <v>53</v>
      </c>
      <c r="L116" s="455" t="s">
        <v>58</v>
      </c>
      <c r="M116" s="455" t="n">
        <f aca="false">I116-D116</f>
        <v>2268</v>
      </c>
    </row>
    <row r="117" customFormat="false" ht="15" hidden="false" customHeight="true" outlineLevel="0" collapsed="false">
      <c r="A117" s="449" t="s">
        <v>8546</v>
      </c>
      <c r="B117" s="450" t="s">
        <v>8547</v>
      </c>
      <c r="C117" s="450" t="n">
        <v>2016</v>
      </c>
      <c r="D117" s="451" t="n">
        <v>42669</v>
      </c>
      <c r="E117" s="452" t="s">
        <v>8548</v>
      </c>
      <c r="F117" s="452" t="s">
        <v>1196</v>
      </c>
      <c r="G117" s="378" t="s">
        <v>1174</v>
      </c>
      <c r="H117" s="378" t="s">
        <v>2677</v>
      </c>
      <c r="I117" s="451" t="n">
        <v>44889</v>
      </c>
      <c r="J117" s="452" t="n">
        <v>11</v>
      </c>
      <c r="K117" s="464" t="s">
        <v>53</v>
      </c>
      <c r="L117" s="455" t="s">
        <v>58</v>
      </c>
      <c r="M117" s="455" t="n">
        <f aca="false">I117-D117</f>
        <v>2220</v>
      </c>
    </row>
    <row r="118" customFormat="false" ht="15" hidden="false" customHeight="true" outlineLevel="0" collapsed="false">
      <c r="A118" s="456" t="s">
        <v>8549</v>
      </c>
      <c r="B118" s="483" t="s">
        <v>8550</v>
      </c>
      <c r="C118" s="483" t="n">
        <v>2016</v>
      </c>
      <c r="D118" s="484" t="n">
        <v>42674</v>
      </c>
      <c r="E118" s="485" t="s">
        <v>8551</v>
      </c>
      <c r="F118" s="486" t="s">
        <v>689</v>
      </c>
      <c r="G118" s="486" t="s">
        <v>1174</v>
      </c>
      <c r="H118" s="485" t="s">
        <v>2654</v>
      </c>
      <c r="I118" s="484" t="n">
        <v>44889</v>
      </c>
      <c r="J118" s="486" t="n">
        <v>11</v>
      </c>
      <c r="K118" s="462" t="s">
        <v>53</v>
      </c>
      <c r="L118" s="463" t="s">
        <v>60</v>
      </c>
      <c r="M118" s="463" t="n">
        <f aca="false">I118-D118</f>
        <v>2215</v>
      </c>
    </row>
    <row r="119" customFormat="false" ht="15" hidden="false" customHeight="true" outlineLevel="0" collapsed="false">
      <c r="A119" s="449" t="s">
        <v>8552</v>
      </c>
      <c r="B119" s="450" t="s">
        <v>8553</v>
      </c>
      <c r="C119" s="450" t="n">
        <v>2016</v>
      </c>
      <c r="D119" s="453" t="n">
        <v>42667</v>
      </c>
      <c r="E119" s="452" t="s">
        <v>8554</v>
      </c>
      <c r="F119" s="452" t="s">
        <v>8545</v>
      </c>
      <c r="G119" s="378" t="s">
        <v>1174</v>
      </c>
      <c r="H119" s="378" t="s">
        <v>1059</v>
      </c>
      <c r="I119" s="453" t="n">
        <v>44909</v>
      </c>
      <c r="J119" s="452" t="n">
        <v>12</v>
      </c>
      <c r="K119" s="464" t="s">
        <v>53</v>
      </c>
      <c r="L119" s="455" t="s">
        <v>58</v>
      </c>
      <c r="M119" s="455" t="n">
        <f aca="false">I119-D119</f>
        <v>2242</v>
      </c>
    </row>
    <row r="120" customFormat="false" ht="15" hidden="false" customHeight="true" outlineLevel="0" collapsed="false">
      <c r="A120" s="456" t="s">
        <v>8555</v>
      </c>
      <c r="B120" s="458" t="s">
        <v>8556</v>
      </c>
      <c r="C120" s="458" t="n">
        <v>2016</v>
      </c>
      <c r="D120" s="461" t="n">
        <v>42649</v>
      </c>
      <c r="E120" s="380" t="s">
        <v>8557</v>
      </c>
      <c r="F120" s="460" t="s">
        <v>1338</v>
      </c>
      <c r="G120" s="460" t="s">
        <v>1174</v>
      </c>
      <c r="H120" s="380" t="s">
        <v>1231</v>
      </c>
      <c r="I120" s="461" t="n">
        <v>44909</v>
      </c>
      <c r="J120" s="460" t="n">
        <v>12</v>
      </c>
      <c r="K120" s="462" t="s">
        <v>53</v>
      </c>
      <c r="L120" s="463" t="s">
        <v>61</v>
      </c>
      <c r="M120" s="463" t="n">
        <f aca="false">I120-D120</f>
        <v>2260</v>
      </c>
    </row>
    <row r="121" customFormat="false" ht="15" hidden="false" customHeight="true" outlineLevel="0" collapsed="false">
      <c r="A121" s="449" t="s">
        <v>8558</v>
      </c>
      <c r="B121" s="450" t="s">
        <v>8559</v>
      </c>
      <c r="C121" s="450" t="n">
        <v>2016</v>
      </c>
      <c r="D121" s="453" t="n">
        <v>42445</v>
      </c>
      <c r="E121" s="452" t="s">
        <v>8560</v>
      </c>
      <c r="F121" s="452" t="s">
        <v>113</v>
      </c>
      <c r="G121" s="378" t="s">
        <v>1174</v>
      </c>
      <c r="H121" s="378" t="s">
        <v>267</v>
      </c>
      <c r="I121" s="453" t="n">
        <v>44909</v>
      </c>
      <c r="J121" s="452" t="n">
        <v>12</v>
      </c>
      <c r="K121" s="464" t="s">
        <v>53</v>
      </c>
      <c r="L121" s="455" t="s">
        <v>60</v>
      </c>
      <c r="M121" s="455" t="n">
        <f aca="false">I121-D121</f>
        <v>2464</v>
      </c>
    </row>
    <row r="122" customFormat="false" ht="15" hidden="false" customHeight="true" outlineLevel="0" collapsed="false">
      <c r="A122" s="449" t="s">
        <v>8561</v>
      </c>
      <c r="B122" s="450" t="s">
        <v>8562</v>
      </c>
      <c r="C122" s="450" t="n">
        <v>2016</v>
      </c>
      <c r="D122" s="453" t="n">
        <v>42444</v>
      </c>
      <c r="E122" s="452" t="s">
        <v>8563</v>
      </c>
      <c r="F122" s="452" t="s">
        <v>113</v>
      </c>
      <c r="G122" s="378" t="s">
        <v>1174</v>
      </c>
      <c r="H122" s="378" t="s">
        <v>310</v>
      </c>
      <c r="I122" s="453" t="n">
        <v>44909</v>
      </c>
      <c r="J122" s="452" t="n">
        <v>12</v>
      </c>
      <c r="K122" s="464" t="s">
        <v>53</v>
      </c>
      <c r="L122" s="455" t="s">
        <v>60</v>
      </c>
      <c r="M122" s="455" t="n">
        <f aca="false">I122-D122</f>
        <v>2465</v>
      </c>
    </row>
    <row r="123" customFormat="false" ht="15" hidden="false" customHeight="true" outlineLevel="0" collapsed="false">
      <c r="A123" s="449" t="s">
        <v>8564</v>
      </c>
      <c r="B123" s="450" t="s">
        <v>8565</v>
      </c>
      <c r="C123" s="450" t="n">
        <v>2016</v>
      </c>
      <c r="D123" s="453" t="n">
        <v>42697</v>
      </c>
      <c r="E123" s="452" t="s">
        <v>8566</v>
      </c>
      <c r="F123" s="452" t="s">
        <v>1312</v>
      </c>
      <c r="G123" s="378" t="s">
        <v>1174</v>
      </c>
      <c r="H123" s="378" t="s">
        <v>6871</v>
      </c>
      <c r="I123" s="453" t="n">
        <v>44917</v>
      </c>
      <c r="J123" s="452" t="n">
        <v>12</v>
      </c>
      <c r="K123" s="464" t="s">
        <v>53</v>
      </c>
      <c r="L123" s="455" t="s">
        <v>60</v>
      </c>
      <c r="M123" s="455" t="n">
        <f aca="false">I123-D123</f>
        <v>2220</v>
      </c>
    </row>
    <row r="124" customFormat="false" ht="15" hidden="false" customHeight="true" outlineLevel="0" collapsed="false">
      <c r="A124" s="449" t="s">
        <v>8567</v>
      </c>
      <c r="B124" s="450" t="s">
        <v>8568</v>
      </c>
      <c r="C124" s="450" t="n">
        <v>2016</v>
      </c>
      <c r="D124" s="453" t="n">
        <v>42557</v>
      </c>
      <c r="E124" s="452" t="s">
        <v>8569</v>
      </c>
      <c r="F124" s="452" t="s">
        <v>467</v>
      </c>
      <c r="G124" s="378" t="s">
        <v>1174</v>
      </c>
      <c r="H124" s="378" t="s">
        <v>6674</v>
      </c>
      <c r="I124" s="453" t="n">
        <v>44918</v>
      </c>
      <c r="J124" s="452" t="n">
        <v>12</v>
      </c>
      <c r="K124" s="464" t="s">
        <v>53</v>
      </c>
      <c r="L124" s="455" t="s">
        <v>60</v>
      </c>
      <c r="M124" s="455" t="n">
        <f aca="false">I124-D124</f>
        <v>2361</v>
      </c>
    </row>
    <row r="125" customFormat="false" ht="15" hidden="false" customHeight="true" outlineLevel="0" collapsed="false">
      <c r="A125" s="456" t="s">
        <v>8570</v>
      </c>
      <c r="B125" s="458" t="s">
        <v>8571</v>
      </c>
      <c r="C125" s="458" t="n">
        <v>2017</v>
      </c>
      <c r="D125" s="459" t="n">
        <v>42961</v>
      </c>
      <c r="E125" s="380" t="s">
        <v>8572</v>
      </c>
      <c r="F125" s="460" t="s">
        <v>1324</v>
      </c>
      <c r="G125" s="460" t="s">
        <v>1174</v>
      </c>
      <c r="H125" s="380" t="s">
        <v>192</v>
      </c>
      <c r="I125" s="461" t="n">
        <v>44588</v>
      </c>
      <c r="J125" s="460" t="n">
        <v>1</v>
      </c>
      <c r="K125" s="462" t="s">
        <v>53</v>
      </c>
      <c r="L125" s="463" t="s">
        <v>60</v>
      </c>
      <c r="M125" s="463" t="n">
        <f aca="false">I125-D125</f>
        <v>1627</v>
      </c>
    </row>
    <row r="126" customFormat="false" ht="15" hidden="false" customHeight="true" outlineLevel="0" collapsed="false">
      <c r="A126" s="456" t="s">
        <v>8573</v>
      </c>
      <c r="B126" s="458" t="s">
        <v>8574</v>
      </c>
      <c r="C126" s="458" t="n">
        <v>2017</v>
      </c>
      <c r="D126" s="459" t="n">
        <v>42842</v>
      </c>
      <c r="E126" s="380" t="s">
        <v>8575</v>
      </c>
      <c r="F126" s="460" t="s">
        <v>1324</v>
      </c>
      <c r="G126" s="460" t="s">
        <v>1174</v>
      </c>
      <c r="H126" s="380" t="s">
        <v>5263</v>
      </c>
      <c r="I126" s="461" t="n">
        <v>44588</v>
      </c>
      <c r="J126" s="460" t="n">
        <v>1</v>
      </c>
      <c r="K126" s="462" t="s">
        <v>53</v>
      </c>
      <c r="L126" s="463" t="s">
        <v>60</v>
      </c>
      <c r="M126" s="463" t="n">
        <f aca="false">I126-D126</f>
        <v>1746</v>
      </c>
    </row>
    <row r="127" customFormat="false" ht="15" hidden="false" customHeight="true" outlineLevel="0" collapsed="false">
      <c r="A127" s="449" t="s">
        <v>8576</v>
      </c>
      <c r="B127" s="450" t="s">
        <v>8577</v>
      </c>
      <c r="C127" s="450" t="n">
        <v>2017</v>
      </c>
      <c r="D127" s="451" t="n">
        <v>42814</v>
      </c>
      <c r="E127" s="452" t="s">
        <v>8578</v>
      </c>
      <c r="F127" s="452" t="s">
        <v>509</v>
      </c>
      <c r="G127" s="378" t="s">
        <v>1174</v>
      </c>
      <c r="H127" s="378" t="s">
        <v>1059</v>
      </c>
      <c r="I127" s="453" t="n">
        <v>44588</v>
      </c>
      <c r="J127" s="452" t="n">
        <v>1</v>
      </c>
      <c r="K127" s="464" t="s">
        <v>53</v>
      </c>
      <c r="L127" s="455" t="s">
        <v>58</v>
      </c>
      <c r="M127" s="455" t="n">
        <f aca="false">I127-D127</f>
        <v>1774</v>
      </c>
    </row>
    <row r="128" customFormat="false" ht="15" hidden="false" customHeight="true" outlineLevel="0" collapsed="false">
      <c r="A128" s="449" t="s">
        <v>8579</v>
      </c>
      <c r="B128" s="450" t="s">
        <v>8580</v>
      </c>
      <c r="C128" s="450" t="n">
        <v>2017</v>
      </c>
      <c r="D128" s="451" t="n">
        <v>42808</v>
      </c>
      <c r="E128" s="378" t="s">
        <v>8581</v>
      </c>
      <c r="F128" s="452" t="s">
        <v>2003</v>
      </c>
      <c r="G128" s="378" t="s">
        <v>1174</v>
      </c>
      <c r="H128" s="378" t="s">
        <v>192</v>
      </c>
      <c r="I128" s="453" t="n">
        <v>44610</v>
      </c>
      <c r="J128" s="452" t="n">
        <v>2</v>
      </c>
      <c r="K128" s="464" t="s">
        <v>53</v>
      </c>
      <c r="L128" s="455" t="s">
        <v>58</v>
      </c>
      <c r="M128" s="455" t="n">
        <f aca="false">I128-D128</f>
        <v>1802</v>
      </c>
    </row>
    <row r="129" customFormat="false" ht="15" hidden="false" customHeight="true" outlineLevel="0" collapsed="false">
      <c r="A129" s="449" t="s">
        <v>8582</v>
      </c>
      <c r="B129" s="465" t="s">
        <v>8583</v>
      </c>
      <c r="C129" s="450" t="n">
        <v>2017</v>
      </c>
      <c r="D129" s="451" t="n">
        <v>43000</v>
      </c>
      <c r="E129" s="378" t="s">
        <v>8584</v>
      </c>
      <c r="F129" s="452" t="s">
        <v>798</v>
      </c>
      <c r="G129" s="378" t="s">
        <v>1174</v>
      </c>
      <c r="H129" s="378" t="s">
        <v>267</v>
      </c>
      <c r="I129" s="453" t="n">
        <v>44610</v>
      </c>
      <c r="J129" s="452" t="n">
        <v>2</v>
      </c>
      <c r="K129" s="464" t="s">
        <v>53</v>
      </c>
      <c r="L129" s="455" t="s">
        <v>60</v>
      </c>
      <c r="M129" s="455" t="n">
        <f aca="false">I129-D129</f>
        <v>1610</v>
      </c>
    </row>
    <row r="130" customFormat="false" ht="15" hidden="false" customHeight="true" outlineLevel="0" collapsed="false">
      <c r="A130" s="456" t="s">
        <v>8585</v>
      </c>
      <c r="B130" s="457" t="s">
        <v>8586</v>
      </c>
      <c r="C130" s="458" t="n">
        <v>2017</v>
      </c>
      <c r="D130" s="459" t="n">
        <v>43090</v>
      </c>
      <c r="E130" s="380" t="s">
        <v>8587</v>
      </c>
      <c r="F130" s="380" t="s">
        <v>8588</v>
      </c>
      <c r="G130" s="460" t="s">
        <v>1174</v>
      </c>
      <c r="H130" s="380" t="s">
        <v>1740</v>
      </c>
      <c r="I130" s="461" t="n">
        <v>44610</v>
      </c>
      <c r="J130" s="460" t="n">
        <v>2</v>
      </c>
      <c r="K130" s="462" t="s">
        <v>53</v>
      </c>
      <c r="L130" s="463" t="s">
        <v>60</v>
      </c>
      <c r="M130" s="463" t="n">
        <f aca="false">I130-D130</f>
        <v>1520</v>
      </c>
    </row>
    <row r="131" customFormat="false" ht="15" hidden="false" customHeight="true" outlineLevel="0" collapsed="false">
      <c r="A131" s="449" t="s">
        <v>8589</v>
      </c>
      <c r="B131" s="465" t="s">
        <v>8590</v>
      </c>
      <c r="C131" s="450" t="n">
        <v>2017</v>
      </c>
      <c r="D131" s="451" t="n">
        <v>43095</v>
      </c>
      <c r="E131" s="378" t="s">
        <v>8591</v>
      </c>
      <c r="F131" s="378" t="s">
        <v>8469</v>
      </c>
      <c r="G131" s="378" t="s">
        <v>1174</v>
      </c>
      <c r="H131" s="378" t="s">
        <v>544</v>
      </c>
      <c r="I131" s="453" t="n">
        <v>44663</v>
      </c>
      <c r="J131" s="452" t="n">
        <v>4</v>
      </c>
      <c r="K131" s="464" t="s">
        <v>53</v>
      </c>
      <c r="L131" s="455" t="s">
        <v>58</v>
      </c>
      <c r="M131" s="455" t="n">
        <f aca="false">I131-D131</f>
        <v>1568</v>
      </c>
    </row>
    <row r="132" customFormat="false" ht="15" hidden="false" customHeight="true" outlineLevel="0" collapsed="false">
      <c r="A132" s="456" t="s">
        <v>8592</v>
      </c>
      <c r="B132" s="457" t="s">
        <v>8593</v>
      </c>
      <c r="C132" s="458" t="n">
        <v>2017</v>
      </c>
      <c r="D132" s="459" t="n">
        <v>42972</v>
      </c>
      <c r="E132" s="380" t="s">
        <v>8594</v>
      </c>
      <c r="F132" s="460" t="s">
        <v>1196</v>
      </c>
      <c r="G132" s="460" t="s">
        <v>1174</v>
      </c>
      <c r="H132" s="380" t="s">
        <v>267</v>
      </c>
      <c r="I132" s="461" t="n">
        <v>44708</v>
      </c>
      <c r="J132" s="460" t="n">
        <v>5</v>
      </c>
      <c r="K132" s="462" t="s">
        <v>53</v>
      </c>
      <c r="L132" s="463" t="s">
        <v>58</v>
      </c>
      <c r="M132" s="463" t="n">
        <f aca="false">I132-D132</f>
        <v>1736</v>
      </c>
    </row>
    <row r="133" customFormat="false" ht="15" hidden="false" customHeight="true" outlineLevel="0" collapsed="false">
      <c r="A133" s="456" t="s">
        <v>8595</v>
      </c>
      <c r="B133" s="457" t="s">
        <v>8596</v>
      </c>
      <c r="C133" s="458" t="n">
        <v>2017</v>
      </c>
      <c r="D133" s="459" t="n">
        <v>42996</v>
      </c>
      <c r="E133" s="380" t="s">
        <v>8597</v>
      </c>
      <c r="F133" s="460" t="s">
        <v>705</v>
      </c>
      <c r="G133" s="460" t="s">
        <v>1174</v>
      </c>
      <c r="H133" s="380" t="s">
        <v>544</v>
      </c>
      <c r="I133" s="461" t="n">
        <v>44713</v>
      </c>
      <c r="J133" s="460" t="n">
        <v>6</v>
      </c>
      <c r="K133" s="462" t="s">
        <v>53</v>
      </c>
      <c r="L133" s="463" t="s">
        <v>58</v>
      </c>
      <c r="M133" s="463" t="n">
        <f aca="false">I133-D133</f>
        <v>1717</v>
      </c>
    </row>
    <row r="134" customFormat="false" ht="15" hidden="false" customHeight="true" outlineLevel="0" collapsed="false">
      <c r="A134" s="456" t="s">
        <v>8598</v>
      </c>
      <c r="B134" s="458" t="s">
        <v>8599</v>
      </c>
      <c r="C134" s="458" t="n">
        <v>2018</v>
      </c>
      <c r="D134" s="459" t="n">
        <v>43408</v>
      </c>
      <c r="E134" s="380" t="s">
        <v>8600</v>
      </c>
      <c r="F134" s="460" t="s">
        <v>4581</v>
      </c>
      <c r="G134" s="460" t="s">
        <v>1188</v>
      </c>
      <c r="H134" s="380" t="s">
        <v>119</v>
      </c>
      <c r="I134" s="461" t="n">
        <v>44741</v>
      </c>
      <c r="J134" s="460" t="n">
        <v>6</v>
      </c>
      <c r="K134" s="466" t="s">
        <v>48</v>
      </c>
      <c r="L134" s="463" t="s">
        <v>60</v>
      </c>
      <c r="M134" s="463" t="n">
        <f aca="false">I134-D134</f>
        <v>1333</v>
      </c>
    </row>
    <row r="135" customFormat="false" ht="15" hidden="false" customHeight="true" outlineLevel="0" collapsed="false">
      <c r="A135" s="449" t="s">
        <v>8601</v>
      </c>
      <c r="B135" s="450" t="s">
        <v>8602</v>
      </c>
      <c r="C135" s="450" t="n">
        <v>2017</v>
      </c>
      <c r="D135" s="451" t="n">
        <v>42807</v>
      </c>
      <c r="E135" s="378" t="s">
        <v>8603</v>
      </c>
      <c r="F135" s="452" t="s">
        <v>705</v>
      </c>
      <c r="G135" s="378" t="s">
        <v>1174</v>
      </c>
      <c r="H135" s="378" t="s">
        <v>192</v>
      </c>
      <c r="I135" s="453" t="n">
        <v>44713</v>
      </c>
      <c r="J135" s="452" t="n">
        <v>6</v>
      </c>
      <c r="K135" s="464" t="s">
        <v>53</v>
      </c>
      <c r="L135" s="455" t="s">
        <v>58</v>
      </c>
      <c r="M135" s="455" t="n">
        <f aca="false">I135-D135</f>
        <v>1906</v>
      </c>
    </row>
    <row r="136" customFormat="false" ht="15" hidden="false" customHeight="true" outlineLevel="0" collapsed="false">
      <c r="A136" s="456" t="s">
        <v>8604</v>
      </c>
      <c r="B136" s="458" t="s">
        <v>8605</v>
      </c>
      <c r="C136" s="458" t="n">
        <v>2017</v>
      </c>
      <c r="D136" s="459" t="n">
        <v>43010</v>
      </c>
      <c r="E136" s="380" t="s">
        <v>8606</v>
      </c>
      <c r="F136" s="460" t="s">
        <v>8607</v>
      </c>
      <c r="G136" s="460" t="s">
        <v>1174</v>
      </c>
      <c r="H136" s="380" t="s">
        <v>373</v>
      </c>
      <c r="I136" s="461" t="n">
        <v>44742</v>
      </c>
      <c r="J136" s="460" t="n">
        <v>6</v>
      </c>
      <c r="K136" s="462" t="s">
        <v>53</v>
      </c>
      <c r="L136" s="463" t="s">
        <v>60</v>
      </c>
      <c r="M136" s="463" t="n">
        <f aca="false">I136-D136</f>
        <v>1732</v>
      </c>
    </row>
    <row r="137" customFormat="false" ht="15" hidden="false" customHeight="true" outlineLevel="0" collapsed="false">
      <c r="A137" s="456" t="s">
        <v>8608</v>
      </c>
      <c r="B137" s="458" t="s">
        <v>8609</v>
      </c>
      <c r="C137" s="458" t="n">
        <v>2017</v>
      </c>
      <c r="D137" s="459" t="n">
        <v>42825</v>
      </c>
      <c r="E137" s="380" t="s">
        <v>8610</v>
      </c>
      <c r="F137" s="460" t="s">
        <v>365</v>
      </c>
      <c r="G137" s="460" t="s">
        <v>1174</v>
      </c>
      <c r="H137" s="380" t="s">
        <v>354</v>
      </c>
      <c r="I137" s="461" t="n">
        <v>44763</v>
      </c>
      <c r="J137" s="460" t="n">
        <v>7</v>
      </c>
      <c r="K137" s="462" t="s">
        <v>53</v>
      </c>
      <c r="L137" s="463" t="s">
        <v>60</v>
      </c>
      <c r="M137" s="463" t="n">
        <f aca="false">I137-D137</f>
        <v>1938</v>
      </c>
    </row>
    <row r="138" customFormat="false" ht="15" hidden="false" customHeight="true" outlineLevel="0" collapsed="false">
      <c r="A138" s="449" t="s">
        <v>8611</v>
      </c>
      <c r="B138" s="450" t="s">
        <v>8612</v>
      </c>
      <c r="C138" s="450" t="n">
        <v>2017</v>
      </c>
      <c r="D138" s="451" t="n">
        <v>42825</v>
      </c>
      <c r="E138" s="452" t="s">
        <v>8613</v>
      </c>
      <c r="F138" s="452" t="s">
        <v>8388</v>
      </c>
      <c r="G138" s="378" t="s">
        <v>1174</v>
      </c>
      <c r="H138" s="378" t="s">
        <v>354</v>
      </c>
      <c r="I138" s="453" t="n">
        <v>44763</v>
      </c>
      <c r="J138" s="452" t="n">
        <v>7</v>
      </c>
      <c r="K138" s="464" t="s">
        <v>53</v>
      </c>
      <c r="L138" s="455" t="s">
        <v>60</v>
      </c>
      <c r="M138" s="455" t="n">
        <f aca="false">I138-D138</f>
        <v>1938</v>
      </c>
    </row>
    <row r="139" customFormat="false" ht="15" hidden="false" customHeight="true" outlineLevel="0" collapsed="false">
      <c r="A139" s="456" t="s">
        <v>8614</v>
      </c>
      <c r="B139" s="458" t="s">
        <v>8615</v>
      </c>
      <c r="C139" s="458" t="n">
        <v>2017</v>
      </c>
      <c r="D139" s="459" t="n">
        <v>42990</v>
      </c>
      <c r="E139" s="380" t="s">
        <v>8616</v>
      </c>
      <c r="F139" s="460" t="s">
        <v>1243</v>
      </c>
      <c r="G139" s="460" t="s">
        <v>1174</v>
      </c>
      <c r="H139" s="380" t="s">
        <v>532</v>
      </c>
      <c r="I139" s="461" t="n">
        <v>44763</v>
      </c>
      <c r="J139" s="460" t="n">
        <v>7</v>
      </c>
      <c r="K139" s="462" t="s">
        <v>53</v>
      </c>
      <c r="L139" s="463" t="s">
        <v>60</v>
      </c>
      <c r="M139" s="463" t="n">
        <f aca="false">I139-D139</f>
        <v>1773</v>
      </c>
    </row>
    <row r="140" customFormat="false" ht="15" hidden="false" customHeight="true" outlineLevel="0" collapsed="false">
      <c r="A140" s="456" t="s">
        <v>8617</v>
      </c>
      <c r="B140" s="458" t="s">
        <v>8618</v>
      </c>
      <c r="C140" s="458" t="n">
        <v>2017</v>
      </c>
      <c r="D140" s="459" t="n">
        <v>42941</v>
      </c>
      <c r="E140" s="380" t="s">
        <v>8619</v>
      </c>
      <c r="F140" s="460" t="s">
        <v>2003</v>
      </c>
      <c r="G140" s="460" t="s">
        <v>1174</v>
      </c>
      <c r="H140" s="380" t="s">
        <v>1266</v>
      </c>
      <c r="I140" s="461" t="n">
        <v>44777</v>
      </c>
      <c r="J140" s="460" t="n">
        <v>8</v>
      </c>
      <c r="K140" s="462" t="s">
        <v>53</v>
      </c>
      <c r="L140" s="463" t="s">
        <v>58</v>
      </c>
      <c r="M140" s="463" t="n">
        <f aca="false">I140-D140</f>
        <v>1836</v>
      </c>
    </row>
    <row r="141" customFormat="false" ht="15" hidden="false" customHeight="true" outlineLevel="0" collapsed="false">
      <c r="A141" s="456" t="s">
        <v>8620</v>
      </c>
      <c r="B141" s="458" t="s">
        <v>8621</v>
      </c>
      <c r="C141" s="458" t="n">
        <v>2017</v>
      </c>
      <c r="D141" s="459" t="n">
        <v>42984</v>
      </c>
      <c r="E141" s="380" t="s">
        <v>8622</v>
      </c>
      <c r="F141" s="460" t="s">
        <v>2003</v>
      </c>
      <c r="G141" s="460" t="s">
        <v>1174</v>
      </c>
      <c r="H141" s="380" t="s">
        <v>3046</v>
      </c>
      <c r="I141" s="461" t="n">
        <v>44777</v>
      </c>
      <c r="J141" s="460" t="n">
        <v>8</v>
      </c>
      <c r="K141" s="462" t="s">
        <v>53</v>
      </c>
      <c r="L141" s="463" t="s">
        <v>58</v>
      </c>
      <c r="M141" s="463" t="n">
        <f aca="false">I141-D141</f>
        <v>1793</v>
      </c>
    </row>
    <row r="142" customFormat="false" ht="15" hidden="false" customHeight="true" outlineLevel="0" collapsed="false">
      <c r="A142" s="456" t="s">
        <v>8623</v>
      </c>
      <c r="B142" s="458" t="s">
        <v>8624</v>
      </c>
      <c r="C142" s="458" t="n">
        <v>2019</v>
      </c>
      <c r="D142" s="459" t="n">
        <v>43724</v>
      </c>
      <c r="E142" s="380" t="s">
        <v>8625</v>
      </c>
      <c r="F142" s="460" t="s">
        <v>8626</v>
      </c>
      <c r="G142" s="460" t="s">
        <v>1188</v>
      </c>
      <c r="H142" s="380" t="s">
        <v>1109</v>
      </c>
      <c r="I142" s="461" t="n">
        <v>44763</v>
      </c>
      <c r="J142" s="460" t="n">
        <v>7</v>
      </c>
      <c r="K142" s="468" t="s">
        <v>290</v>
      </c>
      <c r="L142" s="463" t="s">
        <v>60</v>
      </c>
      <c r="M142" s="463" t="n">
        <f aca="false">I142-D142</f>
        <v>1039</v>
      </c>
    </row>
    <row r="143" customFormat="false" ht="15" hidden="false" customHeight="true" outlineLevel="0" collapsed="false">
      <c r="A143" s="449" t="s">
        <v>8627</v>
      </c>
      <c r="B143" s="450" t="s">
        <v>8628</v>
      </c>
      <c r="C143" s="450" t="n">
        <v>2017</v>
      </c>
      <c r="D143" s="451" t="n">
        <v>42951</v>
      </c>
      <c r="E143" s="452" t="s">
        <v>8629</v>
      </c>
      <c r="F143" s="452" t="s">
        <v>467</v>
      </c>
      <c r="G143" s="378" t="s">
        <v>1174</v>
      </c>
      <c r="H143" s="378" t="s">
        <v>639</v>
      </c>
      <c r="I143" s="453" t="n">
        <v>44777</v>
      </c>
      <c r="J143" s="452" t="n">
        <v>8</v>
      </c>
      <c r="K143" s="464" t="s">
        <v>53</v>
      </c>
      <c r="L143" s="455" t="s">
        <v>60</v>
      </c>
      <c r="M143" s="455" t="n">
        <f aca="false">I143-D143</f>
        <v>1826</v>
      </c>
    </row>
    <row r="144" customFormat="false" ht="15" hidden="false" customHeight="true" outlineLevel="0" collapsed="false">
      <c r="A144" s="449" t="s">
        <v>8630</v>
      </c>
      <c r="B144" s="450" t="s">
        <v>8631</v>
      </c>
      <c r="C144" s="450" t="n">
        <v>2017</v>
      </c>
      <c r="D144" s="451" t="n">
        <v>42927</v>
      </c>
      <c r="E144" s="452" t="s">
        <v>8632</v>
      </c>
      <c r="F144" s="452" t="s">
        <v>365</v>
      </c>
      <c r="G144" s="378" t="s">
        <v>1174</v>
      </c>
      <c r="H144" s="378" t="s">
        <v>310</v>
      </c>
      <c r="I144" s="453" t="n">
        <v>44777</v>
      </c>
      <c r="J144" s="452" t="n">
        <v>8</v>
      </c>
      <c r="K144" s="464" t="s">
        <v>53</v>
      </c>
      <c r="L144" s="455" t="s">
        <v>60</v>
      </c>
      <c r="M144" s="455" t="n">
        <f aca="false">I144-D144</f>
        <v>1850</v>
      </c>
    </row>
    <row r="145" customFormat="false" ht="15" hidden="false" customHeight="true" outlineLevel="0" collapsed="false">
      <c r="A145" s="449" t="s">
        <v>8633</v>
      </c>
      <c r="B145" s="450" t="s">
        <v>8634</v>
      </c>
      <c r="C145" s="450" t="n">
        <v>2017</v>
      </c>
      <c r="D145" s="451" t="n">
        <v>42753</v>
      </c>
      <c r="E145" s="452" t="s">
        <v>8635</v>
      </c>
      <c r="F145" s="452" t="s">
        <v>671</v>
      </c>
      <c r="G145" s="378" t="s">
        <v>1174</v>
      </c>
      <c r="H145" s="378" t="s">
        <v>522</v>
      </c>
      <c r="I145" s="453" t="n">
        <v>44790</v>
      </c>
      <c r="J145" s="452" t="n">
        <v>8</v>
      </c>
      <c r="K145" s="464" t="s">
        <v>53</v>
      </c>
      <c r="L145" s="455" t="s">
        <v>2848</v>
      </c>
      <c r="M145" s="455" t="n">
        <f aca="false">I145-D145</f>
        <v>2037</v>
      </c>
    </row>
    <row r="146" customFormat="false" ht="15" hidden="false" customHeight="true" outlineLevel="0" collapsed="false">
      <c r="A146" s="456" t="s">
        <v>8636</v>
      </c>
      <c r="B146" s="458" t="s">
        <v>8637</v>
      </c>
      <c r="C146" s="458" t="n">
        <v>2017</v>
      </c>
      <c r="D146" s="459" t="n">
        <v>42755</v>
      </c>
      <c r="E146" s="380" t="s">
        <v>8638</v>
      </c>
      <c r="F146" s="460" t="s">
        <v>238</v>
      </c>
      <c r="G146" s="460" t="s">
        <v>1174</v>
      </c>
      <c r="H146" s="380" t="s">
        <v>471</v>
      </c>
      <c r="I146" s="461" t="n">
        <v>44839</v>
      </c>
      <c r="J146" s="460" t="n">
        <v>10</v>
      </c>
      <c r="K146" s="462" t="s">
        <v>53</v>
      </c>
      <c r="L146" s="463" t="s">
        <v>58</v>
      </c>
      <c r="M146" s="463" t="n">
        <f aca="false">I146-D146</f>
        <v>2084</v>
      </c>
    </row>
    <row r="147" customFormat="false" ht="15" hidden="false" customHeight="true" outlineLevel="0" collapsed="false">
      <c r="A147" s="449" t="s">
        <v>8639</v>
      </c>
      <c r="B147" s="450" t="s">
        <v>8640</v>
      </c>
      <c r="C147" s="450" t="n">
        <v>2017</v>
      </c>
      <c r="D147" s="451" t="n">
        <v>42838</v>
      </c>
      <c r="E147" s="452" t="s">
        <v>8641</v>
      </c>
      <c r="F147" s="452" t="s">
        <v>689</v>
      </c>
      <c r="G147" s="378" t="s">
        <v>1174</v>
      </c>
      <c r="H147" s="378" t="s">
        <v>267</v>
      </c>
      <c r="I147" s="453" t="n">
        <v>44839</v>
      </c>
      <c r="J147" s="452" t="n">
        <v>10</v>
      </c>
      <c r="K147" s="464" t="s">
        <v>53</v>
      </c>
      <c r="L147" s="455" t="s">
        <v>60</v>
      </c>
      <c r="M147" s="455" t="n">
        <f aca="false">I147-D147</f>
        <v>2001</v>
      </c>
    </row>
    <row r="148" customFormat="false" ht="15" hidden="false" customHeight="true" outlineLevel="0" collapsed="false">
      <c r="A148" s="449" t="s">
        <v>8642</v>
      </c>
      <c r="B148" s="450" t="s">
        <v>8643</v>
      </c>
      <c r="C148" s="450" t="n">
        <v>2017</v>
      </c>
      <c r="D148" s="451" t="n">
        <v>43034</v>
      </c>
      <c r="E148" s="452" t="s">
        <v>8644</v>
      </c>
      <c r="F148" s="452" t="s">
        <v>689</v>
      </c>
      <c r="G148" s="378" t="s">
        <v>1174</v>
      </c>
      <c r="H148" s="378" t="s">
        <v>1072</v>
      </c>
      <c r="I148" s="451" t="n">
        <v>44858</v>
      </c>
      <c r="J148" s="452" t="n">
        <v>10</v>
      </c>
      <c r="K148" s="464" t="s">
        <v>53</v>
      </c>
      <c r="L148" s="455" t="s">
        <v>60</v>
      </c>
      <c r="M148" s="455" t="n">
        <f aca="false">I148-D148</f>
        <v>1824</v>
      </c>
    </row>
    <row r="149" customFormat="false" ht="15" hidden="false" customHeight="true" outlineLevel="0" collapsed="false">
      <c r="A149" s="449" t="s">
        <v>8645</v>
      </c>
      <c r="B149" s="450" t="s">
        <v>8646</v>
      </c>
      <c r="C149" s="450" t="n">
        <v>2017</v>
      </c>
      <c r="D149" s="451" t="n">
        <v>42818</v>
      </c>
      <c r="E149" s="452" t="s">
        <v>8647</v>
      </c>
      <c r="F149" s="452" t="s">
        <v>1156</v>
      </c>
      <c r="G149" s="378" t="s">
        <v>1174</v>
      </c>
      <c r="H149" s="378" t="s">
        <v>1538</v>
      </c>
      <c r="I149" s="451" t="n">
        <v>44869</v>
      </c>
      <c r="J149" s="452" t="n">
        <v>11</v>
      </c>
      <c r="K149" s="464" t="s">
        <v>53</v>
      </c>
      <c r="L149" s="455" t="s">
        <v>2848</v>
      </c>
      <c r="M149" s="455" t="n">
        <f aca="false">I149-D149</f>
        <v>2051</v>
      </c>
    </row>
    <row r="150" customFormat="false" ht="15" hidden="false" customHeight="true" outlineLevel="0" collapsed="false">
      <c r="A150" s="456" t="s">
        <v>8648</v>
      </c>
      <c r="B150" s="458" t="s">
        <v>8649</v>
      </c>
      <c r="C150" s="458" t="n">
        <v>2017</v>
      </c>
      <c r="D150" s="459" t="n">
        <v>43019</v>
      </c>
      <c r="E150" s="380" t="s">
        <v>8650</v>
      </c>
      <c r="F150" s="460" t="s">
        <v>1068</v>
      </c>
      <c r="G150" s="460" t="s">
        <v>1174</v>
      </c>
      <c r="H150" s="380" t="s">
        <v>192</v>
      </c>
      <c r="I150" s="459" t="n">
        <v>44876</v>
      </c>
      <c r="J150" s="460" t="n">
        <v>11</v>
      </c>
      <c r="K150" s="462" t="s">
        <v>53</v>
      </c>
      <c r="L150" s="463" t="s">
        <v>58</v>
      </c>
      <c r="M150" s="463" t="n">
        <f aca="false">I150-D150</f>
        <v>1857</v>
      </c>
    </row>
    <row r="151" customFormat="false" ht="15" hidden="false" customHeight="true" outlineLevel="0" collapsed="false">
      <c r="A151" s="456" t="s">
        <v>8651</v>
      </c>
      <c r="B151" s="458" t="s">
        <v>8652</v>
      </c>
      <c r="C151" s="458" t="n">
        <v>2017</v>
      </c>
      <c r="D151" s="459" t="n">
        <v>43075</v>
      </c>
      <c r="E151" s="380" t="s">
        <v>8653</v>
      </c>
      <c r="F151" s="460" t="s">
        <v>689</v>
      </c>
      <c r="G151" s="460" t="s">
        <v>1174</v>
      </c>
      <c r="H151" s="380" t="s">
        <v>263</v>
      </c>
      <c r="I151" s="459" t="n">
        <v>44876</v>
      </c>
      <c r="J151" s="460" t="n">
        <v>11</v>
      </c>
      <c r="K151" s="462" t="s">
        <v>53</v>
      </c>
      <c r="L151" s="463" t="s">
        <v>60</v>
      </c>
      <c r="M151" s="463" t="n">
        <f aca="false">I151-D151</f>
        <v>1801</v>
      </c>
    </row>
    <row r="152" customFormat="false" ht="15" hidden="false" customHeight="true" outlineLevel="0" collapsed="false">
      <c r="A152" s="456" t="s">
        <v>8654</v>
      </c>
      <c r="B152" s="458" t="s">
        <v>8655</v>
      </c>
      <c r="C152" s="458" t="n">
        <v>2017</v>
      </c>
      <c r="D152" s="461" t="n">
        <v>42746</v>
      </c>
      <c r="E152" s="380" t="s">
        <v>8656</v>
      </c>
      <c r="F152" s="460" t="s">
        <v>1068</v>
      </c>
      <c r="G152" s="460" t="s">
        <v>1174</v>
      </c>
      <c r="H152" s="380" t="s">
        <v>350</v>
      </c>
      <c r="I152" s="461" t="n">
        <v>44909</v>
      </c>
      <c r="J152" s="460" t="n">
        <v>12</v>
      </c>
      <c r="K152" s="462" t="s">
        <v>53</v>
      </c>
      <c r="L152" s="463" t="s">
        <v>60</v>
      </c>
      <c r="M152" s="463" t="n">
        <f aca="false">I152-D152</f>
        <v>2163</v>
      </c>
    </row>
    <row r="153" customFormat="false" ht="15" hidden="false" customHeight="true" outlineLevel="0" collapsed="false">
      <c r="A153" s="449" t="s">
        <v>8657</v>
      </c>
      <c r="B153" s="450" t="s">
        <v>8658</v>
      </c>
      <c r="C153" s="450" t="n">
        <v>2017</v>
      </c>
      <c r="D153" s="453" t="n">
        <v>42915</v>
      </c>
      <c r="E153" s="452" t="s">
        <v>8659</v>
      </c>
      <c r="F153" s="452" t="s">
        <v>823</v>
      </c>
      <c r="G153" s="378" t="s">
        <v>1174</v>
      </c>
      <c r="H153" s="378" t="s">
        <v>2296</v>
      </c>
      <c r="I153" s="453" t="n">
        <v>44915</v>
      </c>
      <c r="J153" s="452" t="n">
        <v>12</v>
      </c>
      <c r="K153" s="464" t="s">
        <v>53</v>
      </c>
      <c r="L153" s="455" t="s">
        <v>58</v>
      </c>
      <c r="M153" s="455" t="n">
        <f aca="false">I153-D153</f>
        <v>2000</v>
      </c>
    </row>
    <row r="154" customFormat="false" ht="15" hidden="false" customHeight="true" outlineLevel="0" collapsed="false">
      <c r="A154" s="456" t="s">
        <v>8660</v>
      </c>
      <c r="B154" s="457" t="s">
        <v>8661</v>
      </c>
      <c r="C154" s="458" t="n">
        <v>2018</v>
      </c>
      <c r="D154" s="459" t="n">
        <v>43410</v>
      </c>
      <c r="E154" s="380" t="s">
        <v>8662</v>
      </c>
      <c r="F154" s="460" t="s">
        <v>467</v>
      </c>
      <c r="G154" s="460" t="s">
        <v>1174</v>
      </c>
      <c r="H154" s="380" t="s">
        <v>1258</v>
      </c>
      <c r="I154" s="461" t="n">
        <v>44610</v>
      </c>
      <c r="J154" s="460" t="n">
        <v>2</v>
      </c>
      <c r="K154" s="462" t="s">
        <v>53</v>
      </c>
      <c r="L154" s="463" t="s">
        <v>60</v>
      </c>
      <c r="M154" s="463" t="n">
        <f aca="false">I154-D154</f>
        <v>1200</v>
      </c>
    </row>
    <row r="155" customFormat="false" ht="15" hidden="false" customHeight="true" outlineLevel="0" collapsed="false">
      <c r="A155" s="456" t="s">
        <v>8663</v>
      </c>
      <c r="B155" s="457" t="s">
        <v>8664</v>
      </c>
      <c r="C155" s="458" t="n">
        <v>2018</v>
      </c>
      <c r="D155" s="459" t="n">
        <v>43382</v>
      </c>
      <c r="E155" s="380" t="s">
        <v>8665</v>
      </c>
      <c r="F155" s="460" t="s">
        <v>1262</v>
      </c>
      <c r="G155" s="460" t="s">
        <v>1174</v>
      </c>
      <c r="H155" s="380" t="s">
        <v>267</v>
      </c>
      <c r="I155" s="461" t="n">
        <v>44610</v>
      </c>
      <c r="J155" s="460" t="n">
        <v>2</v>
      </c>
      <c r="K155" s="462" t="s">
        <v>53</v>
      </c>
      <c r="L155" s="463" t="s">
        <v>58</v>
      </c>
      <c r="M155" s="463" t="n">
        <f aca="false">I155-D155</f>
        <v>1228</v>
      </c>
    </row>
    <row r="156" customFormat="false" ht="15" hidden="false" customHeight="true" outlineLevel="0" collapsed="false">
      <c r="A156" s="456" t="s">
        <v>8666</v>
      </c>
      <c r="B156" s="457" t="s">
        <v>8667</v>
      </c>
      <c r="C156" s="458" t="n">
        <v>2018</v>
      </c>
      <c r="D156" s="459" t="n">
        <v>43383</v>
      </c>
      <c r="E156" s="380" t="s">
        <v>8668</v>
      </c>
      <c r="F156" s="460" t="s">
        <v>467</v>
      </c>
      <c r="G156" s="460" t="s">
        <v>1174</v>
      </c>
      <c r="H156" s="380" t="s">
        <v>192</v>
      </c>
      <c r="I156" s="461" t="n">
        <v>44610</v>
      </c>
      <c r="J156" s="460" t="n">
        <v>2</v>
      </c>
      <c r="K156" s="462" t="s">
        <v>53</v>
      </c>
      <c r="L156" s="463" t="s">
        <v>60</v>
      </c>
      <c r="M156" s="463" t="n">
        <f aca="false">I156-D156</f>
        <v>1227</v>
      </c>
    </row>
    <row r="157" customFormat="false" ht="15" hidden="false" customHeight="true" outlineLevel="0" collapsed="false">
      <c r="A157" s="456" t="s">
        <v>8669</v>
      </c>
      <c r="B157" s="457" t="s">
        <v>8670</v>
      </c>
      <c r="C157" s="458" t="n">
        <v>2018</v>
      </c>
      <c r="D157" s="459" t="n">
        <v>43292</v>
      </c>
      <c r="E157" s="380" t="s">
        <v>8671</v>
      </c>
      <c r="F157" s="460" t="s">
        <v>467</v>
      </c>
      <c r="G157" s="460" t="s">
        <v>1174</v>
      </c>
      <c r="H157" s="380" t="s">
        <v>267</v>
      </c>
      <c r="I157" s="461" t="n">
        <v>44610</v>
      </c>
      <c r="J157" s="460" t="n">
        <v>2</v>
      </c>
      <c r="K157" s="462" t="s">
        <v>53</v>
      </c>
      <c r="L157" s="463" t="s">
        <v>60</v>
      </c>
      <c r="M157" s="463" t="n">
        <f aca="false">I157-D157</f>
        <v>1318</v>
      </c>
    </row>
    <row r="158" customFormat="false" ht="15" hidden="false" customHeight="true" outlineLevel="0" collapsed="false">
      <c r="A158" s="449" t="s">
        <v>8672</v>
      </c>
      <c r="B158" s="465" t="s">
        <v>8673</v>
      </c>
      <c r="C158" s="450" t="n">
        <v>2018</v>
      </c>
      <c r="D158" s="451" t="n">
        <v>43323</v>
      </c>
      <c r="E158" s="378" t="s">
        <v>8674</v>
      </c>
      <c r="F158" s="378" t="s">
        <v>8675</v>
      </c>
      <c r="G158" s="378" t="s">
        <v>1174</v>
      </c>
      <c r="H158" s="378" t="s">
        <v>267</v>
      </c>
      <c r="I158" s="453" t="n">
        <v>44663</v>
      </c>
      <c r="J158" s="452" t="n">
        <v>4</v>
      </c>
      <c r="K158" s="464" t="s">
        <v>53</v>
      </c>
      <c r="L158" s="455" t="s">
        <v>60</v>
      </c>
      <c r="M158" s="455" t="n">
        <f aca="false">I158-D158</f>
        <v>1340</v>
      </c>
    </row>
    <row r="159" customFormat="false" ht="15" hidden="false" customHeight="true" outlineLevel="0" collapsed="false">
      <c r="A159" s="456" t="s">
        <v>8676</v>
      </c>
      <c r="B159" s="457" t="s">
        <v>8677</v>
      </c>
      <c r="C159" s="458" t="n">
        <v>2018</v>
      </c>
      <c r="D159" s="459" t="n">
        <v>43283</v>
      </c>
      <c r="E159" s="380" t="s">
        <v>8678</v>
      </c>
      <c r="F159" s="460" t="s">
        <v>365</v>
      </c>
      <c r="G159" s="460" t="s">
        <v>1174</v>
      </c>
      <c r="H159" s="380" t="s">
        <v>8679</v>
      </c>
      <c r="I159" s="461" t="n">
        <v>44663</v>
      </c>
      <c r="J159" s="460" t="n">
        <v>4</v>
      </c>
      <c r="K159" s="462" t="s">
        <v>53</v>
      </c>
      <c r="L159" s="463" t="s">
        <v>60</v>
      </c>
      <c r="M159" s="463" t="n">
        <f aca="false">I159-D159</f>
        <v>1380</v>
      </c>
    </row>
    <row r="160" customFormat="false" ht="15" hidden="false" customHeight="true" outlineLevel="0" collapsed="false">
      <c r="A160" s="449" t="s">
        <v>8680</v>
      </c>
      <c r="B160" s="465" t="s">
        <v>8681</v>
      </c>
      <c r="C160" s="450" t="n">
        <v>2018</v>
      </c>
      <c r="D160" s="451" t="n">
        <v>43280</v>
      </c>
      <c r="E160" s="378" t="s">
        <v>8682</v>
      </c>
      <c r="F160" s="378" t="s">
        <v>8342</v>
      </c>
      <c r="G160" s="378" t="s">
        <v>1174</v>
      </c>
      <c r="H160" s="378" t="s">
        <v>208</v>
      </c>
      <c r="I160" s="453" t="n">
        <v>44708</v>
      </c>
      <c r="J160" s="452" t="n">
        <v>5</v>
      </c>
      <c r="K160" s="464" t="s">
        <v>53</v>
      </c>
      <c r="L160" s="455" t="s">
        <v>58</v>
      </c>
      <c r="M160" s="455" t="n">
        <f aca="false">I160-D160</f>
        <v>1428</v>
      </c>
    </row>
    <row r="161" customFormat="false" ht="15" hidden="false" customHeight="true" outlineLevel="0" collapsed="false">
      <c r="A161" s="456" t="s">
        <v>8683</v>
      </c>
      <c r="B161" s="457" t="s">
        <v>8684</v>
      </c>
      <c r="C161" s="458" t="n">
        <v>2018</v>
      </c>
      <c r="D161" s="459" t="n">
        <v>43196</v>
      </c>
      <c r="E161" s="380" t="s">
        <v>8685</v>
      </c>
      <c r="F161" s="460" t="s">
        <v>123</v>
      </c>
      <c r="G161" s="460" t="s">
        <v>1174</v>
      </c>
      <c r="H161" s="380" t="s">
        <v>1258</v>
      </c>
      <c r="I161" s="461" t="n">
        <v>44708</v>
      </c>
      <c r="J161" s="460" t="n">
        <v>5</v>
      </c>
      <c r="K161" s="462" t="s">
        <v>53</v>
      </c>
      <c r="L161" s="463" t="s">
        <v>58</v>
      </c>
      <c r="M161" s="463" t="n">
        <f aca="false">I161-D161</f>
        <v>1512</v>
      </c>
    </row>
    <row r="162" customFormat="false" ht="15" hidden="false" customHeight="true" outlineLevel="0" collapsed="false">
      <c r="A162" s="449" t="s">
        <v>8686</v>
      </c>
      <c r="B162" s="465" t="s">
        <v>8687</v>
      </c>
      <c r="C162" s="450" t="n">
        <v>2018</v>
      </c>
      <c r="D162" s="451" t="n">
        <v>43395</v>
      </c>
      <c r="E162" s="378" t="s">
        <v>8688</v>
      </c>
      <c r="F162" s="452" t="s">
        <v>1196</v>
      </c>
      <c r="G162" s="378" t="s">
        <v>1174</v>
      </c>
      <c r="H162" s="378" t="s">
        <v>243</v>
      </c>
      <c r="I162" s="453" t="n">
        <v>44708</v>
      </c>
      <c r="J162" s="452" t="n">
        <v>5</v>
      </c>
      <c r="K162" s="464" t="s">
        <v>53</v>
      </c>
      <c r="L162" s="455" t="s">
        <v>58</v>
      </c>
      <c r="M162" s="455" t="n">
        <f aca="false">I162-D162</f>
        <v>1313</v>
      </c>
    </row>
    <row r="163" customFormat="false" ht="15" hidden="false" customHeight="true" outlineLevel="0" collapsed="false">
      <c r="A163" s="449" t="s">
        <v>8689</v>
      </c>
      <c r="B163" s="465" t="s">
        <v>8690</v>
      </c>
      <c r="C163" s="450" t="n">
        <v>2018</v>
      </c>
      <c r="D163" s="451" t="n">
        <v>43217</v>
      </c>
      <c r="E163" s="378" t="s">
        <v>8691</v>
      </c>
      <c r="F163" s="452" t="s">
        <v>798</v>
      </c>
      <c r="G163" s="378" t="s">
        <v>1174</v>
      </c>
      <c r="H163" s="378" t="s">
        <v>6610</v>
      </c>
      <c r="I163" s="453" t="n">
        <v>44708</v>
      </c>
      <c r="J163" s="452" t="n">
        <v>5</v>
      </c>
      <c r="K163" s="464" t="s">
        <v>53</v>
      </c>
      <c r="L163" s="455" t="s">
        <v>60</v>
      </c>
      <c r="M163" s="455" t="n">
        <f aca="false">I163-D163</f>
        <v>1491</v>
      </c>
    </row>
    <row r="164" customFormat="false" ht="15" hidden="false" customHeight="true" outlineLevel="0" collapsed="false">
      <c r="A164" s="456" t="s">
        <v>8692</v>
      </c>
      <c r="B164" s="457" t="s">
        <v>8693</v>
      </c>
      <c r="C164" s="458" t="n">
        <v>2018</v>
      </c>
      <c r="D164" s="459" t="n">
        <v>43187</v>
      </c>
      <c r="E164" s="380" t="s">
        <v>8694</v>
      </c>
      <c r="F164" s="380" t="s">
        <v>8695</v>
      </c>
      <c r="G164" s="460" t="s">
        <v>1174</v>
      </c>
      <c r="H164" s="380" t="s">
        <v>1059</v>
      </c>
      <c r="I164" s="461" t="n">
        <v>44708</v>
      </c>
      <c r="J164" s="460" t="n">
        <v>5</v>
      </c>
      <c r="K164" s="462" t="s">
        <v>53</v>
      </c>
      <c r="L164" s="463" t="s">
        <v>58</v>
      </c>
      <c r="M164" s="463" t="n">
        <f aca="false">I164-D164</f>
        <v>1521</v>
      </c>
    </row>
    <row r="165" customFormat="false" ht="15" hidden="false" customHeight="true" outlineLevel="0" collapsed="false">
      <c r="A165" s="449" t="s">
        <v>8696</v>
      </c>
      <c r="B165" s="465" t="s">
        <v>8697</v>
      </c>
      <c r="C165" s="450" t="n">
        <v>2018</v>
      </c>
      <c r="D165" s="451" t="n">
        <v>43159</v>
      </c>
      <c r="E165" s="452" t="s">
        <v>8698</v>
      </c>
      <c r="F165" s="452" t="s">
        <v>8232</v>
      </c>
      <c r="G165" s="378" t="s">
        <v>1174</v>
      </c>
      <c r="H165" s="378" t="s">
        <v>354</v>
      </c>
      <c r="I165" s="453" t="n">
        <v>44708</v>
      </c>
      <c r="J165" s="452" t="n">
        <v>5</v>
      </c>
      <c r="K165" s="464" t="s">
        <v>53</v>
      </c>
      <c r="L165" s="455" t="s">
        <v>60</v>
      </c>
      <c r="M165" s="455" t="n">
        <f aca="false">I165-D165</f>
        <v>1549</v>
      </c>
    </row>
    <row r="166" customFormat="false" ht="15" hidden="false" customHeight="true" outlineLevel="0" collapsed="false">
      <c r="A166" s="449" t="s">
        <v>8699</v>
      </c>
      <c r="B166" s="465" t="s">
        <v>8700</v>
      </c>
      <c r="C166" s="450" t="n">
        <v>2018</v>
      </c>
      <c r="D166" s="451" t="n">
        <v>43217</v>
      </c>
      <c r="E166" s="378" t="s">
        <v>8701</v>
      </c>
      <c r="F166" s="452" t="s">
        <v>467</v>
      </c>
      <c r="G166" s="378" t="s">
        <v>1174</v>
      </c>
      <c r="H166" s="378" t="s">
        <v>1740</v>
      </c>
      <c r="I166" s="453" t="n">
        <v>44713</v>
      </c>
      <c r="J166" s="452" t="n">
        <v>6</v>
      </c>
      <c r="K166" s="464" t="s">
        <v>53</v>
      </c>
      <c r="L166" s="455" t="s">
        <v>60</v>
      </c>
      <c r="M166" s="455" t="n">
        <f aca="false">I166-D166</f>
        <v>1496</v>
      </c>
    </row>
    <row r="167" customFormat="false" ht="15" hidden="false" customHeight="true" outlineLevel="0" collapsed="false">
      <c r="A167" s="449" t="s">
        <v>8702</v>
      </c>
      <c r="B167" s="465" t="s">
        <v>8703</v>
      </c>
      <c r="C167" s="450" t="n">
        <v>2018</v>
      </c>
      <c r="D167" s="451" t="n">
        <v>43332</v>
      </c>
      <c r="E167" s="378" t="s">
        <v>8704</v>
      </c>
      <c r="F167" s="452" t="s">
        <v>123</v>
      </c>
      <c r="G167" s="378" t="s">
        <v>1174</v>
      </c>
      <c r="H167" s="378" t="s">
        <v>184</v>
      </c>
      <c r="I167" s="453" t="n">
        <v>44713</v>
      </c>
      <c r="J167" s="452" t="n">
        <v>6</v>
      </c>
      <c r="K167" s="464" t="s">
        <v>53</v>
      </c>
      <c r="L167" s="455" t="s">
        <v>58</v>
      </c>
      <c r="M167" s="455" t="n">
        <f aca="false">I167-D167</f>
        <v>1381</v>
      </c>
    </row>
    <row r="168" customFormat="false" ht="15" hidden="false" customHeight="true" outlineLevel="0" collapsed="false">
      <c r="A168" s="449" t="s">
        <v>8705</v>
      </c>
      <c r="B168" s="450" t="s">
        <v>8706</v>
      </c>
      <c r="C168" s="450" t="n">
        <v>2018</v>
      </c>
      <c r="D168" s="451" t="n">
        <v>43217</v>
      </c>
      <c r="E168" s="452" t="s">
        <v>8707</v>
      </c>
      <c r="F168" s="452" t="s">
        <v>467</v>
      </c>
      <c r="G168" s="378" t="s">
        <v>1174</v>
      </c>
      <c r="H168" s="378" t="s">
        <v>184</v>
      </c>
      <c r="I168" s="453" t="n">
        <v>44763</v>
      </c>
      <c r="J168" s="452" t="n">
        <v>7</v>
      </c>
      <c r="K168" s="464" t="s">
        <v>53</v>
      </c>
      <c r="L168" s="455" t="s">
        <v>60</v>
      </c>
      <c r="M168" s="455" t="n">
        <f aca="false">I168-D168</f>
        <v>1546</v>
      </c>
    </row>
    <row r="169" customFormat="false" ht="15" hidden="false" customHeight="true" outlineLevel="0" collapsed="false">
      <c r="A169" s="456" t="s">
        <v>8708</v>
      </c>
      <c r="B169" s="458" t="s">
        <v>8709</v>
      </c>
      <c r="C169" s="458" t="n">
        <v>2018</v>
      </c>
      <c r="D169" s="459" t="n">
        <v>43390</v>
      </c>
      <c r="E169" s="380" t="s">
        <v>8710</v>
      </c>
      <c r="F169" s="460" t="s">
        <v>467</v>
      </c>
      <c r="G169" s="460" t="s">
        <v>1174</v>
      </c>
      <c r="H169" s="380" t="s">
        <v>995</v>
      </c>
      <c r="I169" s="461" t="n">
        <v>44763</v>
      </c>
      <c r="J169" s="460" t="n">
        <v>7</v>
      </c>
      <c r="K169" s="462" t="s">
        <v>53</v>
      </c>
      <c r="L169" s="463" t="s">
        <v>60</v>
      </c>
      <c r="M169" s="463" t="n">
        <f aca="false">I169-D169</f>
        <v>1373</v>
      </c>
    </row>
    <row r="170" customFormat="false" ht="15" hidden="false" customHeight="true" outlineLevel="0" collapsed="false">
      <c r="A170" s="449" t="s">
        <v>8711</v>
      </c>
      <c r="B170" s="450" t="s">
        <v>8712</v>
      </c>
      <c r="C170" s="450" t="n">
        <v>2018</v>
      </c>
      <c r="D170" s="451" t="n">
        <v>43364</v>
      </c>
      <c r="E170" s="452" t="s">
        <v>8713</v>
      </c>
      <c r="F170" s="452" t="s">
        <v>467</v>
      </c>
      <c r="G170" s="378" t="s">
        <v>1174</v>
      </c>
      <c r="H170" s="378" t="s">
        <v>2677</v>
      </c>
      <c r="I170" s="453" t="n">
        <v>44763</v>
      </c>
      <c r="J170" s="452" t="n">
        <v>7</v>
      </c>
      <c r="K170" s="464" t="s">
        <v>53</v>
      </c>
      <c r="L170" s="455" t="s">
        <v>60</v>
      </c>
      <c r="M170" s="455" t="n">
        <f aca="false">I170-D170</f>
        <v>1399</v>
      </c>
    </row>
    <row r="171" customFormat="false" ht="15" hidden="false" customHeight="true" outlineLevel="0" collapsed="false">
      <c r="A171" s="456" t="s">
        <v>8714</v>
      </c>
      <c r="B171" s="458" t="s">
        <v>8715</v>
      </c>
      <c r="C171" s="458" t="n">
        <v>2018</v>
      </c>
      <c r="D171" s="459" t="n">
        <v>43137</v>
      </c>
      <c r="E171" s="380" t="s">
        <v>8716</v>
      </c>
      <c r="F171" s="460" t="s">
        <v>467</v>
      </c>
      <c r="G171" s="460" t="s">
        <v>1174</v>
      </c>
      <c r="H171" s="380" t="s">
        <v>596</v>
      </c>
      <c r="I171" s="461" t="n">
        <v>44777</v>
      </c>
      <c r="J171" s="460" t="n">
        <v>8</v>
      </c>
      <c r="K171" s="462" t="s">
        <v>53</v>
      </c>
      <c r="L171" s="463" t="s">
        <v>60</v>
      </c>
      <c r="M171" s="463" t="n">
        <f aca="false">I171-D171</f>
        <v>1640</v>
      </c>
    </row>
    <row r="172" customFormat="false" ht="15" hidden="false" customHeight="true" outlineLevel="0" collapsed="false">
      <c r="A172" s="449" t="s">
        <v>8717</v>
      </c>
      <c r="B172" s="450" t="s">
        <v>8718</v>
      </c>
      <c r="C172" s="450" t="n">
        <v>2018</v>
      </c>
      <c r="D172" s="451" t="n">
        <v>43453</v>
      </c>
      <c r="E172" s="452" t="s">
        <v>8719</v>
      </c>
      <c r="F172" s="452" t="s">
        <v>113</v>
      </c>
      <c r="G172" s="378" t="s">
        <v>1174</v>
      </c>
      <c r="H172" s="378" t="s">
        <v>267</v>
      </c>
      <c r="I172" s="453" t="n">
        <v>44777</v>
      </c>
      <c r="J172" s="452" t="n">
        <v>8</v>
      </c>
      <c r="K172" s="464" t="s">
        <v>53</v>
      </c>
      <c r="L172" s="455" t="s">
        <v>60</v>
      </c>
      <c r="M172" s="455" t="n">
        <f aca="false">I172-D172</f>
        <v>1324</v>
      </c>
    </row>
    <row r="173" customFormat="false" ht="15" hidden="false" customHeight="true" outlineLevel="0" collapsed="false">
      <c r="A173" s="456" t="s">
        <v>8720</v>
      </c>
      <c r="B173" s="458" t="s">
        <v>8721</v>
      </c>
      <c r="C173" s="458" t="n">
        <v>2018</v>
      </c>
      <c r="D173" s="459" t="n">
        <v>43231</v>
      </c>
      <c r="E173" s="380" t="s">
        <v>8722</v>
      </c>
      <c r="F173" s="460" t="s">
        <v>138</v>
      </c>
      <c r="G173" s="460" t="s">
        <v>1174</v>
      </c>
      <c r="H173" s="380" t="s">
        <v>192</v>
      </c>
      <c r="I173" s="461" t="n">
        <v>44789</v>
      </c>
      <c r="J173" s="460" t="n">
        <v>8</v>
      </c>
      <c r="K173" s="462" t="s">
        <v>53</v>
      </c>
      <c r="L173" s="463" t="s">
        <v>60</v>
      </c>
      <c r="M173" s="463" t="n">
        <f aca="false">I173-D173</f>
        <v>1558</v>
      </c>
    </row>
    <row r="174" customFormat="false" ht="12.75" hidden="false" customHeight="true" outlineLevel="0" collapsed="false">
      <c r="A174" s="456" t="s">
        <v>8723</v>
      </c>
      <c r="B174" s="458" t="s">
        <v>8724</v>
      </c>
      <c r="C174" s="458" t="n">
        <v>2018</v>
      </c>
      <c r="D174" s="459" t="n">
        <v>43299</v>
      </c>
      <c r="E174" s="380" t="s">
        <v>8725</v>
      </c>
      <c r="F174" s="460" t="s">
        <v>689</v>
      </c>
      <c r="G174" s="460" t="s">
        <v>1174</v>
      </c>
      <c r="H174" s="380" t="s">
        <v>1258</v>
      </c>
      <c r="I174" s="459" t="n">
        <v>44861</v>
      </c>
      <c r="J174" s="460" t="n">
        <v>10</v>
      </c>
      <c r="K174" s="462" t="s">
        <v>53</v>
      </c>
      <c r="L174" s="463" t="s">
        <v>60</v>
      </c>
      <c r="M174" s="463" t="n">
        <f aca="false">I174-D174</f>
        <v>1562</v>
      </c>
    </row>
    <row r="175" customFormat="false" ht="12.75" hidden="false" customHeight="true" outlineLevel="0" collapsed="false">
      <c r="A175" s="449" t="s">
        <v>8726</v>
      </c>
      <c r="B175" s="450" t="s">
        <v>8727</v>
      </c>
      <c r="C175" s="450" t="n">
        <v>2018</v>
      </c>
      <c r="D175" s="451" t="n">
        <v>43299</v>
      </c>
      <c r="E175" s="452" t="s">
        <v>8728</v>
      </c>
      <c r="F175" s="452" t="s">
        <v>689</v>
      </c>
      <c r="G175" s="378" t="s">
        <v>1174</v>
      </c>
      <c r="H175" s="378" t="s">
        <v>513</v>
      </c>
      <c r="I175" s="451" t="n">
        <v>44868</v>
      </c>
      <c r="J175" s="452" t="n">
        <v>11</v>
      </c>
      <c r="K175" s="464" t="s">
        <v>53</v>
      </c>
      <c r="L175" s="455" t="s">
        <v>60</v>
      </c>
      <c r="M175" s="455" t="n">
        <f aca="false">I175-D175</f>
        <v>1569</v>
      </c>
    </row>
    <row r="176" customFormat="false" ht="12.75" hidden="false" customHeight="true" outlineLevel="0" collapsed="false">
      <c r="A176" s="456" t="s">
        <v>8729</v>
      </c>
      <c r="B176" s="458" t="s">
        <v>8730</v>
      </c>
      <c r="C176" s="458" t="n">
        <v>2018</v>
      </c>
      <c r="D176" s="459" t="n">
        <v>43452</v>
      </c>
      <c r="E176" s="380" t="s">
        <v>8731</v>
      </c>
      <c r="F176" s="460" t="s">
        <v>1156</v>
      </c>
      <c r="G176" s="460" t="s">
        <v>1174</v>
      </c>
      <c r="H176" s="380" t="s">
        <v>2677</v>
      </c>
      <c r="I176" s="459" t="n">
        <v>44869</v>
      </c>
      <c r="J176" s="460" t="n">
        <v>11</v>
      </c>
      <c r="K176" s="462" t="s">
        <v>53</v>
      </c>
      <c r="L176" s="463" t="s">
        <v>2848</v>
      </c>
      <c r="M176" s="463" t="n">
        <f aca="false">I176-D176</f>
        <v>1417</v>
      </c>
    </row>
    <row r="177" customFormat="false" ht="12.75" hidden="false" customHeight="true" outlineLevel="0" collapsed="false">
      <c r="A177" s="456" t="s">
        <v>8732</v>
      </c>
      <c r="B177" s="458" t="s">
        <v>8733</v>
      </c>
      <c r="C177" s="458" t="n">
        <v>2018</v>
      </c>
      <c r="D177" s="461" t="n">
        <v>43364</v>
      </c>
      <c r="E177" s="380" t="s">
        <v>8734</v>
      </c>
      <c r="F177" s="460" t="s">
        <v>1068</v>
      </c>
      <c r="G177" s="460" t="s">
        <v>1174</v>
      </c>
      <c r="H177" s="380" t="s">
        <v>192</v>
      </c>
      <c r="I177" s="461" t="n">
        <v>44914</v>
      </c>
      <c r="J177" s="460" t="n">
        <v>12</v>
      </c>
      <c r="K177" s="462" t="s">
        <v>53</v>
      </c>
      <c r="L177" s="463" t="s">
        <v>60</v>
      </c>
      <c r="M177" s="463" t="n">
        <f aca="false">I177-D177</f>
        <v>1550</v>
      </c>
    </row>
    <row r="178" customFormat="false" ht="12.75" hidden="false" customHeight="true" outlineLevel="0" collapsed="false">
      <c r="A178" s="456" t="s">
        <v>8735</v>
      </c>
      <c r="B178" s="458" t="s">
        <v>8736</v>
      </c>
      <c r="C178" s="458" t="n">
        <v>2018</v>
      </c>
      <c r="D178" s="461" t="n">
        <v>43314</v>
      </c>
      <c r="E178" s="380" t="s">
        <v>8737</v>
      </c>
      <c r="F178" s="460" t="s">
        <v>569</v>
      </c>
      <c r="G178" s="460" t="s">
        <v>1174</v>
      </c>
      <c r="H178" s="380" t="s">
        <v>3056</v>
      </c>
      <c r="I178" s="461" t="n">
        <v>44918</v>
      </c>
      <c r="J178" s="460" t="n">
        <v>12</v>
      </c>
      <c r="K178" s="462" t="s">
        <v>53</v>
      </c>
      <c r="L178" s="463" t="s">
        <v>58</v>
      </c>
      <c r="M178" s="463" t="n">
        <f aca="false">I178-D178</f>
        <v>1604</v>
      </c>
    </row>
    <row r="179" customFormat="false" ht="15" hidden="false" customHeight="true" outlineLevel="0" collapsed="false">
      <c r="A179" s="449" t="s">
        <v>8738</v>
      </c>
      <c r="B179" s="465" t="s">
        <v>8739</v>
      </c>
      <c r="C179" s="450" t="n">
        <v>2019</v>
      </c>
      <c r="D179" s="451" t="n">
        <v>43819</v>
      </c>
      <c r="E179" s="452" t="s">
        <v>8740</v>
      </c>
      <c r="F179" s="452" t="s">
        <v>798</v>
      </c>
      <c r="G179" s="378" t="s">
        <v>1174</v>
      </c>
      <c r="H179" s="378" t="s">
        <v>354</v>
      </c>
      <c r="I179" s="453" t="n">
        <v>44610</v>
      </c>
      <c r="J179" s="452" t="n">
        <v>2</v>
      </c>
      <c r="K179" s="464" t="s">
        <v>53</v>
      </c>
      <c r="L179" s="455" t="s">
        <v>60</v>
      </c>
      <c r="M179" s="455" t="n">
        <f aca="false">I179-D179</f>
        <v>791</v>
      </c>
    </row>
    <row r="180" customFormat="false" ht="15" hidden="false" customHeight="true" outlineLevel="0" collapsed="false">
      <c r="A180" s="456" t="s">
        <v>8741</v>
      </c>
      <c r="B180" s="457" t="s">
        <v>8742</v>
      </c>
      <c r="C180" s="458" t="n">
        <v>2019</v>
      </c>
      <c r="D180" s="459" t="n">
        <v>43647</v>
      </c>
      <c r="E180" s="380" t="s">
        <v>8743</v>
      </c>
      <c r="F180" s="460" t="s">
        <v>798</v>
      </c>
      <c r="G180" s="460" t="s">
        <v>1174</v>
      </c>
      <c r="H180" s="380" t="s">
        <v>693</v>
      </c>
      <c r="I180" s="461" t="n">
        <v>44610</v>
      </c>
      <c r="J180" s="460" t="n">
        <v>2</v>
      </c>
      <c r="K180" s="462" t="s">
        <v>53</v>
      </c>
      <c r="L180" s="463" t="s">
        <v>60</v>
      </c>
      <c r="M180" s="463" t="n">
        <f aca="false">I180-D180</f>
        <v>963</v>
      </c>
    </row>
    <row r="181" customFormat="false" ht="12.75" hidden="false" customHeight="true" outlineLevel="0" collapsed="false">
      <c r="A181" s="449" t="s">
        <v>8744</v>
      </c>
      <c r="B181" s="465" t="s">
        <v>8745</v>
      </c>
      <c r="C181" s="450" t="n">
        <v>2019</v>
      </c>
      <c r="D181" s="451" t="n">
        <v>43476</v>
      </c>
      <c r="E181" s="378" t="s">
        <v>8746</v>
      </c>
      <c r="F181" s="452" t="s">
        <v>2003</v>
      </c>
      <c r="G181" s="378" t="s">
        <v>1174</v>
      </c>
      <c r="H181" s="378" t="s">
        <v>1258</v>
      </c>
      <c r="I181" s="453" t="n">
        <v>44610</v>
      </c>
      <c r="J181" s="452" t="n">
        <v>2</v>
      </c>
      <c r="K181" s="464" t="s">
        <v>53</v>
      </c>
      <c r="L181" s="455" t="s">
        <v>58</v>
      </c>
      <c r="M181" s="455" t="n">
        <f aca="false">I181-D181</f>
        <v>1134</v>
      </c>
    </row>
    <row r="182" customFormat="false" ht="12.75" hidden="false" customHeight="true" outlineLevel="0" collapsed="false">
      <c r="A182" s="449" t="s">
        <v>8747</v>
      </c>
      <c r="B182" s="450" t="s">
        <v>8748</v>
      </c>
      <c r="C182" s="450" t="n">
        <v>2019</v>
      </c>
      <c r="D182" s="451" t="n">
        <v>43665</v>
      </c>
      <c r="E182" s="378" t="s">
        <v>8749</v>
      </c>
      <c r="F182" s="452" t="s">
        <v>2003</v>
      </c>
      <c r="G182" s="378" t="s">
        <v>1174</v>
      </c>
      <c r="H182" s="378" t="s">
        <v>267</v>
      </c>
      <c r="I182" s="453" t="n">
        <v>44610</v>
      </c>
      <c r="J182" s="452" t="n">
        <v>2</v>
      </c>
      <c r="K182" s="464" t="s">
        <v>53</v>
      </c>
      <c r="L182" s="455" t="s">
        <v>58</v>
      </c>
      <c r="M182" s="455" t="n">
        <f aca="false">I182-D182</f>
        <v>945</v>
      </c>
    </row>
    <row r="183" customFormat="false" ht="12.75" hidden="false" customHeight="true" outlineLevel="0" collapsed="false">
      <c r="A183" s="449" t="s">
        <v>8750</v>
      </c>
      <c r="B183" s="465" t="s">
        <v>8751</v>
      </c>
      <c r="C183" s="450" t="n">
        <v>2019</v>
      </c>
      <c r="D183" s="451" t="n">
        <v>43627</v>
      </c>
      <c r="E183" s="378" t="s">
        <v>8752</v>
      </c>
      <c r="F183" s="378" t="s">
        <v>8753</v>
      </c>
      <c r="G183" s="378" t="s">
        <v>1174</v>
      </c>
      <c r="H183" s="378" t="s">
        <v>570</v>
      </c>
      <c r="I183" s="453" t="n">
        <v>44663</v>
      </c>
      <c r="J183" s="452" t="n">
        <v>4</v>
      </c>
      <c r="K183" s="464" t="s">
        <v>53</v>
      </c>
      <c r="L183" s="455" t="s">
        <v>60</v>
      </c>
      <c r="M183" s="455" t="n">
        <f aca="false">I183-D183</f>
        <v>1036</v>
      </c>
    </row>
    <row r="184" customFormat="false" ht="12.75" hidden="false" customHeight="true" outlineLevel="0" collapsed="false">
      <c r="A184" s="456" t="s">
        <v>8754</v>
      </c>
      <c r="B184" s="457" t="s">
        <v>8755</v>
      </c>
      <c r="C184" s="458" t="n">
        <v>2019</v>
      </c>
      <c r="D184" s="459" t="n">
        <v>43797</v>
      </c>
      <c r="E184" s="380" t="s">
        <v>8756</v>
      </c>
      <c r="F184" s="380" t="s">
        <v>8347</v>
      </c>
      <c r="G184" s="460" t="s">
        <v>1174</v>
      </c>
      <c r="H184" s="380" t="s">
        <v>1059</v>
      </c>
      <c r="I184" s="461" t="n">
        <v>44708</v>
      </c>
      <c r="J184" s="460" t="n">
        <v>5</v>
      </c>
      <c r="K184" s="462" t="s">
        <v>53</v>
      </c>
      <c r="L184" s="463" t="s">
        <v>60</v>
      </c>
      <c r="M184" s="463" t="n">
        <f aca="false">I184-D184</f>
        <v>911</v>
      </c>
    </row>
    <row r="185" customFormat="false" ht="12.75" hidden="false" customHeight="true" outlineLevel="0" collapsed="false">
      <c r="A185" s="449" t="s">
        <v>8757</v>
      </c>
      <c r="B185" s="465" t="s">
        <v>8758</v>
      </c>
      <c r="C185" s="450" t="n">
        <v>2019</v>
      </c>
      <c r="D185" s="451" t="n">
        <v>43670</v>
      </c>
      <c r="E185" s="378" t="s">
        <v>8759</v>
      </c>
      <c r="F185" s="452" t="s">
        <v>1338</v>
      </c>
      <c r="G185" s="378" t="s">
        <v>1174</v>
      </c>
      <c r="H185" s="378" t="s">
        <v>995</v>
      </c>
      <c r="I185" s="453" t="n">
        <v>44708</v>
      </c>
      <c r="J185" s="452" t="n">
        <v>5</v>
      </c>
      <c r="K185" s="464" t="s">
        <v>53</v>
      </c>
      <c r="L185" s="455" t="s">
        <v>61</v>
      </c>
      <c r="M185" s="455" t="n">
        <f aca="false">I185-D185</f>
        <v>1038</v>
      </c>
    </row>
    <row r="186" customFormat="false" ht="12.75" hidden="false" customHeight="true" outlineLevel="0" collapsed="false">
      <c r="A186" s="456" t="s">
        <v>8760</v>
      </c>
      <c r="B186" s="458" t="s">
        <v>8761</v>
      </c>
      <c r="C186" s="458" t="n">
        <v>2016</v>
      </c>
      <c r="D186" s="459" t="n">
        <v>42376</v>
      </c>
      <c r="E186" s="380" t="s">
        <v>8762</v>
      </c>
      <c r="F186" s="460" t="s">
        <v>8763</v>
      </c>
      <c r="G186" s="460" t="s">
        <v>1188</v>
      </c>
      <c r="H186" s="380" t="s">
        <v>1791</v>
      </c>
      <c r="I186" s="461" t="n">
        <v>45154</v>
      </c>
      <c r="J186" s="460" t="n">
        <v>8</v>
      </c>
      <c r="K186" s="462" t="s">
        <v>53</v>
      </c>
      <c r="L186" s="463" t="s">
        <v>60</v>
      </c>
      <c r="M186" s="463" t="n">
        <f aca="false">I186-D186</f>
        <v>2778</v>
      </c>
    </row>
    <row r="187" customFormat="false" ht="15.75" hidden="false" customHeight="true" outlineLevel="0" collapsed="false">
      <c r="A187" s="449" t="s">
        <v>8764</v>
      </c>
      <c r="B187" s="465" t="s">
        <v>8765</v>
      </c>
      <c r="C187" s="450" t="n">
        <v>2019</v>
      </c>
      <c r="D187" s="451" t="n">
        <v>43523</v>
      </c>
      <c r="E187" s="452" t="s">
        <v>8766</v>
      </c>
      <c r="F187" s="452" t="s">
        <v>1693</v>
      </c>
      <c r="G187" s="378" t="s">
        <v>1174</v>
      </c>
      <c r="H187" s="378" t="s">
        <v>254</v>
      </c>
      <c r="I187" s="453" t="n">
        <v>44708</v>
      </c>
      <c r="J187" s="452" t="n">
        <v>5</v>
      </c>
      <c r="K187" s="464" t="s">
        <v>53</v>
      </c>
      <c r="L187" s="455" t="s">
        <v>58</v>
      </c>
      <c r="M187" s="455" t="n">
        <f aca="false">I187-D187</f>
        <v>1185</v>
      </c>
    </row>
    <row r="188" customFormat="false" ht="12.75" hidden="false" customHeight="true" outlineLevel="0" collapsed="false">
      <c r="A188" s="456" t="s">
        <v>8767</v>
      </c>
      <c r="B188" s="457" t="s">
        <v>8768</v>
      </c>
      <c r="C188" s="458" t="n">
        <v>2019</v>
      </c>
      <c r="D188" s="459" t="n">
        <v>43521</v>
      </c>
      <c r="E188" s="380" t="s">
        <v>8769</v>
      </c>
      <c r="F188" s="380" t="s">
        <v>8695</v>
      </c>
      <c r="G188" s="460" t="s">
        <v>1174</v>
      </c>
      <c r="H188" s="380" t="s">
        <v>522</v>
      </c>
      <c r="I188" s="461" t="n">
        <v>44708</v>
      </c>
      <c r="J188" s="460" t="n">
        <v>5</v>
      </c>
      <c r="K188" s="462" t="s">
        <v>53</v>
      </c>
      <c r="L188" s="463" t="s">
        <v>58</v>
      </c>
      <c r="M188" s="463" t="n">
        <f aca="false">I188-D188</f>
        <v>1187</v>
      </c>
    </row>
    <row r="189" customFormat="false" ht="12.75" hidden="false" customHeight="true" outlineLevel="0" collapsed="false">
      <c r="A189" s="449" t="s">
        <v>8770</v>
      </c>
      <c r="B189" s="450" t="s">
        <v>8771</v>
      </c>
      <c r="C189" s="450" t="n">
        <v>2011</v>
      </c>
      <c r="D189" s="451" t="n">
        <v>40784</v>
      </c>
      <c r="E189" s="452" t="s">
        <v>8772</v>
      </c>
      <c r="F189" s="452" t="s">
        <v>8773</v>
      </c>
      <c r="G189" s="378" t="s">
        <v>1188</v>
      </c>
      <c r="H189" s="378" t="s">
        <v>5589</v>
      </c>
      <c r="I189" s="453" t="n">
        <v>44792</v>
      </c>
      <c r="J189" s="452" t="n">
        <v>8</v>
      </c>
      <c r="K189" s="468" t="s">
        <v>290</v>
      </c>
      <c r="L189" s="455" t="s">
        <v>61</v>
      </c>
      <c r="M189" s="455" t="n">
        <f aca="false">I189-D189</f>
        <v>4008</v>
      </c>
    </row>
    <row r="190" customFormat="false" ht="12.75" hidden="false" customHeight="true" outlineLevel="0" collapsed="false">
      <c r="A190" s="456" t="s">
        <v>8774</v>
      </c>
      <c r="B190" s="457" t="s">
        <v>8775</v>
      </c>
      <c r="C190" s="458" t="n">
        <v>2019</v>
      </c>
      <c r="D190" s="459" t="n">
        <v>43731</v>
      </c>
      <c r="E190" s="380" t="s">
        <v>8776</v>
      </c>
      <c r="F190" s="460" t="s">
        <v>798</v>
      </c>
      <c r="G190" s="460" t="s">
        <v>1174</v>
      </c>
      <c r="H190" s="380" t="s">
        <v>1740</v>
      </c>
      <c r="I190" s="461" t="n">
        <v>44708</v>
      </c>
      <c r="J190" s="460" t="n">
        <v>5</v>
      </c>
      <c r="K190" s="462" t="s">
        <v>53</v>
      </c>
      <c r="L190" s="463" t="s">
        <v>60</v>
      </c>
      <c r="M190" s="463" t="n">
        <f aca="false">I190-D190</f>
        <v>977</v>
      </c>
    </row>
    <row r="191" customFormat="false" ht="12.75" hidden="false" customHeight="true" outlineLevel="0" collapsed="false">
      <c r="A191" s="456" t="s">
        <v>8777</v>
      </c>
      <c r="B191" s="457" t="s">
        <v>8778</v>
      </c>
      <c r="C191" s="458" t="n">
        <v>2019</v>
      </c>
      <c r="D191" s="459" t="n">
        <v>43791</v>
      </c>
      <c r="E191" s="380" t="s">
        <v>8779</v>
      </c>
      <c r="F191" s="460" t="s">
        <v>1338</v>
      </c>
      <c r="G191" s="460" t="s">
        <v>1174</v>
      </c>
      <c r="H191" s="380" t="s">
        <v>781</v>
      </c>
      <c r="I191" s="461" t="n">
        <v>44713</v>
      </c>
      <c r="J191" s="460" t="n">
        <v>6</v>
      </c>
      <c r="K191" s="462" t="s">
        <v>53</v>
      </c>
      <c r="L191" s="463" t="s">
        <v>61</v>
      </c>
      <c r="M191" s="463" t="n">
        <f aca="false">I191-D191</f>
        <v>922</v>
      </c>
    </row>
    <row r="192" customFormat="false" ht="12.75" hidden="false" customHeight="true" outlineLevel="0" collapsed="false">
      <c r="A192" s="456" t="s">
        <v>8780</v>
      </c>
      <c r="B192" s="458" t="s">
        <v>8781</v>
      </c>
      <c r="C192" s="458" t="n">
        <v>2019</v>
      </c>
      <c r="D192" s="459" t="n">
        <v>43778</v>
      </c>
      <c r="E192" s="380" t="s">
        <v>8782</v>
      </c>
      <c r="F192" s="460" t="s">
        <v>8783</v>
      </c>
      <c r="G192" s="460" t="s">
        <v>1174</v>
      </c>
      <c r="H192" s="380" t="s">
        <v>570</v>
      </c>
      <c r="I192" s="461" t="n">
        <v>44742</v>
      </c>
      <c r="J192" s="460" t="n">
        <v>6</v>
      </c>
      <c r="K192" s="462" t="s">
        <v>53</v>
      </c>
      <c r="L192" s="463" t="s">
        <v>58</v>
      </c>
      <c r="M192" s="463" t="n">
        <f aca="false">I192-D192</f>
        <v>964</v>
      </c>
    </row>
    <row r="193" customFormat="false" ht="15" hidden="false" customHeight="true" outlineLevel="0" collapsed="false">
      <c r="A193" s="456" t="s">
        <v>8784</v>
      </c>
      <c r="B193" s="458" t="s">
        <v>8785</v>
      </c>
      <c r="C193" s="458" t="n">
        <v>2019</v>
      </c>
      <c r="D193" s="459" t="n">
        <v>43757</v>
      </c>
      <c r="E193" s="380" t="s">
        <v>8786</v>
      </c>
      <c r="F193" s="460" t="s">
        <v>705</v>
      </c>
      <c r="G193" s="460" t="s">
        <v>1174</v>
      </c>
      <c r="H193" s="380" t="s">
        <v>2147</v>
      </c>
      <c r="I193" s="461" t="n">
        <v>44742</v>
      </c>
      <c r="J193" s="460" t="n">
        <v>6</v>
      </c>
      <c r="K193" s="462" t="s">
        <v>53</v>
      </c>
      <c r="L193" s="463" t="s">
        <v>58</v>
      </c>
      <c r="M193" s="463" t="n">
        <f aca="false">I193-D193</f>
        <v>985</v>
      </c>
    </row>
    <row r="194" customFormat="false" ht="12.75" hidden="false" customHeight="true" outlineLevel="0" collapsed="false">
      <c r="A194" s="449" t="s">
        <v>8787</v>
      </c>
      <c r="B194" s="450" t="s">
        <v>8788</v>
      </c>
      <c r="C194" s="450" t="n">
        <v>2019</v>
      </c>
      <c r="D194" s="451" t="n">
        <v>43700</v>
      </c>
      <c r="E194" s="452" t="s">
        <v>8789</v>
      </c>
      <c r="F194" s="452" t="s">
        <v>5509</v>
      </c>
      <c r="G194" s="378" t="s">
        <v>1174</v>
      </c>
      <c r="H194" s="378" t="s">
        <v>8790</v>
      </c>
      <c r="I194" s="453" t="n">
        <v>44763</v>
      </c>
      <c r="J194" s="452" t="n">
        <v>7</v>
      </c>
      <c r="K194" s="464" t="s">
        <v>53</v>
      </c>
      <c r="L194" s="455" t="s">
        <v>60</v>
      </c>
      <c r="M194" s="455" t="n">
        <f aca="false">I194-D194</f>
        <v>1063</v>
      </c>
    </row>
    <row r="195" customFormat="false" ht="12.75" hidden="false" customHeight="true" outlineLevel="0" collapsed="false">
      <c r="A195" s="449" t="s">
        <v>8791</v>
      </c>
      <c r="B195" s="450" t="s">
        <v>8792</v>
      </c>
      <c r="C195" s="450" t="n">
        <v>2019</v>
      </c>
      <c r="D195" s="451" t="n">
        <v>43558</v>
      </c>
      <c r="E195" s="452" t="s">
        <v>8793</v>
      </c>
      <c r="F195" s="452" t="s">
        <v>467</v>
      </c>
      <c r="G195" s="378" t="s">
        <v>1174</v>
      </c>
      <c r="H195" s="378" t="s">
        <v>522</v>
      </c>
      <c r="I195" s="453" t="n">
        <v>44777</v>
      </c>
      <c r="J195" s="452" t="n">
        <v>8</v>
      </c>
      <c r="K195" s="464" t="s">
        <v>53</v>
      </c>
      <c r="L195" s="455" t="s">
        <v>60</v>
      </c>
      <c r="M195" s="455" t="n">
        <f aca="false">I195-D195</f>
        <v>1219</v>
      </c>
    </row>
    <row r="196" customFormat="false" ht="12.75" hidden="false" customHeight="true" outlineLevel="0" collapsed="false">
      <c r="A196" s="449" t="s">
        <v>8794</v>
      </c>
      <c r="B196" s="450" t="s">
        <v>8795</v>
      </c>
      <c r="C196" s="450" t="n">
        <v>2019</v>
      </c>
      <c r="D196" s="451" t="n">
        <v>43742</v>
      </c>
      <c r="E196" s="452" t="s">
        <v>8796</v>
      </c>
      <c r="F196" s="452" t="s">
        <v>1511</v>
      </c>
      <c r="G196" s="378" t="s">
        <v>1174</v>
      </c>
      <c r="H196" s="378" t="s">
        <v>471</v>
      </c>
      <c r="I196" s="453" t="n">
        <v>44777</v>
      </c>
      <c r="J196" s="452" t="n">
        <v>8</v>
      </c>
      <c r="K196" s="464" t="s">
        <v>53</v>
      </c>
      <c r="L196" s="455" t="s">
        <v>58</v>
      </c>
      <c r="M196" s="455" t="n">
        <f aca="false">I196-D196</f>
        <v>1035</v>
      </c>
    </row>
    <row r="197" customFormat="false" ht="12.75" hidden="false" customHeight="true" outlineLevel="0" collapsed="false">
      <c r="A197" s="456" t="s">
        <v>8797</v>
      </c>
      <c r="B197" s="458" t="s">
        <v>8798</v>
      </c>
      <c r="C197" s="458" t="n">
        <v>2019</v>
      </c>
      <c r="D197" s="459" t="n">
        <v>43599</v>
      </c>
      <c r="E197" s="380" t="s">
        <v>8799</v>
      </c>
      <c r="F197" s="460" t="s">
        <v>467</v>
      </c>
      <c r="G197" s="460" t="s">
        <v>1174</v>
      </c>
      <c r="H197" s="380" t="s">
        <v>1059</v>
      </c>
      <c r="I197" s="461" t="n">
        <v>44777</v>
      </c>
      <c r="J197" s="460" t="n">
        <v>8</v>
      </c>
      <c r="K197" s="462" t="s">
        <v>53</v>
      </c>
      <c r="L197" s="463" t="s">
        <v>60</v>
      </c>
      <c r="M197" s="463" t="n">
        <f aca="false">I197-D197</f>
        <v>1178</v>
      </c>
    </row>
    <row r="198" customFormat="false" ht="12.75" hidden="false" customHeight="true" outlineLevel="0" collapsed="false">
      <c r="A198" s="449" t="s">
        <v>8800</v>
      </c>
      <c r="B198" s="450" t="s">
        <v>8801</v>
      </c>
      <c r="C198" s="450" t="n">
        <v>2019</v>
      </c>
      <c r="D198" s="451" t="n">
        <v>43567</v>
      </c>
      <c r="E198" s="452" t="s">
        <v>8802</v>
      </c>
      <c r="F198" s="452" t="s">
        <v>467</v>
      </c>
      <c r="G198" s="378" t="s">
        <v>1174</v>
      </c>
      <c r="H198" s="378" t="s">
        <v>522</v>
      </c>
      <c r="I198" s="453" t="n">
        <v>44777</v>
      </c>
      <c r="J198" s="452" t="n">
        <v>8</v>
      </c>
      <c r="K198" s="464" t="s">
        <v>53</v>
      </c>
      <c r="L198" s="455" t="s">
        <v>60</v>
      </c>
      <c r="M198" s="455" t="n">
        <f aca="false">I198-D198</f>
        <v>1210</v>
      </c>
    </row>
    <row r="199" customFormat="false" ht="15.75" hidden="false" customHeight="true" outlineLevel="0" collapsed="false">
      <c r="A199" s="456" t="s">
        <v>8803</v>
      </c>
      <c r="B199" s="458" t="s">
        <v>8804</v>
      </c>
      <c r="C199" s="458" t="n">
        <v>2019</v>
      </c>
      <c r="D199" s="459" t="n">
        <v>43579</v>
      </c>
      <c r="E199" s="380" t="s">
        <v>8805</v>
      </c>
      <c r="F199" s="460" t="s">
        <v>467</v>
      </c>
      <c r="G199" s="460" t="s">
        <v>1174</v>
      </c>
      <c r="H199" s="380" t="s">
        <v>267</v>
      </c>
      <c r="I199" s="461" t="n">
        <v>44777</v>
      </c>
      <c r="J199" s="460" t="n">
        <v>8</v>
      </c>
      <c r="K199" s="462" t="s">
        <v>53</v>
      </c>
      <c r="L199" s="463" t="s">
        <v>60</v>
      </c>
      <c r="M199" s="463" t="n">
        <f aca="false">I199-D199</f>
        <v>1198</v>
      </c>
    </row>
    <row r="200" customFormat="false" ht="12.75" hidden="false" customHeight="true" outlineLevel="0" collapsed="false">
      <c r="A200" s="449" t="s">
        <v>8806</v>
      </c>
      <c r="B200" s="450" t="s">
        <v>8807</v>
      </c>
      <c r="C200" s="450" t="n">
        <v>2019</v>
      </c>
      <c r="D200" s="451" t="n">
        <v>43755</v>
      </c>
      <c r="E200" s="452" t="s">
        <v>8808</v>
      </c>
      <c r="F200" s="452" t="s">
        <v>1609</v>
      </c>
      <c r="G200" s="378" t="s">
        <v>1174</v>
      </c>
      <c r="H200" s="378" t="s">
        <v>350</v>
      </c>
      <c r="I200" s="453" t="n">
        <v>44777</v>
      </c>
      <c r="J200" s="452" t="n">
        <v>8</v>
      </c>
      <c r="K200" s="464" t="s">
        <v>53</v>
      </c>
      <c r="L200" s="455" t="s">
        <v>2848</v>
      </c>
      <c r="M200" s="455" t="n">
        <f aca="false">I200-D200</f>
        <v>1022</v>
      </c>
    </row>
    <row r="201" customFormat="false" ht="15.75" hidden="false" customHeight="true" outlineLevel="0" collapsed="false">
      <c r="A201" s="456" t="s">
        <v>8809</v>
      </c>
      <c r="B201" s="458" t="s">
        <v>8810</v>
      </c>
      <c r="C201" s="458" t="n">
        <v>2019</v>
      </c>
      <c r="D201" s="459" t="n">
        <v>43769</v>
      </c>
      <c r="E201" s="380" t="s">
        <v>8811</v>
      </c>
      <c r="F201" s="460" t="s">
        <v>1609</v>
      </c>
      <c r="G201" s="460" t="s">
        <v>1174</v>
      </c>
      <c r="H201" s="380" t="s">
        <v>948</v>
      </c>
      <c r="I201" s="461" t="n">
        <v>44778</v>
      </c>
      <c r="J201" s="460" t="n">
        <v>8</v>
      </c>
      <c r="K201" s="462" t="s">
        <v>53</v>
      </c>
      <c r="L201" s="463" t="s">
        <v>2848</v>
      </c>
      <c r="M201" s="463" t="n">
        <f aca="false">I201-D201</f>
        <v>1009</v>
      </c>
    </row>
    <row r="202" customFormat="false" ht="12.75" hidden="false" customHeight="true" outlineLevel="0" collapsed="false">
      <c r="A202" s="449" t="s">
        <v>8812</v>
      </c>
      <c r="B202" s="450" t="s">
        <v>8813</v>
      </c>
      <c r="C202" s="450" t="n">
        <v>2019</v>
      </c>
      <c r="D202" s="451" t="n">
        <v>43819</v>
      </c>
      <c r="E202" s="452" t="s">
        <v>8814</v>
      </c>
      <c r="F202" s="452" t="s">
        <v>401</v>
      </c>
      <c r="G202" s="378" t="s">
        <v>1174</v>
      </c>
      <c r="H202" s="378" t="s">
        <v>1740</v>
      </c>
      <c r="I202" s="453" t="n">
        <v>44784</v>
      </c>
      <c r="J202" s="452" t="n">
        <v>8</v>
      </c>
      <c r="K202" s="464" t="s">
        <v>53</v>
      </c>
      <c r="L202" s="455" t="s">
        <v>58</v>
      </c>
      <c r="M202" s="455" t="n">
        <f aca="false">I202-D202</f>
        <v>965</v>
      </c>
    </row>
    <row r="203" customFormat="false" ht="14.25" hidden="false" customHeight="true" outlineLevel="0" collapsed="false">
      <c r="A203" s="449" t="s">
        <v>8815</v>
      </c>
      <c r="B203" s="450" t="s">
        <v>8816</v>
      </c>
      <c r="C203" s="450" t="n">
        <v>2019</v>
      </c>
      <c r="D203" s="451" t="n">
        <v>43713</v>
      </c>
      <c r="E203" s="452" t="s">
        <v>8817</v>
      </c>
      <c r="F203" s="452" t="s">
        <v>382</v>
      </c>
      <c r="G203" s="378" t="s">
        <v>1174</v>
      </c>
      <c r="H203" s="378" t="s">
        <v>1266</v>
      </c>
      <c r="I203" s="453" t="n">
        <v>44792</v>
      </c>
      <c r="J203" s="452" t="n">
        <v>8</v>
      </c>
      <c r="K203" s="464" t="s">
        <v>53</v>
      </c>
      <c r="L203" s="455" t="s">
        <v>60</v>
      </c>
      <c r="M203" s="455" t="n">
        <f aca="false">I203-D203</f>
        <v>1079</v>
      </c>
    </row>
    <row r="204" customFormat="false" ht="12.75" hidden="false" customHeight="true" outlineLevel="0" collapsed="false">
      <c r="A204" s="456" t="s">
        <v>8818</v>
      </c>
      <c r="B204" s="458" t="s">
        <v>8819</v>
      </c>
      <c r="C204" s="458" t="n">
        <v>2019</v>
      </c>
      <c r="D204" s="459" t="n">
        <v>43584</v>
      </c>
      <c r="E204" s="380" t="s">
        <v>8820</v>
      </c>
      <c r="F204" s="460" t="s">
        <v>1156</v>
      </c>
      <c r="G204" s="460" t="s">
        <v>1174</v>
      </c>
      <c r="H204" s="380" t="s">
        <v>192</v>
      </c>
      <c r="I204" s="461" t="n">
        <v>44838</v>
      </c>
      <c r="J204" s="460" t="n">
        <v>10</v>
      </c>
      <c r="K204" s="462" t="s">
        <v>53</v>
      </c>
      <c r="L204" s="463" t="s">
        <v>2848</v>
      </c>
      <c r="M204" s="463" t="n">
        <f aca="false">I204-D204</f>
        <v>1254</v>
      </c>
    </row>
    <row r="205" customFormat="false" ht="12.75" hidden="false" customHeight="true" outlineLevel="0" collapsed="false">
      <c r="A205" s="449" t="s">
        <v>8821</v>
      </c>
      <c r="B205" s="450" t="s">
        <v>8822</v>
      </c>
      <c r="C205" s="450" t="n">
        <v>2019</v>
      </c>
      <c r="D205" s="451" t="n">
        <v>43698</v>
      </c>
      <c r="E205" s="452" t="s">
        <v>8823</v>
      </c>
      <c r="F205" s="452" t="s">
        <v>1068</v>
      </c>
      <c r="G205" s="378" t="s">
        <v>1174</v>
      </c>
      <c r="H205" s="378" t="s">
        <v>263</v>
      </c>
      <c r="I205" s="453" t="n">
        <v>44839</v>
      </c>
      <c r="J205" s="452" t="n">
        <v>10</v>
      </c>
      <c r="K205" s="464" t="s">
        <v>53</v>
      </c>
      <c r="L205" s="455" t="s">
        <v>60</v>
      </c>
      <c r="M205" s="455" t="n">
        <f aca="false">I205-D205</f>
        <v>1141</v>
      </c>
    </row>
    <row r="206" customFormat="false" ht="12.75" hidden="false" customHeight="true" outlineLevel="0" collapsed="false">
      <c r="A206" s="449" t="s">
        <v>8824</v>
      </c>
      <c r="B206" s="450" t="s">
        <v>8825</v>
      </c>
      <c r="C206" s="450" t="n">
        <v>2019</v>
      </c>
      <c r="D206" s="451" t="n">
        <v>43787</v>
      </c>
      <c r="E206" s="452" t="s">
        <v>8826</v>
      </c>
      <c r="F206" s="452" t="s">
        <v>1068</v>
      </c>
      <c r="G206" s="378" t="s">
        <v>1174</v>
      </c>
      <c r="H206" s="378" t="s">
        <v>888</v>
      </c>
      <c r="I206" s="451" t="n">
        <v>44876</v>
      </c>
      <c r="J206" s="452" t="n">
        <v>11</v>
      </c>
      <c r="K206" s="464" t="s">
        <v>53</v>
      </c>
      <c r="L206" s="455" t="s">
        <v>58</v>
      </c>
      <c r="M206" s="455" t="n">
        <f aca="false">I206-D206</f>
        <v>1089</v>
      </c>
    </row>
    <row r="207" customFormat="false" ht="12.75" hidden="false" customHeight="true" outlineLevel="0" collapsed="false">
      <c r="A207" s="456" t="s">
        <v>8827</v>
      </c>
      <c r="B207" s="458" t="s">
        <v>8828</v>
      </c>
      <c r="C207" s="458" t="n">
        <v>2019</v>
      </c>
      <c r="D207" s="459" t="n">
        <v>43663</v>
      </c>
      <c r="E207" s="380" t="s">
        <v>8829</v>
      </c>
      <c r="F207" s="460" t="s">
        <v>1068</v>
      </c>
      <c r="G207" s="460" t="s">
        <v>1174</v>
      </c>
      <c r="H207" s="380" t="s">
        <v>109</v>
      </c>
      <c r="I207" s="459" t="n">
        <v>44876</v>
      </c>
      <c r="J207" s="460" t="n">
        <v>11</v>
      </c>
      <c r="K207" s="462" t="s">
        <v>53</v>
      </c>
      <c r="L207" s="463" t="s">
        <v>58</v>
      </c>
      <c r="M207" s="463" t="n">
        <f aca="false">I207-D207</f>
        <v>1213</v>
      </c>
    </row>
    <row r="208" customFormat="false" ht="12.75" hidden="false" customHeight="true" outlineLevel="0" collapsed="false">
      <c r="A208" s="456" t="s">
        <v>8830</v>
      </c>
      <c r="B208" s="458" t="s">
        <v>8831</v>
      </c>
      <c r="C208" s="458" t="n">
        <v>2019</v>
      </c>
      <c r="D208" s="459" t="n">
        <v>43819</v>
      </c>
      <c r="E208" s="380" t="s">
        <v>8832</v>
      </c>
      <c r="F208" s="460" t="s">
        <v>8545</v>
      </c>
      <c r="G208" s="460" t="s">
        <v>1174</v>
      </c>
      <c r="H208" s="380" t="s">
        <v>1258</v>
      </c>
      <c r="I208" s="459" t="n">
        <v>44876</v>
      </c>
      <c r="J208" s="460" t="n">
        <v>11</v>
      </c>
      <c r="K208" s="462" t="s">
        <v>53</v>
      </c>
      <c r="L208" s="463" t="s">
        <v>58</v>
      </c>
      <c r="M208" s="463" t="n">
        <f aca="false">I208-D208</f>
        <v>1057</v>
      </c>
    </row>
    <row r="209" customFormat="false" ht="12.75" hidden="false" customHeight="true" outlineLevel="0" collapsed="false">
      <c r="A209" s="449" t="s">
        <v>8833</v>
      </c>
      <c r="B209" s="450" t="s">
        <v>8834</v>
      </c>
      <c r="C209" s="450" t="n">
        <v>2019</v>
      </c>
      <c r="D209" s="451" t="n">
        <v>43572</v>
      </c>
      <c r="E209" s="452" t="s">
        <v>8835</v>
      </c>
      <c r="F209" s="452" t="s">
        <v>1068</v>
      </c>
      <c r="G209" s="378" t="s">
        <v>1174</v>
      </c>
      <c r="H209" s="378" t="s">
        <v>6610</v>
      </c>
      <c r="I209" s="451" t="n">
        <v>44876</v>
      </c>
      <c r="J209" s="452" t="n">
        <v>11</v>
      </c>
      <c r="K209" s="464" t="s">
        <v>53</v>
      </c>
      <c r="L209" s="455" t="s">
        <v>60</v>
      </c>
      <c r="M209" s="455" t="n">
        <f aca="false">I209-D209</f>
        <v>1304</v>
      </c>
    </row>
    <row r="210" customFormat="false" ht="12.75" hidden="false" customHeight="true" outlineLevel="0" collapsed="false">
      <c r="A210" s="449" t="s">
        <v>8836</v>
      </c>
      <c r="B210" s="450" t="s">
        <v>8837</v>
      </c>
      <c r="C210" s="450" t="n">
        <v>2019</v>
      </c>
      <c r="D210" s="451" t="n">
        <v>43476</v>
      </c>
      <c r="E210" s="452" t="s">
        <v>8838</v>
      </c>
      <c r="F210" s="452" t="s">
        <v>1068</v>
      </c>
      <c r="G210" s="378" t="s">
        <v>1174</v>
      </c>
      <c r="H210" s="378" t="s">
        <v>267</v>
      </c>
      <c r="I210" s="451" t="n">
        <v>44876</v>
      </c>
      <c r="J210" s="452" t="n">
        <v>11</v>
      </c>
      <c r="K210" s="464" t="s">
        <v>53</v>
      </c>
      <c r="L210" s="455" t="s">
        <v>60</v>
      </c>
      <c r="M210" s="455" t="n">
        <f aca="false">I210-D210</f>
        <v>1400</v>
      </c>
    </row>
    <row r="211" customFormat="false" ht="12.75" hidden="false" customHeight="true" outlineLevel="0" collapsed="false">
      <c r="A211" s="456" t="s">
        <v>8839</v>
      </c>
      <c r="B211" s="458" t="s">
        <v>8840</v>
      </c>
      <c r="C211" s="458" t="n">
        <v>2019</v>
      </c>
      <c r="D211" s="487" t="n">
        <v>43515</v>
      </c>
      <c r="E211" s="380" t="s">
        <v>8841</v>
      </c>
      <c r="F211" s="460" t="s">
        <v>699</v>
      </c>
      <c r="G211" s="460" t="s">
        <v>1174</v>
      </c>
      <c r="H211" s="380" t="s">
        <v>1231</v>
      </c>
      <c r="I211" s="461" t="n">
        <v>44909</v>
      </c>
      <c r="J211" s="460" t="n">
        <v>12</v>
      </c>
      <c r="K211" s="462" t="s">
        <v>53</v>
      </c>
      <c r="L211" s="463" t="s">
        <v>60</v>
      </c>
      <c r="M211" s="463" t="n">
        <f aca="false">I211-D211</f>
        <v>1394</v>
      </c>
    </row>
    <row r="212" customFormat="false" ht="12.75" hidden="false" customHeight="true" outlineLevel="0" collapsed="false">
      <c r="A212" s="456" t="s">
        <v>8842</v>
      </c>
      <c r="B212" s="458" t="s">
        <v>8843</v>
      </c>
      <c r="C212" s="458" t="n">
        <v>2012</v>
      </c>
      <c r="D212" s="459" t="n">
        <v>41173</v>
      </c>
      <c r="E212" s="380" t="s">
        <v>8844</v>
      </c>
      <c r="F212" s="460" t="s">
        <v>3403</v>
      </c>
      <c r="G212" s="460" t="s">
        <v>1188</v>
      </c>
      <c r="H212" s="380" t="s">
        <v>119</v>
      </c>
      <c r="I212" s="461" t="n">
        <v>44845</v>
      </c>
      <c r="J212" s="460" t="n">
        <v>10</v>
      </c>
      <c r="K212" s="468" t="s">
        <v>290</v>
      </c>
      <c r="L212" s="463" t="s">
        <v>60</v>
      </c>
      <c r="M212" s="463" t="n">
        <f aca="false">I212-D212</f>
        <v>3672</v>
      </c>
    </row>
    <row r="213" customFormat="false" ht="12.75" hidden="false" customHeight="true" outlineLevel="0" collapsed="false">
      <c r="A213" s="449" t="s">
        <v>8845</v>
      </c>
      <c r="B213" s="450" t="s">
        <v>8846</v>
      </c>
      <c r="C213" s="450" t="n">
        <v>2019</v>
      </c>
      <c r="D213" s="453" t="n">
        <v>43780</v>
      </c>
      <c r="E213" s="452" t="s">
        <v>8847</v>
      </c>
      <c r="F213" s="452" t="s">
        <v>699</v>
      </c>
      <c r="G213" s="378" t="s">
        <v>1174</v>
      </c>
      <c r="H213" s="378" t="s">
        <v>192</v>
      </c>
      <c r="I213" s="453" t="n">
        <v>44909</v>
      </c>
      <c r="J213" s="452" t="n">
        <v>12</v>
      </c>
      <c r="K213" s="464" t="s">
        <v>53</v>
      </c>
      <c r="L213" s="455" t="s">
        <v>60</v>
      </c>
      <c r="M213" s="455" t="n">
        <f aca="false">I213-D213</f>
        <v>1129</v>
      </c>
    </row>
    <row r="214" customFormat="false" ht="12.75" hidden="false" customHeight="true" outlineLevel="0" collapsed="false">
      <c r="A214" s="449" t="s">
        <v>8848</v>
      </c>
      <c r="B214" s="450" t="s">
        <v>8849</v>
      </c>
      <c r="C214" s="450" t="n">
        <v>2019</v>
      </c>
      <c r="D214" s="453" t="n">
        <v>43812</v>
      </c>
      <c r="E214" s="452" t="s">
        <v>8850</v>
      </c>
      <c r="F214" s="452" t="s">
        <v>1312</v>
      </c>
      <c r="G214" s="378" t="s">
        <v>1174</v>
      </c>
      <c r="H214" s="378" t="s">
        <v>693</v>
      </c>
      <c r="I214" s="453" t="n">
        <v>44909</v>
      </c>
      <c r="J214" s="452" t="n">
        <v>12</v>
      </c>
      <c r="K214" s="464" t="s">
        <v>53</v>
      </c>
      <c r="L214" s="455" t="s">
        <v>60</v>
      </c>
      <c r="M214" s="455" t="n">
        <f aca="false">I214-D214</f>
        <v>1097</v>
      </c>
    </row>
    <row r="215" customFormat="false" ht="12.75" hidden="false" customHeight="true" outlineLevel="0" collapsed="false">
      <c r="A215" s="456" t="s">
        <v>8851</v>
      </c>
      <c r="B215" s="458" t="s">
        <v>8852</v>
      </c>
      <c r="C215" s="458" t="n">
        <v>2019</v>
      </c>
      <c r="D215" s="461" t="n">
        <v>43703</v>
      </c>
      <c r="E215" s="380" t="s">
        <v>8853</v>
      </c>
      <c r="F215" s="460" t="s">
        <v>1068</v>
      </c>
      <c r="G215" s="460" t="s">
        <v>1174</v>
      </c>
      <c r="H215" s="380" t="s">
        <v>1059</v>
      </c>
      <c r="I215" s="461" t="n">
        <v>44909</v>
      </c>
      <c r="J215" s="460" t="n">
        <v>12</v>
      </c>
      <c r="K215" s="462" t="s">
        <v>53</v>
      </c>
      <c r="L215" s="463" t="s">
        <v>60</v>
      </c>
      <c r="M215" s="463" t="n">
        <f aca="false">I215-D215</f>
        <v>1206</v>
      </c>
    </row>
    <row r="216" customFormat="false" ht="12.75" hidden="false" customHeight="true" outlineLevel="0" collapsed="false">
      <c r="A216" s="456" t="s">
        <v>8854</v>
      </c>
      <c r="B216" s="458" t="s">
        <v>8855</v>
      </c>
      <c r="C216" s="458" t="n">
        <v>2019</v>
      </c>
      <c r="D216" s="461" t="n">
        <v>43644</v>
      </c>
      <c r="E216" s="380" t="s">
        <v>8856</v>
      </c>
      <c r="F216" s="460" t="s">
        <v>1312</v>
      </c>
      <c r="G216" s="460" t="s">
        <v>1174</v>
      </c>
      <c r="H216" s="380" t="s">
        <v>1740</v>
      </c>
      <c r="I216" s="461" t="n">
        <v>44914</v>
      </c>
      <c r="J216" s="460" t="n">
        <v>12</v>
      </c>
      <c r="K216" s="462" t="s">
        <v>53</v>
      </c>
      <c r="L216" s="463" t="s">
        <v>60</v>
      </c>
      <c r="M216" s="463" t="n">
        <f aca="false">I216-D216</f>
        <v>1270</v>
      </c>
    </row>
    <row r="217" customFormat="false" ht="12.75" hidden="false" customHeight="true" outlineLevel="0" collapsed="false">
      <c r="A217" s="449" t="s">
        <v>8857</v>
      </c>
      <c r="B217" s="450" t="s">
        <v>8858</v>
      </c>
      <c r="C217" s="450" t="n">
        <v>2019</v>
      </c>
      <c r="D217" s="453" t="n">
        <v>43546</v>
      </c>
      <c r="E217" s="452" t="s">
        <v>8859</v>
      </c>
      <c r="F217" s="452" t="s">
        <v>8545</v>
      </c>
      <c r="G217" s="378" t="s">
        <v>1174</v>
      </c>
      <c r="H217" s="378" t="s">
        <v>267</v>
      </c>
      <c r="I217" s="453" t="n">
        <v>44914</v>
      </c>
      <c r="J217" s="452" t="n">
        <v>12</v>
      </c>
      <c r="K217" s="464" t="s">
        <v>53</v>
      </c>
      <c r="L217" s="455" t="s">
        <v>58</v>
      </c>
      <c r="M217" s="455" t="n">
        <f aca="false">I217-D217</f>
        <v>1368</v>
      </c>
    </row>
    <row r="218" customFormat="false" ht="12.75" hidden="false" customHeight="true" outlineLevel="0" collapsed="false">
      <c r="A218" s="449" t="s">
        <v>8860</v>
      </c>
      <c r="B218" s="450" t="s">
        <v>8861</v>
      </c>
      <c r="C218" s="450" t="n">
        <v>2019</v>
      </c>
      <c r="D218" s="453" t="n">
        <v>43817</v>
      </c>
      <c r="E218" s="452" t="s">
        <v>8862</v>
      </c>
      <c r="F218" s="452" t="s">
        <v>1068</v>
      </c>
      <c r="G218" s="378" t="s">
        <v>1174</v>
      </c>
      <c r="H218" s="378" t="s">
        <v>208</v>
      </c>
      <c r="I218" s="453" t="n">
        <v>44914</v>
      </c>
      <c r="J218" s="452" t="n">
        <v>12</v>
      </c>
      <c r="K218" s="464" t="s">
        <v>53</v>
      </c>
      <c r="L218" s="455" t="s">
        <v>60</v>
      </c>
      <c r="M218" s="455" t="n">
        <f aca="false">I218-D218</f>
        <v>1097</v>
      </c>
    </row>
    <row r="219" customFormat="false" ht="12.75" hidden="false" customHeight="true" outlineLevel="0" collapsed="false">
      <c r="A219" s="456" t="s">
        <v>8863</v>
      </c>
      <c r="B219" s="458" t="s">
        <v>8864</v>
      </c>
      <c r="C219" s="458" t="n">
        <v>2019</v>
      </c>
      <c r="D219" s="461" t="n">
        <v>43553</v>
      </c>
      <c r="E219" s="380" t="s">
        <v>8865</v>
      </c>
      <c r="F219" s="460" t="s">
        <v>467</v>
      </c>
      <c r="G219" s="460" t="s">
        <v>1174</v>
      </c>
      <c r="H219" s="380" t="s">
        <v>267</v>
      </c>
      <c r="I219" s="461" t="n">
        <v>44917</v>
      </c>
      <c r="J219" s="460" t="n">
        <v>12</v>
      </c>
      <c r="K219" s="462" t="s">
        <v>53</v>
      </c>
      <c r="L219" s="463" t="s">
        <v>60</v>
      </c>
      <c r="M219" s="463" t="n">
        <f aca="false">I219-D219</f>
        <v>1364</v>
      </c>
    </row>
    <row r="220" customFormat="false" ht="12.75" hidden="false" customHeight="true" outlineLevel="0" collapsed="false">
      <c r="A220" s="449" t="s">
        <v>8866</v>
      </c>
      <c r="B220" s="450" t="s">
        <v>8867</v>
      </c>
      <c r="C220" s="450" t="n">
        <v>2019</v>
      </c>
      <c r="D220" s="453" t="n">
        <v>43634</v>
      </c>
      <c r="E220" s="452" t="s">
        <v>8868</v>
      </c>
      <c r="F220" s="452" t="s">
        <v>346</v>
      </c>
      <c r="G220" s="378" t="s">
        <v>1174</v>
      </c>
      <c r="H220" s="378" t="s">
        <v>1740</v>
      </c>
      <c r="I220" s="453" t="n">
        <v>44917</v>
      </c>
      <c r="J220" s="452" t="n">
        <v>12</v>
      </c>
      <c r="K220" s="464" t="s">
        <v>53</v>
      </c>
      <c r="L220" s="455" t="s">
        <v>58</v>
      </c>
      <c r="M220" s="455" t="n">
        <f aca="false">I220-D220</f>
        <v>1283</v>
      </c>
    </row>
    <row r="221" customFormat="false" ht="12.75" hidden="false" customHeight="true" outlineLevel="0" collapsed="false">
      <c r="A221" s="456" t="s">
        <v>8869</v>
      </c>
      <c r="B221" s="458" t="s">
        <v>8870</v>
      </c>
      <c r="C221" s="458" t="n">
        <v>2020</v>
      </c>
      <c r="D221" s="459" t="n">
        <v>43934</v>
      </c>
      <c r="E221" s="380" t="s">
        <v>8871</v>
      </c>
      <c r="F221" s="460" t="s">
        <v>509</v>
      </c>
      <c r="G221" s="460" t="s">
        <v>1174</v>
      </c>
      <c r="H221" s="380" t="s">
        <v>1571</v>
      </c>
      <c r="I221" s="461" t="n">
        <v>44588</v>
      </c>
      <c r="J221" s="460" t="n">
        <v>1</v>
      </c>
      <c r="K221" s="462" t="s">
        <v>53</v>
      </c>
      <c r="L221" s="463" t="s">
        <v>58</v>
      </c>
      <c r="M221" s="463" t="n">
        <f aca="false">I221-D221</f>
        <v>654</v>
      </c>
    </row>
    <row r="222" customFormat="false" ht="12.75" hidden="false" customHeight="true" outlineLevel="0" collapsed="false">
      <c r="A222" s="449" t="s">
        <v>8872</v>
      </c>
      <c r="B222" s="465" t="s">
        <v>8873</v>
      </c>
      <c r="C222" s="450" t="n">
        <v>2020</v>
      </c>
      <c r="D222" s="451" t="n">
        <v>43850</v>
      </c>
      <c r="E222" s="378" t="s">
        <v>8874</v>
      </c>
      <c r="F222" s="378" t="s">
        <v>8753</v>
      </c>
      <c r="G222" s="378" t="s">
        <v>1174</v>
      </c>
      <c r="H222" s="378" t="s">
        <v>544</v>
      </c>
      <c r="I222" s="453" t="n">
        <v>44610</v>
      </c>
      <c r="J222" s="452" t="n">
        <v>2</v>
      </c>
      <c r="K222" s="464" t="s">
        <v>53</v>
      </c>
      <c r="L222" s="455" t="s">
        <v>60</v>
      </c>
      <c r="M222" s="455" t="n">
        <f aca="false">I222-D222</f>
        <v>760</v>
      </c>
    </row>
    <row r="223" customFormat="false" ht="15" hidden="false" customHeight="true" outlineLevel="0" collapsed="false">
      <c r="A223" s="456" t="s">
        <v>8875</v>
      </c>
      <c r="B223" s="457" t="s">
        <v>8876</v>
      </c>
      <c r="C223" s="458" t="n">
        <v>2020</v>
      </c>
      <c r="D223" s="459" t="n">
        <v>44027</v>
      </c>
      <c r="E223" s="380" t="s">
        <v>8877</v>
      </c>
      <c r="F223" s="460" t="s">
        <v>1817</v>
      </c>
      <c r="G223" s="460" t="s">
        <v>1174</v>
      </c>
      <c r="H223" s="380" t="s">
        <v>693</v>
      </c>
      <c r="I223" s="461" t="n">
        <v>44651</v>
      </c>
      <c r="J223" s="460" t="n">
        <v>3</v>
      </c>
      <c r="K223" s="462" t="s">
        <v>53</v>
      </c>
      <c r="L223" s="463" t="s">
        <v>58</v>
      </c>
      <c r="M223" s="463" t="n">
        <f aca="false">I223-D223</f>
        <v>624</v>
      </c>
    </row>
    <row r="224" customFormat="false" ht="15" hidden="false" customHeight="true" outlineLevel="0" collapsed="false">
      <c r="A224" s="449" t="s">
        <v>8878</v>
      </c>
      <c r="B224" s="465" t="s">
        <v>8879</v>
      </c>
      <c r="C224" s="450" t="n">
        <v>2020</v>
      </c>
      <c r="D224" s="451" t="n">
        <v>44012</v>
      </c>
      <c r="E224" s="378" t="s">
        <v>8880</v>
      </c>
      <c r="F224" s="452" t="s">
        <v>365</v>
      </c>
      <c r="G224" s="378" t="s">
        <v>1174</v>
      </c>
      <c r="H224" s="378" t="s">
        <v>544</v>
      </c>
      <c r="I224" s="453" t="n">
        <v>44652</v>
      </c>
      <c r="J224" s="452" t="n">
        <v>4</v>
      </c>
      <c r="K224" s="464" t="s">
        <v>53</v>
      </c>
      <c r="L224" s="455" t="s">
        <v>60</v>
      </c>
      <c r="M224" s="455" t="n">
        <f aca="false">I224-D224</f>
        <v>640</v>
      </c>
    </row>
    <row r="225" customFormat="false" ht="12.75" hidden="false" customHeight="true" outlineLevel="0" collapsed="false">
      <c r="A225" s="449" t="s">
        <v>8881</v>
      </c>
      <c r="B225" s="465" t="s">
        <v>8882</v>
      </c>
      <c r="C225" s="450" t="n">
        <v>2020</v>
      </c>
      <c r="D225" s="451" t="n">
        <v>43888</v>
      </c>
      <c r="E225" s="378" t="s">
        <v>8883</v>
      </c>
      <c r="F225" s="378" t="s">
        <v>8695</v>
      </c>
      <c r="G225" s="378" t="s">
        <v>1174</v>
      </c>
      <c r="H225" s="378" t="s">
        <v>522</v>
      </c>
      <c r="I225" s="453" t="n">
        <v>44663</v>
      </c>
      <c r="J225" s="452" t="n">
        <v>4</v>
      </c>
      <c r="K225" s="464" t="s">
        <v>53</v>
      </c>
      <c r="L225" s="455" t="s">
        <v>58</v>
      </c>
      <c r="M225" s="455" t="n">
        <f aca="false">I225-D225</f>
        <v>775</v>
      </c>
    </row>
    <row r="226" customFormat="false" ht="12.75" hidden="false" customHeight="true" outlineLevel="0" collapsed="false">
      <c r="A226" s="456" t="s">
        <v>8884</v>
      </c>
      <c r="B226" s="457" t="s">
        <v>8885</v>
      </c>
      <c r="C226" s="458" t="n">
        <v>2020</v>
      </c>
      <c r="D226" s="459" t="n">
        <v>44070</v>
      </c>
      <c r="E226" s="380" t="s">
        <v>8886</v>
      </c>
      <c r="F226" s="380" t="s">
        <v>8347</v>
      </c>
      <c r="G226" s="460" t="s">
        <v>1174</v>
      </c>
      <c r="H226" s="380" t="s">
        <v>139</v>
      </c>
      <c r="I226" s="461" t="n">
        <v>44663</v>
      </c>
      <c r="J226" s="460" t="n">
        <v>4</v>
      </c>
      <c r="K226" s="462" t="s">
        <v>53</v>
      </c>
      <c r="L226" s="463" t="s">
        <v>60</v>
      </c>
      <c r="M226" s="463" t="n">
        <f aca="false">I226-D226</f>
        <v>593</v>
      </c>
    </row>
    <row r="227" customFormat="false" ht="12.75" hidden="false" customHeight="true" outlineLevel="0" collapsed="false">
      <c r="A227" s="456" t="s">
        <v>8887</v>
      </c>
      <c r="B227" s="457" t="s">
        <v>8888</v>
      </c>
      <c r="C227" s="458" t="n">
        <v>2020</v>
      </c>
      <c r="D227" s="459" t="n">
        <v>44162</v>
      </c>
      <c r="E227" s="380" t="s">
        <v>8889</v>
      </c>
      <c r="F227" s="380" t="s">
        <v>8347</v>
      </c>
      <c r="G227" s="460" t="s">
        <v>1174</v>
      </c>
      <c r="H227" s="380" t="s">
        <v>139</v>
      </c>
      <c r="I227" s="461" t="n">
        <v>44663</v>
      </c>
      <c r="J227" s="460" t="n">
        <v>4</v>
      </c>
      <c r="K227" s="462" t="s">
        <v>53</v>
      </c>
      <c r="L227" s="463" t="s">
        <v>60</v>
      </c>
      <c r="M227" s="463" t="n">
        <f aca="false">I227-D227</f>
        <v>501</v>
      </c>
    </row>
    <row r="228" customFormat="false" ht="12.75" hidden="false" customHeight="true" outlineLevel="0" collapsed="false">
      <c r="A228" s="449" t="s">
        <v>8890</v>
      </c>
      <c r="B228" s="450" t="s">
        <v>8891</v>
      </c>
      <c r="C228" s="450" t="n">
        <v>2020</v>
      </c>
      <c r="D228" s="451" t="n">
        <v>43889</v>
      </c>
      <c r="E228" s="452" t="s">
        <v>8892</v>
      </c>
      <c r="F228" s="378" t="s">
        <v>8469</v>
      </c>
      <c r="G228" s="378" t="s">
        <v>1174</v>
      </c>
      <c r="H228" s="378" t="s">
        <v>208</v>
      </c>
      <c r="I228" s="453" t="n">
        <v>44708</v>
      </c>
      <c r="J228" s="452" t="n">
        <v>5</v>
      </c>
      <c r="K228" s="464" t="s">
        <v>53</v>
      </c>
      <c r="L228" s="455" t="s">
        <v>58</v>
      </c>
      <c r="M228" s="455" t="n">
        <f aca="false">I228-D228</f>
        <v>819</v>
      </c>
    </row>
    <row r="229" customFormat="false" ht="12.75" hidden="false" customHeight="true" outlineLevel="0" collapsed="false">
      <c r="A229" s="456" t="s">
        <v>8893</v>
      </c>
      <c r="B229" s="457" t="s">
        <v>8894</v>
      </c>
      <c r="C229" s="458" t="n">
        <v>2020</v>
      </c>
      <c r="D229" s="459" t="n">
        <v>44011</v>
      </c>
      <c r="E229" s="380" t="s">
        <v>8895</v>
      </c>
      <c r="F229" s="460" t="s">
        <v>1316</v>
      </c>
      <c r="G229" s="460" t="s">
        <v>1174</v>
      </c>
      <c r="H229" s="380" t="s">
        <v>208</v>
      </c>
      <c r="I229" s="461" t="n">
        <v>44708</v>
      </c>
      <c r="J229" s="460" t="n">
        <v>5</v>
      </c>
      <c r="K229" s="462" t="s">
        <v>53</v>
      </c>
      <c r="L229" s="463" t="s">
        <v>58</v>
      </c>
      <c r="M229" s="463" t="n">
        <f aca="false">I229-D229</f>
        <v>697</v>
      </c>
    </row>
    <row r="230" customFormat="false" ht="15" hidden="false" customHeight="true" outlineLevel="0" collapsed="false">
      <c r="A230" s="456" t="s">
        <v>8896</v>
      </c>
      <c r="B230" s="457" t="s">
        <v>8897</v>
      </c>
      <c r="C230" s="458" t="n">
        <v>2020</v>
      </c>
      <c r="D230" s="459" t="n">
        <v>44112</v>
      </c>
      <c r="E230" s="380" t="s">
        <v>8898</v>
      </c>
      <c r="F230" s="460" t="s">
        <v>1316</v>
      </c>
      <c r="G230" s="460" t="s">
        <v>1174</v>
      </c>
      <c r="H230" s="380" t="s">
        <v>184</v>
      </c>
      <c r="I230" s="461" t="n">
        <v>44708</v>
      </c>
      <c r="J230" s="460" t="n">
        <v>5</v>
      </c>
      <c r="K230" s="462" t="s">
        <v>53</v>
      </c>
      <c r="L230" s="463" t="s">
        <v>58</v>
      </c>
      <c r="M230" s="463" t="n">
        <f aca="false">I230-D230</f>
        <v>596</v>
      </c>
    </row>
    <row r="231" customFormat="false" ht="12.75" hidden="false" customHeight="true" outlineLevel="0" collapsed="false">
      <c r="A231" s="449" t="s">
        <v>8899</v>
      </c>
      <c r="B231" s="465" t="s">
        <v>8900</v>
      </c>
      <c r="C231" s="450" t="n">
        <v>2020</v>
      </c>
      <c r="D231" s="451" t="n">
        <v>43997</v>
      </c>
      <c r="E231" s="378" t="s">
        <v>8901</v>
      </c>
      <c r="F231" s="452" t="s">
        <v>1338</v>
      </c>
      <c r="G231" s="378" t="s">
        <v>1174</v>
      </c>
      <c r="H231" s="378" t="s">
        <v>184</v>
      </c>
      <c r="I231" s="453" t="n">
        <v>44708</v>
      </c>
      <c r="J231" s="452" t="n">
        <v>5</v>
      </c>
      <c r="K231" s="464" t="s">
        <v>53</v>
      </c>
      <c r="L231" s="455" t="s">
        <v>61</v>
      </c>
      <c r="M231" s="455" t="n">
        <f aca="false">I231-D231</f>
        <v>711</v>
      </c>
    </row>
    <row r="232" customFormat="false" ht="12.75" hidden="false" customHeight="true" outlineLevel="0" collapsed="false">
      <c r="A232" s="456" t="s">
        <v>8902</v>
      </c>
      <c r="B232" s="457" t="s">
        <v>8903</v>
      </c>
      <c r="C232" s="458" t="n">
        <v>2020</v>
      </c>
      <c r="D232" s="459" t="n">
        <v>44162</v>
      </c>
      <c r="E232" s="380" t="s">
        <v>8904</v>
      </c>
      <c r="F232" s="380" t="s">
        <v>8347</v>
      </c>
      <c r="G232" s="460" t="s">
        <v>1174</v>
      </c>
      <c r="H232" s="380" t="s">
        <v>544</v>
      </c>
      <c r="I232" s="461" t="n">
        <v>44708</v>
      </c>
      <c r="J232" s="460" t="n">
        <v>5</v>
      </c>
      <c r="K232" s="462" t="s">
        <v>53</v>
      </c>
      <c r="L232" s="463" t="s">
        <v>60</v>
      </c>
      <c r="M232" s="463" t="n">
        <f aca="false">I232-D232</f>
        <v>546</v>
      </c>
    </row>
    <row r="233" customFormat="false" ht="12.75" hidden="false" customHeight="true" outlineLevel="0" collapsed="false">
      <c r="A233" s="456" t="s">
        <v>8905</v>
      </c>
      <c r="B233" s="457" t="s">
        <v>8906</v>
      </c>
      <c r="C233" s="488" t="n">
        <v>2020</v>
      </c>
      <c r="D233" s="489" t="n">
        <v>43962</v>
      </c>
      <c r="E233" s="380" t="s">
        <v>8907</v>
      </c>
      <c r="F233" s="460" t="s">
        <v>509</v>
      </c>
      <c r="G233" s="460" t="s">
        <v>1174</v>
      </c>
      <c r="H233" s="380" t="s">
        <v>544</v>
      </c>
      <c r="I233" s="461" t="n">
        <v>44708</v>
      </c>
      <c r="J233" s="460" t="n">
        <v>5</v>
      </c>
      <c r="K233" s="462" t="s">
        <v>53</v>
      </c>
      <c r="L233" s="463" t="s">
        <v>58</v>
      </c>
      <c r="M233" s="463" t="n">
        <f aca="false">I233-D233</f>
        <v>746</v>
      </c>
    </row>
    <row r="234" customFormat="false" ht="12.75" hidden="false" customHeight="true" outlineLevel="0" collapsed="false">
      <c r="A234" s="456" t="s">
        <v>8908</v>
      </c>
      <c r="B234" s="490" t="s">
        <v>8909</v>
      </c>
      <c r="C234" s="491" t="n">
        <v>2020</v>
      </c>
      <c r="D234" s="492" t="n">
        <v>43966</v>
      </c>
      <c r="E234" s="493" t="s">
        <v>8910</v>
      </c>
      <c r="F234" s="494" t="s">
        <v>1817</v>
      </c>
      <c r="G234" s="494" t="s">
        <v>1174</v>
      </c>
      <c r="H234" s="495" t="s">
        <v>781</v>
      </c>
      <c r="I234" s="496" t="n">
        <v>44708</v>
      </c>
      <c r="J234" s="494" t="n">
        <v>5</v>
      </c>
      <c r="K234" s="462" t="s">
        <v>53</v>
      </c>
      <c r="L234" s="463" t="s">
        <v>58</v>
      </c>
      <c r="M234" s="463" t="n">
        <f aca="false">I234-D234</f>
        <v>742</v>
      </c>
    </row>
    <row r="235" customFormat="false" ht="12.75" hidden="false" customHeight="true" outlineLevel="0" collapsed="false">
      <c r="A235" s="497" t="s">
        <v>8911</v>
      </c>
      <c r="B235" s="498" t="s">
        <v>8912</v>
      </c>
      <c r="C235" s="499" t="n">
        <v>2020</v>
      </c>
      <c r="D235" s="492" t="n">
        <v>44140</v>
      </c>
      <c r="E235" s="493" t="s">
        <v>8913</v>
      </c>
      <c r="F235" s="494" t="s">
        <v>211</v>
      </c>
      <c r="G235" s="494" t="s">
        <v>1174</v>
      </c>
      <c r="H235" s="495" t="s">
        <v>544</v>
      </c>
      <c r="I235" s="496" t="n">
        <v>44711</v>
      </c>
      <c r="J235" s="494" t="n">
        <v>5</v>
      </c>
      <c r="K235" s="462" t="s">
        <v>53</v>
      </c>
      <c r="L235" s="463" t="s">
        <v>58</v>
      </c>
      <c r="M235" s="463" t="n">
        <f aca="false">I235-D235</f>
        <v>571</v>
      </c>
    </row>
    <row r="236" customFormat="false" ht="12.75" hidden="false" customHeight="true" outlineLevel="0" collapsed="false">
      <c r="A236" s="500" t="s">
        <v>8914</v>
      </c>
      <c r="B236" s="501" t="s">
        <v>8915</v>
      </c>
      <c r="C236" s="502" t="n">
        <v>2020</v>
      </c>
      <c r="D236" s="503" t="n">
        <v>44070</v>
      </c>
      <c r="E236" s="504" t="s">
        <v>8916</v>
      </c>
      <c r="F236" s="504" t="s">
        <v>123</v>
      </c>
      <c r="G236" s="505" t="s">
        <v>1174</v>
      </c>
      <c r="H236" s="505" t="s">
        <v>192</v>
      </c>
      <c r="I236" s="506" t="n">
        <v>44713</v>
      </c>
      <c r="J236" s="504" t="n">
        <v>6</v>
      </c>
      <c r="K236" s="464" t="s">
        <v>53</v>
      </c>
      <c r="L236" s="455" t="s">
        <v>58</v>
      </c>
      <c r="M236" s="455" t="n">
        <f aca="false">I236-D236</f>
        <v>643</v>
      </c>
    </row>
    <row r="237" customFormat="false" ht="12.75" hidden="false" customHeight="true" outlineLevel="0" collapsed="false">
      <c r="A237" s="500" t="s">
        <v>8917</v>
      </c>
      <c r="B237" s="502" t="s">
        <v>8918</v>
      </c>
      <c r="C237" s="502" t="n">
        <v>2020</v>
      </c>
      <c r="D237" s="503" t="n">
        <v>43909</v>
      </c>
      <c r="E237" s="504" t="s">
        <v>8919</v>
      </c>
      <c r="F237" s="504" t="s">
        <v>1987</v>
      </c>
      <c r="G237" s="505" t="s">
        <v>1174</v>
      </c>
      <c r="H237" s="505" t="s">
        <v>706</v>
      </c>
      <c r="I237" s="506" t="n">
        <v>44742</v>
      </c>
      <c r="J237" s="504" t="n">
        <v>6</v>
      </c>
      <c r="K237" s="464" t="s">
        <v>53</v>
      </c>
      <c r="L237" s="455" t="s">
        <v>58</v>
      </c>
      <c r="M237" s="455" t="n">
        <f aca="false">I237-D237</f>
        <v>833</v>
      </c>
    </row>
    <row r="238" customFormat="false" ht="12.75" hidden="false" customHeight="true" outlineLevel="0" collapsed="false">
      <c r="A238" s="500" t="s">
        <v>8920</v>
      </c>
      <c r="B238" s="502" t="s">
        <v>8921</v>
      </c>
      <c r="C238" s="502" t="n">
        <v>2020</v>
      </c>
      <c r="D238" s="503" t="n">
        <v>43964</v>
      </c>
      <c r="E238" s="504" t="s">
        <v>8922</v>
      </c>
      <c r="F238" s="504" t="s">
        <v>467</v>
      </c>
      <c r="G238" s="505" t="s">
        <v>1174</v>
      </c>
      <c r="H238" s="505" t="s">
        <v>522</v>
      </c>
      <c r="I238" s="506" t="n">
        <v>44777</v>
      </c>
      <c r="J238" s="504" t="n">
        <v>8</v>
      </c>
      <c r="K238" s="464" t="s">
        <v>53</v>
      </c>
      <c r="L238" s="455" t="s">
        <v>60</v>
      </c>
      <c r="M238" s="455" t="n">
        <f aca="false">I238-D238</f>
        <v>813</v>
      </c>
    </row>
    <row r="239" customFormat="false" ht="12.75" hidden="false" customHeight="true" outlineLevel="0" collapsed="false">
      <c r="A239" s="507" t="s">
        <v>8923</v>
      </c>
      <c r="B239" s="508" t="s">
        <v>8924</v>
      </c>
      <c r="C239" s="508" t="n">
        <v>2020</v>
      </c>
      <c r="D239" s="509" t="n">
        <v>43966</v>
      </c>
      <c r="E239" s="510" t="s">
        <v>8925</v>
      </c>
      <c r="F239" s="511" t="s">
        <v>467</v>
      </c>
      <c r="G239" s="511" t="s">
        <v>1174</v>
      </c>
      <c r="H239" s="510" t="s">
        <v>781</v>
      </c>
      <c r="I239" s="512" t="n">
        <v>44777</v>
      </c>
      <c r="J239" s="511" t="n">
        <v>8</v>
      </c>
      <c r="K239" s="462" t="s">
        <v>53</v>
      </c>
      <c r="L239" s="463" t="s">
        <v>60</v>
      </c>
      <c r="M239" s="463" t="n">
        <f aca="false">I239-D239</f>
        <v>811</v>
      </c>
    </row>
    <row r="240" customFormat="false" ht="12.75" hidden="false" customHeight="true" outlineLevel="0" collapsed="false">
      <c r="A240" s="507" t="s">
        <v>8926</v>
      </c>
      <c r="B240" s="508" t="s">
        <v>8927</v>
      </c>
      <c r="C240" s="508" t="n">
        <v>2020</v>
      </c>
      <c r="D240" s="509" t="n">
        <v>44179</v>
      </c>
      <c r="E240" s="510" t="s">
        <v>8928</v>
      </c>
      <c r="F240" s="511" t="s">
        <v>138</v>
      </c>
      <c r="G240" s="511" t="s">
        <v>1174</v>
      </c>
      <c r="H240" s="510" t="s">
        <v>350</v>
      </c>
      <c r="I240" s="512" t="n">
        <v>44777</v>
      </c>
      <c r="J240" s="511" t="n">
        <v>8</v>
      </c>
      <c r="K240" s="462" t="s">
        <v>53</v>
      </c>
      <c r="L240" s="463" t="s">
        <v>60</v>
      </c>
      <c r="M240" s="463" t="n">
        <f aca="false">I240-D240</f>
        <v>598</v>
      </c>
    </row>
    <row r="241" customFormat="false" ht="12.75" hidden="false" customHeight="true" outlineLevel="0" collapsed="false">
      <c r="A241" s="507" t="s">
        <v>8929</v>
      </c>
      <c r="B241" s="508" t="s">
        <v>8930</v>
      </c>
      <c r="C241" s="508" t="n">
        <v>2020</v>
      </c>
      <c r="D241" s="509" t="n">
        <v>44186</v>
      </c>
      <c r="E241" s="510" t="s">
        <v>8931</v>
      </c>
      <c r="F241" s="511" t="s">
        <v>467</v>
      </c>
      <c r="G241" s="511" t="s">
        <v>1174</v>
      </c>
      <c r="H241" s="510" t="s">
        <v>693</v>
      </c>
      <c r="I241" s="512" t="n">
        <v>44792</v>
      </c>
      <c r="J241" s="511" t="n">
        <v>8</v>
      </c>
      <c r="K241" s="462" t="s">
        <v>53</v>
      </c>
      <c r="L241" s="463" t="s">
        <v>60</v>
      </c>
      <c r="M241" s="463" t="n">
        <f aca="false">I241-D241</f>
        <v>606</v>
      </c>
    </row>
    <row r="242" customFormat="false" ht="12.75" hidden="false" customHeight="true" outlineLevel="0" collapsed="false">
      <c r="A242" s="507" t="s">
        <v>8932</v>
      </c>
      <c r="B242" s="508" t="s">
        <v>8933</v>
      </c>
      <c r="C242" s="508" t="n">
        <v>2020</v>
      </c>
      <c r="D242" s="509" t="n">
        <v>44133</v>
      </c>
      <c r="E242" s="510" t="s">
        <v>8934</v>
      </c>
      <c r="F242" s="511" t="s">
        <v>138</v>
      </c>
      <c r="G242" s="511" t="s">
        <v>1174</v>
      </c>
      <c r="H242" s="510" t="s">
        <v>968</v>
      </c>
      <c r="I242" s="512" t="n">
        <v>44792</v>
      </c>
      <c r="J242" s="511" t="n">
        <v>8</v>
      </c>
      <c r="K242" s="462" t="s">
        <v>53</v>
      </c>
      <c r="L242" s="463" t="s">
        <v>60</v>
      </c>
      <c r="M242" s="463" t="n">
        <f aca="false">I242-D242</f>
        <v>659</v>
      </c>
    </row>
    <row r="243" customFormat="false" ht="12.75" hidden="false" customHeight="true" outlineLevel="0" collapsed="false">
      <c r="A243" s="507" t="s">
        <v>8935</v>
      </c>
      <c r="B243" s="508" t="s">
        <v>8936</v>
      </c>
      <c r="C243" s="508" t="n">
        <v>2020</v>
      </c>
      <c r="D243" s="509" t="n">
        <v>44125</v>
      </c>
      <c r="E243" s="510" t="s">
        <v>8937</v>
      </c>
      <c r="F243" s="511" t="s">
        <v>1156</v>
      </c>
      <c r="G243" s="511" t="s">
        <v>1174</v>
      </c>
      <c r="H243" s="510" t="s">
        <v>243</v>
      </c>
      <c r="I243" s="509" t="n">
        <v>44858</v>
      </c>
      <c r="J243" s="511" t="n">
        <v>10</v>
      </c>
      <c r="K243" s="462" t="s">
        <v>53</v>
      </c>
      <c r="L243" s="463" t="s">
        <v>2848</v>
      </c>
      <c r="M243" s="463" t="n">
        <f aca="false">I243-D243</f>
        <v>733</v>
      </c>
    </row>
    <row r="244" customFormat="false" ht="12.75" hidden="false" customHeight="true" outlineLevel="0" collapsed="false">
      <c r="A244" s="507" t="s">
        <v>8938</v>
      </c>
      <c r="B244" s="508" t="s">
        <v>8939</v>
      </c>
      <c r="C244" s="508" t="n">
        <v>2018</v>
      </c>
      <c r="D244" s="512" t="n">
        <v>43438</v>
      </c>
      <c r="E244" s="510" t="s">
        <v>8940</v>
      </c>
      <c r="F244" s="511" t="s">
        <v>7202</v>
      </c>
      <c r="G244" s="511" t="s">
        <v>1188</v>
      </c>
      <c r="H244" s="510" t="s">
        <v>697</v>
      </c>
      <c r="I244" s="513" t="n">
        <v>44896</v>
      </c>
      <c r="J244" s="511" t="n">
        <v>12</v>
      </c>
      <c r="K244" s="468" t="s">
        <v>290</v>
      </c>
      <c r="L244" s="463" t="s">
        <v>60</v>
      </c>
      <c r="M244" s="463" t="n">
        <f aca="false">I244-D244</f>
        <v>1458</v>
      </c>
    </row>
    <row r="245" customFormat="false" ht="12.75" hidden="false" customHeight="true" outlineLevel="0" collapsed="false">
      <c r="A245" s="507" t="s">
        <v>8941</v>
      </c>
      <c r="B245" s="508" t="s">
        <v>8942</v>
      </c>
      <c r="C245" s="508" t="n">
        <v>2020</v>
      </c>
      <c r="D245" s="509" t="n">
        <v>43870</v>
      </c>
      <c r="E245" s="510" t="s">
        <v>8943</v>
      </c>
      <c r="F245" s="511" t="s">
        <v>1338</v>
      </c>
      <c r="G245" s="511" t="s">
        <v>1174</v>
      </c>
      <c r="H245" s="510" t="s">
        <v>544</v>
      </c>
      <c r="I245" s="514" t="n">
        <v>44662</v>
      </c>
      <c r="J245" s="511" t="n">
        <v>11</v>
      </c>
      <c r="K245" s="462" t="s">
        <v>53</v>
      </c>
      <c r="L245" s="463" t="s">
        <v>61</v>
      </c>
      <c r="M245" s="463" t="n">
        <f aca="false">I245-D245</f>
        <v>792</v>
      </c>
    </row>
    <row r="246" customFormat="false" ht="12.75" hidden="false" customHeight="true" outlineLevel="0" collapsed="false">
      <c r="A246" s="500" t="s">
        <v>8944</v>
      </c>
      <c r="B246" s="502" t="s">
        <v>8945</v>
      </c>
      <c r="C246" s="502" t="n">
        <v>2020</v>
      </c>
      <c r="D246" s="503" t="n">
        <v>44152</v>
      </c>
      <c r="E246" s="504" t="s">
        <v>8946</v>
      </c>
      <c r="F246" s="504" t="s">
        <v>123</v>
      </c>
      <c r="G246" s="505" t="s">
        <v>1174</v>
      </c>
      <c r="H246" s="505" t="s">
        <v>544</v>
      </c>
      <c r="I246" s="503" t="n">
        <v>44876</v>
      </c>
      <c r="J246" s="504" t="n">
        <v>11</v>
      </c>
      <c r="K246" s="464" t="s">
        <v>53</v>
      </c>
      <c r="L246" s="455" t="s">
        <v>58</v>
      </c>
      <c r="M246" s="455" t="n">
        <f aca="false">I246-D246</f>
        <v>724</v>
      </c>
    </row>
    <row r="247" customFormat="false" ht="12.75" hidden="false" customHeight="true" outlineLevel="0" collapsed="false">
      <c r="A247" s="507" t="s">
        <v>8947</v>
      </c>
      <c r="B247" s="508" t="s">
        <v>8948</v>
      </c>
      <c r="C247" s="508" t="n">
        <v>2020</v>
      </c>
      <c r="D247" s="509" t="n">
        <v>43910</v>
      </c>
      <c r="E247" s="510" t="s">
        <v>8949</v>
      </c>
      <c r="F247" s="511" t="s">
        <v>1312</v>
      </c>
      <c r="G247" s="511" t="s">
        <v>1174</v>
      </c>
      <c r="H247" s="510" t="s">
        <v>8950</v>
      </c>
      <c r="I247" s="509" t="n">
        <v>44876</v>
      </c>
      <c r="J247" s="511" t="n">
        <v>11</v>
      </c>
      <c r="K247" s="462" t="s">
        <v>53</v>
      </c>
      <c r="L247" s="463" t="s">
        <v>60</v>
      </c>
      <c r="M247" s="463" t="n">
        <f aca="false">I247-D247</f>
        <v>966</v>
      </c>
    </row>
    <row r="248" customFormat="false" ht="12.75" hidden="false" customHeight="true" outlineLevel="0" collapsed="false">
      <c r="A248" s="515" t="s">
        <v>8951</v>
      </c>
      <c r="B248" s="516" t="s">
        <v>8952</v>
      </c>
      <c r="C248" s="517" t="n">
        <v>2020</v>
      </c>
      <c r="D248" s="518" t="n">
        <v>44183</v>
      </c>
      <c r="E248" s="519" t="s">
        <v>8953</v>
      </c>
      <c r="F248" s="520" t="s">
        <v>1068</v>
      </c>
      <c r="G248" s="505" t="s">
        <v>1174</v>
      </c>
      <c r="H248" s="521" t="s">
        <v>1571</v>
      </c>
      <c r="I248" s="506" t="n">
        <v>44914</v>
      </c>
      <c r="J248" s="504" t="n">
        <v>12</v>
      </c>
      <c r="K248" s="464" t="s">
        <v>53</v>
      </c>
      <c r="L248" s="455" t="s">
        <v>60</v>
      </c>
      <c r="M248" s="455" t="n">
        <f aca="false">I248-D248</f>
        <v>731</v>
      </c>
    </row>
    <row r="249" customFormat="false" ht="12.75" hidden="false" customHeight="true" outlineLevel="0" collapsed="false">
      <c r="A249" s="456" t="s">
        <v>8954</v>
      </c>
      <c r="B249" s="488" t="s">
        <v>8955</v>
      </c>
      <c r="C249" s="522" t="n">
        <v>2020</v>
      </c>
      <c r="D249" s="523" t="n">
        <v>43993</v>
      </c>
      <c r="E249" s="524" t="s">
        <v>8956</v>
      </c>
      <c r="F249" s="460" t="s">
        <v>1609</v>
      </c>
      <c r="G249" s="511" t="s">
        <v>1174</v>
      </c>
      <c r="H249" s="380" t="s">
        <v>263</v>
      </c>
      <c r="I249" s="512" t="n">
        <v>44917</v>
      </c>
      <c r="J249" s="460" t="n">
        <v>12</v>
      </c>
      <c r="K249" s="462" t="s">
        <v>53</v>
      </c>
      <c r="L249" s="463" t="s">
        <v>2848</v>
      </c>
      <c r="M249" s="463" t="n">
        <f aca="false">I249-D249</f>
        <v>924</v>
      </c>
    </row>
    <row r="250" customFormat="false" ht="12.75" hidden="false" customHeight="true" outlineLevel="0" collapsed="false">
      <c r="A250" s="456" t="s">
        <v>8957</v>
      </c>
      <c r="B250" s="488" t="s">
        <v>8958</v>
      </c>
      <c r="C250" s="522" t="n">
        <v>2020</v>
      </c>
      <c r="D250" s="461" t="n">
        <v>44125</v>
      </c>
      <c r="E250" s="380" t="s">
        <v>8959</v>
      </c>
      <c r="F250" s="460" t="s">
        <v>1243</v>
      </c>
      <c r="G250" s="511" t="s">
        <v>1174</v>
      </c>
      <c r="H250" s="380" t="s">
        <v>243</v>
      </c>
      <c r="I250" s="512" t="n">
        <v>44918</v>
      </c>
      <c r="J250" s="511" t="n">
        <v>12</v>
      </c>
      <c r="K250" s="462" t="s">
        <v>53</v>
      </c>
      <c r="L250" s="463" t="s">
        <v>60</v>
      </c>
      <c r="M250" s="463" t="n">
        <f aca="false">I250-D250</f>
        <v>793</v>
      </c>
    </row>
    <row r="251" customFormat="false" ht="12.75" hidden="false" customHeight="true" outlineLevel="0" collapsed="false">
      <c r="A251" s="449" t="s">
        <v>8960</v>
      </c>
      <c r="B251" s="525" t="s">
        <v>8961</v>
      </c>
      <c r="C251" s="526" t="n">
        <v>2021</v>
      </c>
      <c r="D251" s="451" t="n">
        <v>44335</v>
      </c>
      <c r="E251" s="452" t="s">
        <v>8962</v>
      </c>
      <c r="F251" s="452" t="s">
        <v>1324</v>
      </c>
      <c r="G251" s="505" t="s">
        <v>1174</v>
      </c>
      <c r="H251" s="378" t="s">
        <v>544</v>
      </c>
      <c r="I251" s="506" t="n">
        <v>44588</v>
      </c>
      <c r="J251" s="452" t="n">
        <v>1</v>
      </c>
      <c r="K251" s="464" t="s">
        <v>53</v>
      </c>
      <c r="L251" s="455" t="s">
        <v>60</v>
      </c>
      <c r="M251" s="455" t="n">
        <f aca="false">I251-D251</f>
        <v>253</v>
      </c>
    </row>
    <row r="252" customFormat="false" ht="12.75" hidden="false" customHeight="true" outlineLevel="0" collapsed="false">
      <c r="A252" s="456" t="s">
        <v>8963</v>
      </c>
      <c r="B252" s="457" t="s">
        <v>8964</v>
      </c>
      <c r="C252" s="458" t="n">
        <v>2021</v>
      </c>
      <c r="D252" s="459" t="n">
        <v>44224</v>
      </c>
      <c r="E252" s="380" t="s">
        <v>8965</v>
      </c>
      <c r="F252" s="380" t="s">
        <v>8469</v>
      </c>
      <c r="G252" s="511" t="s">
        <v>1174</v>
      </c>
      <c r="H252" s="380" t="s">
        <v>522</v>
      </c>
      <c r="I252" s="512" t="n">
        <v>44663</v>
      </c>
      <c r="J252" s="511" t="n">
        <v>4</v>
      </c>
      <c r="K252" s="462" t="s">
        <v>53</v>
      </c>
      <c r="L252" s="463" t="s">
        <v>58</v>
      </c>
      <c r="M252" s="463" t="n">
        <f aca="false">I252-D252</f>
        <v>439</v>
      </c>
    </row>
    <row r="253" customFormat="false" ht="12.75" hidden="false" customHeight="true" outlineLevel="0" collapsed="false">
      <c r="A253" s="456" t="s">
        <v>8966</v>
      </c>
      <c r="B253" s="457" t="s">
        <v>8967</v>
      </c>
      <c r="C253" s="458" t="n">
        <v>2021</v>
      </c>
      <c r="D253" s="459" t="n">
        <v>44337</v>
      </c>
      <c r="E253" s="380" t="s">
        <v>8968</v>
      </c>
      <c r="F253" s="460" t="s">
        <v>180</v>
      </c>
      <c r="G253" s="511" t="s">
        <v>1174</v>
      </c>
      <c r="H253" s="380" t="s">
        <v>1258</v>
      </c>
      <c r="I253" s="512" t="n">
        <v>44708</v>
      </c>
      <c r="J253" s="460" t="n">
        <v>5</v>
      </c>
      <c r="K253" s="462" t="s">
        <v>53</v>
      </c>
      <c r="L253" s="463" t="s">
        <v>58</v>
      </c>
      <c r="M253" s="463" t="n">
        <f aca="false">I253-D253</f>
        <v>371</v>
      </c>
    </row>
    <row r="254" customFormat="false" ht="12.75" hidden="false" customHeight="true" outlineLevel="0" collapsed="false">
      <c r="A254" s="449" t="s">
        <v>8969</v>
      </c>
      <c r="B254" s="465" t="s">
        <v>8970</v>
      </c>
      <c r="C254" s="450" t="n">
        <v>2021</v>
      </c>
      <c r="D254" s="451" t="n">
        <v>44435</v>
      </c>
      <c r="E254" s="378" t="s">
        <v>8971</v>
      </c>
      <c r="F254" s="452" t="s">
        <v>365</v>
      </c>
      <c r="G254" s="505" t="s">
        <v>1174</v>
      </c>
      <c r="H254" s="378" t="s">
        <v>1059</v>
      </c>
      <c r="I254" s="506" t="n">
        <v>44708</v>
      </c>
      <c r="J254" s="504" t="n">
        <v>5</v>
      </c>
      <c r="K254" s="464" t="s">
        <v>53</v>
      </c>
      <c r="L254" s="455" t="s">
        <v>60</v>
      </c>
      <c r="M254" s="455" t="n">
        <f aca="false">I254-D254</f>
        <v>273</v>
      </c>
    </row>
    <row r="255" customFormat="false" ht="12.75" hidden="false" customHeight="true" outlineLevel="0" collapsed="false">
      <c r="A255" s="456" t="s">
        <v>8972</v>
      </c>
      <c r="B255" s="458" t="s">
        <v>8973</v>
      </c>
      <c r="C255" s="458" t="n">
        <v>2021</v>
      </c>
      <c r="D255" s="459" t="n">
        <v>44550</v>
      </c>
      <c r="E255" s="380" t="s">
        <v>8974</v>
      </c>
      <c r="F255" s="460" t="s">
        <v>180</v>
      </c>
      <c r="G255" s="511" t="s">
        <v>1174</v>
      </c>
      <c r="H255" s="380" t="s">
        <v>184</v>
      </c>
      <c r="I255" s="512" t="n">
        <v>44708</v>
      </c>
      <c r="J255" s="460" t="n">
        <v>5</v>
      </c>
      <c r="K255" s="462" t="s">
        <v>53</v>
      </c>
      <c r="L255" s="463" t="s">
        <v>58</v>
      </c>
      <c r="M255" s="463" t="n">
        <f aca="false">I255-D255</f>
        <v>158</v>
      </c>
    </row>
    <row r="256" customFormat="false" ht="12.75" hidden="false" customHeight="true" outlineLevel="0" collapsed="false">
      <c r="A256" s="456" t="s">
        <v>8975</v>
      </c>
      <c r="B256" s="457" t="s">
        <v>8976</v>
      </c>
      <c r="C256" s="458" t="n">
        <v>2021</v>
      </c>
      <c r="D256" s="459" t="n">
        <v>44369</v>
      </c>
      <c r="E256" s="380" t="s">
        <v>8977</v>
      </c>
      <c r="F256" s="460" t="s">
        <v>1338</v>
      </c>
      <c r="G256" s="511" t="s">
        <v>1174</v>
      </c>
      <c r="H256" s="380" t="s">
        <v>1740</v>
      </c>
      <c r="I256" s="461" t="n">
        <v>44708</v>
      </c>
      <c r="J256" s="511" t="n">
        <v>5</v>
      </c>
      <c r="K256" s="462" t="s">
        <v>53</v>
      </c>
      <c r="L256" s="463" t="s">
        <v>61</v>
      </c>
      <c r="M256" s="463" t="n">
        <f aca="false">I256-D256</f>
        <v>339</v>
      </c>
    </row>
    <row r="257" customFormat="false" ht="12.75" hidden="false" customHeight="true" outlineLevel="0" collapsed="false">
      <c r="A257" s="456" t="s">
        <v>8978</v>
      </c>
      <c r="B257" s="457" t="s">
        <v>8979</v>
      </c>
      <c r="C257" s="458" t="n">
        <v>2021</v>
      </c>
      <c r="D257" s="459" t="n">
        <v>44543</v>
      </c>
      <c r="E257" s="380" t="s">
        <v>8980</v>
      </c>
      <c r="F257" s="460" t="s">
        <v>2003</v>
      </c>
      <c r="G257" s="460" t="s">
        <v>1174</v>
      </c>
      <c r="H257" s="380" t="s">
        <v>4752</v>
      </c>
      <c r="I257" s="461" t="n">
        <v>44708</v>
      </c>
      <c r="J257" s="460" t="n">
        <v>5</v>
      </c>
      <c r="K257" s="462" t="s">
        <v>53</v>
      </c>
      <c r="L257" s="463" t="s">
        <v>58</v>
      </c>
      <c r="M257" s="463" t="n">
        <f aca="false">I257-D257</f>
        <v>165</v>
      </c>
    </row>
    <row r="258" customFormat="false" ht="12.75" hidden="false" customHeight="true" outlineLevel="0" collapsed="false">
      <c r="A258" s="456" t="s">
        <v>8981</v>
      </c>
      <c r="B258" s="457" t="s">
        <v>8982</v>
      </c>
      <c r="C258" s="458" t="n">
        <v>2021</v>
      </c>
      <c r="D258" s="459" t="n">
        <v>44459</v>
      </c>
      <c r="E258" s="380" t="s">
        <v>8983</v>
      </c>
      <c r="F258" s="460" t="s">
        <v>780</v>
      </c>
      <c r="G258" s="511" t="s">
        <v>1174</v>
      </c>
      <c r="H258" s="380" t="s">
        <v>1059</v>
      </c>
      <c r="I258" s="461" t="n">
        <v>44708</v>
      </c>
      <c r="J258" s="511" t="n">
        <v>5</v>
      </c>
      <c r="K258" s="462" t="s">
        <v>53</v>
      </c>
      <c r="L258" s="463" t="s">
        <v>60</v>
      </c>
      <c r="M258" s="463" t="n">
        <f aca="false">I258-D258</f>
        <v>249</v>
      </c>
    </row>
    <row r="259" customFormat="false" ht="12.75" hidden="false" customHeight="true" outlineLevel="0" collapsed="false">
      <c r="A259" s="449" t="s">
        <v>8984</v>
      </c>
      <c r="B259" s="465" t="s">
        <v>8985</v>
      </c>
      <c r="C259" s="450" t="n">
        <v>2021</v>
      </c>
      <c r="D259" s="451" t="n">
        <v>44330</v>
      </c>
      <c r="E259" s="378" t="s">
        <v>8986</v>
      </c>
      <c r="F259" s="452" t="s">
        <v>5463</v>
      </c>
      <c r="G259" s="378" t="s">
        <v>1174</v>
      </c>
      <c r="H259" s="378" t="s">
        <v>310</v>
      </c>
      <c r="I259" s="453" t="n">
        <v>44708</v>
      </c>
      <c r="J259" s="452" t="n">
        <v>5</v>
      </c>
      <c r="K259" s="464" t="s">
        <v>53</v>
      </c>
      <c r="L259" s="455" t="s">
        <v>60</v>
      </c>
      <c r="M259" s="455" t="n">
        <f aca="false">I259-D259</f>
        <v>378</v>
      </c>
    </row>
    <row r="260" customFormat="false" ht="12.75" hidden="false" customHeight="true" outlineLevel="0" collapsed="false">
      <c r="A260" s="449" t="s">
        <v>8987</v>
      </c>
      <c r="B260" s="465" t="s">
        <v>8988</v>
      </c>
      <c r="C260" s="450" t="n">
        <v>2021</v>
      </c>
      <c r="D260" s="451" t="n">
        <v>44377</v>
      </c>
      <c r="E260" s="378" t="s">
        <v>8989</v>
      </c>
      <c r="F260" s="452" t="s">
        <v>509</v>
      </c>
      <c r="G260" s="505" t="s">
        <v>1174</v>
      </c>
      <c r="H260" s="378" t="s">
        <v>522</v>
      </c>
      <c r="I260" s="453" t="n">
        <v>44708</v>
      </c>
      <c r="J260" s="504" t="n">
        <v>5</v>
      </c>
      <c r="K260" s="464" t="s">
        <v>53</v>
      </c>
      <c r="L260" s="455" t="s">
        <v>58</v>
      </c>
      <c r="M260" s="455" t="n">
        <f aca="false">I260-D260</f>
        <v>331</v>
      </c>
    </row>
    <row r="261" customFormat="false" ht="12.75" hidden="false" customHeight="true" outlineLevel="0" collapsed="false">
      <c r="A261" s="449" t="s">
        <v>8990</v>
      </c>
      <c r="B261" s="450" t="s">
        <v>8991</v>
      </c>
      <c r="C261" s="450" t="n">
        <v>2021</v>
      </c>
      <c r="D261" s="451" t="n">
        <v>44400</v>
      </c>
      <c r="E261" s="452" t="s">
        <v>8992</v>
      </c>
      <c r="F261" s="452" t="s">
        <v>509</v>
      </c>
      <c r="G261" s="378" t="s">
        <v>1174</v>
      </c>
      <c r="H261" s="378" t="s">
        <v>8993</v>
      </c>
      <c r="I261" s="453" t="n">
        <v>44742</v>
      </c>
      <c r="J261" s="452" t="n">
        <v>6</v>
      </c>
      <c r="K261" s="464" t="s">
        <v>53</v>
      </c>
      <c r="L261" s="455" t="s">
        <v>58</v>
      </c>
      <c r="M261" s="455" t="n">
        <f aca="false">I261-D261</f>
        <v>342</v>
      </c>
    </row>
    <row r="262" customFormat="false" ht="12.75" hidden="false" customHeight="true" outlineLevel="0" collapsed="false">
      <c r="A262" s="449" t="s">
        <v>8994</v>
      </c>
      <c r="B262" s="450" t="s">
        <v>8995</v>
      </c>
      <c r="C262" s="450" t="n">
        <v>2021</v>
      </c>
      <c r="D262" s="451" t="n">
        <v>44340</v>
      </c>
      <c r="E262" s="452" t="s">
        <v>8996</v>
      </c>
      <c r="F262" s="452" t="s">
        <v>138</v>
      </c>
      <c r="G262" s="505" t="s">
        <v>1174</v>
      </c>
      <c r="H262" s="378" t="s">
        <v>522</v>
      </c>
      <c r="I262" s="453" t="n">
        <v>44791</v>
      </c>
      <c r="J262" s="504" t="n">
        <v>8</v>
      </c>
      <c r="K262" s="464" t="s">
        <v>53</v>
      </c>
      <c r="L262" s="455" t="s">
        <v>60</v>
      </c>
      <c r="M262" s="455" t="n">
        <f aca="false">I262-D262</f>
        <v>451</v>
      </c>
    </row>
    <row r="263" customFormat="false" ht="12.75" hidden="false" customHeight="true" outlineLevel="0" collapsed="false">
      <c r="A263" s="456" t="s">
        <v>8997</v>
      </c>
      <c r="B263" s="458" t="s">
        <v>8998</v>
      </c>
      <c r="C263" s="458" t="n">
        <v>2021</v>
      </c>
      <c r="D263" s="459" t="n">
        <v>44433</v>
      </c>
      <c r="E263" s="380" t="s">
        <v>8999</v>
      </c>
      <c r="F263" s="460" t="s">
        <v>467</v>
      </c>
      <c r="G263" s="460" t="s">
        <v>1174</v>
      </c>
      <c r="H263" s="380" t="s">
        <v>243</v>
      </c>
      <c r="I263" s="461" t="n">
        <v>44792</v>
      </c>
      <c r="J263" s="460" t="n">
        <v>8</v>
      </c>
      <c r="K263" s="462" t="s">
        <v>53</v>
      </c>
      <c r="L263" s="463" t="s">
        <v>60</v>
      </c>
      <c r="M263" s="463" t="n">
        <f aca="false">I263-D263</f>
        <v>359</v>
      </c>
    </row>
    <row r="264" customFormat="false" ht="12.75" hidden="false" customHeight="true" outlineLevel="0" collapsed="false">
      <c r="A264" s="449" t="s">
        <v>9000</v>
      </c>
      <c r="B264" s="450" t="s">
        <v>9001</v>
      </c>
      <c r="C264" s="450" t="n">
        <v>2021</v>
      </c>
      <c r="D264" s="451" t="n">
        <v>44286</v>
      </c>
      <c r="E264" s="452" t="s">
        <v>9002</v>
      </c>
      <c r="F264" s="452" t="s">
        <v>9003</v>
      </c>
      <c r="G264" s="378" t="s">
        <v>1174</v>
      </c>
      <c r="H264" s="378" t="s">
        <v>9004</v>
      </c>
      <c r="I264" s="453" t="n">
        <v>44839</v>
      </c>
      <c r="J264" s="504" t="n">
        <v>10</v>
      </c>
      <c r="K264" s="464" t="s">
        <v>53</v>
      </c>
      <c r="L264" s="455" t="s">
        <v>58</v>
      </c>
      <c r="M264" s="455" t="n">
        <f aca="false">I264-D264</f>
        <v>553</v>
      </c>
    </row>
    <row r="265" customFormat="false" ht="12.75" hidden="false" customHeight="true" outlineLevel="0" collapsed="false">
      <c r="A265" s="456" t="s">
        <v>9005</v>
      </c>
      <c r="B265" s="458" t="s">
        <v>9006</v>
      </c>
      <c r="C265" s="458" t="n">
        <v>2021</v>
      </c>
      <c r="D265" s="459" t="n">
        <v>44442</v>
      </c>
      <c r="E265" s="380" t="s">
        <v>9007</v>
      </c>
      <c r="F265" s="460" t="s">
        <v>1068</v>
      </c>
      <c r="G265" s="460" t="s">
        <v>1174</v>
      </c>
      <c r="H265" s="380" t="s">
        <v>139</v>
      </c>
      <c r="I265" s="459" t="n">
        <v>44876</v>
      </c>
      <c r="J265" s="460" t="n">
        <v>11</v>
      </c>
      <c r="K265" s="462" t="s">
        <v>53</v>
      </c>
      <c r="L265" s="463" t="s">
        <v>60</v>
      </c>
      <c r="M265" s="463" t="n">
        <f aca="false">I265-D265</f>
        <v>434</v>
      </c>
    </row>
    <row r="266" customFormat="false" ht="12.75" hidden="false" customHeight="true" outlineLevel="0" collapsed="false">
      <c r="A266" s="456" t="s">
        <v>9008</v>
      </c>
      <c r="B266" s="458" t="s">
        <v>9009</v>
      </c>
      <c r="C266" s="458" t="n">
        <v>2021</v>
      </c>
      <c r="D266" s="459" t="n">
        <v>44481</v>
      </c>
      <c r="E266" s="380" t="s">
        <v>9010</v>
      </c>
      <c r="F266" s="460" t="s">
        <v>1312</v>
      </c>
      <c r="G266" s="460" t="s">
        <v>1174</v>
      </c>
      <c r="H266" s="380" t="s">
        <v>263</v>
      </c>
      <c r="I266" s="459" t="n">
        <v>44876</v>
      </c>
      <c r="J266" s="511" t="n">
        <v>11</v>
      </c>
      <c r="K266" s="462" t="s">
        <v>53</v>
      </c>
      <c r="L266" s="463" t="s">
        <v>60</v>
      </c>
      <c r="M266" s="463" t="n">
        <f aca="false">I266-D266</f>
        <v>395</v>
      </c>
    </row>
    <row r="267" customFormat="false" ht="12.75" hidden="false" customHeight="true" outlineLevel="0" collapsed="false">
      <c r="A267" s="456" t="s">
        <v>9011</v>
      </c>
      <c r="B267" s="483" t="s">
        <v>9012</v>
      </c>
      <c r="C267" s="483" t="n">
        <v>2021</v>
      </c>
      <c r="D267" s="487" t="n">
        <v>44237</v>
      </c>
      <c r="E267" s="485" t="s">
        <v>9013</v>
      </c>
      <c r="F267" s="486" t="s">
        <v>780</v>
      </c>
      <c r="G267" s="486" t="s">
        <v>1174</v>
      </c>
      <c r="H267" s="485" t="s">
        <v>1571</v>
      </c>
      <c r="I267" s="484" t="n">
        <v>44889</v>
      </c>
      <c r="J267" s="486" t="n">
        <v>11</v>
      </c>
      <c r="K267" s="462" t="s">
        <v>53</v>
      </c>
      <c r="L267" s="463" t="s">
        <v>60</v>
      </c>
      <c r="M267" s="463" t="n">
        <f aca="false">I267-D267</f>
        <v>652</v>
      </c>
    </row>
    <row r="268" customFormat="false" ht="12.75" hidden="false" customHeight="true" outlineLevel="0" collapsed="false">
      <c r="A268" s="449" t="s">
        <v>9014</v>
      </c>
      <c r="B268" s="527" t="s">
        <v>9015</v>
      </c>
      <c r="C268" s="527" t="n">
        <v>2021</v>
      </c>
      <c r="D268" s="477" t="n">
        <v>44541</v>
      </c>
      <c r="E268" s="528" t="s">
        <v>9016</v>
      </c>
      <c r="F268" s="528" t="s">
        <v>1254</v>
      </c>
      <c r="G268" s="529" t="s">
        <v>1174</v>
      </c>
      <c r="H268" s="529" t="s">
        <v>9017</v>
      </c>
      <c r="I268" s="451" t="n">
        <v>44889</v>
      </c>
      <c r="J268" s="530" t="n">
        <v>11</v>
      </c>
      <c r="K268" s="464" t="s">
        <v>53</v>
      </c>
      <c r="L268" s="455" t="s">
        <v>60</v>
      </c>
      <c r="M268" s="455" t="n">
        <f aca="false">I268-D268</f>
        <v>348</v>
      </c>
    </row>
    <row r="269" customFormat="false" ht="12.75" hidden="false" customHeight="true" outlineLevel="0" collapsed="false">
      <c r="A269" s="456" t="s">
        <v>9018</v>
      </c>
      <c r="B269" s="458" t="s">
        <v>9019</v>
      </c>
      <c r="C269" s="458" t="n">
        <v>2021</v>
      </c>
      <c r="D269" s="461" t="n">
        <v>44286</v>
      </c>
      <c r="E269" s="380" t="s">
        <v>9020</v>
      </c>
      <c r="F269" s="460" t="s">
        <v>1068</v>
      </c>
      <c r="G269" s="460" t="s">
        <v>1174</v>
      </c>
      <c r="H269" s="380" t="s">
        <v>972</v>
      </c>
      <c r="I269" s="461" t="n">
        <v>44914</v>
      </c>
      <c r="J269" s="460" t="n">
        <v>12</v>
      </c>
      <c r="K269" s="462" t="s">
        <v>53</v>
      </c>
      <c r="L269" s="463" t="s">
        <v>60</v>
      </c>
      <c r="M269" s="463" t="n">
        <f aca="false">I269-D269</f>
        <v>628</v>
      </c>
    </row>
    <row r="270" customFormat="false" ht="15" hidden="false" customHeight="true" outlineLevel="0" collapsed="false">
      <c r="A270" s="456" t="s">
        <v>9021</v>
      </c>
      <c r="B270" s="458" t="s">
        <v>9022</v>
      </c>
      <c r="C270" s="458" t="n">
        <v>2021</v>
      </c>
      <c r="D270" s="461" t="n">
        <v>44328</v>
      </c>
      <c r="E270" s="380" t="s">
        <v>9023</v>
      </c>
      <c r="F270" s="460" t="s">
        <v>689</v>
      </c>
      <c r="G270" s="460" t="s">
        <v>1174</v>
      </c>
      <c r="H270" s="380" t="s">
        <v>243</v>
      </c>
      <c r="I270" s="461" t="n">
        <v>44914</v>
      </c>
      <c r="J270" s="511" t="n">
        <v>12</v>
      </c>
      <c r="K270" s="462" t="s">
        <v>53</v>
      </c>
      <c r="L270" s="463" t="s">
        <v>60</v>
      </c>
      <c r="M270" s="463" t="n">
        <f aca="false">I270-D270</f>
        <v>586</v>
      </c>
    </row>
    <row r="271" customFormat="false" ht="12.75" hidden="false" customHeight="true" outlineLevel="0" collapsed="false">
      <c r="A271" s="456" t="s">
        <v>9024</v>
      </c>
      <c r="B271" s="458" t="s">
        <v>9025</v>
      </c>
      <c r="C271" s="458" t="n">
        <v>2021</v>
      </c>
      <c r="D271" s="461" t="n">
        <v>44255</v>
      </c>
      <c r="E271" s="380" t="s">
        <v>9026</v>
      </c>
      <c r="F271" s="460" t="s">
        <v>569</v>
      </c>
      <c r="G271" s="460" t="s">
        <v>1174</v>
      </c>
      <c r="H271" s="380" t="s">
        <v>350</v>
      </c>
      <c r="I271" s="461" t="n">
        <v>44914</v>
      </c>
      <c r="J271" s="460" t="n">
        <v>12</v>
      </c>
      <c r="K271" s="462" t="s">
        <v>53</v>
      </c>
      <c r="L271" s="463" t="s">
        <v>58</v>
      </c>
      <c r="M271" s="463" t="n">
        <f aca="false">I271-D271</f>
        <v>659</v>
      </c>
    </row>
    <row r="272" customFormat="false" ht="12.75" hidden="false" customHeight="true" outlineLevel="0" collapsed="false">
      <c r="A272" s="456" t="s">
        <v>9027</v>
      </c>
      <c r="B272" s="458" t="s">
        <v>9028</v>
      </c>
      <c r="C272" s="458" t="n">
        <v>2021</v>
      </c>
      <c r="D272" s="461" t="n">
        <v>44397</v>
      </c>
      <c r="E272" s="380" t="s">
        <v>9029</v>
      </c>
      <c r="F272" s="460" t="s">
        <v>346</v>
      </c>
      <c r="G272" s="460" t="s">
        <v>1174</v>
      </c>
      <c r="H272" s="380" t="s">
        <v>310</v>
      </c>
      <c r="I272" s="461" t="n">
        <v>44917</v>
      </c>
      <c r="J272" s="511" t="n">
        <v>12</v>
      </c>
      <c r="K272" s="462" t="s">
        <v>53</v>
      </c>
      <c r="L272" s="463" t="s">
        <v>58</v>
      </c>
      <c r="M272" s="463" t="n">
        <f aca="false">I272-D272</f>
        <v>520</v>
      </c>
    </row>
    <row r="273" customFormat="false" ht="12.75" hidden="false" customHeight="true" outlineLevel="0" collapsed="false">
      <c r="A273" s="456" t="s">
        <v>9030</v>
      </c>
      <c r="B273" s="458" t="s">
        <v>9031</v>
      </c>
      <c r="C273" s="458" t="n">
        <v>2021</v>
      </c>
      <c r="D273" s="461" t="n">
        <v>44316</v>
      </c>
      <c r="E273" s="380" t="s">
        <v>9032</v>
      </c>
      <c r="F273" s="460" t="s">
        <v>671</v>
      </c>
      <c r="G273" s="460" t="s">
        <v>1174</v>
      </c>
      <c r="H273" s="380" t="s">
        <v>522</v>
      </c>
      <c r="I273" s="461" t="n">
        <v>44918</v>
      </c>
      <c r="J273" s="460" t="n">
        <v>12</v>
      </c>
      <c r="K273" s="462" t="s">
        <v>53</v>
      </c>
      <c r="L273" s="463" t="s">
        <v>2848</v>
      </c>
      <c r="M273" s="463" t="n">
        <f aca="false">I273-D273</f>
        <v>602</v>
      </c>
    </row>
    <row r="274" customFormat="false" ht="12.75" hidden="false" customHeight="true" outlineLevel="0" collapsed="false">
      <c r="A274" s="449" t="s">
        <v>9033</v>
      </c>
      <c r="B274" s="450" t="s">
        <v>9034</v>
      </c>
      <c r="C274" s="450" t="n">
        <v>2022</v>
      </c>
      <c r="D274" s="451" t="n">
        <v>44635</v>
      </c>
      <c r="E274" s="452" t="s">
        <v>9035</v>
      </c>
      <c r="F274" s="452" t="s">
        <v>1609</v>
      </c>
      <c r="G274" s="378" t="s">
        <v>1174</v>
      </c>
      <c r="H274" s="378" t="s">
        <v>1266</v>
      </c>
      <c r="I274" s="453" t="n">
        <v>44778</v>
      </c>
      <c r="J274" s="452" t="n">
        <v>8</v>
      </c>
      <c r="K274" s="464" t="s">
        <v>53</v>
      </c>
      <c r="L274" s="455" t="s">
        <v>2848</v>
      </c>
      <c r="M274" s="455" t="n">
        <f aca="false">I274-D274</f>
        <v>143</v>
      </c>
    </row>
    <row r="275" customFormat="false" ht="12.75" hidden="false" customHeight="true" outlineLevel="0" collapsed="false">
      <c r="A275" s="449" t="s">
        <v>9036</v>
      </c>
      <c r="B275" s="450" t="s">
        <v>9037</v>
      </c>
      <c r="C275" s="450" t="n">
        <v>2022</v>
      </c>
      <c r="D275" s="451" t="n">
        <v>44645</v>
      </c>
      <c r="E275" s="452" t="s">
        <v>9038</v>
      </c>
      <c r="F275" s="452" t="s">
        <v>1373</v>
      </c>
      <c r="G275" s="378" t="s">
        <v>1174</v>
      </c>
      <c r="H275" s="378" t="s">
        <v>1109</v>
      </c>
      <c r="I275" s="453" t="n">
        <v>44778</v>
      </c>
      <c r="J275" s="452" t="n">
        <v>8</v>
      </c>
      <c r="K275" s="464" t="s">
        <v>53</v>
      </c>
      <c r="L275" s="455" t="s">
        <v>60</v>
      </c>
      <c r="M275" s="455" t="n">
        <f aca="false">I275-D275</f>
        <v>133</v>
      </c>
    </row>
    <row r="276" customFormat="false" ht="15" hidden="false" customHeight="true" outlineLevel="0" collapsed="false">
      <c r="A276" s="449" t="s">
        <v>9039</v>
      </c>
      <c r="B276" s="527" t="s">
        <v>9040</v>
      </c>
      <c r="C276" s="527" t="n">
        <v>2022</v>
      </c>
      <c r="D276" s="531" t="n">
        <v>44648</v>
      </c>
      <c r="E276" s="528" t="s">
        <v>9041</v>
      </c>
      <c r="F276" s="528" t="s">
        <v>449</v>
      </c>
      <c r="G276" s="529" t="s">
        <v>1174</v>
      </c>
      <c r="H276" s="529" t="s">
        <v>394</v>
      </c>
      <c r="I276" s="451" t="n">
        <v>44889</v>
      </c>
      <c r="J276" s="528" t="n">
        <v>11</v>
      </c>
      <c r="K276" s="464" t="s">
        <v>53</v>
      </c>
      <c r="L276" s="455" t="s">
        <v>58</v>
      </c>
      <c r="M276" s="455" t="n">
        <f aca="false">I276-D276</f>
        <v>241</v>
      </c>
    </row>
    <row r="277" customFormat="false" ht="12.75" hidden="false" customHeight="true" outlineLevel="0" collapsed="false">
      <c r="A277" s="456" t="s">
        <v>9042</v>
      </c>
      <c r="B277" s="483" t="s">
        <v>9043</v>
      </c>
      <c r="C277" s="483" t="n">
        <v>2022</v>
      </c>
      <c r="D277" s="487" t="n">
        <v>44663</v>
      </c>
      <c r="E277" s="485" t="s">
        <v>9044</v>
      </c>
      <c r="F277" s="486" t="s">
        <v>1068</v>
      </c>
      <c r="G277" s="486" t="s">
        <v>1174</v>
      </c>
      <c r="H277" s="485" t="s">
        <v>184</v>
      </c>
      <c r="I277" s="484" t="n">
        <v>44889</v>
      </c>
      <c r="J277" s="486" t="n">
        <v>11</v>
      </c>
      <c r="K277" s="462" t="s">
        <v>53</v>
      </c>
      <c r="L277" s="463" t="s">
        <v>60</v>
      </c>
      <c r="M277" s="463" t="n">
        <f aca="false">I277-D277</f>
        <v>226</v>
      </c>
    </row>
    <row r="278" customFormat="false" ht="12.75" hidden="false" customHeight="true" outlineLevel="0" collapsed="false">
      <c r="A278" s="449" t="s">
        <v>9045</v>
      </c>
      <c r="B278" s="527" t="s">
        <v>9046</v>
      </c>
      <c r="C278" s="527" t="n">
        <v>2022</v>
      </c>
      <c r="D278" s="531" t="n">
        <v>44699</v>
      </c>
      <c r="E278" s="528" t="s">
        <v>9047</v>
      </c>
      <c r="F278" s="528" t="s">
        <v>1273</v>
      </c>
      <c r="G278" s="529" t="s">
        <v>1174</v>
      </c>
      <c r="H278" s="529" t="s">
        <v>1231</v>
      </c>
      <c r="I278" s="451" t="n">
        <v>44889</v>
      </c>
      <c r="J278" s="528" t="n">
        <v>11</v>
      </c>
      <c r="K278" s="464" t="s">
        <v>53</v>
      </c>
      <c r="L278" s="455" t="s">
        <v>58</v>
      </c>
      <c r="M278" s="455" t="n">
        <f aca="false">I278-D278</f>
        <v>190</v>
      </c>
    </row>
    <row r="279" customFormat="false" ht="12.75" hidden="false" customHeight="true" outlineLevel="0" collapsed="false">
      <c r="A279" s="449" t="s">
        <v>9048</v>
      </c>
      <c r="B279" s="450" t="s">
        <v>9049</v>
      </c>
      <c r="C279" s="450" t="n">
        <v>2022</v>
      </c>
      <c r="D279" s="453" t="n">
        <v>44736</v>
      </c>
      <c r="E279" s="452" t="s">
        <v>9050</v>
      </c>
      <c r="F279" s="452" t="s">
        <v>509</v>
      </c>
      <c r="G279" s="378" t="s">
        <v>1174</v>
      </c>
      <c r="H279" s="378" t="s">
        <v>1557</v>
      </c>
      <c r="I279" s="453" t="n">
        <v>44909</v>
      </c>
      <c r="J279" s="452" t="n">
        <v>12</v>
      </c>
      <c r="K279" s="464" t="s">
        <v>53</v>
      </c>
      <c r="L279" s="455" t="s">
        <v>58</v>
      </c>
      <c r="M279" s="455" t="n">
        <f aca="false">I279-D279</f>
        <v>173</v>
      </c>
    </row>
    <row r="280" customFormat="false" ht="12.75" hidden="false" customHeight="true" outlineLevel="0" collapsed="false">
      <c r="A280" s="456" t="s">
        <v>9051</v>
      </c>
      <c r="B280" s="458" t="s">
        <v>9052</v>
      </c>
      <c r="C280" s="458" t="n">
        <v>2022</v>
      </c>
      <c r="D280" s="461" t="n">
        <v>44617</v>
      </c>
      <c r="E280" s="380" t="s">
        <v>9053</v>
      </c>
      <c r="F280" s="460" t="s">
        <v>699</v>
      </c>
      <c r="G280" s="460" t="s">
        <v>1174</v>
      </c>
      <c r="H280" s="380" t="s">
        <v>243</v>
      </c>
      <c r="I280" s="461" t="n">
        <v>44909</v>
      </c>
      <c r="J280" s="460" t="n">
        <v>12</v>
      </c>
      <c r="K280" s="462" t="s">
        <v>53</v>
      </c>
      <c r="L280" s="463" t="s">
        <v>60</v>
      </c>
      <c r="M280" s="463" t="n">
        <f aca="false">I280-D280</f>
        <v>292</v>
      </c>
    </row>
    <row r="281" customFormat="false" ht="12.75" hidden="false" customHeight="true" outlineLevel="0" collapsed="false">
      <c r="A281" s="456" t="n">
        <v>122</v>
      </c>
      <c r="B281" s="458" t="s">
        <v>9054</v>
      </c>
      <c r="C281" s="458" t="n">
        <v>2017</v>
      </c>
      <c r="D281" s="459" t="n">
        <v>43084</v>
      </c>
      <c r="E281" s="532" t="s">
        <v>9055</v>
      </c>
      <c r="F281" s="380" t="s">
        <v>9056</v>
      </c>
      <c r="G281" s="460" t="s">
        <v>115</v>
      </c>
      <c r="H281" s="380" t="s">
        <v>9057</v>
      </c>
      <c r="I281" s="459" t="n">
        <v>44566</v>
      </c>
      <c r="J281" s="533" t="n">
        <v>1</v>
      </c>
      <c r="K281" s="466" t="s">
        <v>49</v>
      </c>
      <c r="L281" s="463" t="s">
        <v>58</v>
      </c>
      <c r="M281" s="463" t="n">
        <f aca="false">I281-D281</f>
        <v>1482</v>
      </c>
    </row>
    <row r="282" customFormat="false" ht="12.75" hidden="false" customHeight="true" outlineLevel="0" collapsed="false">
      <c r="A282" s="449" t="n">
        <v>222</v>
      </c>
      <c r="B282" s="450" t="s">
        <v>9058</v>
      </c>
      <c r="C282" s="450" t="n">
        <v>2014</v>
      </c>
      <c r="D282" s="451" t="n">
        <v>41766</v>
      </c>
      <c r="E282" s="452" t="s">
        <v>9059</v>
      </c>
      <c r="F282" s="378" t="s">
        <v>9060</v>
      </c>
      <c r="G282" s="452" t="s">
        <v>144</v>
      </c>
      <c r="H282" s="378" t="s">
        <v>1791</v>
      </c>
      <c r="I282" s="451" t="n">
        <v>44566</v>
      </c>
      <c r="J282" s="534" t="n">
        <v>1</v>
      </c>
      <c r="K282" s="466" t="s">
        <v>48</v>
      </c>
      <c r="L282" s="455" t="s">
        <v>58</v>
      </c>
      <c r="M282" s="455" t="n">
        <f aca="false">I282-D282</f>
        <v>2800</v>
      </c>
    </row>
    <row r="283" customFormat="false" ht="12.75" hidden="false" customHeight="true" outlineLevel="0" collapsed="false">
      <c r="A283" s="456" t="n">
        <v>322</v>
      </c>
      <c r="B283" s="458" t="s">
        <v>9061</v>
      </c>
      <c r="C283" s="458" t="n">
        <v>2018</v>
      </c>
      <c r="D283" s="459" t="n">
        <v>43343</v>
      </c>
      <c r="E283" s="532" t="s">
        <v>9062</v>
      </c>
      <c r="F283" s="380" t="s">
        <v>9063</v>
      </c>
      <c r="G283" s="460" t="s">
        <v>144</v>
      </c>
      <c r="H283" s="380" t="s">
        <v>5888</v>
      </c>
      <c r="I283" s="459" t="n">
        <v>44581</v>
      </c>
      <c r="J283" s="533" t="n">
        <v>1</v>
      </c>
      <c r="K283" s="535" t="s">
        <v>44</v>
      </c>
      <c r="L283" s="463" t="s">
        <v>58</v>
      </c>
      <c r="M283" s="463" t="n">
        <f aca="false">I283-D283</f>
        <v>1238</v>
      </c>
    </row>
    <row r="284" customFormat="false" ht="12.75" hidden="false" customHeight="true" outlineLevel="0" collapsed="false">
      <c r="A284" s="449" t="n">
        <v>422</v>
      </c>
      <c r="B284" s="450" t="s">
        <v>9064</v>
      </c>
      <c r="C284" s="450" t="n">
        <v>2019</v>
      </c>
      <c r="D284" s="451" t="n">
        <v>43798</v>
      </c>
      <c r="E284" s="452" t="s">
        <v>9065</v>
      </c>
      <c r="F284" s="378" t="s">
        <v>9066</v>
      </c>
      <c r="G284" s="452" t="s">
        <v>144</v>
      </c>
      <c r="H284" s="378" t="s">
        <v>5888</v>
      </c>
      <c r="I284" s="451" t="n">
        <v>44581</v>
      </c>
      <c r="J284" s="534" t="n">
        <v>1</v>
      </c>
      <c r="K284" s="466" t="s">
        <v>49</v>
      </c>
      <c r="L284" s="455" t="s">
        <v>58</v>
      </c>
      <c r="M284" s="455" t="n">
        <f aca="false">I284-D284</f>
        <v>783</v>
      </c>
    </row>
    <row r="285" customFormat="false" ht="12.75" hidden="false" customHeight="true" outlineLevel="0" collapsed="false">
      <c r="A285" s="456" t="n">
        <v>522</v>
      </c>
      <c r="B285" s="458" t="s">
        <v>9067</v>
      </c>
      <c r="C285" s="458" t="n">
        <v>2021</v>
      </c>
      <c r="D285" s="459" t="n">
        <v>44301</v>
      </c>
      <c r="E285" s="532" t="s">
        <v>9068</v>
      </c>
      <c r="F285" s="536" t="s">
        <v>9069</v>
      </c>
      <c r="G285" s="460" t="s">
        <v>125</v>
      </c>
      <c r="H285" s="380" t="s">
        <v>373</v>
      </c>
      <c r="I285" s="459" t="n">
        <v>44581</v>
      </c>
      <c r="J285" s="533" t="n">
        <v>1</v>
      </c>
      <c r="K285" s="466" t="s">
        <v>49</v>
      </c>
      <c r="L285" s="463" t="s">
        <v>61</v>
      </c>
      <c r="M285" s="463" t="n">
        <f aca="false">I285-D285</f>
        <v>280</v>
      </c>
    </row>
    <row r="286" customFormat="false" ht="12.75" hidden="false" customHeight="true" outlineLevel="0" collapsed="false">
      <c r="A286" s="449" t="n">
        <v>622</v>
      </c>
      <c r="B286" s="450" t="s">
        <v>9070</v>
      </c>
      <c r="C286" s="450" t="n">
        <v>2015</v>
      </c>
      <c r="D286" s="451" t="n">
        <v>42139</v>
      </c>
      <c r="E286" s="452" t="s">
        <v>9071</v>
      </c>
      <c r="F286" s="378" t="s">
        <v>3865</v>
      </c>
      <c r="G286" s="452" t="s">
        <v>144</v>
      </c>
      <c r="H286" s="378" t="s">
        <v>119</v>
      </c>
      <c r="I286" s="451" t="n">
        <v>44581</v>
      </c>
      <c r="J286" s="534" t="n">
        <v>1</v>
      </c>
      <c r="K286" s="466" t="s">
        <v>49</v>
      </c>
      <c r="L286" s="455" t="s">
        <v>60</v>
      </c>
      <c r="M286" s="455" t="n">
        <f aca="false">I286-D286</f>
        <v>2442</v>
      </c>
    </row>
    <row r="287" customFormat="false" ht="12.75" hidden="false" customHeight="true" outlineLevel="0" collapsed="false">
      <c r="A287" s="456" t="n">
        <v>722</v>
      </c>
      <c r="B287" s="458" t="s">
        <v>9072</v>
      </c>
      <c r="C287" s="458" t="n">
        <v>2017</v>
      </c>
      <c r="D287" s="459" t="n">
        <v>42884</v>
      </c>
      <c r="E287" s="532" t="s">
        <v>9073</v>
      </c>
      <c r="F287" s="380" t="s">
        <v>164</v>
      </c>
      <c r="G287" s="460" t="s">
        <v>441</v>
      </c>
      <c r="H287" s="380" t="s">
        <v>267</v>
      </c>
      <c r="I287" s="459" t="n">
        <v>44581</v>
      </c>
      <c r="J287" s="533" t="n">
        <v>1</v>
      </c>
      <c r="K287" s="466" t="s">
        <v>48</v>
      </c>
      <c r="L287" s="463" t="s">
        <v>2848</v>
      </c>
      <c r="M287" s="463" t="n">
        <f aca="false">I287-D287</f>
        <v>1697</v>
      </c>
    </row>
    <row r="288" customFormat="false" ht="12.75" hidden="false" customHeight="true" outlineLevel="0" collapsed="false">
      <c r="A288" s="449" t="n">
        <v>822</v>
      </c>
      <c r="B288" s="450" t="s">
        <v>9074</v>
      </c>
      <c r="C288" s="450" t="n">
        <v>2021</v>
      </c>
      <c r="D288" s="451" t="n">
        <v>44391</v>
      </c>
      <c r="E288" s="452" t="s">
        <v>9075</v>
      </c>
      <c r="F288" s="537" t="s">
        <v>9076</v>
      </c>
      <c r="G288" s="452" t="s">
        <v>130</v>
      </c>
      <c r="H288" s="378" t="s">
        <v>9077</v>
      </c>
      <c r="I288" s="451" t="n">
        <v>44581</v>
      </c>
      <c r="J288" s="534" t="n">
        <v>1</v>
      </c>
      <c r="K288" s="468" t="s">
        <v>290</v>
      </c>
      <c r="L288" s="455" t="s">
        <v>61</v>
      </c>
      <c r="M288" s="455" t="n">
        <f aca="false">I288-D288</f>
        <v>190</v>
      </c>
    </row>
    <row r="289" customFormat="false" ht="12.75" hidden="false" customHeight="true" outlineLevel="0" collapsed="false">
      <c r="A289" s="456" t="n">
        <v>922</v>
      </c>
      <c r="B289" s="458" t="s">
        <v>9078</v>
      </c>
      <c r="C289" s="458" t="n">
        <v>2014</v>
      </c>
      <c r="D289" s="459" t="n">
        <v>41962</v>
      </c>
      <c r="E289" s="532" t="s">
        <v>9079</v>
      </c>
      <c r="F289" s="380" t="s">
        <v>8232</v>
      </c>
      <c r="G289" s="460" t="s">
        <v>441</v>
      </c>
      <c r="H289" s="380" t="s">
        <v>706</v>
      </c>
      <c r="I289" s="459" t="n">
        <v>44581</v>
      </c>
      <c r="J289" s="533" t="n">
        <v>1</v>
      </c>
      <c r="K289" s="466" t="s">
        <v>49</v>
      </c>
      <c r="L289" s="463" t="s">
        <v>60</v>
      </c>
      <c r="M289" s="463" t="n">
        <f aca="false">I289-D289</f>
        <v>2619</v>
      </c>
    </row>
    <row r="290" customFormat="false" ht="12.75" hidden="false" customHeight="true" outlineLevel="0" collapsed="false">
      <c r="A290" s="449" t="n">
        <v>1022</v>
      </c>
      <c r="B290" s="450" t="s">
        <v>9080</v>
      </c>
      <c r="C290" s="450" t="n">
        <v>2020</v>
      </c>
      <c r="D290" s="451" t="n">
        <v>44082</v>
      </c>
      <c r="E290" s="452" t="s">
        <v>9081</v>
      </c>
      <c r="F290" s="378" t="s">
        <v>168</v>
      </c>
      <c r="G290" s="452" t="s">
        <v>441</v>
      </c>
      <c r="H290" s="378" t="s">
        <v>1072</v>
      </c>
      <c r="I290" s="451" t="n">
        <v>44581</v>
      </c>
      <c r="J290" s="452" t="n">
        <v>1</v>
      </c>
      <c r="K290" s="535" t="s">
        <v>44</v>
      </c>
      <c r="L290" s="455" t="s">
        <v>58</v>
      </c>
      <c r="M290" s="455" t="n">
        <f aca="false">I290-D290</f>
        <v>499</v>
      </c>
    </row>
    <row r="291" customFormat="false" ht="12.75" hidden="false" customHeight="true" outlineLevel="0" collapsed="false">
      <c r="A291" s="456" t="n">
        <v>1122</v>
      </c>
      <c r="B291" s="458" t="s">
        <v>9082</v>
      </c>
      <c r="C291" s="458" t="n">
        <v>2020</v>
      </c>
      <c r="D291" s="459" t="n">
        <v>44039</v>
      </c>
      <c r="E291" s="532" t="s">
        <v>9083</v>
      </c>
      <c r="F291" s="380" t="s">
        <v>9084</v>
      </c>
      <c r="G291" s="460" t="s">
        <v>441</v>
      </c>
      <c r="H291" s="380" t="s">
        <v>1072</v>
      </c>
      <c r="I291" s="459" t="n">
        <v>44581</v>
      </c>
      <c r="J291" s="460" t="n">
        <v>1</v>
      </c>
      <c r="K291" s="466" t="s">
        <v>48</v>
      </c>
      <c r="L291" s="463" t="s">
        <v>58</v>
      </c>
      <c r="M291" s="463" t="n">
        <f aca="false">I291-D291</f>
        <v>542</v>
      </c>
    </row>
    <row r="292" customFormat="false" ht="12.75" hidden="false" customHeight="true" outlineLevel="0" collapsed="false">
      <c r="A292" s="449" t="n">
        <v>1222</v>
      </c>
      <c r="B292" s="450" t="s">
        <v>9085</v>
      </c>
      <c r="C292" s="450" t="n">
        <v>2020</v>
      </c>
      <c r="D292" s="451" t="n">
        <v>44117</v>
      </c>
      <c r="E292" s="452" t="s">
        <v>9086</v>
      </c>
      <c r="F292" s="378" t="s">
        <v>9087</v>
      </c>
      <c r="G292" s="452" t="s">
        <v>441</v>
      </c>
      <c r="H292" s="378" t="s">
        <v>1072</v>
      </c>
      <c r="I292" s="451" t="n">
        <v>44581</v>
      </c>
      <c r="J292" s="452" t="n">
        <v>1</v>
      </c>
      <c r="K292" s="466" t="s">
        <v>48</v>
      </c>
      <c r="L292" s="455" t="s">
        <v>58</v>
      </c>
      <c r="M292" s="455" t="n">
        <f aca="false">I292-D292</f>
        <v>464</v>
      </c>
    </row>
    <row r="293" customFormat="false" ht="12.75" hidden="false" customHeight="true" outlineLevel="0" collapsed="false">
      <c r="A293" s="456" t="n">
        <v>1322</v>
      </c>
      <c r="B293" s="458" t="s">
        <v>9088</v>
      </c>
      <c r="C293" s="458" t="n">
        <v>2020</v>
      </c>
      <c r="D293" s="459" t="n">
        <v>44082</v>
      </c>
      <c r="E293" s="532" t="s">
        <v>9089</v>
      </c>
      <c r="F293" s="380" t="s">
        <v>168</v>
      </c>
      <c r="G293" s="460" t="s">
        <v>441</v>
      </c>
      <c r="H293" s="380" t="s">
        <v>1072</v>
      </c>
      <c r="I293" s="459" t="n">
        <v>44581</v>
      </c>
      <c r="J293" s="460" t="n">
        <v>1</v>
      </c>
      <c r="K293" s="535" t="s">
        <v>44</v>
      </c>
      <c r="L293" s="463" t="s">
        <v>58</v>
      </c>
      <c r="M293" s="463" t="n">
        <f aca="false">I293-D293</f>
        <v>499</v>
      </c>
    </row>
    <row r="294" customFormat="false" ht="12.75" hidden="false" customHeight="true" outlineLevel="0" collapsed="false">
      <c r="A294" s="449" t="n">
        <v>1422</v>
      </c>
      <c r="B294" s="450" t="s">
        <v>9090</v>
      </c>
      <c r="C294" s="450" t="n">
        <v>2016</v>
      </c>
      <c r="D294" s="451" t="n">
        <v>42685</v>
      </c>
      <c r="E294" s="452" t="s">
        <v>9091</v>
      </c>
      <c r="F294" s="378" t="s">
        <v>9092</v>
      </c>
      <c r="G294" s="452" t="s">
        <v>441</v>
      </c>
      <c r="H294" s="378" t="s">
        <v>254</v>
      </c>
      <c r="I294" s="451" t="n">
        <v>44581</v>
      </c>
      <c r="J294" s="452" t="n">
        <v>1</v>
      </c>
      <c r="K294" s="466" t="s">
        <v>48</v>
      </c>
      <c r="L294" s="455" t="s">
        <v>60</v>
      </c>
      <c r="M294" s="455" t="n">
        <f aca="false">I294-D294</f>
        <v>1896</v>
      </c>
    </row>
    <row r="295" customFormat="false" ht="12.75" hidden="false" customHeight="true" outlineLevel="0" collapsed="false">
      <c r="A295" s="456" t="n">
        <v>1522</v>
      </c>
      <c r="B295" s="458" t="s">
        <v>9093</v>
      </c>
      <c r="C295" s="458" t="n">
        <v>2015</v>
      </c>
      <c r="D295" s="459" t="n">
        <v>42335</v>
      </c>
      <c r="E295" s="532" t="s">
        <v>9094</v>
      </c>
      <c r="F295" s="380" t="s">
        <v>9095</v>
      </c>
      <c r="G295" s="460" t="s">
        <v>441</v>
      </c>
      <c r="H295" s="380" t="s">
        <v>208</v>
      </c>
      <c r="I295" s="459" t="n">
        <v>44585</v>
      </c>
      <c r="J295" s="460" t="n">
        <v>1</v>
      </c>
      <c r="K295" s="466" t="s">
        <v>49</v>
      </c>
      <c r="L295" s="463" t="s">
        <v>58</v>
      </c>
      <c r="M295" s="463" t="n">
        <f aca="false">I295-D295</f>
        <v>2250</v>
      </c>
    </row>
    <row r="296" customFormat="false" ht="12.75" hidden="false" customHeight="true" outlineLevel="0" collapsed="false">
      <c r="A296" s="449" t="n">
        <v>1622</v>
      </c>
      <c r="B296" s="450" t="s">
        <v>9096</v>
      </c>
      <c r="C296" s="450" t="n">
        <v>2020</v>
      </c>
      <c r="D296" s="451" t="n">
        <v>43949</v>
      </c>
      <c r="E296" s="452" t="s">
        <v>9097</v>
      </c>
      <c r="F296" s="378" t="s">
        <v>9098</v>
      </c>
      <c r="G296" s="452" t="s">
        <v>441</v>
      </c>
      <c r="H296" s="378" t="s">
        <v>267</v>
      </c>
      <c r="I296" s="451" t="n">
        <v>44585</v>
      </c>
      <c r="J296" s="452" t="n">
        <v>1</v>
      </c>
      <c r="K296" s="466" t="s">
        <v>49</v>
      </c>
      <c r="L296" s="455" t="s">
        <v>58</v>
      </c>
      <c r="M296" s="455" t="n">
        <f aca="false">I296-D296</f>
        <v>636</v>
      </c>
    </row>
    <row r="297" customFormat="false" ht="12.75" hidden="false" customHeight="true" outlineLevel="0" collapsed="false">
      <c r="A297" s="456" t="n">
        <v>1722</v>
      </c>
      <c r="B297" s="458" t="s">
        <v>9099</v>
      </c>
      <c r="C297" s="458" t="n">
        <v>2015</v>
      </c>
      <c r="D297" s="459" t="n">
        <v>42132</v>
      </c>
      <c r="E297" s="460" t="s">
        <v>9100</v>
      </c>
      <c r="F297" s="380" t="s">
        <v>3101</v>
      </c>
      <c r="G297" s="460" t="s">
        <v>441</v>
      </c>
      <c r="H297" s="380" t="s">
        <v>697</v>
      </c>
      <c r="I297" s="459" t="n">
        <v>44592</v>
      </c>
      <c r="J297" s="460" t="n">
        <v>1</v>
      </c>
      <c r="K297" s="538" t="s">
        <v>43</v>
      </c>
      <c r="L297" s="463" t="s">
        <v>61</v>
      </c>
      <c r="M297" s="463" t="n">
        <f aca="false">I297-D297</f>
        <v>2460</v>
      </c>
    </row>
    <row r="298" customFormat="false" ht="12.75" hidden="false" customHeight="true" outlineLevel="0" collapsed="false">
      <c r="A298" s="449" t="n">
        <v>1822</v>
      </c>
      <c r="B298" s="450" t="s">
        <v>9101</v>
      </c>
      <c r="C298" s="450" t="n">
        <v>2017</v>
      </c>
      <c r="D298" s="451" t="n">
        <v>43053</v>
      </c>
      <c r="E298" s="452" t="s">
        <v>9102</v>
      </c>
      <c r="F298" s="378" t="s">
        <v>446</v>
      </c>
      <c r="G298" s="452" t="s">
        <v>441</v>
      </c>
      <c r="H298" s="378" t="s">
        <v>1567</v>
      </c>
      <c r="I298" s="451" t="n">
        <v>44592</v>
      </c>
      <c r="J298" s="452" t="n">
        <v>1</v>
      </c>
      <c r="K298" s="466" t="s">
        <v>49</v>
      </c>
      <c r="L298" s="455" t="s">
        <v>60</v>
      </c>
      <c r="M298" s="455" t="n">
        <f aca="false">I298-D298</f>
        <v>1539</v>
      </c>
    </row>
    <row r="299" customFormat="false" ht="12.75" hidden="false" customHeight="true" outlineLevel="0" collapsed="false">
      <c r="A299" s="456" t="n">
        <v>1922</v>
      </c>
      <c r="B299" s="458" t="s">
        <v>9103</v>
      </c>
      <c r="C299" s="458" t="n">
        <v>2020</v>
      </c>
      <c r="D299" s="459" t="n">
        <v>44043</v>
      </c>
      <c r="E299" s="460" t="s">
        <v>9104</v>
      </c>
      <c r="F299" s="536" t="s">
        <v>9105</v>
      </c>
      <c r="G299" s="460" t="s">
        <v>130</v>
      </c>
      <c r="H299" s="380" t="s">
        <v>398</v>
      </c>
      <c r="I299" s="459" t="n">
        <v>44592</v>
      </c>
      <c r="J299" s="460" t="n">
        <v>1</v>
      </c>
      <c r="K299" s="468" t="s">
        <v>290</v>
      </c>
      <c r="L299" s="463" t="s">
        <v>61</v>
      </c>
      <c r="M299" s="463" t="n">
        <f aca="false">I299-D299</f>
        <v>549</v>
      </c>
    </row>
    <row r="300" customFormat="false" ht="12.75" hidden="false" customHeight="true" outlineLevel="0" collapsed="false">
      <c r="A300" s="449" t="n">
        <v>2022</v>
      </c>
      <c r="B300" s="450" t="s">
        <v>9106</v>
      </c>
      <c r="C300" s="450" t="n">
        <v>2016</v>
      </c>
      <c r="D300" s="451" t="n">
        <v>42703</v>
      </c>
      <c r="E300" s="452" t="s">
        <v>9107</v>
      </c>
      <c r="F300" s="378" t="s">
        <v>7510</v>
      </c>
      <c r="G300" s="452" t="s">
        <v>144</v>
      </c>
      <c r="H300" s="378" t="s">
        <v>254</v>
      </c>
      <c r="I300" s="451" t="n">
        <v>44592</v>
      </c>
      <c r="J300" s="452" t="n">
        <v>1</v>
      </c>
      <c r="K300" s="468" t="s">
        <v>290</v>
      </c>
      <c r="L300" s="455" t="s">
        <v>60</v>
      </c>
      <c r="M300" s="455" t="n">
        <f aca="false">I300-D300</f>
        <v>1889</v>
      </c>
    </row>
    <row r="301" customFormat="false" ht="15" hidden="false" customHeight="true" outlineLevel="0" collapsed="false">
      <c r="A301" s="456" t="n">
        <v>2122</v>
      </c>
      <c r="B301" s="458" t="s">
        <v>9108</v>
      </c>
      <c r="C301" s="458" t="n">
        <v>2021</v>
      </c>
      <c r="D301" s="459" t="n">
        <v>44399</v>
      </c>
      <c r="E301" s="460" t="s">
        <v>9109</v>
      </c>
      <c r="F301" s="536" t="s">
        <v>9110</v>
      </c>
      <c r="G301" s="460" t="s">
        <v>130</v>
      </c>
      <c r="H301" s="380" t="s">
        <v>7263</v>
      </c>
      <c r="I301" s="459" t="n">
        <v>44592</v>
      </c>
      <c r="J301" s="460" t="n">
        <v>1</v>
      </c>
      <c r="K301" s="466" t="s">
        <v>49</v>
      </c>
      <c r="L301" s="463" t="s">
        <v>61</v>
      </c>
      <c r="M301" s="463" t="n">
        <f aca="false">I301-D301</f>
        <v>193</v>
      </c>
    </row>
    <row r="302" customFormat="false" ht="12.75" hidden="false" customHeight="true" outlineLevel="0" collapsed="false">
      <c r="A302" s="449" t="n">
        <v>2222</v>
      </c>
      <c r="B302" s="450" t="s">
        <v>9111</v>
      </c>
      <c r="C302" s="450" t="n">
        <v>2020</v>
      </c>
      <c r="D302" s="451" t="n">
        <v>44033</v>
      </c>
      <c r="E302" s="452" t="s">
        <v>9112</v>
      </c>
      <c r="F302" s="378" t="s">
        <v>325</v>
      </c>
      <c r="G302" s="452" t="s">
        <v>130</v>
      </c>
      <c r="H302" s="378" t="s">
        <v>398</v>
      </c>
      <c r="I302" s="451" t="n">
        <v>44592</v>
      </c>
      <c r="J302" s="452" t="n">
        <v>1</v>
      </c>
      <c r="K302" s="468" t="s">
        <v>290</v>
      </c>
      <c r="L302" s="455" t="s">
        <v>61</v>
      </c>
      <c r="M302" s="455" t="n">
        <f aca="false">I302-D302</f>
        <v>559</v>
      </c>
    </row>
    <row r="303" customFormat="false" ht="12.75" hidden="false" customHeight="true" outlineLevel="0" collapsed="false">
      <c r="A303" s="456" t="n">
        <v>2322</v>
      </c>
      <c r="B303" s="458" t="s">
        <v>9113</v>
      </c>
      <c r="C303" s="458" t="n">
        <v>2016</v>
      </c>
      <c r="D303" s="459" t="n">
        <v>42563</v>
      </c>
      <c r="E303" s="460" t="s">
        <v>9114</v>
      </c>
      <c r="F303" s="380" t="s">
        <v>7510</v>
      </c>
      <c r="G303" s="460" t="s">
        <v>144</v>
      </c>
      <c r="H303" s="380" t="s">
        <v>254</v>
      </c>
      <c r="I303" s="459" t="n">
        <v>44592</v>
      </c>
      <c r="J303" s="460" t="n">
        <v>1</v>
      </c>
      <c r="K303" s="468" t="s">
        <v>290</v>
      </c>
      <c r="L303" s="463" t="s">
        <v>60</v>
      </c>
      <c r="M303" s="463" t="n">
        <f aca="false">I303-D303</f>
        <v>2029</v>
      </c>
    </row>
    <row r="304" customFormat="false" ht="12.75" hidden="false" customHeight="true" outlineLevel="0" collapsed="false">
      <c r="A304" s="449" t="n">
        <v>2422</v>
      </c>
      <c r="B304" s="450" t="s">
        <v>9115</v>
      </c>
      <c r="C304" s="450" t="n">
        <v>2016</v>
      </c>
      <c r="D304" s="451" t="n">
        <v>42563</v>
      </c>
      <c r="E304" s="452" t="s">
        <v>9116</v>
      </c>
      <c r="F304" s="378" t="s">
        <v>7510</v>
      </c>
      <c r="G304" s="452" t="s">
        <v>144</v>
      </c>
      <c r="H304" s="378" t="s">
        <v>254</v>
      </c>
      <c r="I304" s="451" t="n">
        <v>44592</v>
      </c>
      <c r="J304" s="452" t="n">
        <v>1</v>
      </c>
      <c r="K304" s="468" t="s">
        <v>290</v>
      </c>
      <c r="L304" s="455" t="s">
        <v>60</v>
      </c>
      <c r="M304" s="455" t="n">
        <f aca="false">I304-D304</f>
        <v>2029</v>
      </c>
    </row>
    <row r="305" customFormat="false" ht="12.75" hidden="false" customHeight="true" outlineLevel="0" collapsed="false">
      <c r="A305" s="456" t="n">
        <v>2522</v>
      </c>
      <c r="B305" s="458" t="s">
        <v>9117</v>
      </c>
      <c r="C305" s="458" t="n">
        <v>2018</v>
      </c>
      <c r="D305" s="459" t="n">
        <v>43343</v>
      </c>
      <c r="E305" s="460" t="s">
        <v>9118</v>
      </c>
      <c r="F305" s="380" t="s">
        <v>9119</v>
      </c>
      <c r="G305" s="460" t="s">
        <v>144</v>
      </c>
      <c r="H305" s="380" t="s">
        <v>5888</v>
      </c>
      <c r="I305" s="459" t="n">
        <v>44595</v>
      </c>
      <c r="J305" s="460" t="n">
        <v>2</v>
      </c>
      <c r="K305" s="535" t="s">
        <v>44</v>
      </c>
      <c r="L305" s="463" t="s">
        <v>58</v>
      </c>
      <c r="M305" s="463" t="n">
        <f aca="false">I305-D305</f>
        <v>1252</v>
      </c>
    </row>
    <row r="306" customFormat="false" ht="12.75" hidden="false" customHeight="true" outlineLevel="0" collapsed="false">
      <c r="A306" s="449" t="n">
        <v>2622</v>
      </c>
      <c r="B306" s="450" t="s">
        <v>9120</v>
      </c>
      <c r="C306" s="450" t="n">
        <v>2017</v>
      </c>
      <c r="D306" s="451" t="n">
        <v>42788</v>
      </c>
      <c r="E306" s="452" t="s">
        <v>9121</v>
      </c>
      <c r="F306" s="378" t="s">
        <v>138</v>
      </c>
      <c r="G306" s="452" t="s">
        <v>441</v>
      </c>
      <c r="H306" s="378" t="s">
        <v>223</v>
      </c>
      <c r="I306" s="451" t="n">
        <v>44607</v>
      </c>
      <c r="J306" s="452" t="n">
        <v>2</v>
      </c>
      <c r="K306" s="466" t="s">
        <v>48</v>
      </c>
      <c r="L306" s="455" t="s">
        <v>61</v>
      </c>
      <c r="M306" s="455" t="n">
        <f aca="false">I306-D306</f>
        <v>1819</v>
      </c>
    </row>
    <row r="307" customFormat="false" ht="12.75" hidden="false" customHeight="true" outlineLevel="0" collapsed="false">
      <c r="A307" s="456" t="n">
        <v>2722</v>
      </c>
      <c r="B307" s="458" t="s">
        <v>9122</v>
      </c>
      <c r="C307" s="458" t="n">
        <v>2011</v>
      </c>
      <c r="D307" s="459" t="n">
        <v>40591</v>
      </c>
      <c r="E307" s="460" t="s">
        <v>9123</v>
      </c>
      <c r="F307" s="380" t="s">
        <v>9124</v>
      </c>
      <c r="G307" s="460" t="s">
        <v>115</v>
      </c>
      <c r="H307" s="380" t="s">
        <v>3493</v>
      </c>
      <c r="I307" s="459" t="n">
        <v>44607</v>
      </c>
      <c r="J307" s="460" t="n">
        <v>2</v>
      </c>
      <c r="K307" s="466" t="s">
        <v>48</v>
      </c>
      <c r="L307" s="463" t="s">
        <v>58</v>
      </c>
      <c r="M307" s="463" t="n">
        <f aca="false">I307-D307</f>
        <v>4016</v>
      </c>
    </row>
    <row r="308" customFormat="false" ht="12.75" hidden="false" customHeight="true" outlineLevel="0" collapsed="false">
      <c r="A308" s="449" t="n">
        <v>2822</v>
      </c>
      <c r="B308" s="450" t="s">
        <v>9125</v>
      </c>
      <c r="C308" s="450" t="n">
        <v>2021</v>
      </c>
      <c r="D308" s="451" t="n">
        <v>44396</v>
      </c>
      <c r="E308" s="452" t="s">
        <v>9126</v>
      </c>
      <c r="F308" s="378" t="s">
        <v>661</v>
      </c>
      <c r="G308" s="452" t="s">
        <v>130</v>
      </c>
      <c r="H308" s="378" t="s">
        <v>3225</v>
      </c>
      <c r="I308" s="451" t="n">
        <v>44607</v>
      </c>
      <c r="J308" s="452" t="n">
        <v>2</v>
      </c>
      <c r="K308" s="466" t="s">
        <v>49</v>
      </c>
      <c r="L308" s="455" t="s">
        <v>61</v>
      </c>
      <c r="M308" s="455" t="n">
        <f aca="false">I308-D308</f>
        <v>211</v>
      </c>
    </row>
    <row r="309" customFormat="false" ht="12.75" hidden="false" customHeight="true" outlineLevel="0" collapsed="false">
      <c r="A309" s="456" t="n">
        <v>2922</v>
      </c>
      <c r="B309" s="458" t="s">
        <v>9127</v>
      </c>
      <c r="C309" s="458" t="n">
        <v>2021</v>
      </c>
      <c r="D309" s="459" t="n">
        <v>44398</v>
      </c>
      <c r="E309" s="460" t="s">
        <v>9128</v>
      </c>
      <c r="F309" s="380" t="s">
        <v>9129</v>
      </c>
      <c r="G309" s="460" t="s">
        <v>125</v>
      </c>
      <c r="H309" s="380" t="s">
        <v>9130</v>
      </c>
      <c r="I309" s="459" t="n">
        <v>44607</v>
      </c>
      <c r="J309" s="460" t="n">
        <v>2</v>
      </c>
      <c r="K309" s="468" t="s">
        <v>290</v>
      </c>
      <c r="L309" s="463" t="s">
        <v>61</v>
      </c>
      <c r="M309" s="463" t="n">
        <f aca="false">I309-D309</f>
        <v>209</v>
      </c>
    </row>
    <row r="310" customFormat="false" ht="12.75" hidden="false" customHeight="true" outlineLevel="0" collapsed="false">
      <c r="A310" s="449" t="n">
        <v>3022</v>
      </c>
      <c r="B310" s="450" t="s">
        <v>9131</v>
      </c>
      <c r="C310" s="450" t="n">
        <v>2015</v>
      </c>
      <c r="D310" s="451" t="n">
        <v>42118</v>
      </c>
      <c r="E310" s="452" t="s">
        <v>9132</v>
      </c>
      <c r="F310" s="378" t="s">
        <v>823</v>
      </c>
      <c r="G310" s="452" t="s">
        <v>441</v>
      </c>
      <c r="H310" s="378" t="s">
        <v>223</v>
      </c>
      <c r="I310" s="451" t="n">
        <v>44610</v>
      </c>
      <c r="J310" s="452" t="n">
        <v>2</v>
      </c>
      <c r="K310" s="466" t="s">
        <v>48</v>
      </c>
      <c r="L310" s="455" t="s">
        <v>58</v>
      </c>
      <c r="M310" s="455" t="n">
        <f aca="false">I310-D310</f>
        <v>2492</v>
      </c>
    </row>
    <row r="311" customFormat="false" ht="12.75" hidden="false" customHeight="true" outlineLevel="0" collapsed="false">
      <c r="A311" s="456" t="n">
        <v>3122</v>
      </c>
      <c r="B311" s="458" t="s">
        <v>9133</v>
      </c>
      <c r="C311" s="458" t="n">
        <v>2014</v>
      </c>
      <c r="D311" s="459" t="n">
        <v>41799</v>
      </c>
      <c r="E311" s="460" t="s">
        <v>9134</v>
      </c>
      <c r="F311" s="380" t="s">
        <v>780</v>
      </c>
      <c r="G311" s="460" t="s">
        <v>441</v>
      </c>
      <c r="H311" s="380" t="s">
        <v>254</v>
      </c>
      <c r="I311" s="459" t="n">
        <v>44610</v>
      </c>
      <c r="J311" s="460" t="n">
        <v>2</v>
      </c>
      <c r="K311" s="466" t="s">
        <v>49</v>
      </c>
      <c r="L311" s="463" t="s">
        <v>60</v>
      </c>
      <c r="M311" s="463" t="n">
        <f aca="false">I311-D311</f>
        <v>2811</v>
      </c>
    </row>
    <row r="312" customFormat="false" ht="12.75" hidden="false" customHeight="true" outlineLevel="0" collapsed="false">
      <c r="A312" s="449" t="n">
        <v>3222</v>
      </c>
      <c r="B312" s="450" t="s">
        <v>9135</v>
      </c>
      <c r="C312" s="450" t="n">
        <v>2015</v>
      </c>
      <c r="D312" s="451" t="n">
        <v>42206</v>
      </c>
      <c r="E312" s="452" t="s">
        <v>9136</v>
      </c>
      <c r="F312" s="378" t="s">
        <v>9137</v>
      </c>
      <c r="G312" s="452" t="s">
        <v>441</v>
      </c>
      <c r="H312" s="378" t="s">
        <v>254</v>
      </c>
      <c r="I312" s="451" t="n">
        <v>44610</v>
      </c>
      <c r="J312" s="452" t="n">
        <v>2</v>
      </c>
      <c r="K312" s="466" t="s">
        <v>48</v>
      </c>
      <c r="L312" s="455" t="s">
        <v>58</v>
      </c>
      <c r="M312" s="455" t="n">
        <f aca="false">I312-D312</f>
        <v>2404</v>
      </c>
    </row>
    <row r="313" customFormat="false" ht="12.75" hidden="false" customHeight="true" outlineLevel="0" collapsed="false">
      <c r="A313" s="456" t="n">
        <v>3322</v>
      </c>
      <c r="B313" s="458" t="s">
        <v>9138</v>
      </c>
      <c r="C313" s="458" t="n">
        <v>2015</v>
      </c>
      <c r="D313" s="459" t="n">
        <v>42247</v>
      </c>
      <c r="E313" s="460" t="s">
        <v>9139</v>
      </c>
      <c r="F313" s="380" t="s">
        <v>238</v>
      </c>
      <c r="G313" s="460" t="s">
        <v>441</v>
      </c>
      <c r="H313" s="380" t="s">
        <v>310</v>
      </c>
      <c r="I313" s="459" t="n">
        <v>44610</v>
      </c>
      <c r="J313" s="460" t="n">
        <v>2</v>
      </c>
      <c r="K313" s="466" t="s">
        <v>49</v>
      </c>
      <c r="L313" s="463" t="s">
        <v>60</v>
      </c>
      <c r="M313" s="463" t="n">
        <f aca="false">I313-D313</f>
        <v>2363</v>
      </c>
    </row>
    <row r="314" customFormat="false" ht="12.75" hidden="false" customHeight="true" outlineLevel="0" collapsed="false">
      <c r="A314" s="449" t="n">
        <v>3422</v>
      </c>
      <c r="B314" s="450" t="s">
        <v>9140</v>
      </c>
      <c r="C314" s="450" t="n">
        <v>2017</v>
      </c>
      <c r="D314" s="451" t="n">
        <v>43084</v>
      </c>
      <c r="E314" s="452" t="s">
        <v>9141</v>
      </c>
      <c r="F314" s="378" t="s">
        <v>9142</v>
      </c>
      <c r="G314" s="452" t="s">
        <v>115</v>
      </c>
      <c r="H314" s="378" t="s">
        <v>134</v>
      </c>
      <c r="I314" s="451" t="n">
        <v>44610</v>
      </c>
      <c r="J314" s="452" t="n">
        <v>2</v>
      </c>
      <c r="K314" s="466" t="s">
        <v>48</v>
      </c>
      <c r="L314" s="455" t="s">
        <v>58</v>
      </c>
      <c r="M314" s="455" t="n">
        <f aca="false">I314-D314</f>
        <v>1526</v>
      </c>
    </row>
    <row r="315" customFormat="false" ht="12.75" hidden="false" customHeight="true" outlineLevel="0" collapsed="false">
      <c r="A315" s="456" t="n">
        <v>3522</v>
      </c>
      <c r="B315" s="458" t="s">
        <v>9143</v>
      </c>
      <c r="C315" s="458" t="n">
        <v>2017</v>
      </c>
      <c r="D315" s="459" t="n">
        <v>43053</v>
      </c>
      <c r="E315" s="460" t="s">
        <v>9144</v>
      </c>
      <c r="F315" s="380" t="s">
        <v>1527</v>
      </c>
      <c r="G315" s="460" t="s">
        <v>441</v>
      </c>
      <c r="H315" s="380" t="s">
        <v>2647</v>
      </c>
      <c r="I315" s="459" t="n">
        <v>44610</v>
      </c>
      <c r="J315" s="460" t="n">
        <v>2</v>
      </c>
      <c r="K315" s="466" t="s">
        <v>49</v>
      </c>
      <c r="L315" s="463" t="s">
        <v>58</v>
      </c>
      <c r="M315" s="463" t="n">
        <f aca="false">I315-D315</f>
        <v>1557</v>
      </c>
    </row>
    <row r="316" customFormat="false" ht="12.75" hidden="false" customHeight="true" outlineLevel="0" collapsed="false">
      <c r="A316" s="449" t="n">
        <v>3622</v>
      </c>
      <c r="B316" s="450" t="s">
        <v>9145</v>
      </c>
      <c r="C316" s="450" t="n">
        <v>2017</v>
      </c>
      <c r="D316" s="451" t="n">
        <v>42942</v>
      </c>
      <c r="E316" s="452" t="s">
        <v>9146</v>
      </c>
      <c r="F316" s="378" t="s">
        <v>9147</v>
      </c>
      <c r="G316" s="452" t="s">
        <v>115</v>
      </c>
      <c r="H316" s="378" t="s">
        <v>119</v>
      </c>
      <c r="I316" s="451" t="n">
        <v>44610</v>
      </c>
      <c r="J316" s="452" t="n">
        <v>2</v>
      </c>
      <c r="K316" s="468" t="s">
        <v>290</v>
      </c>
      <c r="L316" s="455" t="s">
        <v>60</v>
      </c>
      <c r="M316" s="455" t="n">
        <f aca="false">I316-D316</f>
        <v>1668</v>
      </c>
    </row>
    <row r="317" customFormat="false" ht="15" hidden="false" customHeight="true" outlineLevel="0" collapsed="false">
      <c r="A317" s="456" t="n">
        <v>3722</v>
      </c>
      <c r="B317" s="458" t="s">
        <v>9148</v>
      </c>
      <c r="C317" s="458" t="n">
        <v>2015</v>
      </c>
      <c r="D317" s="459" t="n">
        <v>42145</v>
      </c>
      <c r="E317" s="460" t="s">
        <v>9149</v>
      </c>
      <c r="F317" s="380" t="s">
        <v>107</v>
      </c>
      <c r="G317" s="460" t="s">
        <v>441</v>
      </c>
      <c r="H317" s="380" t="s">
        <v>9150</v>
      </c>
      <c r="I317" s="459" t="n">
        <v>44610</v>
      </c>
      <c r="J317" s="460" t="n">
        <v>2</v>
      </c>
      <c r="K317" s="466" t="s">
        <v>48</v>
      </c>
      <c r="L317" s="463" t="s">
        <v>60</v>
      </c>
      <c r="M317" s="463" t="n">
        <f aca="false">I317-D317</f>
        <v>2465</v>
      </c>
    </row>
    <row r="318" customFormat="false" ht="12.75" hidden="false" customHeight="true" outlineLevel="0" collapsed="false">
      <c r="A318" s="449" t="n">
        <v>3822</v>
      </c>
      <c r="B318" s="450" t="s">
        <v>9151</v>
      </c>
      <c r="C318" s="450" t="n">
        <v>2010</v>
      </c>
      <c r="D318" s="451" t="n">
        <v>40409</v>
      </c>
      <c r="E318" s="452" t="s">
        <v>9152</v>
      </c>
      <c r="F318" s="378" t="s">
        <v>832</v>
      </c>
      <c r="G318" s="452" t="s">
        <v>441</v>
      </c>
      <c r="H318" s="378" t="s">
        <v>1305</v>
      </c>
      <c r="I318" s="451" t="n">
        <v>44610</v>
      </c>
      <c r="J318" s="452" t="n">
        <v>2</v>
      </c>
      <c r="K318" s="466" t="s">
        <v>47</v>
      </c>
      <c r="L318" s="455" t="s">
        <v>2848</v>
      </c>
      <c r="M318" s="455" t="n">
        <f aca="false">I318-D318</f>
        <v>4201</v>
      </c>
    </row>
    <row r="319" customFormat="false" ht="12.75" hidden="false" customHeight="true" outlineLevel="0" collapsed="false">
      <c r="A319" s="456" t="n">
        <v>3922</v>
      </c>
      <c r="B319" s="458" t="s">
        <v>9153</v>
      </c>
      <c r="C319" s="458" t="n">
        <v>2016</v>
      </c>
      <c r="D319" s="459" t="n">
        <v>42732</v>
      </c>
      <c r="E319" s="460" t="s">
        <v>9154</v>
      </c>
      <c r="F319" s="380" t="s">
        <v>9155</v>
      </c>
      <c r="G319" s="460" t="s">
        <v>115</v>
      </c>
      <c r="H319" s="380" t="s">
        <v>3493</v>
      </c>
      <c r="I319" s="459" t="n">
        <v>44610</v>
      </c>
      <c r="J319" s="460" t="n">
        <v>2</v>
      </c>
      <c r="K319" s="466" t="s">
        <v>49</v>
      </c>
      <c r="L319" s="463" t="s">
        <v>58</v>
      </c>
      <c r="M319" s="463" t="n">
        <f aca="false">I319-D319</f>
        <v>1878</v>
      </c>
    </row>
    <row r="320" customFormat="false" ht="12.75" hidden="false" customHeight="true" outlineLevel="0" collapsed="false">
      <c r="A320" s="449" t="n">
        <v>4022</v>
      </c>
      <c r="B320" s="450" t="s">
        <v>9156</v>
      </c>
      <c r="C320" s="450" t="n">
        <v>2009</v>
      </c>
      <c r="D320" s="451" t="n">
        <v>40175</v>
      </c>
      <c r="E320" s="452" t="s">
        <v>9157</v>
      </c>
      <c r="F320" s="378" t="s">
        <v>9158</v>
      </c>
      <c r="G320" s="452" t="s">
        <v>115</v>
      </c>
      <c r="H320" s="378" t="s">
        <v>3493</v>
      </c>
      <c r="I320" s="451" t="n">
        <v>44610</v>
      </c>
      <c r="J320" s="452" t="n">
        <v>2</v>
      </c>
      <c r="K320" s="466" t="s">
        <v>48</v>
      </c>
      <c r="L320" s="455" t="s">
        <v>58</v>
      </c>
      <c r="M320" s="455" t="n">
        <f aca="false">I320-D320</f>
        <v>4435</v>
      </c>
    </row>
    <row r="321" customFormat="false" ht="12.75" hidden="false" customHeight="true" outlineLevel="0" collapsed="false">
      <c r="A321" s="456" t="n">
        <v>4122</v>
      </c>
      <c r="B321" s="458" t="s">
        <v>9159</v>
      </c>
      <c r="C321" s="458" t="n">
        <v>2017</v>
      </c>
      <c r="D321" s="459" t="n">
        <v>42852</v>
      </c>
      <c r="E321" s="460" t="s">
        <v>9160</v>
      </c>
      <c r="F321" s="380" t="s">
        <v>9155</v>
      </c>
      <c r="G321" s="460" t="s">
        <v>115</v>
      </c>
      <c r="H321" s="380" t="s">
        <v>3493</v>
      </c>
      <c r="I321" s="459" t="n">
        <v>44613</v>
      </c>
      <c r="J321" s="460" t="n">
        <v>2</v>
      </c>
      <c r="K321" s="466" t="s">
        <v>49</v>
      </c>
      <c r="L321" s="463" t="s">
        <v>58</v>
      </c>
      <c r="M321" s="463" t="n">
        <f aca="false">I321-D321</f>
        <v>1761</v>
      </c>
    </row>
    <row r="322" customFormat="false" ht="15" hidden="false" customHeight="true" outlineLevel="0" collapsed="false">
      <c r="A322" s="449" t="n">
        <v>4222</v>
      </c>
      <c r="B322" s="450" t="s">
        <v>9161</v>
      </c>
      <c r="C322" s="450" t="n">
        <v>2017</v>
      </c>
      <c r="D322" s="451" t="n">
        <v>42852</v>
      </c>
      <c r="E322" s="452" t="s">
        <v>9162</v>
      </c>
      <c r="F322" s="378" t="s">
        <v>9155</v>
      </c>
      <c r="G322" s="452" t="s">
        <v>115</v>
      </c>
      <c r="H322" s="378" t="s">
        <v>3493</v>
      </c>
      <c r="I322" s="451" t="n">
        <v>44613</v>
      </c>
      <c r="J322" s="452" t="n">
        <v>2</v>
      </c>
      <c r="K322" s="466" t="s">
        <v>49</v>
      </c>
      <c r="L322" s="455" t="s">
        <v>58</v>
      </c>
      <c r="M322" s="455" t="n">
        <f aca="false">I322-D322</f>
        <v>1761</v>
      </c>
    </row>
    <row r="323" customFormat="false" ht="12.75" hidden="false" customHeight="true" outlineLevel="0" collapsed="false">
      <c r="A323" s="456" t="n">
        <v>4322</v>
      </c>
      <c r="B323" s="458" t="s">
        <v>9163</v>
      </c>
      <c r="C323" s="458" t="n">
        <v>2016</v>
      </c>
      <c r="D323" s="459" t="n">
        <v>42730</v>
      </c>
      <c r="E323" s="460" t="s">
        <v>9164</v>
      </c>
      <c r="F323" s="380" t="s">
        <v>9165</v>
      </c>
      <c r="G323" s="460" t="s">
        <v>144</v>
      </c>
      <c r="H323" s="380" t="s">
        <v>1791</v>
      </c>
      <c r="I323" s="459" t="n">
        <v>44613</v>
      </c>
      <c r="J323" s="460" t="n">
        <v>2</v>
      </c>
      <c r="K323" s="535" t="s">
        <v>44</v>
      </c>
      <c r="L323" s="463" t="s">
        <v>58</v>
      </c>
      <c r="M323" s="463" t="n">
        <f aca="false">I323-D323</f>
        <v>1883</v>
      </c>
    </row>
    <row r="324" customFormat="false" ht="12.75" hidden="false" customHeight="true" outlineLevel="0" collapsed="false">
      <c r="A324" s="449" t="n">
        <v>4422</v>
      </c>
      <c r="B324" s="450" t="s">
        <v>9166</v>
      </c>
      <c r="C324" s="450" t="n">
        <v>2018</v>
      </c>
      <c r="D324" s="451" t="n">
        <v>43434</v>
      </c>
      <c r="E324" s="452" t="s">
        <v>9167</v>
      </c>
      <c r="F324" s="378" t="s">
        <v>9168</v>
      </c>
      <c r="G324" s="452" t="s">
        <v>441</v>
      </c>
      <c r="H324" s="378" t="s">
        <v>267</v>
      </c>
      <c r="I324" s="451" t="n">
        <v>44613</v>
      </c>
      <c r="J324" s="452" t="n">
        <v>2</v>
      </c>
      <c r="K324" s="466" t="s">
        <v>48</v>
      </c>
      <c r="L324" s="455" t="s">
        <v>58</v>
      </c>
      <c r="M324" s="455" t="n">
        <f aca="false">I324-D324</f>
        <v>1179</v>
      </c>
    </row>
    <row r="325" customFormat="false" ht="12.75" hidden="false" customHeight="true" outlineLevel="0" collapsed="false">
      <c r="A325" s="456" t="n">
        <v>4522</v>
      </c>
      <c r="B325" s="458" t="s">
        <v>9169</v>
      </c>
      <c r="C325" s="458" t="n">
        <v>2012</v>
      </c>
      <c r="D325" s="459" t="n">
        <v>43266</v>
      </c>
      <c r="E325" s="460" t="s">
        <v>9170</v>
      </c>
      <c r="F325" s="380" t="s">
        <v>214</v>
      </c>
      <c r="G325" s="460" t="s">
        <v>441</v>
      </c>
      <c r="H325" s="380" t="s">
        <v>267</v>
      </c>
      <c r="I325" s="459" t="n">
        <v>44613</v>
      </c>
      <c r="J325" s="460" t="n">
        <v>2</v>
      </c>
      <c r="K325" s="466" t="s">
        <v>48</v>
      </c>
      <c r="L325" s="463" t="s">
        <v>58</v>
      </c>
      <c r="M325" s="463" t="n">
        <f aca="false">I325-D325</f>
        <v>1347</v>
      </c>
    </row>
    <row r="326" customFormat="false" ht="12.75" hidden="false" customHeight="true" outlineLevel="0" collapsed="false">
      <c r="A326" s="449" t="n">
        <v>4622</v>
      </c>
      <c r="B326" s="450" t="s">
        <v>9171</v>
      </c>
      <c r="C326" s="450" t="n">
        <v>2013</v>
      </c>
      <c r="D326" s="451" t="n">
        <v>43188</v>
      </c>
      <c r="E326" s="452" t="s">
        <v>9172</v>
      </c>
      <c r="F326" s="378" t="s">
        <v>793</v>
      </c>
      <c r="G326" s="452" t="s">
        <v>441</v>
      </c>
      <c r="H326" s="378" t="s">
        <v>267</v>
      </c>
      <c r="I326" s="451" t="n">
        <v>44613</v>
      </c>
      <c r="J326" s="452" t="n">
        <v>2</v>
      </c>
      <c r="K326" s="466" t="s">
        <v>49</v>
      </c>
      <c r="L326" s="455" t="s">
        <v>58</v>
      </c>
      <c r="M326" s="455" t="n">
        <f aca="false">I326-D326</f>
        <v>1425</v>
      </c>
    </row>
    <row r="327" customFormat="false" ht="12.75" hidden="false" customHeight="true" outlineLevel="0" collapsed="false">
      <c r="A327" s="456" t="n">
        <v>4722</v>
      </c>
      <c r="B327" s="458" t="s">
        <v>9173</v>
      </c>
      <c r="C327" s="458" t="n">
        <v>2015</v>
      </c>
      <c r="D327" s="459" t="n">
        <v>42241</v>
      </c>
      <c r="E327" s="460" t="s">
        <v>9174</v>
      </c>
      <c r="F327" s="380" t="s">
        <v>379</v>
      </c>
      <c r="G327" s="460" t="s">
        <v>441</v>
      </c>
      <c r="H327" s="380" t="s">
        <v>6570</v>
      </c>
      <c r="I327" s="459" t="n">
        <v>44613</v>
      </c>
      <c r="J327" s="460" t="n">
        <v>2</v>
      </c>
      <c r="K327" s="466" t="s">
        <v>49</v>
      </c>
      <c r="L327" s="463" t="s">
        <v>58</v>
      </c>
      <c r="M327" s="463" t="n">
        <f aca="false">I327-D327</f>
        <v>2372</v>
      </c>
    </row>
    <row r="328" customFormat="false" ht="12.75" hidden="false" customHeight="true" outlineLevel="0" collapsed="false">
      <c r="A328" s="449" t="n">
        <v>4822</v>
      </c>
      <c r="B328" s="450" t="s">
        <v>9175</v>
      </c>
      <c r="C328" s="450" t="n">
        <v>2018</v>
      </c>
      <c r="D328" s="451" t="n">
        <v>43122</v>
      </c>
      <c r="E328" s="452" t="s">
        <v>9176</v>
      </c>
      <c r="F328" s="378" t="s">
        <v>9177</v>
      </c>
      <c r="G328" s="452" t="s">
        <v>441</v>
      </c>
      <c r="H328" s="378" t="s">
        <v>223</v>
      </c>
      <c r="I328" s="451" t="n">
        <v>44613</v>
      </c>
      <c r="J328" s="452" t="n">
        <v>2</v>
      </c>
      <c r="K328" s="466" t="s">
        <v>48</v>
      </c>
      <c r="L328" s="455" t="s">
        <v>58</v>
      </c>
      <c r="M328" s="455" t="n">
        <f aca="false">I328-D328</f>
        <v>1491</v>
      </c>
    </row>
    <row r="329" customFormat="false" ht="12.75" hidden="false" customHeight="true" outlineLevel="0" collapsed="false">
      <c r="A329" s="456" t="n">
        <v>4922</v>
      </c>
      <c r="B329" s="458" t="s">
        <v>9178</v>
      </c>
      <c r="C329" s="458" t="n">
        <v>2021</v>
      </c>
      <c r="D329" s="459" t="n">
        <v>44375</v>
      </c>
      <c r="E329" s="460" t="s">
        <v>5628</v>
      </c>
      <c r="F329" s="380" t="s">
        <v>9179</v>
      </c>
      <c r="G329" s="460" t="s">
        <v>130</v>
      </c>
      <c r="H329" s="380" t="s">
        <v>8054</v>
      </c>
      <c r="I329" s="459" t="n">
        <v>44613</v>
      </c>
      <c r="J329" s="460" t="n">
        <v>2</v>
      </c>
      <c r="K329" s="466" t="s">
        <v>49</v>
      </c>
      <c r="L329" s="463" t="s">
        <v>61</v>
      </c>
      <c r="M329" s="463" t="n">
        <f aca="false">I329-D329</f>
        <v>238</v>
      </c>
    </row>
    <row r="330" customFormat="false" ht="12.75" hidden="false" customHeight="true" outlineLevel="0" collapsed="false">
      <c r="A330" s="449" t="n">
        <v>5022</v>
      </c>
      <c r="B330" s="450" t="s">
        <v>9180</v>
      </c>
      <c r="C330" s="450" t="n">
        <v>2021</v>
      </c>
      <c r="D330" s="451" t="n">
        <v>44427</v>
      </c>
      <c r="E330" s="452" t="s">
        <v>9181</v>
      </c>
      <c r="F330" s="378" t="s">
        <v>9182</v>
      </c>
      <c r="G330" s="452" t="s">
        <v>130</v>
      </c>
      <c r="H330" s="378" t="s">
        <v>9183</v>
      </c>
      <c r="I330" s="451" t="n">
        <v>44613</v>
      </c>
      <c r="J330" s="452" t="n">
        <v>2</v>
      </c>
      <c r="K330" s="466" t="s">
        <v>49</v>
      </c>
      <c r="L330" s="455" t="s">
        <v>61</v>
      </c>
      <c r="M330" s="455" t="n">
        <f aca="false">I330-D330</f>
        <v>186</v>
      </c>
    </row>
    <row r="331" customFormat="false" ht="12.75" hidden="false" customHeight="true" outlineLevel="0" collapsed="false">
      <c r="A331" s="456" t="n">
        <v>5122</v>
      </c>
      <c r="B331" s="458" t="s">
        <v>9184</v>
      </c>
      <c r="C331" s="458" t="n">
        <v>2021</v>
      </c>
      <c r="D331" s="459" t="n">
        <v>44399</v>
      </c>
      <c r="E331" s="460" t="s">
        <v>9185</v>
      </c>
      <c r="F331" s="380" t="s">
        <v>9186</v>
      </c>
      <c r="G331" s="460" t="s">
        <v>130</v>
      </c>
      <c r="H331" s="380" t="s">
        <v>7263</v>
      </c>
      <c r="I331" s="459" t="n">
        <v>44613</v>
      </c>
      <c r="J331" s="460" t="n">
        <v>2</v>
      </c>
      <c r="K331" s="466" t="s">
        <v>49</v>
      </c>
      <c r="L331" s="463" t="s">
        <v>61</v>
      </c>
      <c r="M331" s="463" t="n">
        <f aca="false">I331-D331</f>
        <v>214</v>
      </c>
    </row>
    <row r="332" customFormat="false" ht="12.75" hidden="false" customHeight="true" outlineLevel="0" collapsed="false">
      <c r="A332" s="449" t="n">
        <v>5222</v>
      </c>
      <c r="B332" s="450" t="s">
        <v>9187</v>
      </c>
      <c r="C332" s="450" t="n">
        <v>2020</v>
      </c>
      <c r="D332" s="451" t="n">
        <v>44004</v>
      </c>
      <c r="E332" s="452" t="s">
        <v>9188</v>
      </c>
      <c r="F332" s="378" t="s">
        <v>7268</v>
      </c>
      <c r="G332" s="452" t="s">
        <v>144</v>
      </c>
      <c r="H332" s="378" t="s">
        <v>9189</v>
      </c>
      <c r="I332" s="451" t="n">
        <v>44631</v>
      </c>
      <c r="J332" s="452" t="n">
        <v>3</v>
      </c>
      <c r="K332" s="466" t="s">
        <v>49</v>
      </c>
      <c r="L332" s="455" t="s">
        <v>60</v>
      </c>
      <c r="M332" s="455" t="n">
        <f aca="false">I332-D332</f>
        <v>627</v>
      </c>
    </row>
    <row r="333" customFormat="false" ht="12.75" hidden="false" customHeight="true" outlineLevel="0" collapsed="false">
      <c r="A333" s="456" t="n">
        <v>5322</v>
      </c>
      <c r="B333" s="458" t="s">
        <v>9190</v>
      </c>
      <c r="C333" s="458" t="n">
        <v>2021</v>
      </c>
      <c r="D333" s="459" t="n">
        <v>44429</v>
      </c>
      <c r="E333" s="460" t="s">
        <v>9191</v>
      </c>
      <c r="F333" s="380" t="s">
        <v>9192</v>
      </c>
      <c r="G333" s="460" t="s">
        <v>125</v>
      </c>
      <c r="H333" s="380" t="s">
        <v>3832</v>
      </c>
      <c r="I333" s="459" t="n">
        <v>44631</v>
      </c>
      <c r="J333" s="460" t="n">
        <v>3</v>
      </c>
      <c r="K333" s="468" t="s">
        <v>290</v>
      </c>
      <c r="L333" s="463" t="s">
        <v>61</v>
      </c>
      <c r="M333" s="463" t="n">
        <f aca="false">I333-D333</f>
        <v>202</v>
      </c>
    </row>
    <row r="334" customFormat="false" ht="12.75" hidden="false" customHeight="true" outlineLevel="0" collapsed="false">
      <c r="A334" s="449" t="n">
        <v>5422</v>
      </c>
      <c r="B334" s="450" t="s">
        <v>9193</v>
      </c>
      <c r="C334" s="450" t="n">
        <v>2012</v>
      </c>
      <c r="D334" s="451" t="n">
        <v>41227</v>
      </c>
      <c r="E334" s="452" t="s">
        <v>9194</v>
      </c>
      <c r="F334" s="378" t="s">
        <v>9195</v>
      </c>
      <c r="G334" s="452" t="s">
        <v>441</v>
      </c>
      <c r="H334" s="378" t="s">
        <v>1059</v>
      </c>
      <c r="I334" s="451" t="n">
        <v>44631</v>
      </c>
      <c r="J334" s="452" t="n">
        <v>3</v>
      </c>
      <c r="K334" s="466" t="s">
        <v>49</v>
      </c>
      <c r="L334" s="455" t="s">
        <v>60</v>
      </c>
      <c r="M334" s="455" t="n">
        <f aca="false">I334-D334</f>
        <v>3404</v>
      </c>
    </row>
    <row r="335" customFormat="false" ht="12.75" hidden="false" customHeight="true" outlineLevel="0" collapsed="false">
      <c r="A335" s="456" t="n">
        <v>5522</v>
      </c>
      <c r="B335" s="458" t="s">
        <v>9196</v>
      </c>
      <c r="C335" s="458" t="n">
        <v>2015</v>
      </c>
      <c r="D335" s="459" t="n">
        <v>42324</v>
      </c>
      <c r="E335" s="460" t="s">
        <v>9197</v>
      </c>
      <c r="F335" s="380" t="s">
        <v>4819</v>
      </c>
      <c r="G335" s="460" t="s">
        <v>441</v>
      </c>
      <c r="H335" s="380" t="s">
        <v>192</v>
      </c>
      <c r="I335" s="459" t="n">
        <v>44631</v>
      </c>
      <c r="J335" s="460" t="n">
        <v>3</v>
      </c>
      <c r="K335" s="466" t="s">
        <v>49</v>
      </c>
      <c r="L335" s="463" t="s">
        <v>60</v>
      </c>
      <c r="M335" s="463" t="n">
        <f aca="false">I335-D335</f>
        <v>2307</v>
      </c>
    </row>
    <row r="336" customFormat="false" ht="12.75" hidden="false" customHeight="true" outlineLevel="0" collapsed="false">
      <c r="A336" s="449" t="n">
        <v>5622</v>
      </c>
      <c r="B336" s="450" t="s">
        <v>9198</v>
      </c>
      <c r="C336" s="450" t="n">
        <v>2017</v>
      </c>
      <c r="D336" s="451" t="n">
        <v>42907</v>
      </c>
      <c r="E336" s="452" t="s">
        <v>9199</v>
      </c>
      <c r="F336" s="378" t="s">
        <v>9200</v>
      </c>
      <c r="G336" s="452" t="s">
        <v>441</v>
      </c>
      <c r="H336" s="378" t="s">
        <v>1059</v>
      </c>
      <c r="I336" s="451" t="n">
        <v>44631</v>
      </c>
      <c r="J336" s="452" t="n">
        <v>3</v>
      </c>
      <c r="K336" s="468" t="s">
        <v>290</v>
      </c>
      <c r="L336" s="455" t="s">
        <v>60</v>
      </c>
      <c r="M336" s="455" t="n">
        <f aca="false">I336-D336</f>
        <v>1724</v>
      </c>
    </row>
    <row r="337" customFormat="false" ht="12.75" hidden="false" customHeight="true" outlineLevel="0" collapsed="false">
      <c r="A337" s="456" t="n">
        <v>5722</v>
      </c>
      <c r="B337" s="458" t="s">
        <v>9201</v>
      </c>
      <c r="C337" s="458" t="n">
        <v>2018</v>
      </c>
      <c r="D337" s="459" t="n">
        <v>43298</v>
      </c>
      <c r="E337" s="460" t="s">
        <v>9202</v>
      </c>
      <c r="F337" s="380" t="s">
        <v>9203</v>
      </c>
      <c r="G337" s="460" t="s">
        <v>441</v>
      </c>
      <c r="H337" s="380" t="s">
        <v>208</v>
      </c>
      <c r="I337" s="459" t="n">
        <v>44631</v>
      </c>
      <c r="J337" s="460" t="n">
        <v>3</v>
      </c>
      <c r="K337" s="539" t="s">
        <v>42</v>
      </c>
      <c r="L337" s="463" t="s">
        <v>60</v>
      </c>
      <c r="M337" s="463" t="n">
        <f aca="false">I337-D337</f>
        <v>1333</v>
      </c>
    </row>
    <row r="338" customFormat="false" ht="12.75" hidden="false" customHeight="true" outlineLevel="0" collapsed="false">
      <c r="A338" s="449" t="n">
        <v>5822</v>
      </c>
      <c r="B338" s="450" t="s">
        <v>9204</v>
      </c>
      <c r="C338" s="450" t="n">
        <v>2012</v>
      </c>
      <c r="D338" s="451" t="n">
        <v>41053</v>
      </c>
      <c r="E338" s="452" t="s">
        <v>9205</v>
      </c>
      <c r="F338" s="378" t="s">
        <v>2003</v>
      </c>
      <c r="G338" s="452" t="s">
        <v>441</v>
      </c>
      <c r="H338" s="378" t="s">
        <v>1059</v>
      </c>
      <c r="I338" s="451" t="n">
        <v>44631</v>
      </c>
      <c r="J338" s="452" t="n">
        <v>3</v>
      </c>
      <c r="K338" s="466" t="s">
        <v>49</v>
      </c>
      <c r="L338" s="455" t="s">
        <v>60</v>
      </c>
      <c r="M338" s="455" t="n">
        <f aca="false">I338-D338</f>
        <v>3578</v>
      </c>
    </row>
    <row r="339" customFormat="false" ht="12.75" hidden="false" customHeight="true" outlineLevel="0" collapsed="false">
      <c r="A339" s="456" t="n">
        <v>5922</v>
      </c>
      <c r="B339" s="458" t="s">
        <v>9206</v>
      </c>
      <c r="C339" s="458" t="n">
        <v>2019</v>
      </c>
      <c r="D339" s="459" t="n">
        <v>43543</v>
      </c>
      <c r="E339" s="460" t="s">
        <v>9207</v>
      </c>
      <c r="F339" s="380" t="s">
        <v>207</v>
      </c>
      <c r="G339" s="460" t="s">
        <v>441</v>
      </c>
      <c r="H339" s="380" t="s">
        <v>471</v>
      </c>
      <c r="I339" s="459" t="n">
        <v>44648</v>
      </c>
      <c r="J339" s="460" t="n">
        <v>3</v>
      </c>
      <c r="K339" s="466" t="s">
        <v>48</v>
      </c>
      <c r="L339" s="463" t="s">
        <v>58</v>
      </c>
      <c r="M339" s="463" t="n">
        <f aca="false">I339-D339</f>
        <v>1105</v>
      </c>
    </row>
    <row r="340" customFormat="false" ht="15" hidden="false" customHeight="true" outlineLevel="0" collapsed="false">
      <c r="A340" s="449" t="n">
        <v>6022</v>
      </c>
      <c r="B340" s="450" t="s">
        <v>9208</v>
      </c>
      <c r="C340" s="450" t="n">
        <v>2015</v>
      </c>
      <c r="D340" s="451" t="n">
        <v>42072</v>
      </c>
      <c r="E340" s="452" t="s">
        <v>9209</v>
      </c>
      <c r="F340" s="378" t="s">
        <v>123</v>
      </c>
      <c r="G340" s="452" t="s">
        <v>441</v>
      </c>
      <c r="H340" s="378" t="s">
        <v>471</v>
      </c>
      <c r="I340" s="451" t="n">
        <v>44648</v>
      </c>
      <c r="J340" s="452" t="n">
        <v>3</v>
      </c>
      <c r="K340" s="466" t="s">
        <v>49</v>
      </c>
      <c r="L340" s="455" t="s">
        <v>60</v>
      </c>
      <c r="M340" s="455" t="n">
        <f aca="false">I340-D340</f>
        <v>2576</v>
      </c>
    </row>
    <row r="341" customFormat="false" ht="12.75" hidden="false" customHeight="true" outlineLevel="0" collapsed="false">
      <c r="A341" s="456" t="n">
        <v>6122</v>
      </c>
      <c r="B341" s="458" t="s">
        <v>9210</v>
      </c>
      <c r="C341" s="458" t="n">
        <v>2014</v>
      </c>
      <c r="D341" s="459" t="n">
        <v>41718</v>
      </c>
      <c r="E341" s="460" t="s">
        <v>9211</v>
      </c>
      <c r="F341" s="380" t="s">
        <v>9212</v>
      </c>
      <c r="G341" s="460" t="s">
        <v>441</v>
      </c>
      <c r="H341" s="380" t="s">
        <v>223</v>
      </c>
      <c r="I341" s="459" t="n">
        <v>44648</v>
      </c>
      <c r="J341" s="460" t="n">
        <v>3</v>
      </c>
      <c r="K341" s="466" t="s">
        <v>48</v>
      </c>
      <c r="L341" s="463" t="s">
        <v>58</v>
      </c>
      <c r="M341" s="463" t="n">
        <f aca="false">I341-D341</f>
        <v>2930</v>
      </c>
    </row>
    <row r="342" customFormat="false" ht="12.75" hidden="false" customHeight="true" outlineLevel="0" collapsed="false">
      <c r="A342" s="449" t="n">
        <v>6222</v>
      </c>
      <c r="B342" s="450" t="s">
        <v>9213</v>
      </c>
      <c r="C342" s="450" t="n">
        <v>2017</v>
      </c>
      <c r="D342" s="451" t="n">
        <v>43059</v>
      </c>
      <c r="E342" s="452" t="s">
        <v>9214</v>
      </c>
      <c r="F342" s="378" t="s">
        <v>1196</v>
      </c>
      <c r="G342" s="452" t="s">
        <v>441</v>
      </c>
      <c r="H342" s="378" t="s">
        <v>192</v>
      </c>
      <c r="I342" s="451" t="n">
        <v>44648</v>
      </c>
      <c r="J342" s="452" t="n">
        <v>3</v>
      </c>
      <c r="K342" s="466" t="s">
        <v>48</v>
      </c>
      <c r="L342" s="455" t="s">
        <v>60</v>
      </c>
      <c r="M342" s="455" t="n">
        <f aca="false">I342-D342</f>
        <v>1589</v>
      </c>
    </row>
    <row r="343" customFormat="false" ht="12.75" hidden="false" customHeight="true" outlineLevel="0" collapsed="false">
      <c r="A343" s="456" t="n">
        <v>6322</v>
      </c>
      <c r="B343" s="458" t="s">
        <v>9215</v>
      </c>
      <c r="C343" s="458" t="n">
        <v>2017</v>
      </c>
      <c r="D343" s="459" t="n">
        <v>43021</v>
      </c>
      <c r="E343" s="460" t="s">
        <v>9216</v>
      </c>
      <c r="F343" s="380" t="s">
        <v>9217</v>
      </c>
      <c r="G343" s="460" t="s">
        <v>441</v>
      </c>
      <c r="H343" s="380" t="s">
        <v>4333</v>
      </c>
      <c r="I343" s="459" t="n">
        <v>44648</v>
      </c>
      <c r="J343" s="460" t="n">
        <v>3</v>
      </c>
      <c r="K343" s="466" t="s">
        <v>49</v>
      </c>
      <c r="L343" s="463" t="s">
        <v>58</v>
      </c>
      <c r="M343" s="463" t="n">
        <f aca="false">I343-D343</f>
        <v>1627</v>
      </c>
    </row>
    <row r="344" customFormat="false" ht="12.75" hidden="false" customHeight="true" outlineLevel="0" collapsed="false">
      <c r="A344" s="449" t="n">
        <v>6422</v>
      </c>
      <c r="B344" s="450" t="s">
        <v>9218</v>
      </c>
      <c r="C344" s="450" t="n">
        <v>2021</v>
      </c>
      <c r="D344" s="451" t="n">
        <v>44433</v>
      </c>
      <c r="E344" s="452" t="s">
        <v>9219</v>
      </c>
      <c r="F344" s="378" t="s">
        <v>9129</v>
      </c>
      <c r="G344" s="452" t="s">
        <v>130</v>
      </c>
      <c r="H344" s="378" t="s">
        <v>9220</v>
      </c>
      <c r="I344" s="451" t="n">
        <v>44648</v>
      </c>
      <c r="J344" s="452" t="n">
        <v>3</v>
      </c>
      <c r="K344" s="468" t="s">
        <v>290</v>
      </c>
      <c r="L344" s="455" t="s">
        <v>61</v>
      </c>
      <c r="M344" s="455" t="n">
        <f aca="false">I344-D344</f>
        <v>215</v>
      </c>
    </row>
    <row r="345" customFormat="false" ht="12.75" hidden="false" customHeight="true" outlineLevel="0" collapsed="false">
      <c r="A345" s="456" t="n">
        <v>6522</v>
      </c>
      <c r="B345" s="458" t="s">
        <v>9221</v>
      </c>
      <c r="C345" s="458" t="n">
        <v>2016</v>
      </c>
      <c r="D345" s="459" t="n">
        <v>42430</v>
      </c>
      <c r="E345" s="460" t="s">
        <v>9222</v>
      </c>
      <c r="F345" s="380" t="s">
        <v>1689</v>
      </c>
      <c r="G345" s="460" t="s">
        <v>144</v>
      </c>
      <c r="H345" s="380" t="s">
        <v>1791</v>
      </c>
      <c r="I345" s="459" t="n">
        <v>44648</v>
      </c>
      <c r="J345" s="460" t="n">
        <v>3</v>
      </c>
      <c r="K345" s="468" t="s">
        <v>290</v>
      </c>
      <c r="L345" s="463" t="s">
        <v>60</v>
      </c>
      <c r="M345" s="463" t="n">
        <f aca="false">I345-D345</f>
        <v>2218</v>
      </c>
    </row>
    <row r="346" customFormat="false" ht="15" hidden="false" customHeight="true" outlineLevel="0" collapsed="false">
      <c r="A346" s="449" t="n">
        <v>6622</v>
      </c>
      <c r="B346" s="450" t="s">
        <v>9223</v>
      </c>
      <c r="C346" s="450" t="n">
        <v>2018</v>
      </c>
      <c r="D346" s="451" t="n">
        <v>43131</v>
      </c>
      <c r="E346" s="452" t="s">
        <v>9224</v>
      </c>
      <c r="F346" s="378" t="s">
        <v>9225</v>
      </c>
      <c r="G346" s="452" t="s">
        <v>115</v>
      </c>
      <c r="H346" s="378" t="s">
        <v>254</v>
      </c>
      <c r="I346" s="451" t="n">
        <v>44648</v>
      </c>
      <c r="J346" s="452" t="n">
        <v>3</v>
      </c>
      <c r="K346" s="466" t="s">
        <v>49</v>
      </c>
      <c r="L346" s="455" t="s">
        <v>58</v>
      </c>
      <c r="M346" s="455" t="n">
        <f aca="false">I346-D346</f>
        <v>1517</v>
      </c>
    </row>
    <row r="347" customFormat="false" ht="15" hidden="false" customHeight="true" outlineLevel="0" collapsed="false">
      <c r="A347" s="456" t="n">
        <v>6722</v>
      </c>
      <c r="B347" s="458" t="s">
        <v>9226</v>
      </c>
      <c r="C347" s="458" t="n">
        <v>2021</v>
      </c>
      <c r="D347" s="459" t="n">
        <v>44439</v>
      </c>
      <c r="E347" s="460" t="s">
        <v>9227</v>
      </c>
      <c r="F347" s="380" t="s">
        <v>9192</v>
      </c>
      <c r="G347" s="460" t="s">
        <v>125</v>
      </c>
      <c r="H347" s="380" t="s">
        <v>3832</v>
      </c>
      <c r="I347" s="459" t="n">
        <v>44648</v>
      </c>
      <c r="J347" s="460" t="n">
        <v>3</v>
      </c>
      <c r="K347" s="468" t="s">
        <v>290</v>
      </c>
      <c r="L347" s="463" t="s">
        <v>61</v>
      </c>
      <c r="M347" s="463" t="n">
        <f aca="false">I347-D347</f>
        <v>209</v>
      </c>
    </row>
    <row r="348" customFormat="false" ht="15" hidden="false" customHeight="true" outlineLevel="0" collapsed="false">
      <c r="A348" s="449" t="n">
        <v>6822</v>
      </c>
      <c r="B348" s="450" t="s">
        <v>9228</v>
      </c>
      <c r="C348" s="450" t="n">
        <v>2015</v>
      </c>
      <c r="D348" s="451" t="n">
        <v>42255</v>
      </c>
      <c r="E348" s="452" t="s">
        <v>9229</v>
      </c>
      <c r="F348" s="378" t="s">
        <v>1609</v>
      </c>
      <c r="G348" s="452" t="s">
        <v>441</v>
      </c>
      <c r="H348" s="378" t="s">
        <v>1072</v>
      </c>
      <c r="I348" s="451" t="n">
        <v>44648</v>
      </c>
      <c r="J348" s="452" t="n">
        <v>3</v>
      </c>
      <c r="K348" s="466" t="s">
        <v>48</v>
      </c>
      <c r="L348" s="455" t="s">
        <v>58</v>
      </c>
      <c r="M348" s="455" t="n">
        <f aca="false">I348-D348</f>
        <v>2393</v>
      </c>
    </row>
    <row r="349" customFormat="false" ht="15" hidden="false" customHeight="true" outlineLevel="0" collapsed="false">
      <c r="A349" s="456" t="n">
        <v>6922</v>
      </c>
      <c r="B349" s="458" t="s">
        <v>9230</v>
      </c>
      <c r="C349" s="458" t="n">
        <v>2019</v>
      </c>
      <c r="D349" s="459" t="n">
        <v>43584</v>
      </c>
      <c r="E349" s="460" t="s">
        <v>9231</v>
      </c>
      <c r="F349" s="380" t="s">
        <v>509</v>
      </c>
      <c r="G349" s="460" t="s">
        <v>441</v>
      </c>
      <c r="H349" s="380" t="s">
        <v>471</v>
      </c>
      <c r="I349" s="459" t="n">
        <v>44648</v>
      </c>
      <c r="J349" s="460" t="n">
        <v>3</v>
      </c>
      <c r="K349" s="540" t="s">
        <v>46</v>
      </c>
      <c r="L349" s="463" t="s">
        <v>58</v>
      </c>
      <c r="M349" s="463" t="n">
        <f aca="false">I349-D349</f>
        <v>1064</v>
      </c>
    </row>
    <row r="350" customFormat="false" ht="12.75" hidden="false" customHeight="true" outlineLevel="0" collapsed="false">
      <c r="A350" s="449" t="n">
        <v>7022</v>
      </c>
      <c r="B350" s="450" t="s">
        <v>9232</v>
      </c>
      <c r="C350" s="450" t="n">
        <v>2010</v>
      </c>
      <c r="D350" s="451" t="n">
        <v>40323</v>
      </c>
      <c r="E350" s="452" t="s">
        <v>9233</v>
      </c>
      <c r="F350" s="378" t="s">
        <v>9234</v>
      </c>
      <c r="G350" s="452" t="s">
        <v>115</v>
      </c>
      <c r="H350" s="378" t="s">
        <v>5888</v>
      </c>
      <c r="I350" s="451" t="n">
        <v>44649</v>
      </c>
      <c r="J350" s="452" t="n">
        <v>3</v>
      </c>
      <c r="K350" s="466" t="s">
        <v>49</v>
      </c>
      <c r="L350" s="455" t="s">
        <v>61</v>
      </c>
      <c r="M350" s="455" t="n">
        <f aca="false">I350-D350</f>
        <v>4326</v>
      </c>
    </row>
    <row r="351" customFormat="false" ht="12.75" hidden="false" customHeight="true" outlineLevel="0" collapsed="false">
      <c r="A351" s="456" t="n">
        <v>7122</v>
      </c>
      <c r="B351" s="458" t="s">
        <v>9235</v>
      </c>
      <c r="C351" s="458" t="n">
        <v>2016</v>
      </c>
      <c r="D351" s="459" t="n">
        <v>42649</v>
      </c>
      <c r="E351" s="460" t="s">
        <v>9236</v>
      </c>
      <c r="F351" s="380" t="s">
        <v>9237</v>
      </c>
      <c r="G351" s="460" t="s">
        <v>441</v>
      </c>
      <c r="H351" s="380" t="s">
        <v>184</v>
      </c>
      <c r="I351" s="459" t="n">
        <v>44652</v>
      </c>
      <c r="J351" s="460" t="n">
        <v>4</v>
      </c>
      <c r="K351" s="466" t="s">
        <v>49</v>
      </c>
      <c r="L351" s="463" t="s">
        <v>60</v>
      </c>
      <c r="M351" s="463" t="n">
        <f aca="false">I351-D351</f>
        <v>2003</v>
      </c>
    </row>
    <row r="352" customFormat="false" ht="12.75" hidden="false" customHeight="true" outlineLevel="0" collapsed="false">
      <c r="A352" s="449" t="n">
        <v>7222</v>
      </c>
      <c r="B352" s="450" t="s">
        <v>9238</v>
      </c>
      <c r="C352" s="450" t="n">
        <v>2015</v>
      </c>
      <c r="D352" s="451" t="n">
        <v>42153</v>
      </c>
      <c r="E352" s="452" t="s">
        <v>9239</v>
      </c>
      <c r="F352" s="378" t="s">
        <v>1277</v>
      </c>
      <c r="G352" s="452" t="s">
        <v>441</v>
      </c>
      <c r="H352" s="378" t="s">
        <v>1501</v>
      </c>
      <c r="I352" s="451" t="n">
        <v>44652</v>
      </c>
      <c r="J352" s="452" t="n">
        <v>4</v>
      </c>
      <c r="K352" s="466" t="s">
        <v>48</v>
      </c>
      <c r="L352" s="455" t="s">
        <v>58</v>
      </c>
      <c r="M352" s="455" t="n">
        <f aca="false">I352-D352</f>
        <v>2499</v>
      </c>
    </row>
    <row r="353" customFormat="false" ht="12.75" hidden="false" customHeight="true" outlineLevel="0" collapsed="false">
      <c r="A353" s="456" t="n">
        <v>7322</v>
      </c>
      <c r="B353" s="458" t="s">
        <v>9240</v>
      </c>
      <c r="C353" s="458" t="n">
        <v>2015</v>
      </c>
      <c r="D353" s="459" t="n">
        <v>42241</v>
      </c>
      <c r="E353" s="460" t="s">
        <v>9241</v>
      </c>
      <c r="F353" s="380" t="s">
        <v>823</v>
      </c>
      <c r="G353" s="460" t="s">
        <v>441</v>
      </c>
      <c r="H353" s="380" t="s">
        <v>1072</v>
      </c>
      <c r="I353" s="459" t="n">
        <v>44652</v>
      </c>
      <c r="J353" s="460" t="n">
        <v>4</v>
      </c>
      <c r="K353" s="466" t="s">
        <v>48</v>
      </c>
      <c r="L353" s="463" t="s">
        <v>58</v>
      </c>
      <c r="M353" s="463" t="n">
        <f aca="false">I353-D353</f>
        <v>2411</v>
      </c>
    </row>
    <row r="354" customFormat="false" ht="12.75" hidden="false" customHeight="true" outlineLevel="0" collapsed="false">
      <c r="A354" s="449" t="n">
        <v>7422</v>
      </c>
      <c r="B354" s="450" t="s">
        <v>9242</v>
      </c>
      <c r="C354" s="450" t="n">
        <v>2009</v>
      </c>
      <c r="D354" s="451" t="n">
        <v>39860</v>
      </c>
      <c r="E354" s="452" t="s">
        <v>9243</v>
      </c>
      <c r="F354" s="378" t="s">
        <v>365</v>
      </c>
      <c r="G354" s="452" t="s">
        <v>441</v>
      </c>
      <c r="H354" s="378" t="s">
        <v>4333</v>
      </c>
      <c r="I354" s="451" t="n">
        <v>44652</v>
      </c>
      <c r="J354" s="452" t="n">
        <v>4</v>
      </c>
      <c r="K354" s="466" t="s">
        <v>47</v>
      </c>
      <c r="L354" s="455" t="s">
        <v>60</v>
      </c>
      <c r="M354" s="455" t="n">
        <f aca="false">I354-D354</f>
        <v>4792</v>
      </c>
    </row>
    <row r="355" customFormat="false" ht="12.75" hidden="false" customHeight="true" outlineLevel="0" collapsed="false">
      <c r="A355" s="456" t="n">
        <v>7522</v>
      </c>
      <c r="B355" s="458" t="s">
        <v>9244</v>
      </c>
      <c r="C355" s="458" t="n">
        <v>2021</v>
      </c>
      <c r="D355" s="459" t="n">
        <v>44427</v>
      </c>
      <c r="E355" s="460" t="s">
        <v>9245</v>
      </c>
      <c r="F355" s="380" t="s">
        <v>9246</v>
      </c>
      <c r="G355" s="460" t="s">
        <v>130</v>
      </c>
      <c r="H355" s="380" t="s">
        <v>9220</v>
      </c>
      <c r="I355" s="459" t="n">
        <v>44652</v>
      </c>
      <c r="J355" s="460" t="n">
        <v>4</v>
      </c>
      <c r="K355" s="468" t="s">
        <v>290</v>
      </c>
      <c r="L355" s="463" t="s">
        <v>61</v>
      </c>
      <c r="M355" s="463" t="n">
        <f aca="false">I355-D355</f>
        <v>225</v>
      </c>
    </row>
    <row r="356" customFormat="false" ht="12.75" hidden="false" customHeight="true" outlineLevel="0" collapsed="false">
      <c r="A356" s="449" t="n">
        <v>7622</v>
      </c>
      <c r="B356" s="450" t="s">
        <v>9247</v>
      </c>
      <c r="C356" s="450" t="n">
        <v>2021</v>
      </c>
      <c r="D356" s="451" t="n">
        <v>44396</v>
      </c>
      <c r="E356" s="452" t="s">
        <v>9248</v>
      </c>
      <c r="F356" s="537" t="s">
        <v>9249</v>
      </c>
      <c r="G356" s="452" t="s">
        <v>130</v>
      </c>
      <c r="H356" s="378" t="s">
        <v>3988</v>
      </c>
      <c r="I356" s="451" t="n">
        <v>44652</v>
      </c>
      <c r="J356" s="452" t="n">
        <v>4</v>
      </c>
      <c r="K356" s="466" t="s">
        <v>49</v>
      </c>
      <c r="L356" s="455" t="s">
        <v>61</v>
      </c>
      <c r="M356" s="455" t="n">
        <f aca="false">I356-D356</f>
        <v>256</v>
      </c>
    </row>
    <row r="357" customFormat="false" ht="12.75" hidden="false" customHeight="true" outlineLevel="0" collapsed="false">
      <c r="A357" s="456" t="n">
        <v>7722</v>
      </c>
      <c r="B357" s="458" t="s">
        <v>9250</v>
      </c>
      <c r="C357" s="458" t="n">
        <v>2021</v>
      </c>
      <c r="D357" s="459" t="n">
        <v>44397</v>
      </c>
      <c r="E357" s="460" t="s">
        <v>9251</v>
      </c>
      <c r="F357" s="536" t="s">
        <v>9252</v>
      </c>
      <c r="G357" s="460" t="s">
        <v>130</v>
      </c>
      <c r="H357" s="380" t="s">
        <v>3988</v>
      </c>
      <c r="I357" s="459" t="n">
        <v>44652</v>
      </c>
      <c r="J357" s="460" t="n">
        <v>4</v>
      </c>
      <c r="K357" s="466" t="s">
        <v>49</v>
      </c>
      <c r="L357" s="463" t="s">
        <v>61</v>
      </c>
      <c r="M357" s="463" t="n">
        <f aca="false">I357-D357</f>
        <v>255</v>
      </c>
    </row>
    <row r="358" customFormat="false" ht="15" hidden="false" customHeight="true" outlineLevel="0" collapsed="false">
      <c r="A358" s="449" t="n">
        <v>7822</v>
      </c>
      <c r="B358" s="450" t="s">
        <v>9253</v>
      </c>
      <c r="C358" s="450" t="n">
        <v>2015</v>
      </c>
      <c r="D358" s="451" t="n">
        <v>42058</v>
      </c>
      <c r="E358" s="452" t="s">
        <v>9254</v>
      </c>
      <c r="F358" s="378" t="s">
        <v>9255</v>
      </c>
      <c r="G358" s="452" t="s">
        <v>441</v>
      </c>
      <c r="H358" s="378" t="s">
        <v>706</v>
      </c>
      <c r="I358" s="451" t="n">
        <v>44652</v>
      </c>
      <c r="J358" s="452" t="n">
        <v>4</v>
      </c>
      <c r="K358" s="466" t="s">
        <v>49</v>
      </c>
      <c r="L358" s="455" t="s">
        <v>60</v>
      </c>
      <c r="M358" s="455" t="n">
        <f aca="false">I358-D358</f>
        <v>2594</v>
      </c>
    </row>
    <row r="359" customFormat="false" ht="12.75" hidden="false" customHeight="true" outlineLevel="0" collapsed="false">
      <c r="A359" s="456" t="n">
        <v>7922</v>
      </c>
      <c r="B359" s="458" t="s">
        <v>9256</v>
      </c>
      <c r="C359" s="458" t="n">
        <v>2014</v>
      </c>
      <c r="D359" s="459" t="n">
        <v>42002</v>
      </c>
      <c r="E359" s="460" t="s">
        <v>9257</v>
      </c>
      <c r="F359" s="380" t="s">
        <v>9255</v>
      </c>
      <c r="G359" s="460" t="s">
        <v>441</v>
      </c>
      <c r="H359" s="380" t="s">
        <v>706</v>
      </c>
      <c r="I359" s="459" t="n">
        <v>44652</v>
      </c>
      <c r="J359" s="460" t="n">
        <v>4</v>
      </c>
      <c r="K359" s="466" t="s">
        <v>49</v>
      </c>
      <c r="L359" s="463" t="s">
        <v>60</v>
      </c>
      <c r="M359" s="463" t="n">
        <f aca="false">I359-D359</f>
        <v>2650</v>
      </c>
    </row>
    <row r="360" customFormat="false" ht="12.75" hidden="false" customHeight="true" outlineLevel="0" collapsed="false">
      <c r="A360" s="449" t="n">
        <v>8022</v>
      </c>
      <c r="B360" s="450" t="s">
        <v>9258</v>
      </c>
      <c r="C360" s="450" t="n">
        <v>2021</v>
      </c>
      <c r="D360" s="451" t="n">
        <v>44454</v>
      </c>
      <c r="E360" s="452" t="s">
        <v>9259</v>
      </c>
      <c r="F360" s="378" t="s">
        <v>376</v>
      </c>
      <c r="G360" s="452" t="s">
        <v>130</v>
      </c>
      <c r="H360" s="378" t="s">
        <v>3838</v>
      </c>
      <c r="I360" s="451" t="n">
        <v>44676</v>
      </c>
      <c r="J360" s="452" t="n">
        <v>4</v>
      </c>
      <c r="K360" s="466" t="s">
        <v>49</v>
      </c>
      <c r="L360" s="455" t="s">
        <v>61</v>
      </c>
      <c r="M360" s="455" t="n">
        <f aca="false">I360-D360</f>
        <v>222</v>
      </c>
    </row>
    <row r="361" customFormat="false" ht="12.75" hidden="false" customHeight="true" outlineLevel="0" collapsed="false">
      <c r="A361" s="456" t="n">
        <v>8122</v>
      </c>
      <c r="B361" s="458" t="s">
        <v>9260</v>
      </c>
      <c r="C361" s="458" t="n">
        <v>2021</v>
      </c>
      <c r="D361" s="459" t="n">
        <v>44454</v>
      </c>
      <c r="E361" s="460" t="s">
        <v>9261</v>
      </c>
      <c r="F361" s="380" t="s">
        <v>9262</v>
      </c>
      <c r="G361" s="460" t="s">
        <v>130</v>
      </c>
      <c r="H361" s="380" t="s">
        <v>3838</v>
      </c>
      <c r="I361" s="459" t="n">
        <v>44676</v>
      </c>
      <c r="J361" s="460" t="n">
        <v>4</v>
      </c>
      <c r="K361" s="466" t="s">
        <v>49</v>
      </c>
      <c r="L361" s="463" t="s">
        <v>61</v>
      </c>
      <c r="M361" s="463" t="n">
        <f aca="false">I361-D361</f>
        <v>222</v>
      </c>
    </row>
    <row r="362" customFormat="false" ht="15" hidden="false" customHeight="true" outlineLevel="0" collapsed="false">
      <c r="A362" s="449" t="n">
        <v>8222</v>
      </c>
      <c r="B362" s="450" t="s">
        <v>9263</v>
      </c>
      <c r="C362" s="450" t="n">
        <v>2021</v>
      </c>
      <c r="D362" s="451" t="n">
        <v>44385</v>
      </c>
      <c r="E362" s="452" t="s">
        <v>9264</v>
      </c>
      <c r="F362" s="378" t="s">
        <v>9265</v>
      </c>
      <c r="G362" s="452" t="s">
        <v>130</v>
      </c>
      <c r="H362" s="378" t="s">
        <v>662</v>
      </c>
      <c r="I362" s="451" t="n">
        <v>44676</v>
      </c>
      <c r="J362" s="452" t="n">
        <v>4</v>
      </c>
      <c r="K362" s="466" t="s">
        <v>49</v>
      </c>
      <c r="L362" s="455" t="s">
        <v>61</v>
      </c>
      <c r="M362" s="455" t="n">
        <f aca="false">I362-D362</f>
        <v>291</v>
      </c>
    </row>
    <row r="363" customFormat="false" ht="12.75" hidden="false" customHeight="true" outlineLevel="0" collapsed="false">
      <c r="A363" s="456" t="n">
        <v>8322</v>
      </c>
      <c r="B363" s="458" t="s">
        <v>9266</v>
      </c>
      <c r="C363" s="458" t="n">
        <v>2021</v>
      </c>
      <c r="D363" s="459" t="n">
        <v>44385</v>
      </c>
      <c r="E363" s="460" t="s">
        <v>9267</v>
      </c>
      <c r="F363" s="380" t="s">
        <v>376</v>
      </c>
      <c r="G363" s="460" t="s">
        <v>130</v>
      </c>
      <c r="H363" s="380" t="s">
        <v>662</v>
      </c>
      <c r="I363" s="459" t="n">
        <v>44676</v>
      </c>
      <c r="J363" s="460" t="n">
        <v>4</v>
      </c>
      <c r="K363" s="466" t="s">
        <v>49</v>
      </c>
      <c r="L363" s="463" t="s">
        <v>61</v>
      </c>
      <c r="M363" s="463" t="n">
        <f aca="false">I363-D363</f>
        <v>291</v>
      </c>
    </row>
    <row r="364" customFormat="false" ht="12.75" hidden="false" customHeight="true" outlineLevel="0" collapsed="false">
      <c r="A364" s="449" t="n">
        <v>8422</v>
      </c>
      <c r="B364" s="450" t="s">
        <v>9268</v>
      </c>
      <c r="C364" s="450" t="n">
        <v>2010</v>
      </c>
      <c r="D364" s="451" t="n">
        <v>40207</v>
      </c>
      <c r="E364" s="452" t="s">
        <v>9269</v>
      </c>
      <c r="F364" s="378" t="s">
        <v>9270</v>
      </c>
      <c r="G364" s="452" t="s">
        <v>115</v>
      </c>
      <c r="H364" s="378" t="s">
        <v>3493</v>
      </c>
      <c r="I364" s="451" t="n">
        <v>44676</v>
      </c>
      <c r="J364" s="452" t="n">
        <v>4</v>
      </c>
      <c r="K364" s="466" t="s">
        <v>49</v>
      </c>
      <c r="L364" s="455" t="s">
        <v>58</v>
      </c>
      <c r="M364" s="455" t="n">
        <f aca="false">I364-D364</f>
        <v>4469</v>
      </c>
    </row>
    <row r="365" customFormat="false" ht="12.75" hidden="false" customHeight="true" outlineLevel="0" collapsed="false">
      <c r="A365" s="456" t="n">
        <v>8522</v>
      </c>
      <c r="B365" s="458" t="s">
        <v>9271</v>
      </c>
      <c r="C365" s="458" t="n">
        <v>2018</v>
      </c>
      <c r="D365" s="459" t="n">
        <v>43392</v>
      </c>
      <c r="E365" s="460" t="s">
        <v>9272</v>
      </c>
      <c r="F365" s="380" t="s">
        <v>887</v>
      </c>
      <c r="G365" s="460" t="s">
        <v>441</v>
      </c>
      <c r="H365" s="380" t="s">
        <v>267</v>
      </c>
      <c r="I365" s="459" t="n">
        <v>44676</v>
      </c>
      <c r="J365" s="460" t="n">
        <v>4</v>
      </c>
      <c r="K365" s="466" t="s">
        <v>49</v>
      </c>
      <c r="L365" s="463" t="s">
        <v>58</v>
      </c>
      <c r="M365" s="463" t="n">
        <f aca="false">I365-D365</f>
        <v>1284</v>
      </c>
    </row>
    <row r="366" customFormat="false" ht="12.75" hidden="false" customHeight="true" outlineLevel="0" collapsed="false">
      <c r="A366" s="449" t="n">
        <v>8622</v>
      </c>
      <c r="B366" s="450" t="s">
        <v>9273</v>
      </c>
      <c r="C366" s="450" t="n">
        <v>2019</v>
      </c>
      <c r="D366" s="451" t="n">
        <v>43739</v>
      </c>
      <c r="E366" s="452" t="s">
        <v>9274</v>
      </c>
      <c r="F366" s="378" t="s">
        <v>9275</v>
      </c>
      <c r="G366" s="452" t="s">
        <v>441</v>
      </c>
      <c r="H366" s="378" t="s">
        <v>267</v>
      </c>
      <c r="I366" s="451" t="n">
        <v>44676</v>
      </c>
      <c r="J366" s="452" t="n">
        <v>4</v>
      </c>
      <c r="K366" s="466" t="s">
        <v>48</v>
      </c>
      <c r="L366" s="455" t="s">
        <v>58</v>
      </c>
      <c r="M366" s="455" t="n">
        <f aca="false">I366-D366</f>
        <v>937</v>
      </c>
    </row>
    <row r="367" customFormat="false" ht="12.75" hidden="false" customHeight="true" outlineLevel="0" collapsed="false">
      <c r="A367" s="456" t="n">
        <v>8722</v>
      </c>
      <c r="B367" s="458" t="s">
        <v>9276</v>
      </c>
      <c r="C367" s="458" t="n">
        <v>2014</v>
      </c>
      <c r="D367" s="459" t="n">
        <v>42003</v>
      </c>
      <c r="E367" s="460" t="s">
        <v>9277</v>
      </c>
      <c r="F367" s="380" t="s">
        <v>491</v>
      </c>
      <c r="G367" s="460" t="s">
        <v>441</v>
      </c>
      <c r="H367" s="380" t="s">
        <v>267</v>
      </c>
      <c r="I367" s="459" t="n">
        <v>44676</v>
      </c>
      <c r="J367" s="460" t="n">
        <v>4</v>
      </c>
      <c r="K367" s="466" t="s">
        <v>49</v>
      </c>
      <c r="L367" s="463" t="s">
        <v>60</v>
      </c>
      <c r="M367" s="463" t="n">
        <f aca="false">I367-D367</f>
        <v>2673</v>
      </c>
    </row>
    <row r="368" customFormat="false" ht="12.75" hidden="false" customHeight="true" outlineLevel="0" collapsed="false">
      <c r="A368" s="449" t="n">
        <v>8822</v>
      </c>
      <c r="B368" s="450" t="s">
        <v>9278</v>
      </c>
      <c r="C368" s="450" t="n">
        <v>2021</v>
      </c>
      <c r="D368" s="451" t="n">
        <v>44250</v>
      </c>
      <c r="E368" s="452" t="s">
        <v>9279</v>
      </c>
      <c r="F368" s="378" t="s">
        <v>172</v>
      </c>
      <c r="G368" s="452" t="s">
        <v>441</v>
      </c>
      <c r="H368" s="378" t="s">
        <v>4333</v>
      </c>
      <c r="I368" s="451" t="n">
        <v>44676</v>
      </c>
      <c r="J368" s="452" t="n">
        <v>4</v>
      </c>
      <c r="K368" s="466" t="s">
        <v>48</v>
      </c>
      <c r="L368" s="455" t="s">
        <v>58</v>
      </c>
      <c r="M368" s="455" t="n">
        <f aca="false">I368-D368</f>
        <v>426</v>
      </c>
    </row>
    <row r="369" customFormat="false" ht="12.75" hidden="false" customHeight="true" outlineLevel="0" collapsed="false">
      <c r="A369" s="456" t="n">
        <v>8922</v>
      </c>
      <c r="B369" s="458" t="s">
        <v>9280</v>
      </c>
      <c r="C369" s="458" t="n">
        <v>2021</v>
      </c>
      <c r="D369" s="459" t="n">
        <v>44498</v>
      </c>
      <c r="E369" s="460" t="s">
        <v>9281</v>
      </c>
      <c r="F369" s="380" t="s">
        <v>9262</v>
      </c>
      <c r="G369" s="460" t="s">
        <v>130</v>
      </c>
      <c r="H369" s="380" t="s">
        <v>9282</v>
      </c>
      <c r="I369" s="459" t="n">
        <v>44677</v>
      </c>
      <c r="J369" s="460" t="n">
        <v>4</v>
      </c>
      <c r="K369" s="466" t="s">
        <v>49</v>
      </c>
      <c r="L369" s="463" t="s">
        <v>61</v>
      </c>
      <c r="M369" s="463" t="n">
        <f aca="false">I369-D369</f>
        <v>179</v>
      </c>
    </row>
    <row r="370" customFormat="false" ht="12.75" hidden="false" customHeight="true" outlineLevel="0" collapsed="false">
      <c r="A370" s="449" t="n">
        <v>9022</v>
      </c>
      <c r="B370" s="450" t="s">
        <v>9283</v>
      </c>
      <c r="C370" s="450" t="n">
        <v>2013</v>
      </c>
      <c r="D370" s="451" t="n">
        <v>41549</v>
      </c>
      <c r="E370" s="452" t="s">
        <v>9284</v>
      </c>
      <c r="F370" s="378" t="s">
        <v>9255</v>
      </c>
      <c r="G370" s="452" t="s">
        <v>441</v>
      </c>
      <c r="H370" s="378" t="s">
        <v>354</v>
      </c>
      <c r="I370" s="451" t="n">
        <v>44677</v>
      </c>
      <c r="J370" s="452" t="n">
        <v>4</v>
      </c>
      <c r="K370" s="466" t="s">
        <v>49</v>
      </c>
      <c r="L370" s="455" t="s">
        <v>60</v>
      </c>
      <c r="M370" s="455" t="n">
        <f aca="false">I370-D370</f>
        <v>3128</v>
      </c>
    </row>
    <row r="371" customFormat="false" ht="12.75" hidden="false" customHeight="true" outlineLevel="0" collapsed="false">
      <c r="A371" s="456" t="n">
        <v>9122</v>
      </c>
      <c r="B371" s="458" t="s">
        <v>9285</v>
      </c>
      <c r="C371" s="458" t="n">
        <v>2014</v>
      </c>
      <c r="D371" s="459" t="n">
        <v>41704</v>
      </c>
      <c r="E371" s="460" t="s">
        <v>9286</v>
      </c>
      <c r="F371" s="380" t="s">
        <v>908</v>
      </c>
      <c r="G371" s="460" t="s">
        <v>441</v>
      </c>
      <c r="H371" s="380" t="s">
        <v>9287</v>
      </c>
      <c r="I371" s="459" t="n">
        <v>44677</v>
      </c>
      <c r="J371" s="460" t="n">
        <v>4</v>
      </c>
      <c r="K371" s="466" t="s">
        <v>49</v>
      </c>
      <c r="L371" s="463" t="s">
        <v>58</v>
      </c>
      <c r="M371" s="463" t="n">
        <f aca="false">I371-D371</f>
        <v>2973</v>
      </c>
    </row>
    <row r="372" customFormat="false" ht="12.75" hidden="false" customHeight="true" outlineLevel="0" collapsed="false">
      <c r="A372" s="449" t="n">
        <v>9222</v>
      </c>
      <c r="B372" s="450" t="s">
        <v>9288</v>
      </c>
      <c r="C372" s="450" t="n">
        <v>2017</v>
      </c>
      <c r="D372" s="451" t="n">
        <v>42895</v>
      </c>
      <c r="E372" s="452" t="s">
        <v>9289</v>
      </c>
      <c r="F372" s="378" t="s">
        <v>3865</v>
      </c>
      <c r="G372" s="452" t="s">
        <v>144</v>
      </c>
      <c r="H372" s="378" t="s">
        <v>119</v>
      </c>
      <c r="I372" s="451" t="n">
        <v>44677</v>
      </c>
      <c r="J372" s="452" t="n">
        <v>4</v>
      </c>
      <c r="K372" s="466" t="s">
        <v>49</v>
      </c>
      <c r="L372" s="455" t="s">
        <v>60</v>
      </c>
      <c r="M372" s="455" t="n">
        <f aca="false">I372-D372</f>
        <v>1782</v>
      </c>
    </row>
    <row r="373" customFormat="false" ht="12.75" hidden="false" customHeight="true" outlineLevel="0" collapsed="false">
      <c r="A373" s="456" t="n">
        <v>9322</v>
      </c>
      <c r="B373" s="458" t="s">
        <v>9290</v>
      </c>
      <c r="C373" s="458" t="n">
        <v>2015</v>
      </c>
      <c r="D373" s="459" t="n">
        <v>42286</v>
      </c>
      <c r="E373" s="460" t="s">
        <v>9291</v>
      </c>
      <c r="F373" s="380" t="s">
        <v>763</v>
      </c>
      <c r="G373" s="460" t="s">
        <v>441</v>
      </c>
      <c r="H373" s="380" t="s">
        <v>354</v>
      </c>
      <c r="I373" s="459" t="n">
        <v>44677</v>
      </c>
      <c r="J373" s="460" t="n">
        <v>4</v>
      </c>
      <c r="K373" s="466" t="s">
        <v>49</v>
      </c>
      <c r="L373" s="463" t="s">
        <v>58</v>
      </c>
      <c r="M373" s="463" t="n">
        <f aca="false">I373-D373</f>
        <v>2391</v>
      </c>
    </row>
    <row r="374" customFormat="false" ht="15" hidden="false" customHeight="true" outlineLevel="0" collapsed="false">
      <c r="A374" s="449" t="n">
        <v>9422</v>
      </c>
      <c r="B374" s="450" t="s">
        <v>9292</v>
      </c>
      <c r="C374" s="450" t="n">
        <v>2015</v>
      </c>
      <c r="D374" s="451" t="n">
        <v>42174</v>
      </c>
      <c r="E374" s="452" t="s">
        <v>9293</v>
      </c>
      <c r="F374" s="378" t="s">
        <v>9294</v>
      </c>
      <c r="G374" s="452" t="s">
        <v>441</v>
      </c>
      <c r="H374" s="378" t="s">
        <v>1501</v>
      </c>
      <c r="I374" s="451" t="n">
        <v>44677</v>
      </c>
      <c r="J374" s="452" t="n">
        <v>4</v>
      </c>
      <c r="K374" s="466" t="s">
        <v>48</v>
      </c>
      <c r="L374" s="455" t="s">
        <v>58</v>
      </c>
      <c r="M374" s="455" t="n">
        <f aca="false">I374-D374</f>
        <v>2503</v>
      </c>
    </row>
    <row r="375" customFormat="false" ht="12.75" hidden="false" customHeight="true" outlineLevel="0" collapsed="false">
      <c r="A375" s="456" t="n">
        <v>9522</v>
      </c>
      <c r="B375" s="458" t="s">
        <v>9295</v>
      </c>
      <c r="C375" s="458" t="n">
        <v>2015</v>
      </c>
      <c r="D375" s="459" t="n">
        <v>42339</v>
      </c>
      <c r="E375" s="460" t="s">
        <v>9296</v>
      </c>
      <c r="F375" s="380" t="s">
        <v>1277</v>
      </c>
      <c r="G375" s="460" t="s">
        <v>441</v>
      </c>
      <c r="H375" s="380" t="s">
        <v>354</v>
      </c>
      <c r="I375" s="459" t="n">
        <v>44678</v>
      </c>
      <c r="J375" s="460" t="n">
        <v>4</v>
      </c>
      <c r="K375" s="540" t="s">
        <v>46</v>
      </c>
      <c r="L375" s="463" t="s">
        <v>58</v>
      </c>
      <c r="M375" s="463" t="n">
        <f aca="false">I375-D375</f>
        <v>2339</v>
      </c>
    </row>
    <row r="376" customFormat="false" ht="12.75" hidden="false" customHeight="true" outlineLevel="0" collapsed="false">
      <c r="A376" s="449" t="n">
        <v>9622</v>
      </c>
      <c r="B376" s="450" t="s">
        <v>9297</v>
      </c>
      <c r="C376" s="450" t="n">
        <v>2020</v>
      </c>
      <c r="D376" s="451" t="n">
        <v>44160</v>
      </c>
      <c r="E376" s="452" t="s">
        <v>9298</v>
      </c>
      <c r="F376" s="378" t="s">
        <v>9299</v>
      </c>
      <c r="G376" s="452" t="s">
        <v>441</v>
      </c>
      <c r="H376" s="378" t="s">
        <v>139</v>
      </c>
      <c r="I376" s="451" t="n">
        <v>44678</v>
      </c>
      <c r="J376" s="452" t="n">
        <v>4</v>
      </c>
      <c r="K376" s="466" t="s">
        <v>49</v>
      </c>
      <c r="L376" s="455" t="s">
        <v>60</v>
      </c>
      <c r="M376" s="455" t="n">
        <f aca="false">I376-D376</f>
        <v>518</v>
      </c>
    </row>
    <row r="377" customFormat="false" ht="12.75" hidden="false" customHeight="true" outlineLevel="0" collapsed="false">
      <c r="A377" s="456" t="n">
        <v>9722</v>
      </c>
      <c r="B377" s="458" t="s">
        <v>9300</v>
      </c>
      <c r="C377" s="458" t="n">
        <v>2013</v>
      </c>
      <c r="D377" s="459" t="n">
        <v>41635</v>
      </c>
      <c r="E377" s="460" t="s">
        <v>9301</v>
      </c>
      <c r="F377" s="380" t="s">
        <v>5401</v>
      </c>
      <c r="G377" s="460" t="s">
        <v>441</v>
      </c>
      <c r="H377" s="380" t="s">
        <v>184</v>
      </c>
      <c r="I377" s="459" t="n">
        <v>44678</v>
      </c>
      <c r="J377" s="460" t="n">
        <v>4</v>
      </c>
      <c r="K377" s="466" t="s">
        <v>49</v>
      </c>
      <c r="L377" s="463" t="s">
        <v>60</v>
      </c>
      <c r="M377" s="463" t="n">
        <f aca="false">I377-D377</f>
        <v>3043</v>
      </c>
    </row>
    <row r="378" customFormat="false" ht="12.75" hidden="false" customHeight="true" outlineLevel="0" collapsed="false">
      <c r="A378" s="449" t="n">
        <v>9822</v>
      </c>
      <c r="B378" s="450" t="s">
        <v>9302</v>
      </c>
      <c r="C378" s="450" t="n">
        <v>2013</v>
      </c>
      <c r="D378" s="451" t="n">
        <v>41488</v>
      </c>
      <c r="E378" s="452" t="s">
        <v>9303</v>
      </c>
      <c r="F378" s="378" t="s">
        <v>9304</v>
      </c>
      <c r="G378" s="452" t="s">
        <v>144</v>
      </c>
      <c r="H378" s="378" t="s">
        <v>134</v>
      </c>
      <c r="I378" s="451" t="n">
        <v>44678</v>
      </c>
      <c r="J378" s="452" t="n">
        <v>4</v>
      </c>
      <c r="K378" s="468" t="s">
        <v>290</v>
      </c>
      <c r="L378" s="455" t="s">
        <v>60</v>
      </c>
      <c r="M378" s="455" t="n">
        <f aca="false">I378-D378</f>
        <v>3190</v>
      </c>
    </row>
    <row r="379" customFormat="false" ht="12.75" hidden="false" customHeight="true" outlineLevel="0" collapsed="false">
      <c r="A379" s="456" t="n">
        <v>9922</v>
      </c>
      <c r="B379" s="458" t="s">
        <v>9305</v>
      </c>
      <c r="C379" s="458" t="n">
        <v>2015</v>
      </c>
      <c r="D379" s="459" t="n">
        <v>42027</v>
      </c>
      <c r="E379" s="460" t="s">
        <v>9306</v>
      </c>
      <c r="F379" s="380" t="s">
        <v>3243</v>
      </c>
      <c r="G379" s="460" t="s">
        <v>441</v>
      </c>
      <c r="H379" s="380" t="s">
        <v>239</v>
      </c>
      <c r="I379" s="459" t="n">
        <v>44678</v>
      </c>
      <c r="J379" s="460" t="n">
        <v>4</v>
      </c>
      <c r="K379" s="466" t="s">
        <v>48</v>
      </c>
      <c r="L379" s="463" t="s">
        <v>60</v>
      </c>
      <c r="M379" s="463" t="n">
        <f aca="false">I379-D379</f>
        <v>2651</v>
      </c>
    </row>
    <row r="380" customFormat="false" ht="12.75" hidden="false" customHeight="true" outlineLevel="0" collapsed="false">
      <c r="A380" s="449" t="n">
        <v>10022</v>
      </c>
      <c r="B380" s="450" t="s">
        <v>9307</v>
      </c>
      <c r="C380" s="450" t="n">
        <v>2018</v>
      </c>
      <c r="D380" s="451" t="n">
        <v>43256</v>
      </c>
      <c r="E380" s="452" t="s">
        <v>9308</v>
      </c>
      <c r="F380" s="378" t="s">
        <v>1068</v>
      </c>
      <c r="G380" s="452" t="s">
        <v>144</v>
      </c>
      <c r="H380" s="378" t="s">
        <v>134</v>
      </c>
      <c r="I380" s="451" t="n">
        <v>44678</v>
      </c>
      <c r="J380" s="452" t="n">
        <v>4</v>
      </c>
      <c r="K380" s="466" t="s">
        <v>49</v>
      </c>
      <c r="L380" s="455" t="s">
        <v>58</v>
      </c>
      <c r="M380" s="455" t="n">
        <f aca="false">I380-D380</f>
        <v>1422</v>
      </c>
    </row>
    <row r="381" customFormat="false" ht="12.75" hidden="false" customHeight="true" outlineLevel="0" collapsed="false">
      <c r="A381" s="456" t="n">
        <v>10122</v>
      </c>
      <c r="B381" s="458" t="s">
        <v>9309</v>
      </c>
      <c r="C381" s="458" t="n">
        <v>2019</v>
      </c>
      <c r="D381" s="459" t="n">
        <v>43818</v>
      </c>
      <c r="E381" s="460" t="s">
        <v>9310</v>
      </c>
      <c r="F381" s="380" t="s">
        <v>9087</v>
      </c>
      <c r="G381" s="460" t="s">
        <v>441</v>
      </c>
      <c r="H381" s="380" t="s">
        <v>5888</v>
      </c>
      <c r="I381" s="459" t="n">
        <v>44678</v>
      </c>
      <c r="J381" s="460" t="n">
        <v>4</v>
      </c>
      <c r="K381" s="466" t="s">
        <v>48</v>
      </c>
      <c r="L381" s="463" t="s">
        <v>60</v>
      </c>
      <c r="M381" s="463" t="n">
        <f aca="false">I381-D381</f>
        <v>860</v>
      </c>
    </row>
    <row r="382" customFormat="false" ht="12.75" hidden="false" customHeight="true" outlineLevel="0" collapsed="false">
      <c r="A382" s="449" t="n">
        <v>10222</v>
      </c>
      <c r="B382" s="450" t="s">
        <v>9311</v>
      </c>
      <c r="C382" s="450" t="n">
        <v>2019</v>
      </c>
      <c r="D382" s="451" t="n">
        <v>43818</v>
      </c>
      <c r="E382" s="452" t="s">
        <v>9312</v>
      </c>
      <c r="F382" s="378" t="s">
        <v>2014</v>
      </c>
      <c r="G382" s="452" t="s">
        <v>144</v>
      </c>
      <c r="H382" s="378" t="s">
        <v>5888</v>
      </c>
      <c r="I382" s="451" t="n">
        <v>44678</v>
      </c>
      <c r="J382" s="452" t="n">
        <v>4</v>
      </c>
      <c r="K382" s="466" t="s">
        <v>49</v>
      </c>
      <c r="L382" s="455" t="s">
        <v>58</v>
      </c>
      <c r="M382" s="455" t="n">
        <f aca="false">I382-D382</f>
        <v>860</v>
      </c>
    </row>
    <row r="383" customFormat="false" ht="12.75" hidden="false" customHeight="true" outlineLevel="0" collapsed="false">
      <c r="A383" s="456" t="n">
        <v>10322</v>
      </c>
      <c r="B383" s="458" t="s">
        <v>9313</v>
      </c>
      <c r="C383" s="458" t="n">
        <v>2021</v>
      </c>
      <c r="D383" s="459" t="n">
        <v>44496</v>
      </c>
      <c r="E383" s="460" t="s">
        <v>9314</v>
      </c>
      <c r="F383" s="380" t="s">
        <v>9315</v>
      </c>
      <c r="G383" s="460" t="s">
        <v>130</v>
      </c>
      <c r="H383" s="380" t="s">
        <v>684</v>
      </c>
      <c r="I383" s="459" t="n">
        <v>44686</v>
      </c>
      <c r="J383" s="460" t="n">
        <v>5</v>
      </c>
      <c r="K383" s="468" t="s">
        <v>290</v>
      </c>
      <c r="L383" s="463" t="s">
        <v>61</v>
      </c>
      <c r="M383" s="463" t="n">
        <f aca="false">I383-D383</f>
        <v>190</v>
      </c>
    </row>
    <row r="384" customFormat="false" ht="12.75" hidden="false" customHeight="true" outlineLevel="0" collapsed="false">
      <c r="A384" s="449" t="n">
        <v>10422</v>
      </c>
      <c r="B384" s="450" t="s">
        <v>9316</v>
      </c>
      <c r="C384" s="450" t="n">
        <v>2021</v>
      </c>
      <c r="D384" s="451" t="n">
        <v>44413</v>
      </c>
      <c r="E384" s="452" t="s">
        <v>9317</v>
      </c>
      <c r="F384" s="378" t="s">
        <v>9318</v>
      </c>
      <c r="G384" s="452" t="s">
        <v>125</v>
      </c>
      <c r="H384" s="378" t="s">
        <v>980</v>
      </c>
      <c r="I384" s="451" t="n">
        <v>44686</v>
      </c>
      <c r="J384" s="452" t="n">
        <v>5</v>
      </c>
      <c r="K384" s="466" t="s">
        <v>49</v>
      </c>
      <c r="L384" s="455" t="s">
        <v>61</v>
      </c>
      <c r="M384" s="455" t="n">
        <f aca="false">I384-D384</f>
        <v>273</v>
      </c>
    </row>
    <row r="385" customFormat="false" ht="12.75" hidden="false" customHeight="true" outlineLevel="0" collapsed="false">
      <c r="A385" s="456" t="n">
        <v>10522</v>
      </c>
      <c r="B385" s="458" t="s">
        <v>9319</v>
      </c>
      <c r="C385" s="458" t="n">
        <v>2021</v>
      </c>
      <c r="D385" s="459" t="n">
        <v>44328</v>
      </c>
      <c r="E385" s="460" t="s">
        <v>9320</v>
      </c>
      <c r="F385" s="380" t="s">
        <v>9321</v>
      </c>
      <c r="G385" s="460" t="s">
        <v>130</v>
      </c>
      <c r="H385" s="380" t="s">
        <v>980</v>
      </c>
      <c r="I385" s="459" t="n">
        <v>44686</v>
      </c>
      <c r="J385" s="460" t="n">
        <v>5</v>
      </c>
      <c r="K385" s="468" t="s">
        <v>290</v>
      </c>
      <c r="L385" s="463" t="s">
        <v>61</v>
      </c>
      <c r="M385" s="463" t="n">
        <f aca="false">I385-D385</f>
        <v>358</v>
      </c>
    </row>
    <row r="386" customFormat="false" ht="15" hidden="false" customHeight="true" outlineLevel="0" collapsed="false">
      <c r="A386" s="449" t="n">
        <v>10622</v>
      </c>
      <c r="B386" s="450" t="s">
        <v>9322</v>
      </c>
      <c r="C386" s="450" t="n">
        <v>2017</v>
      </c>
      <c r="D386" s="451" t="n">
        <v>43066</v>
      </c>
      <c r="E386" s="452" t="s">
        <v>9323</v>
      </c>
      <c r="F386" s="378" t="s">
        <v>346</v>
      </c>
      <c r="G386" s="452" t="s">
        <v>441</v>
      </c>
      <c r="H386" s="378" t="s">
        <v>1567</v>
      </c>
      <c r="I386" s="451" t="n">
        <v>44686</v>
      </c>
      <c r="J386" s="452" t="n">
        <v>5</v>
      </c>
      <c r="K386" s="466" t="s">
        <v>49</v>
      </c>
      <c r="L386" s="455" t="s">
        <v>58</v>
      </c>
      <c r="M386" s="455" t="n">
        <f aca="false">I386-D386</f>
        <v>1620</v>
      </c>
    </row>
    <row r="387" customFormat="false" ht="15" hidden="false" customHeight="true" outlineLevel="0" collapsed="false">
      <c r="A387" s="456" t="n">
        <v>10722</v>
      </c>
      <c r="B387" s="458" t="s">
        <v>9324</v>
      </c>
      <c r="C387" s="458" t="n">
        <v>2018</v>
      </c>
      <c r="D387" s="459" t="n">
        <v>43423</v>
      </c>
      <c r="E387" s="460" t="s">
        <v>9325</v>
      </c>
      <c r="F387" s="380" t="s">
        <v>9326</v>
      </c>
      <c r="G387" s="460" t="s">
        <v>441</v>
      </c>
      <c r="H387" s="380" t="s">
        <v>1567</v>
      </c>
      <c r="I387" s="459" t="n">
        <v>44686</v>
      </c>
      <c r="J387" s="460" t="n">
        <v>5</v>
      </c>
      <c r="K387" s="466" t="s">
        <v>48</v>
      </c>
      <c r="L387" s="463" t="s">
        <v>58</v>
      </c>
      <c r="M387" s="463" t="n">
        <f aca="false">I387-D387</f>
        <v>1263</v>
      </c>
    </row>
    <row r="388" customFormat="false" ht="12.75" hidden="false" customHeight="true" outlineLevel="0" collapsed="false">
      <c r="A388" s="449" t="n">
        <v>10822</v>
      </c>
      <c r="B388" s="450" t="s">
        <v>9327</v>
      </c>
      <c r="C388" s="450" t="n">
        <v>2020</v>
      </c>
      <c r="D388" s="451" t="n">
        <v>44012</v>
      </c>
      <c r="E388" s="452" t="s">
        <v>9328</v>
      </c>
      <c r="F388" s="378" t="s">
        <v>9329</v>
      </c>
      <c r="G388" s="452" t="s">
        <v>125</v>
      </c>
      <c r="H388" s="378" t="s">
        <v>9330</v>
      </c>
      <c r="I388" s="451" t="n">
        <v>44686</v>
      </c>
      <c r="J388" s="452" t="n">
        <v>5</v>
      </c>
      <c r="K388" s="466" t="s">
        <v>49</v>
      </c>
      <c r="L388" s="455" t="s">
        <v>61</v>
      </c>
      <c r="M388" s="455" t="n">
        <f aca="false">I388-D388</f>
        <v>674</v>
      </c>
    </row>
    <row r="389" customFormat="false" ht="12.75" hidden="false" customHeight="true" outlineLevel="0" collapsed="false">
      <c r="A389" s="456" t="n">
        <v>10922</v>
      </c>
      <c r="B389" s="458" t="s">
        <v>9331</v>
      </c>
      <c r="C389" s="458" t="n">
        <v>2022</v>
      </c>
      <c r="D389" s="459" t="n">
        <v>44581</v>
      </c>
      <c r="E389" s="460" t="s">
        <v>9332</v>
      </c>
      <c r="F389" s="380" t="s">
        <v>9333</v>
      </c>
      <c r="G389" s="460" t="s">
        <v>130</v>
      </c>
      <c r="H389" s="380" t="s">
        <v>662</v>
      </c>
      <c r="I389" s="459" t="n">
        <v>44686</v>
      </c>
      <c r="J389" s="460" t="n">
        <v>5</v>
      </c>
      <c r="K389" s="466" t="s">
        <v>49</v>
      </c>
      <c r="L389" s="463" t="s">
        <v>61</v>
      </c>
      <c r="M389" s="463" t="n">
        <f aca="false">I389-D389</f>
        <v>105</v>
      </c>
    </row>
    <row r="390" customFormat="false" ht="12.75" hidden="false" customHeight="true" outlineLevel="0" collapsed="false">
      <c r="A390" s="449" t="n">
        <v>11022</v>
      </c>
      <c r="B390" s="450" t="s">
        <v>9334</v>
      </c>
      <c r="C390" s="450" t="n">
        <v>2016</v>
      </c>
      <c r="D390" s="451" t="n">
        <v>42433</v>
      </c>
      <c r="E390" s="452" t="s">
        <v>9335</v>
      </c>
      <c r="F390" s="378" t="s">
        <v>1180</v>
      </c>
      <c r="G390" s="452" t="s">
        <v>441</v>
      </c>
      <c r="H390" s="378" t="s">
        <v>192</v>
      </c>
      <c r="I390" s="451" t="n">
        <v>44686</v>
      </c>
      <c r="J390" s="452" t="n">
        <v>5</v>
      </c>
      <c r="K390" s="466" t="s">
        <v>48</v>
      </c>
      <c r="L390" s="455" t="s">
        <v>58</v>
      </c>
      <c r="M390" s="455" t="n">
        <f aca="false">I390-D390</f>
        <v>2253</v>
      </c>
    </row>
    <row r="391" customFormat="false" ht="12.75" hidden="false" customHeight="true" outlineLevel="0" collapsed="false">
      <c r="A391" s="456" t="n">
        <v>11122</v>
      </c>
      <c r="B391" s="458" t="s">
        <v>9336</v>
      </c>
      <c r="C391" s="458" t="n">
        <v>2021</v>
      </c>
      <c r="D391" s="459" t="n">
        <v>44239</v>
      </c>
      <c r="E391" s="460" t="s">
        <v>9337</v>
      </c>
      <c r="F391" s="380" t="s">
        <v>876</v>
      </c>
      <c r="G391" s="460" t="s">
        <v>130</v>
      </c>
      <c r="H391" s="380" t="s">
        <v>3225</v>
      </c>
      <c r="I391" s="459" t="n">
        <v>44686</v>
      </c>
      <c r="J391" s="460" t="n">
        <v>5</v>
      </c>
      <c r="K391" s="466" t="s">
        <v>49</v>
      </c>
      <c r="L391" s="463" t="s">
        <v>61</v>
      </c>
      <c r="M391" s="463" t="n">
        <f aca="false">I391-D391</f>
        <v>447</v>
      </c>
    </row>
    <row r="392" customFormat="false" ht="12.75" hidden="false" customHeight="true" outlineLevel="0" collapsed="false">
      <c r="A392" s="449" t="n">
        <v>11222</v>
      </c>
      <c r="B392" s="450" t="s">
        <v>9338</v>
      </c>
      <c r="C392" s="450" t="n">
        <v>2021</v>
      </c>
      <c r="D392" s="451" t="n">
        <v>44378</v>
      </c>
      <c r="E392" s="452" t="s">
        <v>9339</v>
      </c>
      <c r="F392" s="378" t="s">
        <v>9340</v>
      </c>
      <c r="G392" s="452" t="s">
        <v>125</v>
      </c>
      <c r="H392" s="378" t="s">
        <v>9130</v>
      </c>
      <c r="I392" s="451" t="n">
        <v>44686</v>
      </c>
      <c r="J392" s="452" t="n">
        <v>5</v>
      </c>
      <c r="K392" s="468" t="s">
        <v>290</v>
      </c>
      <c r="L392" s="455" t="s">
        <v>61</v>
      </c>
      <c r="M392" s="455" t="n">
        <f aca="false">I392-D392</f>
        <v>308</v>
      </c>
    </row>
    <row r="393" customFormat="false" ht="12.75" hidden="false" customHeight="true" outlineLevel="0" collapsed="false">
      <c r="A393" s="456" t="n">
        <v>11322</v>
      </c>
      <c r="B393" s="458" t="s">
        <v>9341</v>
      </c>
      <c r="C393" s="458" t="n">
        <v>2021</v>
      </c>
      <c r="D393" s="459" t="n">
        <v>44491</v>
      </c>
      <c r="E393" s="460" t="s">
        <v>9342</v>
      </c>
      <c r="F393" s="380" t="s">
        <v>9343</v>
      </c>
      <c r="G393" s="460" t="s">
        <v>125</v>
      </c>
      <c r="H393" s="380" t="s">
        <v>9344</v>
      </c>
      <c r="I393" s="459" t="n">
        <v>44690</v>
      </c>
      <c r="J393" s="460" t="n">
        <v>5</v>
      </c>
      <c r="K393" s="466" t="s">
        <v>49</v>
      </c>
      <c r="L393" s="463" t="s">
        <v>61</v>
      </c>
      <c r="M393" s="463" t="n">
        <f aca="false">I393-D393</f>
        <v>199</v>
      </c>
    </row>
    <row r="394" customFormat="false" ht="12.75" hidden="false" customHeight="true" outlineLevel="0" collapsed="false">
      <c r="A394" s="449" t="n">
        <v>11422</v>
      </c>
      <c r="B394" s="450" t="s">
        <v>9345</v>
      </c>
      <c r="C394" s="450" t="n">
        <v>2020</v>
      </c>
      <c r="D394" s="451" t="n">
        <v>44007</v>
      </c>
      <c r="E394" s="452" t="s">
        <v>9346</v>
      </c>
      <c r="F394" s="378" t="s">
        <v>9329</v>
      </c>
      <c r="G394" s="452" t="s">
        <v>125</v>
      </c>
      <c r="H394" s="378" t="s">
        <v>9347</v>
      </c>
      <c r="I394" s="451" t="n">
        <v>44690</v>
      </c>
      <c r="J394" s="452" t="n">
        <v>5</v>
      </c>
      <c r="K394" s="466" t="s">
        <v>49</v>
      </c>
      <c r="L394" s="455" t="s">
        <v>61</v>
      </c>
      <c r="M394" s="455" t="n">
        <f aca="false">I394-D394</f>
        <v>683</v>
      </c>
    </row>
    <row r="395" customFormat="false" ht="12.75" hidden="false" customHeight="true" outlineLevel="0" collapsed="false">
      <c r="A395" s="456" t="n">
        <v>11522</v>
      </c>
      <c r="B395" s="458" t="s">
        <v>9348</v>
      </c>
      <c r="C395" s="458" t="n">
        <v>2022</v>
      </c>
      <c r="D395" s="459" t="n">
        <v>44568</v>
      </c>
      <c r="E395" s="460" t="s">
        <v>9349</v>
      </c>
      <c r="F395" s="380" t="s">
        <v>9350</v>
      </c>
      <c r="G395" s="460" t="s">
        <v>130</v>
      </c>
      <c r="H395" s="380" t="s">
        <v>9351</v>
      </c>
      <c r="I395" s="459" t="n">
        <v>44691</v>
      </c>
      <c r="J395" s="460" t="n">
        <v>5</v>
      </c>
      <c r="K395" s="466" t="s">
        <v>49</v>
      </c>
      <c r="L395" s="463" t="s">
        <v>61</v>
      </c>
      <c r="M395" s="463" t="n">
        <f aca="false">I395-D395</f>
        <v>123</v>
      </c>
    </row>
    <row r="396" customFormat="false" ht="12.75" hidden="false" customHeight="true" outlineLevel="0" collapsed="false">
      <c r="A396" s="449" t="n">
        <v>11622</v>
      </c>
      <c r="B396" s="450" t="s">
        <v>9352</v>
      </c>
      <c r="C396" s="450" t="n">
        <v>2021</v>
      </c>
      <c r="D396" s="451" t="n">
        <v>44498</v>
      </c>
      <c r="E396" s="452" t="s">
        <v>9353</v>
      </c>
      <c r="F396" s="378" t="s">
        <v>661</v>
      </c>
      <c r="G396" s="452" t="s">
        <v>130</v>
      </c>
      <c r="H396" s="378" t="s">
        <v>9282</v>
      </c>
      <c r="I396" s="451" t="n">
        <v>44691</v>
      </c>
      <c r="J396" s="452" t="n">
        <v>5</v>
      </c>
      <c r="K396" s="466" t="s">
        <v>49</v>
      </c>
      <c r="L396" s="455" t="s">
        <v>61</v>
      </c>
      <c r="M396" s="455" t="n">
        <f aca="false">I396-D396</f>
        <v>193</v>
      </c>
    </row>
    <row r="397" customFormat="false" ht="12.75" hidden="false" customHeight="true" outlineLevel="0" collapsed="false">
      <c r="A397" s="456" t="n">
        <v>11722</v>
      </c>
      <c r="B397" s="458" t="s">
        <v>9354</v>
      </c>
      <c r="C397" s="458" t="n">
        <v>2018</v>
      </c>
      <c r="D397" s="459" t="n">
        <v>43371</v>
      </c>
      <c r="E397" s="460" t="s">
        <v>9355</v>
      </c>
      <c r="F397" s="380" t="s">
        <v>7435</v>
      </c>
      <c r="G397" s="460" t="s">
        <v>441</v>
      </c>
      <c r="H397" s="380" t="s">
        <v>5888</v>
      </c>
      <c r="I397" s="459" t="n">
        <v>44691</v>
      </c>
      <c r="J397" s="460" t="n">
        <v>5</v>
      </c>
      <c r="K397" s="540" t="s">
        <v>46</v>
      </c>
      <c r="L397" s="463" t="s">
        <v>2848</v>
      </c>
      <c r="M397" s="463" t="n">
        <f aca="false">I397-D397</f>
        <v>1320</v>
      </c>
    </row>
    <row r="398" customFormat="false" ht="12.75" hidden="false" customHeight="true" outlineLevel="0" collapsed="false">
      <c r="A398" s="449" t="n">
        <v>11822</v>
      </c>
      <c r="B398" s="450" t="s">
        <v>9356</v>
      </c>
      <c r="C398" s="450" t="n">
        <v>2011</v>
      </c>
      <c r="D398" s="451" t="n">
        <v>40674</v>
      </c>
      <c r="E398" s="452" t="s">
        <v>9357</v>
      </c>
      <c r="F398" s="378" t="s">
        <v>3918</v>
      </c>
      <c r="G398" s="452" t="s">
        <v>144</v>
      </c>
      <c r="H398" s="378" t="s">
        <v>119</v>
      </c>
      <c r="I398" s="451" t="n">
        <v>44691</v>
      </c>
      <c r="J398" s="452" t="n">
        <v>5</v>
      </c>
      <c r="K398" s="466" t="s">
        <v>48</v>
      </c>
      <c r="L398" s="455" t="s">
        <v>58</v>
      </c>
      <c r="M398" s="455" t="n">
        <f aca="false">I398-D398</f>
        <v>4017</v>
      </c>
    </row>
    <row r="399" customFormat="false" ht="12.75" hidden="false" customHeight="true" outlineLevel="0" collapsed="false">
      <c r="A399" s="456" t="n">
        <v>11922</v>
      </c>
      <c r="B399" s="458" t="s">
        <v>9358</v>
      </c>
      <c r="C399" s="458" t="n">
        <v>2020</v>
      </c>
      <c r="D399" s="459" t="n">
        <v>44147</v>
      </c>
      <c r="E399" s="460" t="s">
        <v>9359</v>
      </c>
      <c r="F399" s="380" t="s">
        <v>172</v>
      </c>
      <c r="G399" s="460" t="s">
        <v>441</v>
      </c>
      <c r="H399" s="380" t="s">
        <v>139</v>
      </c>
      <c r="I399" s="459" t="n">
        <v>44692</v>
      </c>
      <c r="J399" s="460" t="n">
        <v>5</v>
      </c>
      <c r="K399" s="466" t="s">
        <v>48</v>
      </c>
      <c r="L399" s="463" t="s">
        <v>58</v>
      </c>
      <c r="M399" s="463" t="n">
        <f aca="false">I399-D399</f>
        <v>545</v>
      </c>
    </row>
    <row r="400" customFormat="false" ht="12.75" hidden="false" customHeight="true" outlineLevel="0" collapsed="false">
      <c r="A400" s="449" t="n">
        <v>12022</v>
      </c>
      <c r="B400" s="450" t="s">
        <v>9360</v>
      </c>
      <c r="C400" s="450" t="n">
        <v>2014</v>
      </c>
      <c r="D400" s="451" t="n">
        <v>41711</v>
      </c>
      <c r="E400" s="452" t="s">
        <v>9361</v>
      </c>
      <c r="F400" s="378" t="s">
        <v>3865</v>
      </c>
      <c r="G400" s="452" t="s">
        <v>441</v>
      </c>
      <c r="H400" s="378" t="s">
        <v>9362</v>
      </c>
      <c r="I400" s="451" t="n">
        <v>44692</v>
      </c>
      <c r="J400" s="452" t="n">
        <v>5</v>
      </c>
      <c r="K400" s="466" t="s">
        <v>49</v>
      </c>
      <c r="L400" s="455" t="s">
        <v>60</v>
      </c>
      <c r="M400" s="455" t="n">
        <f aca="false">I400-D400</f>
        <v>2981</v>
      </c>
    </row>
    <row r="401" customFormat="false" ht="12.75" hidden="false" customHeight="true" outlineLevel="0" collapsed="false">
      <c r="A401" s="456" t="n">
        <v>12122</v>
      </c>
      <c r="B401" s="458" t="s">
        <v>9363</v>
      </c>
      <c r="C401" s="458" t="n">
        <v>2021</v>
      </c>
      <c r="D401" s="459" t="n">
        <v>44461</v>
      </c>
      <c r="E401" s="460" t="s">
        <v>9364</v>
      </c>
      <c r="F401" s="380" t="s">
        <v>9365</v>
      </c>
      <c r="G401" s="460" t="s">
        <v>125</v>
      </c>
      <c r="H401" s="380" t="s">
        <v>3553</v>
      </c>
      <c r="I401" s="459" t="n">
        <v>44692</v>
      </c>
      <c r="J401" s="460" t="n">
        <v>5</v>
      </c>
      <c r="K401" s="466" t="s">
        <v>49</v>
      </c>
      <c r="L401" s="463" t="s">
        <v>61</v>
      </c>
      <c r="M401" s="463" t="n">
        <f aca="false">I401-D401</f>
        <v>231</v>
      </c>
    </row>
    <row r="402" customFormat="false" ht="12.75" hidden="false" customHeight="true" outlineLevel="0" collapsed="false">
      <c r="A402" s="449" t="n">
        <v>12222</v>
      </c>
      <c r="B402" s="450" t="s">
        <v>9366</v>
      </c>
      <c r="C402" s="450" t="n">
        <v>2019</v>
      </c>
      <c r="D402" s="451" t="n">
        <v>43573</v>
      </c>
      <c r="E402" s="452" t="s">
        <v>9367</v>
      </c>
      <c r="F402" s="378" t="s">
        <v>467</v>
      </c>
      <c r="G402" s="452" t="s">
        <v>441</v>
      </c>
      <c r="H402" s="378" t="s">
        <v>471</v>
      </c>
      <c r="I402" s="451" t="n">
        <v>44692</v>
      </c>
      <c r="J402" s="452" t="n">
        <v>5</v>
      </c>
      <c r="K402" s="466" t="s">
        <v>49</v>
      </c>
      <c r="L402" s="455" t="s">
        <v>60</v>
      </c>
      <c r="M402" s="455" t="n">
        <f aca="false">I402-D402</f>
        <v>1119</v>
      </c>
    </row>
    <row r="403" customFormat="false" ht="12.75" hidden="false" customHeight="true" outlineLevel="0" collapsed="false">
      <c r="A403" s="456" t="n">
        <v>12322</v>
      </c>
      <c r="B403" s="458" t="s">
        <v>9368</v>
      </c>
      <c r="C403" s="458" t="n">
        <v>2021</v>
      </c>
      <c r="D403" s="459" t="n">
        <v>44503</v>
      </c>
      <c r="E403" s="460" t="s">
        <v>9369</v>
      </c>
      <c r="F403" s="380" t="s">
        <v>4189</v>
      </c>
      <c r="G403" s="460" t="s">
        <v>130</v>
      </c>
      <c r="H403" s="380" t="s">
        <v>3553</v>
      </c>
      <c r="I403" s="459" t="n">
        <v>44692</v>
      </c>
      <c r="J403" s="460" t="n">
        <v>5</v>
      </c>
      <c r="K403" s="466" t="s">
        <v>49</v>
      </c>
      <c r="L403" s="463" t="s">
        <v>61</v>
      </c>
      <c r="M403" s="463" t="n">
        <f aca="false">I403-D403</f>
        <v>189</v>
      </c>
    </row>
    <row r="404" customFormat="false" ht="12.75" hidden="false" customHeight="true" outlineLevel="0" collapsed="false">
      <c r="A404" s="449" t="n">
        <v>12422</v>
      </c>
      <c r="B404" s="450" t="s">
        <v>9370</v>
      </c>
      <c r="C404" s="450" t="n">
        <v>2021</v>
      </c>
      <c r="D404" s="451" t="n">
        <v>44517</v>
      </c>
      <c r="E404" s="452" t="s">
        <v>9371</v>
      </c>
      <c r="F404" s="378" t="s">
        <v>4189</v>
      </c>
      <c r="G404" s="452" t="s">
        <v>130</v>
      </c>
      <c r="H404" s="378" t="s">
        <v>5376</v>
      </c>
      <c r="I404" s="451" t="n">
        <v>44692</v>
      </c>
      <c r="J404" s="452" t="n">
        <v>5</v>
      </c>
      <c r="K404" s="466" t="s">
        <v>49</v>
      </c>
      <c r="L404" s="455" t="s">
        <v>61</v>
      </c>
      <c r="M404" s="455" t="n">
        <f aca="false">I404-D404</f>
        <v>175</v>
      </c>
    </row>
    <row r="405" customFormat="false" ht="12.75" hidden="false" customHeight="true" outlineLevel="0" collapsed="false">
      <c r="A405" s="456" t="n">
        <v>12522</v>
      </c>
      <c r="B405" s="458" t="s">
        <v>9372</v>
      </c>
      <c r="C405" s="458" t="n">
        <v>2015</v>
      </c>
      <c r="D405" s="459" t="n">
        <v>42291</v>
      </c>
      <c r="E405" s="460" t="s">
        <v>9373</v>
      </c>
      <c r="F405" s="380" t="s">
        <v>4956</v>
      </c>
      <c r="G405" s="460" t="s">
        <v>441</v>
      </c>
      <c r="H405" s="380" t="s">
        <v>9374</v>
      </c>
      <c r="I405" s="459" t="n">
        <v>44692</v>
      </c>
      <c r="J405" s="460" t="n">
        <v>5</v>
      </c>
      <c r="K405" s="466" t="s">
        <v>49</v>
      </c>
      <c r="L405" s="463" t="s">
        <v>58</v>
      </c>
      <c r="M405" s="463" t="n">
        <f aca="false">I405-D405</f>
        <v>2401</v>
      </c>
    </row>
    <row r="406" customFormat="false" ht="12.75" hidden="false" customHeight="true" outlineLevel="0" collapsed="false">
      <c r="A406" s="449" t="n">
        <v>12622</v>
      </c>
      <c r="B406" s="450" t="s">
        <v>9375</v>
      </c>
      <c r="C406" s="450" t="n">
        <v>2014</v>
      </c>
      <c r="D406" s="451" t="n">
        <v>41969</v>
      </c>
      <c r="E406" s="452" t="s">
        <v>9376</v>
      </c>
      <c r="F406" s="378" t="s">
        <v>9377</v>
      </c>
      <c r="G406" s="452" t="s">
        <v>441</v>
      </c>
      <c r="H406" s="378" t="s">
        <v>119</v>
      </c>
      <c r="I406" s="451" t="n">
        <v>44692</v>
      </c>
      <c r="J406" s="452" t="n">
        <v>5</v>
      </c>
      <c r="K406" s="466" t="s">
        <v>49</v>
      </c>
      <c r="L406" s="455" t="s">
        <v>58</v>
      </c>
      <c r="M406" s="455" t="n">
        <f aca="false">I406-D406</f>
        <v>2723</v>
      </c>
    </row>
    <row r="407" customFormat="false" ht="15" hidden="false" customHeight="true" outlineLevel="0" collapsed="false">
      <c r="A407" s="456" t="n">
        <v>12722</v>
      </c>
      <c r="B407" s="458" t="s">
        <v>9378</v>
      </c>
      <c r="C407" s="458" t="n">
        <v>2020</v>
      </c>
      <c r="D407" s="459" t="n">
        <v>43957</v>
      </c>
      <c r="E407" s="460" t="s">
        <v>9379</v>
      </c>
      <c r="F407" s="380" t="s">
        <v>9098</v>
      </c>
      <c r="G407" s="460" t="s">
        <v>441</v>
      </c>
      <c r="H407" s="380" t="s">
        <v>267</v>
      </c>
      <c r="I407" s="459" t="n">
        <v>44692</v>
      </c>
      <c r="J407" s="460" t="n">
        <v>5</v>
      </c>
      <c r="K407" s="466" t="s">
        <v>49</v>
      </c>
      <c r="L407" s="463" t="s">
        <v>58</v>
      </c>
      <c r="M407" s="463" t="n">
        <f aca="false">I407-D407</f>
        <v>735</v>
      </c>
    </row>
    <row r="408" customFormat="false" ht="15" hidden="false" customHeight="true" outlineLevel="0" collapsed="false">
      <c r="A408" s="449" t="n">
        <v>12822</v>
      </c>
      <c r="B408" s="450" t="s">
        <v>9380</v>
      </c>
      <c r="C408" s="450" t="n">
        <v>2020</v>
      </c>
      <c r="D408" s="451" t="n">
        <v>44162</v>
      </c>
      <c r="E408" s="452" t="s">
        <v>9381</v>
      </c>
      <c r="F408" s="378" t="s">
        <v>9382</v>
      </c>
      <c r="G408" s="452" t="s">
        <v>144</v>
      </c>
      <c r="H408" s="378" t="s">
        <v>5888</v>
      </c>
      <c r="I408" s="451" t="n">
        <v>44692</v>
      </c>
      <c r="J408" s="452" t="n">
        <v>5</v>
      </c>
      <c r="K408" s="466" t="s">
        <v>49</v>
      </c>
      <c r="L408" s="455" t="s">
        <v>60</v>
      </c>
      <c r="M408" s="455" t="n">
        <f aca="false">I408-D408</f>
        <v>530</v>
      </c>
    </row>
    <row r="409" customFormat="false" ht="15" hidden="false" customHeight="true" outlineLevel="0" collapsed="false">
      <c r="A409" s="456" t="n">
        <v>12922</v>
      </c>
      <c r="B409" s="458" t="s">
        <v>9383</v>
      </c>
      <c r="C409" s="458" t="n">
        <v>2018</v>
      </c>
      <c r="D409" s="459" t="n">
        <v>43185</v>
      </c>
      <c r="E409" s="460" t="s">
        <v>9384</v>
      </c>
      <c r="F409" s="380" t="s">
        <v>467</v>
      </c>
      <c r="G409" s="460" t="s">
        <v>441</v>
      </c>
      <c r="H409" s="380" t="s">
        <v>9385</v>
      </c>
      <c r="I409" s="459" t="n">
        <v>44692</v>
      </c>
      <c r="J409" s="460" t="n">
        <v>5</v>
      </c>
      <c r="K409" s="466" t="s">
        <v>49</v>
      </c>
      <c r="L409" s="463" t="s">
        <v>61</v>
      </c>
      <c r="M409" s="463" t="n">
        <f aca="false">I409-D409</f>
        <v>1507</v>
      </c>
    </row>
    <row r="410" customFormat="false" ht="15" hidden="false" customHeight="true" outlineLevel="0" collapsed="false">
      <c r="A410" s="449" t="n">
        <v>13022</v>
      </c>
      <c r="B410" s="450" t="s">
        <v>9386</v>
      </c>
      <c r="C410" s="450" t="n">
        <v>2021</v>
      </c>
      <c r="D410" s="451" t="n">
        <v>44508</v>
      </c>
      <c r="E410" s="452" t="s">
        <v>9387</v>
      </c>
      <c r="F410" s="378" t="s">
        <v>9388</v>
      </c>
      <c r="G410" s="452" t="s">
        <v>125</v>
      </c>
      <c r="H410" s="378" t="s">
        <v>9347</v>
      </c>
      <c r="I410" s="451" t="n">
        <v>44692</v>
      </c>
      <c r="J410" s="452" t="n">
        <v>5</v>
      </c>
      <c r="K410" s="466" t="s">
        <v>49</v>
      </c>
      <c r="L410" s="455" t="s">
        <v>61</v>
      </c>
      <c r="M410" s="455" t="n">
        <f aca="false">I410-D410</f>
        <v>184</v>
      </c>
    </row>
    <row r="411" customFormat="false" ht="12.75" hidden="false" customHeight="true" outlineLevel="0" collapsed="false">
      <c r="A411" s="456" t="n">
        <v>13122</v>
      </c>
      <c r="B411" s="458" t="s">
        <v>9389</v>
      </c>
      <c r="C411" s="458" t="n">
        <v>2013</v>
      </c>
      <c r="D411" s="459" t="n">
        <v>41376</v>
      </c>
      <c r="E411" s="460" t="s">
        <v>9390</v>
      </c>
      <c r="F411" s="380" t="s">
        <v>207</v>
      </c>
      <c r="G411" s="460" t="s">
        <v>441</v>
      </c>
      <c r="H411" s="380" t="s">
        <v>2147</v>
      </c>
      <c r="I411" s="459" t="n">
        <v>44693</v>
      </c>
      <c r="J411" s="460" t="n">
        <v>5</v>
      </c>
      <c r="K411" s="466" t="s">
        <v>49</v>
      </c>
      <c r="L411" s="463" t="s">
        <v>58</v>
      </c>
      <c r="M411" s="463" t="n">
        <f aca="false">I411-D411</f>
        <v>3317</v>
      </c>
    </row>
    <row r="412" customFormat="false" ht="12.75" hidden="false" customHeight="true" outlineLevel="0" collapsed="false">
      <c r="A412" s="449" t="n">
        <v>13222</v>
      </c>
      <c r="B412" s="450" t="s">
        <v>9391</v>
      </c>
      <c r="C412" s="450" t="n">
        <v>2019</v>
      </c>
      <c r="D412" s="451" t="n">
        <v>43560</v>
      </c>
      <c r="E412" s="452" t="s">
        <v>9392</v>
      </c>
      <c r="F412" s="378" t="s">
        <v>1153</v>
      </c>
      <c r="G412" s="452" t="s">
        <v>441</v>
      </c>
      <c r="H412" s="378" t="s">
        <v>184</v>
      </c>
      <c r="I412" s="451" t="n">
        <v>44705</v>
      </c>
      <c r="J412" s="452" t="n">
        <v>5</v>
      </c>
      <c r="K412" s="466" t="s">
        <v>49</v>
      </c>
      <c r="L412" s="455" t="s">
        <v>60</v>
      </c>
      <c r="M412" s="455" t="n">
        <f aca="false">I412-D412</f>
        <v>1145</v>
      </c>
    </row>
    <row r="413" customFormat="false" ht="12.75" hidden="false" customHeight="true" outlineLevel="0" collapsed="false">
      <c r="A413" s="456" t="n">
        <v>13322</v>
      </c>
      <c r="B413" s="458" t="s">
        <v>9393</v>
      </c>
      <c r="C413" s="458" t="n">
        <v>2018</v>
      </c>
      <c r="D413" s="459" t="n">
        <v>43277</v>
      </c>
      <c r="E413" s="460" t="s">
        <v>9394</v>
      </c>
      <c r="F413" s="380" t="s">
        <v>9395</v>
      </c>
      <c r="G413" s="460" t="s">
        <v>441</v>
      </c>
      <c r="H413" s="380" t="s">
        <v>254</v>
      </c>
      <c r="I413" s="459" t="n">
        <v>44705</v>
      </c>
      <c r="J413" s="460" t="n">
        <v>5</v>
      </c>
      <c r="K413" s="466" t="s">
        <v>48</v>
      </c>
      <c r="L413" s="463" t="s">
        <v>58</v>
      </c>
      <c r="M413" s="463" t="n">
        <f aca="false">I413-D413</f>
        <v>1428</v>
      </c>
    </row>
    <row r="414" customFormat="false" ht="12.75" hidden="false" customHeight="true" outlineLevel="0" collapsed="false">
      <c r="A414" s="449" t="n">
        <v>13422</v>
      </c>
      <c r="B414" s="450" t="s">
        <v>9396</v>
      </c>
      <c r="C414" s="450" t="n">
        <v>2015</v>
      </c>
      <c r="D414" s="451" t="n">
        <v>42255</v>
      </c>
      <c r="E414" s="452" t="s">
        <v>9397</v>
      </c>
      <c r="F414" s="378" t="s">
        <v>379</v>
      </c>
      <c r="G414" s="452" t="s">
        <v>441</v>
      </c>
      <c r="H414" s="378" t="s">
        <v>6570</v>
      </c>
      <c r="I414" s="451" t="n">
        <v>44705</v>
      </c>
      <c r="J414" s="452" t="n">
        <v>5</v>
      </c>
      <c r="K414" s="466" t="s">
        <v>49</v>
      </c>
      <c r="L414" s="455" t="s">
        <v>58</v>
      </c>
      <c r="M414" s="455" t="n">
        <f aca="false">I414-D414</f>
        <v>2450</v>
      </c>
    </row>
    <row r="415" customFormat="false" ht="12.75" hidden="false" customHeight="true" outlineLevel="0" collapsed="false">
      <c r="A415" s="456" t="n">
        <v>13522</v>
      </c>
      <c r="B415" s="458" t="s">
        <v>9398</v>
      </c>
      <c r="C415" s="458" t="n">
        <v>2015</v>
      </c>
      <c r="D415" s="459" t="n">
        <v>42348</v>
      </c>
      <c r="E415" s="460" t="s">
        <v>9399</v>
      </c>
      <c r="F415" s="380" t="s">
        <v>9400</v>
      </c>
      <c r="G415" s="460" t="s">
        <v>115</v>
      </c>
      <c r="H415" s="380" t="s">
        <v>5589</v>
      </c>
      <c r="I415" s="459" t="n">
        <v>44705</v>
      </c>
      <c r="J415" s="460" t="n">
        <v>5</v>
      </c>
      <c r="K415" s="468" t="s">
        <v>290</v>
      </c>
      <c r="L415" s="463" t="s">
        <v>58</v>
      </c>
      <c r="M415" s="463" t="n">
        <f aca="false">I415-D415</f>
        <v>2357</v>
      </c>
    </row>
    <row r="416" customFormat="false" ht="12.75" hidden="false" customHeight="true" outlineLevel="0" collapsed="false">
      <c r="A416" s="449" t="n">
        <v>13622</v>
      </c>
      <c r="B416" s="450" t="s">
        <v>9401</v>
      </c>
      <c r="C416" s="450" t="n">
        <v>2016</v>
      </c>
      <c r="D416" s="451" t="n">
        <v>42720</v>
      </c>
      <c r="E416" s="452" t="s">
        <v>9402</v>
      </c>
      <c r="F416" s="378" t="s">
        <v>9403</v>
      </c>
      <c r="G416" s="452" t="s">
        <v>441</v>
      </c>
      <c r="H416" s="378" t="s">
        <v>208</v>
      </c>
      <c r="I416" s="451" t="n">
        <v>44705</v>
      </c>
      <c r="J416" s="452" t="n">
        <v>5</v>
      </c>
      <c r="K416" s="466" t="s">
        <v>48</v>
      </c>
      <c r="L416" s="455" t="s">
        <v>60</v>
      </c>
      <c r="M416" s="455" t="n">
        <f aca="false">I416-D416</f>
        <v>1985</v>
      </c>
    </row>
    <row r="417" customFormat="false" ht="12.75" hidden="false" customHeight="true" outlineLevel="0" collapsed="false">
      <c r="A417" s="456" t="n">
        <v>13722</v>
      </c>
      <c r="B417" s="458" t="s">
        <v>9404</v>
      </c>
      <c r="C417" s="458" t="n">
        <v>2014</v>
      </c>
      <c r="D417" s="459" t="n">
        <v>41656</v>
      </c>
      <c r="E417" s="460" t="s">
        <v>9405</v>
      </c>
      <c r="F417" s="380" t="s">
        <v>9406</v>
      </c>
      <c r="G417" s="460" t="s">
        <v>115</v>
      </c>
      <c r="H417" s="380" t="s">
        <v>9407</v>
      </c>
      <c r="I417" s="459" t="n">
        <v>44705</v>
      </c>
      <c r="J417" s="460" t="n">
        <v>5</v>
      </c>
      <c r="K417" s="466" t="s">
        <v>49</v>
      </c>
      <c r="L417" s="463" t="s">
        <v>58</v>
      </c>
      <c r="M417" s="463" t="n">
        <f aca="false">I417-D417</f>
        <v>3049</v>
      </c>
    </row>
    <row r="418" customFormat="false" ht="12.75" hidden="false" customHeight="true" outlineLevel="0" collapsed="false">
      <c r="A418" s="449" t="n">
        <v>13822</v>
      </c>
      <c r="B418" s="450" t="s">
        <v>9408</v>
      </c>
      <c r="C418" s="450" t="n">
        <v>2014</v>
      </c>
      <c r="D418" s="451" t="n">
        <v>41669</v>
      </c>
      <c r="E418" s="452" t="s">
        <v>9409</v>
      </c>
      <c r="F418" s="378" t="s">
        <v>9406</v>
      </c>
      <c r="G418" s="452" t="s">
        <v>115</v>
      </c>
      <c r="H418" s="378" t="s">
        <v>9407</v>
      </c>
      <c r="I418" s="451" t="n">
        <v>44705</v>
      </c>
      <c r="J418" s="452" t="n">
        <v>5</v>
      </c>
      <c r="K418" s="466" t="s">
        <v>49</v>
      </c>
      <c r="L418" s="455" t="s">
        <v>58</v>
      </c>
      <c r="M418" s="455" t="n">
        <f aca="false">I418-D418</f>
        <v>3036</v>
      </c>
    </row>
    <row r="419" customFormat="false" ht="12.75" hidden="false" customHeight="true" outlineLevel="0" collapsed="false">
      <c r="A419" s="456" t="n">
        <v>13922</v>
      </c>
      <c r="B419" s="458" t="s">
        <v>9410</v>
      </c>
      <c r="C419" s="458" t="n">
        <v>2014</v>
      </c>
      <c r="D419" s="459" t="n">
        <v>41997</v>
      </c>
      <c r="E419" s="460" t="s">
        <v>9411</v>
      </c>
      <c r="F419" s="380" t="s">
        <v>1827</v>
      </c>
      <c r="G419" s="460" t="s">
        <v>144</v>
      </c>
      <c r="H419" s="380" t="s">
        <v>9412</v>
      </c>
      <c r="I419" s="459" t="n">
        <v>44705</v>
      </c>
      <c r="J419" s="460" t="n">
        <v>5</v>
      </c>
      <c r="K419" s="466" t="s">
        <v>49</v>
      </c>
      <c r="L419" s="463" t="s">
        <v>60</v>
      </c>
      <c r="M419" s="463" t="n">
        <f aca="false">I419-D419</f>
        <v>2708</v>
      </c>
    </row>
    <row r="420" customFormat="false" ht="12.75" hidden="false" customHeight="true" outlineLevel="0" collapsed="false">
      <c r="A420" s="449" t="n">
        <v>14022</v>
      </c>
      <c r="B420" s="450" t="s">
        <v>9413</v>
      </c>
      <c r="C420" s="450" t="n">
        <v>2018</v>
      </c>
      <c r="D420" s="451" t="n">
        <v>43208</v>
      </c>
      <c r="E420" s="452" t="s">
        <v>9414</v>
      </c>
      <c r="F420" s="378" t="s">
        <v>9415</v>
      </c>
      <c r="G420" s="452" t="s">
        <v>441</v>
      </c>
      <c r="H420" s="378" t="s">
        <v>119</v>
      </c>
      <c r="I420" s="451" t="n">
        <v>44705</v>
      </c>
      <c r="J420" s="452" t="n">
        <v>5</v>
      </c>
      <c r="K420" s="466" t="s">
        <v>49</v>
      </c>
      <c r="L420" s="455" t="s">
        <v>58</v>
      </c>
      <c r="M420" s="455" t="n">
        <f aca="false">I420-D420</f>
        <v>1497</v>
      </c>
    </row>
    <row r="421" customFormat="false" ht="12.75" hidden="false" customHeight="true" outlineLevel="0" collapsed="false">
      <c r="A421" s="456" t="n">
        <v>14122</v>
      </c>
      <c r="B421" s="458" t="s">
        <v>9416</v>
      </c>
      <c r="C421" s="458" t="n">
        <v>2015</v>
      </c>
      <c r="D421" s="459" t="n">
        <v>42080</v>
      </c>
      <c r="E421" s="460" t="s">
        <v>9417</v>
      </c>
      <c r="F421" s="380" t="s">
        <v>446</v>
      </c>
      <c r="G421" s="460" t="s">
        <v>441</v>
      </c>
      <c r="H421" s="380" t="s">
        <v>2506</v>
      </c>
      <c r="I421" s="459" t="n">
        <v>44705</v>
      </c>
      <c r="J421" s="460" t="n">
        <v>5</v>
      </c>
      <c r="K421" s="466" t="s">
        <v>49</v>
      </c>
      <c r="L421" s="463" t="s">
        <v>60</v>
      </c>
      <c r="M421" s="463" t="n">
        <f aca="false">I421-D421</f>
        <v>2625</v>
      </c>
    </row>
    <row r="422" customFormat="false" ht="12.75" hidden="false" customHeight="true" outlineLevel="0" collapsed="false">
      <c r="A422" s="449" t="n">
        <v>14222</v>
      </c>
      <c r="B422" s="450" t="s">
        <v>9418</v>
      </c>
      <c r="C422" s="450" t="n">
        <v>2016</v>
      </c>
      <c r="D422" s="451" t="n">
        <v>42723</v>
      </c>
      <c r="E422" s="452" t="s">
        <v>9419</v>
      </c>
      <c r="F422" s="378" t="s">
        <v>9420</v>
      </c>
      <c r="G422" s="452" t="s">
        <v>115</v>
      </c>
      <c r="H422" s="378" t="s">
        <v>119</v>
      </c>
      <c r="I422" s="451" t="n">
        <v>44711</v>
      </c>
      <c r="J422" s="452" t="n">
        <v>5</v>
      </c>
      <c r="K422" s="466" t="s">
        <v>48</v>
      </c>
      <c r="L422" s="455" t="s">
        <v>58</v>
      </c>
      <c r="M422" s="455" t="n">
        <f aca="false">I422-D422</f>
        <v>1988</v>
      </c>
    </row>
    <row r="423" customFormat="false" ht="12.75" hidden="false" customHeight="true" outlineLevel="0" collapsed="false">
      <c r="A423" s="456" t="n">
        <v>14322</v>
      </c>
      <c r="B423" s="458" t="s">
        <v>9421</v>
      </c>
      <c r="C423" s="458" t="n">
        <v>2021</v>
      </c>
      <c r="D423" s="459" t="n">
        <v>44533</v>
      </c>
      <c r="E423" s="460" t="s">
        <v>9422</v>
      </c>
      <c r="F423" s="380" t="s">
        <v>9423</v>
      </c>
      <c r="G423" s="460" t="s">
        <v>130</v>
      </c>
      <c r="H423" s="380" t="s">
        <v>9424</v>
      </c>
      <c r="I423" s="459" t="n">
        <v>44711</v>
      </c>
      <c r="J423" s="460" t="n">
        <v>5</v>
      </c>
      <c r="K423" s="466" t="s">
        <v>49</v>
      </c>
      <c r="L423" s="463" t="s">
        <v>61</v>
      </c>
      <c r="M423" s="463" t="n">
        <f aca="false">I423-D423</f>
        <v>178</v>
      </c>
    </row>
    <row r="424" customFormat="false" ht="12.75" hidden="false" customHeight="true" outlineLevel="0" collapsed="false">
      <c r="A424" s="449" t="n">
        <v>14422</v>
      </c>
      <c r="B424" s="450" t="s">
        <v>9425</v>
      </c>
      <c r="C424" s="450" t="n">
        <v>2021</v>
      </c>
      <c r="D424" s="451" t="n">
        <v>44508</v>
      </c>
      <c r="E424" s="452" t="s">
        <v>9426</v>
      </c>
      <c r="F424" s="378" t="s">
        <v>876</v>
      </c>
      <c r="G424" s="452" t="s">
        <v>130</v>
      </c>
      <c r="H424" s="378" t="s">
        <v>629</v>
      </c>
      <c r="I424" s="451" t="n">
        <v>44711</v>
      </c>
      <c r="J424" s="452" t="n">
        <v>5</v>
      </c>
      <c r="K424" s="466" t="s">
        <v>49</v>
      </c>
      <c r="L424" s="455" t="s">
        <v>61</v>
      </c>
      <c r="M424" s="455" t="n">
        <f aca="false">I424-D424</f>
        <v>203</v>
      </c>
    </row>
    <row r="425" customFormat="false" ht="12.75" hidden="false" customHeight="true" outlineLevel="0" collapsed="false">
      <c r="A425" s="456" t="n">
        <v>14522</v>
      </c>
      <c r="B425" s="458" t="s">
        <v>9427</v>
      </c>
      <c r="C425" s="458" t="n">
        <v>2021</v>
      </c>
      <c r="D425" s="459" t="n">
        <v>44512</v>
      </c>
      <c r="E425" s="460" t="s">
        <v>9428</v>
      </c>
      <c r="F425" s="380" t="s">
        <v>876</v>
      </c>
      <c r="G425" s="460" t="s">
        <v>130</v>
      </c>
      <c r="H425" s="380" t="s">
        <v>629</v>
      </c>
      <c r="I425" s="459" t="n">
        <v>44711</v>
      </c>
      <c r="J425" s="460" t="n">
        <v>5</v>
      </c>
      <c r="K425" s="466" t="s">
        <v>49</v>
      </c>
      <c r="L425" s="463" t="s">
        <v>61</v>
      </c>
      <c r="M425" s="463" t="n">
        <f aca="false">I425-D425</f>
        <v>199</v>
      </c>
    </row>
    <row r="426" customFormat="false" ht="12.75" hidden="false" customHeight="true" outlineLevel="0" collapsed="false">
      <c r="A426" s="449" t="n">
        <v>14622</v>
      </c>
      <c r="B426" s="450" t="s">
        <v>9429</v>
      </c>
      <c r="C426" s="450" t="n">
        <v>2021</v>
      </c>
      <c r="D426" s="451" t="n">
        <v>44469</v>
      </c>
      <c r="E426" s="452" t="s">
        <v>9430</v>
      </c>
      <c r="F426" s="378" t="s">
        <v>856</v>
      </c>
      <c r="G426" s="452" t="s">
        <v>130</v>
      </c>
      <c r="H426" s="378" t="s">
        <v>629</v>
      </c>
      <c r="I426" s="451" t="n">
        <v>44711</v>
      </c>
      <c r="J426" s="452" t="n">
        <v>5</v>
      </c>
      <c r="K426" s="466" t="s">
        <v>49</v>
      </c>
      <c r="L426" s="455" t="s">
        <v>61</v>
      </c>
      <c r="M426" s="455" t="n">
        <f aca="false">I426-D426</f>
        <v>242</v>
      </c>
    </row>
    <row r="427" customFormat="false" ht="12.75" hidden="false" customHeight="true" outlineLevel="0" collapsed="false">
      <c r="A427" s="456" t="n">
        <v>14722</v>
      </c>
      <c r="B427" s="458" t="s">
        <v>9431</v>
      </c>
      <c r="C427" s="458" t="n">
        <v>2015</v>
      </c>
      <c r="D427" s="459" t="n">
        <v>42339</v>
      </c>
      <c r="E427" s="460" t="s">
        <v>9432</v>
      </c>
      <c r="F427" s="380" t="s">
        <v>9420</v>
      </c>
      <c r="G427" s="460" t="s">
        <v>115</v>
      </c>
      <c r="H427" s="380" t="s">
        <v>119</v>
      </c>
      <c r="I427" s="459" t="n">
        <v>44711</v>
      </c>
      <c r="J427" s="460" t="n">
        <v>5</v>
      </c>
      <c r="K427" s="466" t="s">
        <v>48</v>
      </c>
      <c r="L427" s="463" t="s">
        <v>58</v>
      </c>
      <c r="M427" s="463" t="n">
        <f aca="false">I427-D427</f>
        <v>2372</v>
      </c>
    </row>
    <row r="428" customFormat="false" ht="12.75" hidden="false" customHeight="true" outlineLevel="0" collapsed="false">
      <c r="A428" s="449" t="n">
        <v>14822</v>
      </c>
      <c r="B428" s="450" t="s">
        <v>9433</v>
      </c>
      <c r="C428" s="450" t="n">
        <v>2017</v>
      </c>
      <c r="D428" s="451" t="n">
        <v>42895</v>
      </c>
      <c r="E428" s="452" t="s">
        <v>9434</v>
      </c>
      <c r="F428" s="378" t="s">
        <v>9420</v>
      </c>
      <c r="G428" s="452" t="s">
        <v>115</v>
      </c>
      <c r="H428" s="378" t="s">
        <v>119</v>
      </c>
      <c r="I428" s="451" t="n">
        <v>44711</v>
      </c>
      <c r="J428" s="452" t="n">
        <v>5</v>
      </c>
      <c r="K428" s="466" t="s">
        <v>48</v>
      </c>
      <c r="L428" s="455" t="s">
        <v>58</v>
      </c>
      <c r="M428" s="455" t="n">
        <f aca="false">I428-D428</f>
        <v>1816</v>
      </c>
    </row>
    <row r="429" customFormat="false" ht="12.75" hidden="false" customHeight="true" outlineLevel="0" collapsed="false">
      <c r="A429" s="456" t="n">
        <v>14922</v>
      </c>
      <c r="B429" s="458" t="s">
        <v>9435</v>
      </c>
      <c r="C429" s="458" t="n">
        <v>2016</v>
      </c>
      <c r="D429" s="459" t="n">
        <v>42727</v>
      </c>
      <c r="E429" s="460" t="s">
        <v>9436</v>
      </c>
      <c r="F429" s="380" t="s">
        <v>9420</v>
      </c>
      <c r="G429" s="460" t="s">
        <v>115</v>
      </c>
      <c r="H429" s="380" t="s">
        <v>119</v>
      </c>
      <c r="I429" s="459" t="n">
        <v>44711</v>
      </c>
      <c r="J429" s="460" t="n">
        <v>5</v>
      </c>
      <c r="K429" s="466" t="s">
        <v>48</v>
      </c>
      <c r="L429" s="463" t="s">
        <v>58</v>
      </c>
      <c r="M429" s="463" t="n">
        <f aca="false">I429-D429</f>
        <v>1984</v>
      </c>
    </row>
    <row r="430" customFormat="false" ht="12.75" hidden="false" customHeight="true" outlineLevel="0" collapsed="false">
      <c r="A430" s="449" t="n">
        <v>15022</v>
      </c>
      <c r="B430" s="450" t="s">
        <v>9437</v>
      </c>
      <c r="C430" s="450" t="n">
        <v>2014</v>
      </c>
      <c r="D430" s="451" t="n">
        <v>41971</v>
      </c>
      <c r="E430" s="452" t="s">
        <v>9438</v>
      </c>
      <c r="F430" s="378" t="s">
        <v>7739</v>
      </c>
      <c r="G430" s="452" t="s">
        <v>441</v>
      </c>
      <c r="H430" s="378" t="s">
        <v>1567</v>
      </c>
      <c r="I430" s="451" t="n">
        <v>44711</v>
      </c>
      <c r="J430" s="452" t="n">
        <v>5</v>
      </c>
      <c r="K430" s="466" t="s">
        <v>48</v>
      </c>
      <c r="L430" s="455" t="s">
        <v>60</v>
      </c>
      <c r="M430" s="455" t="n">
        <f aca="false">I430-D430</f>
        <v>2740</v>
      </c>
    </row>
    <row r="431" customFormat="false" ht="12.75" hidden="false" customHeight="true" outlineLevel="0" collapsed="false">
      <c r="A431" s="456" t="n">
        <v>15122</v>
      </c>
      <c r="B431" s="458" t="s">
        <v>9439</v>
      </c>
      <c r="C431" s="458" t="n">
        <v>2015</v>
      </c>
      <c r="D431" s="459" t="n">
        <v>42361</v>
      </c>
      <c r="E431" s="460" t="s">
        <v>9440</v>
      </c>
      <c r="F431" s="380" t="s">
        <v>1639</v>
      </c>
      <c r="G431" s="460" t="s">
        <v>441</v>
      </c>
      <c r="H431" s="380" t="s">
        <v>1567</v>
      </c>
      <c r="I431" s="459" t="n">
        <v>44711</v>
      </c>
      <c r="J431" s="460" t="n">
        <v>5</v>
      </c>
      <c r="K431" s="466" t="s">
        <v>48</v>
      </c>
      <c r="L431" s="463" t="s">
        <v>58</v>
      </c>
      <c r="M431" s="463" t="n">
        <f aca="false">I431-D431</f>
        <v>2350</v>
      </c>
    </row>
    <row r="432" customFormat="false" ht="12.75" hidden="false" customHeight="true" outlineLevel="0" collapsed="false">
      <c r="A432" s="449" t="n">
        <v>15222</v>
      </c>
      <c r="B432" s="450" t="s">
        <v>9441</v>
      </c>
      <c r="C432" s="450" t="n">
        <v>2013</v>
      </c>
      <c r="D432" s="451" t="n">
        <v>41588</v>
      </c>
      <c r="E432" s="452" t="s">
        <v>9442</v>
      </c>
      <c r="F432" s="378" t="s">
        <v>485</v>
      </c>
      <c r="G432" s="452" t="s">
        <v>441</v>
      </c>
      <c r="H432" s="378" t="s">
        <v>1567</v>
      </c>
      <c r="I432" s="451" t="n">
        <v>44711</v>
      </c>
      <c r="J432" s="452" t="n">
        <v>5</v>
      </c>
      <c r="K432" s="466" t="s">
        <v>49</v>
      </c>
      <c r="L432" s="455" t="s">
        <v>58</v>
      </c>
      <c r="M432" s="455" t="n">
        <f aca="false">I432-D432</f>
        <v>3123</v>
      </c>
    </row>
    <row r="433" customFormat="false" ht="12.75" hidden="false" customHeight="true" outlineLevel="0" collapsed="false">
      <c r="A433" s="456" t="n">
        <v>15322</v>
      </c>
      <c r="B433" s="458" t="s">
        <v>9443</v>
      </c>
      <c r="C433" s="458" t="n">
        <v>2021</v>
      </c>
      <c r="D433" s="459" t="n">
        <v>44491</v>
      </c>
      <c r="E433" s="460" t="s">
        <v>9444</v>
      </c>
      <c r="F433" s="380" t="s">
        <v>9445</v>
      </c>
      <c r="G433" s="460" t="s">
        <v>125</v>
      </c>
      <c r="H433" s="380" t="s">
        <v>3832</v>
      </c>
      <c r="I433" s="459" t="n">
        <v>44711</v>
      </c>
      <c r="J433" s="460" t="n">
        <v>5</v>
      </c>
      <c r="K433" s="468" t="s">
        <v>290</v>
      </c>
      <c r="L433" s="463" t="s">
        <v>61</v>
      </c>
      <c r="M433" s="463" t="n">
        <f aca="false">I433-D433</f>
        <v>220</v>
      </c>
    </row>
    <row r="434" customFormat="false" ht="12.75" hidden="false" customHeight="true" outlineLevel="0" collapsed="false">
      <c r="A434" s="449" t="n">
        <v>15422</v>
      </c>
      <c r="B434" s="450" t="s">
        <v>9446</v>
      </c>
      <c r="C434" s="450" t="n">
        <v>2015</v>
      </c>
      <c r="D434" s="451" t="n">
        <v>42129</v>
      </c>
      <c r="E434" s="452" t="s">
        <v>9447</v>
      </c>
      <c r="F434" s="378" t="s">
        <v>459</v>
      </c>
      <c r="G434" s="452" t="s">
        <v>441</v>
      </c>
      <c r="H434" s="378" t="s">
        <v>706</v>
      </c>
      <c r="I434" s="451" t="n">
        <v>44711</v>
      </c>
      <c r="J434" s="452" t="n">
        <v>5</v>
      </c>
      <c r="K434" s="466" t="s">
        <v>48</v>
      </c>
      <c r="L434" s="455" t="s">
        <v>60</v>
      </c>
      <c r="M434" s="455" t="n">
        <f aca="false">I434-D434</f>
        <v>2582</v>
      </c>
    </row>
    <row r="435" customFormat="false" ht="12.75" hidden="false" customHeight="true" outlineLevel="0" collapsed="false">
      <c r="A435" s="456" t="n">
        <v>15522</v>
      </c>
      <c r="B435" s="458" t="s">
        <v>9448</v>
      </c>
      <c r="C435" s="458" t="n">
        <v>2021</v>
      </c>
      <c r="D435" s="459" t="n">
        <v>44541</v>
      </c>
      <c r="E435" s="460" t="s">
        <v>9449</v>
      </c>
      <c r="F435" s="380" t="s">
        <v>9388</v>
      </c>
      <c r="G435" s="460" t="s">
        <v>125</v>
      </c>
      <c r="H435" s="380" t="s">
        <v>9450</v>
      </c>
      <c r="I435" s="459" t="n">
        <v>44718</v>
      </c>
      <c r="J435" s="460" t="n">
        <v>6</v>
      </c>
      <c r="K435" s="466" t="s">
        <v>49</v>
      </c>
      <c r="L435" s="463" t="s">
        <v>61</v>
      </c>
      <c r="M435" s="463" t="n">
        <f aca="false">I435-D435</f>
        <v>177</v>
      </c>
    </row>
    <row r="436" customFormat="false" ht="12.75" hidden="false" customHeight="true" outlineLevel="0" collapsed="false">
      <c r="A436" s="449" t="n">
        <v>15622</v>
      </c>
      <c r="B436" s="450" t="s">
        <v>9451</v>
      </c>
      <c r="C436" s="450" t="n">
        <v>2016</v>
      </c>
      <c r="D436" s="451" t="n">
        <v>42723</v>
      </c>
      <c r="E436" s="452" t="s">
        <v>9452</v>
      </c>
      <c r="F436" s="378" t="s">
        <v>8245</v>
      </c>
      <c r="G436" s="452" t="s">
        <v>144</v>
      </c>
      <c r="H436" s="378" t="s">
        <v>119</v>
      </c>
      <c r="I436" s="451" t="n">
        <v>44718</v>
      </c>
      <c r="J436" s="452" t="n">
        <v>6</v>
      </c>
      <c r="K436" s="466" t="s">
        <v>49</v>
      </c>
      <c r="L436" s="455" t="s">
        <v>58</v>
      </c>
      <c r="M436" s="455" t="n">
        <f aca="false">I436-D436</f>
        <v>1995</v>
      </c>
    </row>
    <row r="437" customFormat="false" ht="12.75" hidden="false" customHeight="true" outlineLevel="0" collapsed="false">
      <c r="A437" s="456" t="n">
        <v>15722</v>
      </c>
      <c r="B437" s="458" t="s">
        <v>9453</v>
      </c>
      <c r="C437" s="458" t="n">
        <v>2021</v>
      </c>
      <c r="D437" s="459" t="n">
        <v>44410</v>
      </c>
      <c r="E437" s="460" t="s">
        <v>9454</v>
      </c>
      <c r="F437" s="380" t="s">
        <v>9455</v>
      </c>
      <c r="G437" s="460" t="s">
        <v>125</v>
      </c>
      <c r="H437" s="380" t="s">
        <v>980</v>
      </c>
      <c r="I437" s="459" t="n">
        <v>44718</v>
      </c>
      <c r="J437" s="460" t="n">
        <v>6</v>
      </c>
      <c r="K437" s="466" t="s">
        <v>49</v>
      </c>
      <c r="L437" s="463" t="s">
        <v>61</v>
      </c>
      <c r="M437" s="463" t="n">
        <f aca="false">I437-D437</f>
        <v>308</v>
      </c>
    </row>
    <row r="438" customFormat="false" ht="12.75" hidden="false" customHeight="true" outlineLevel="0" collapsed="false">
      <c r="A438" s="449" t="n">
        <v>15822</v>
      </c>
      <c r="B438" s="450" t="s">
        <v>9456</v>
      </c>
      <c r="C438" s="450" t="n">
        <v>2021</v>
      </c>
      <c r="D438" s="451" t="n">
        <v>44453</v>
      </c>
      <c r="E438" s="452" t="s">
        <v>9457</v>
      </c>
      <c r="F438" s="378" t="s">
        <v>397</v>
      </c>
      <c r="G438" s="452" t="s">
        <v>130</v>
      </c>
      <c r="H438" s="378" t="s">
        <v>9458</v>
      </c>
      <c r="I438" s="451" t="n">
        <v>44718</v>
      </c>
      <c r="J438" s="452" t="n">
        <v>6</v>
      </c>
      <c r="K438" s="468" t="s">
        <v>290</v>
      </c>
      <c r="L438" s="455" t="s">
        <v>61</v>
      </c>
      <c r="M438" s="455" t="n">
        <f aca="false">I438-D438</f>
        <v>265</v>
      </c>
    </row>
    <row r="439" customFormat="false" ht="12.75" hidden="false" customHeight="true" outlineLevel="0" collapsed="false">
      <c r="A439" s="456" t="n">
        <v>15922</v>
      </c>
      <c r="B439" s="458" t="s">
        <v>9459</v>
      </c>
      <c r="C439" s="458" t="n">
        <v>2021</v>
      </c>
      <c r="D439" s="459" t="n">
        <v>44532</v>
      </c>
      <c r="E439" s="460" t="s">
        <v>9460</v>
      </c>
      <c r="F439" s="380" t="s">
        <v>7625</v>
      </c>
      <c r="G439" s="460" t="s">
        <v>130</v>
      </c>
      <c r="H439" s="380" t="s">
        <v>3225</v>
      </c>
      <c r="I439" s="459" t="n">
        <v>44718</v>
      </c>
      <c r="J439" s="460" t="n">
        <v>6</v>
      </c>
      <c r="K439" s="468" t="s">
        <v>290</v>
      </c>
      <c r="L439" s="463" t="s">
        <v>61</v>
      </c>
      <c r="M439" s="463" t="n">
        <f aca="false">I439-D439</f>
        <v>186</v>
      </c>
    </row>
    <row r="440" customFormat="false" ht="12.75" hidden="false" customHeight="true" outlineLevel="0" collapsed="false">
      <c r="A440" s="449" t="n">
        <v>16022</v>
      </c>
      <c r="B440" s="450" t="s">
        <v>9461</v>
      </c>
      <c r="C440" s="450" t="n">
        <v>2017</v>
      </c>
      <c r="D440" s="451" t="n">
        <v>43091</v>
      </c>
      <c r="E440" s="452" t="s">
        <v>9462</v>
      </c>
      <c r="F440" s="378" t="s">
        <v>9463</v>
      </c>
      <c r="G440" s="452" t="s">
        <v>144</v>
      </c>
      <c r="H440" s="378" t="s">
        <v>5888</v>
      </c>
      <c r="I440" s="451" t="n">
        <v>44718</v>
      </c>
      <c r="J440" s="452" t="n">
        <v>6</v>
      </c>
      <c r="K440" s="466" t="s">
        <v>48</v>
      </c>
      <c r="L440" s="455" t="s">
        <v>58</v>
      </c>
      <c r="M440" s="455" t="n">
        <f aca="false">I440-D440</f>
        <v>1627</v>
      </c>
    </row>
    <row r="441" customFormat="false" ht="12.75" hidden="false" customHeight="true" outlineLevel="0" collapsed="false">
      <c r="A441" s="456" t="n">
        <v>16122</v>
      </c>
      <c r="B441" s="458" t="s">
        <v>9464</v>
      </c>
      <c r="C441" s="458" t="n">
        <v>2021</v>
      </c>
      <c r="D441" s="459" t="n">
        <v>44512</v>
      </c>
      <c r="E441" s="460" t="s">
        <v>9465</v>
      </c>
      <c r="F441" s="380" t="s">
        <v>9388</v>
      </c>
      <c r="G441" s="460" t="s">
        <v>125</v>
      </c>
      <c r="H441" s="380" t="s">
        <v>9450</v>
      </c>
      <c r="I441" s="459" t="n">
        <v>44718</v>
      </c>
      <c r="J441" s="460" t="n">
        <v>6</v>
      </c>
      <c r="K441" s="466" t="s">
        <v>49</v>
      </c>
      <c r="L441" s="463" t="s">
        <v>61</v>
      </c>
      <c r="M441" s="463" t="n">
        <f aca="false">I441-D441</f>
        <v>206</v>
      </c>
    </row>
    <row r="442" customFormat="false" ht="12.75" hidden="false" customHeight="true" outlineLevel="0" collapsed="false">
      <c r="A442" s="449" t="n">
        <v>16222</v>
      </c>
      <c r="B442" s="450" t="s">
        <v>9466</v>
      </c>
      <c r="C442" s="450" t="n">
        <v>2018</v>
      </c>
      <c r="D442" s="451" t="n">
        <v>43208</v>
      </c>
      <c r="E442" s="452" t="s">
        <v>9467</v>
      </c>
      <c r="F442" s="378" t="s">
        <v>4956</v>
      </c>
      <c r="G442" s="452" t="s">
        <v>441</v>
      </c>
      <c r="H442" s="378" t="s">
        <v>354</v>
      </c>
      <c r="I442" s="451" t="n">
        <v>44719</v>
      </c>
      <c r="J442" s="452" t="n">
        <v>6</v>
      </c>
      <c r="K442" s="466" t="s">
        <v>49</v>
      </c>
      <c r="L442" s="455" t="s">
        <v>58</v>
      </c>
      <c r="M442" s="455" t="n">
        <f aca="false">I442-D442</f>
        <v>1511</v>
      </c>
    </row>
    <row r="443" customFormat="false" ht="12.75" hidden="false" customHeight="true" outlineLevel="0" collapsed="false">
      <c r="A443" s="456" t="n">
        <v>16322</v>
      </c>
      <c r="B443" s="458" t="s">
        <v>9468</v>
      </c>
      <c r="C443" s="458" t="n">
        <v>2017</v>
      </c>
      <c r="D443" s="459" t="n">
        <v>42919</v>
      </c>
      <c r="E443" s="460" t="s">
        <v>9469</v>
      </c>
      <c r="F443" s="380" t="s">
        <v>164</v>
      </c>
      <c r="G443" s="460" t="s">
        <v>441</v>
      </c>
      <c r="H443" s="380" t="s">
        <v>192</v>
      </c>
      <c r="I443" s="459" t="n">
        <v>44722</v>
      </c>
      <c r="J443" s="460" t="n">
        <v>6</v>
      </c>
      <c r="K443" s="466" t="s">
        <v>48</v>
      </c>
      <c r="L443" s="463" t="s">
        <v>2848</v>
      </c>
      <c r="M443" s="463" t="n">
        <f aca="false">I443-D443</f>
        <v>1803</v>
      </c>
    </row>
    <row r="444" customFormat="false" ht="12.75" hidden="false" customHeight="true" outlineLevel="0" collapsed="false">
      <c r="A444" s="449" t="n">
        <v>16422</v>
      </c>
      <c r="B444" s="450" t="s">
        <v>9470</v>
      </c>
      <c r="C444" s="450" t="n">
        <v>2015</v>
      </c>
      <c r="D444" s="451" t="n">
        <v>42353</v>
      </c>
      <c r="E444" s="452" t="s">
        <v>9471</v>
      </c>
      <c r="F444" s="378" t="s">
        <v>7432</v>
      </c>
      <c r="G444" s="452" t="s">
        <v>441</v>
      </c>
      <c r="H444" s="378" t="s">
        <v>471</v>
      </c>
      <c r="I444" s="451" t="n">
        <v>44722</v>
      </c>
      <c r="J444" s="452" t="n">
        <v>6</v>
      </c>
      <c r="K444" s="466" t="s">
        <v>49</v>
      </c>
      <c r="L444" s="455" t="s">
        <v>58</v>
      </c>
      <c r="M444" s="455" t="n">
        <f aca="false">I444-D444</f>
        <v>2369</v>
      </c>
    </row>
    <row r="445" customFormat="false" ht="15" hidden="false" customHeight="true" outlineLevel="0" collapsed="false">
      <c r="A445" s="456" t="n">
        <v>16522</v>
      </c>
      <c r="B445" s="458" t="s">
        <v>9472</v>
      </c>
      <c r="C445" s="458" t="n">
        <v>2016</v>
      </c>
      <c r="D445" s="459" t="n">
        <v>42429</v>
      </c>
      <c r="E445" s="460" t="s">
        <v>9473</v>
      </c>
      <c r="F445" s="380" t="s">
        <v>823</v>
      </c>
      <c r="G445" s="460" t="s">
        <v>441</v>
      </c>
      <c r="H445" s="380" t="s">
        <v>250</v>
      </c>
      <c r="I445" s="459" t="n">
        <v>44727</v>
      </c>
      <c r="J445" s="460" t="n">
        <v>6</v>
      </c>
      <c r="K445" s="466" t="s">
        <v>49</v>
      </c>
      <c r="L445" s="463" t="s">
        <v>60</v>
      </c>
      <c r="M445" s="463" t="n">
        <f aca="false">I445-D445</f>
        <v>2298</v>
      </c>
    </row>
    <row r="446" customFormat="false" ht="12.75" hidden="false" customHeight="true" outlineLevel="0" collapsed="false">
      <c r="A446" s="449" t="n">
        <v>16622</v>
      </c>
      <c r="B446" s="450" t="s">
        <v>9474</v>
      </c>
      <c r="C446" s="450" t="n">
        <v>2016</v>
      </c>
      <c r="D446" s="451" t="n">
        <v>42726</v>
      </c>
      <c r="E446" s="452" t="s">
        <v>9475</v>
      </c>
      <c r="F446" s="378" t="s">
        <v>9476</v>
      </c>
      <c r="G446" s="452" t="s">
        <v>144</v>
      </c>
      <c r="H446" s="378" t="s">
        <v>1791</v>
      </c>
      <c r="I446" s="451" t="n">
        <v>44727</v>
      </c>
      <c r="J446" s="452" t="n">
        <v>6</v>
      </c>
      <c r="K446" s="468" t="s">
        <v>290</v>
      </c>
      <c r="L446" s="455" t="s">
        <v>58</v>
      </c>
      <c r="M446" s="455" t="n">
        <f aca="false">I446-D446</f>
        <v>2001</v>
      </c>
    </row>
    <row r="447" customFormat="false" ht="12.75" hidden="false" customHeight="true" outlineLevel="0" collapsed="false">
      <c r="A447" s="456" t="n">
        <v>16722</v>
      </c>
      <c r="B447" s="458" t="s">
        <v>9477</v>
      </c>
      <c r="C447" s="458" t="n">
        <v>2015</v>
      </c>
      <c r="D447" s="459" t="n">
        <v>42345</v>
      </c>
      <c r="E447" s="460" t="s">
        <v>9478</v>
      </c>
      <c r="F447" s="380" t="s">
        <v>3190</v>
      </c>
      <c r="G447" s="460" t="s">
        <v>441</v>
      </c>
      <c r="H447" s="380" t="s">
        <v>250</v>
      </c>
      <c r="I447" s="459" t="n">
        <v>44727</v>
      </c>
      <c r="J447" s="460" t="n">
        <v>6</v>
      </c>
      <c r="K447" s="466" t="s">
        <v>49</v>
      </c>
      <c r="L447" s="463" t="s">
        <v>60</v>
      </c>
      <c r="M447" s="463" t="n">
        <f aca="false">I447-D447</f>
        <v>2382</v>
      </c>
    </row>
    <row r="448" customFormat="false" ht="12.75" hidden="false" customHeight="true" outlineLevel="0" collapsed="false">
      <c r="A448" s="449" t="n">
        <v>16822</v>
      </c>
      <c r="B448" s="450" t="s">
        <v>9479</v>
      </c>
      <c r="C448" s="450" t="n">
        <v>2017</v>
      </c>
      <c r="D448" s="451" t="n">
        <v>42936</v>
      </c>
      <c r="E448" s="452" t="s">
        <v>9480</v>
      </c>
      <c r="F448" s="378" t="s">
        <v>9481</v>
      </c>
      <c r="G448" s="452" t="s">
        <v>144</v>
      </c>
      <c r="H448" s="378" t="s">
        <v>4438</v>
      </c>
      <c r="I448" s="451" t="n">
        <v>44727</v>
      </c>
      <c r="J448" s="452" t="n">
        <v>6</v>
      </c>
      <c r="K448" s="540" t="s">
        <v>46</v>
      </c>
      <c r="L448" s="455" t="s">
        <v>2848</v>
      </c>
      <c r="M448" s="455" t="n">
        <f aca="false">I448-D448</f>
        <v>1791</v>
      </c>
    </row>
    <row r="449" customFormat="false" ht="15" hidden="false" customHeight="true" outlineLevel="0" collapsed="false">
      <c r="A449" s="541" t="n">
        <v>16922</v>
      </c>
      <c r="B449" s="458" t="s">
        <v>9482</v>
      </c>
      <c r="C449" s="458" t="n">
        <v>2015</v>
      </c>
      <c r="D449" s="459" t="n">
        <v>42300</v>
      </c>
      <c r="E449" s="460" t="s">
        <v>9483</v>
      </c>
      <c r="F449" s="380" t="s">
        <v>3190</v>
      </c>
      <c r="G449" s="460" t="s">
        <v>441</v>
      </c>
      <c r="H449" s="380" t="s">
        <v>706</v>
      </c>
      <c r="I449" s="459" t="n">
        <v>44727</v>
      </c>
      <c r="J449" s="460" t="n">
        <v>6</v>
      </c>
      <c r="K449" s="466" t="s">
        <v>48</v>
      </c>
      <c r="L449" s="463" t="s">
        <v>60</v>
      </c>
      <c r="M449" s="463" t="n">
        <f aca="false">I449-D449</f>
        <v>2427</v>
      </c>
    </row>
    <row r="450" customFormat="false" ht="12.75" hidden="false" customHeight="true" outlineLevel="0" collapsed="false">
      <c r="A450" s="449" t="n">
        <v>17022</v>
      </c>
      <c r="B450" s="450" t="s">
        <v>9484</v>
      </c>
      <c r="C450" s="450" t="n">
        <v>2013</v>
      </c>
      <c r="D450" s="451" t="n">
        <v>41354</v>
      </c>
      <c r="E450" s="452" t="s">
        <v>9485</v>
      </c>
      <c r="F450" s="378" t="s">
        <v>1277</v>
      </c>
      <c r="G450" s="452" t="s">
        <v>441</v>
      </c>
      <c r="H450" s="378" t="s">
        <v>706</v>
      </c>
      <c r="I450" s="451" t="n">
        <v>44735</v>
      </c>
      <c r="J450" s="452" t="n">
        <v>6</v>
      </c>
      <c r="K450" s="540" t="s">
        <v>46</v>
      </c>
      <c r="L450" s="455" t="s">
        <v>58</v>
      </c>
      <c r="M450" s="455" t="n">
        <f aca="false">I450-D450</f>
        <v>3381</v>
      </c>
    </row>
    <row r="451" customFormat="false" ht="12.75" hidden="false" customHeight="true" outlineLevel="0" collapsed="false">
      <c r="A451" s="456" t="n">
        <v>17122</v>
      </c>
      <c r="B451" s="458" t="s">
        <v>9486</v>
      </c>
      <c r="C451" s="458" t="n">
        <v>2017</v>
      </c>
      <c r="D451" s="459" t="n">
        <v>42863</v>
      </c>
      <c r="E451" s="460" t="s">
        <v>9487</v>
      </c>
      <c r="F451" s="380" t="s">
        <v>1879</v>
      </c>
      <c r="G451" s="460" t="s">
        <v>144</v>
      </c>
      <c r="H451" s="380" t="s">
        <v>254</v>
      </c>
      <c r="I451" s="459" t="n">
        <v>44735</v>
      </c>
      <c r="J451" s="460" t="n">
        <v>6</v>
      </c>
      <c r="K451" s="466" t="s">
        <v>49</v>
      </c>
      <c r="L451" s="463" t="s">
        <v>60</v>
      </c>
      <c r="M451" s="463" t="n">
        <f aca="false">I451-D451</f>
        <v>1872</v>
      </c>
    </row>
    <row r="452" customFormat="false" ht="12.75" hidden="false" customHeight="true" outlineLevel="0" collapsed="false">
      <c r="A452" s="449" t="n">
        <v>17222</v>
      </c>
      <c r="B452" s="450" t="s">
        <v>9488</v>
      </c>
      <c r="C452" s="450" t="n">
        <v>2008</v>
      </c>
      <c r="D452" s="451" t="n">
        <v>39668</v>
      </c>
      <c r="E452" s="452" t="s">
        <v>9489</v>
      </c>
      <c r="F452" s="378" t="s">
        <v>9490</v>
      </c>
      <c r="G452" s="452" t="s">
        <v>441</v>
      </c>
      <c r="H452" s="378" t="s">
        <v>4438</v>
      </c>
      <c r="I452" s="451" t="n">
        <v>44735</v>
      </c>
      <c r="J452" s="452" t="n">
        <v>6</v>
      </c>
      <c r="K452" s="466" t="s">
        <v>49</v>
      </c>
      <c r="L452" s="455" t="s">
        <v>58</v>
      </c>
      <c r="M452" s="455" t="n">
        <f aca="false">I452-D452</f>
        <v>5067</v>
      </c>
    </row>
    <row r="453" customFormat="false" ht="12.75" hidden="false" customHeight="true" outlineLevel="0" collapsed="false">
      <c r="A453" s="456" t="n">
        <v>17322</v>
      </c>
      <c r="B453" s="458" t="s">
        <v>9491</v>
      </c>
      <c r="C453" s="458" t="n">
        <v>2010</v>
      </c>
      <c r="D453" s="459" t="n">
        <v>40470</v>
      </c>
      <c r="E453" s="460" t="s">
        <v>9492</v>
      </c>
      <c r="F453" s="380" t="s">
        <v>8388</v>
      </c>
      <c r="G453" s="460" t="s">
        <v>441</v>
      </c>
      <c r="H453" s="380" t="s">
        <v>1305</v>
      </c>
      <c r="I453" s="459" t="n">
        <v>44735</v>
      </c>
      <c r="J453" s="460" t="n">
        <v>6</v>
      </c>
      <c r="K453" s="540" t="s">
        <v>46</v>
      </c>
      <c r="L453" s="463" t="s">
        <v>58</v>
      </c>
      <c r="M453" s="463" t="n">
        <f aca="false">I453-D453</f>
        <v>4265</v>
      </c>
    </row>
    <row r="454" customFormat="false" ht="12.75" hidden="false" customHeight="true" outlineLevel="0" collapsed="false">
      <c r="A454" s="449" t="n">
        <v>17422</v>
      </c>
      <c r="B454" s="450" t="s">
        <v>9493</v>
      </c>
      <c r="C454" s="450" t="n">
        <v>2016</v>
      </c>
      <c r="D454" s="451" t="n">
        <v>42584</v>
      </c>
      <c r="E454" s="452" t="s">
        <v>9494</v>
      </c>
      <c r="F454" s="378" t="s">
        <v>9495</v>
      </c>
      <c r="G454" s="452" t="s">
        <v>441</v>
      </c>
      <c r="H454" s="378" t="s">
        <v>223</v>
      </c>
      <c r="I454" s="451" t="n">
        <v>44735</v>
      </c>
      <c r="J454" s="452" t="n">
        <v>6</v>
      </c>
      <c r="K454" s="466" t="s">
        <v>49</v>
      </c>
      <c r="L454" s="455" t="s">
        <v>60</v>
      </c>
      <c r="M454" s="455" t="n">
        <f aca="false">I454-D454</f>
        <v>2151</v>
      </c>
    </row>
    <row r="455" customFormat="false" ht="12.75" hidden="false" customHeight="true" outlineLevel="0" collapsed="false">
      <c r="A455" s="456" t="n">
        <v>17522</v>
      </c>
      <c r="B455" s="458" t="s">
        <v>9496</v>
      </c>
      <c r="C455" s="458" t="n">
        <v>2015</v>
      </c>
      <c r="D455" s="459" t="n">
        <v>42195</v>
      </c>
      <c r="E455" s="460" t="s">
        <v>9497</v>
      </c>
      <c r="F455" s="380" t="s">
        <v>180</v>
      </c>
      <c r="G455" s="460" t="s">
        <v>441</v>
      </c>
      <c r="H455" s="380" t="s">
        <v>513</v>
      </c>
      <c r="I455" s="459" t="n">
        <v>44735</v>
      </c>
      <c r="J455" s="460" t="n">
        <v>6</v>
      </c>
      <c r="K455" s="466" t="s">
        <v>49</v>
      </c>
      <c r="L455" s="463" t="s">
        <v>58</v>
      </c>
      <c r="M455" s="463" t="n">
        <f aca="false">I455-D455</f>
        <v>2540</v>
      </c>
    </row>
    <row r="456" customFormat="false" ht="12.75" hidden="false" customHeight="true" outlineLevel="0" collapsed="false">
      <c r="A456" s="449" t="n">
        <v>17622</v>
      </c>
      <c r="B456" s="450" t="s">
        <v>9498</v>
      </c>
      <c r="C456" s="450" t="n">
        <v>2021</v>
      </c>
      <c r="D456" s="451" t="n">
        <v>44503</v>
      </c>
      <c r="E456" s="452" t="s">
        <v>9499</v>
      </c>
      <c r="F456" s="378" t="s">
        <v>9500</v>
      </c>
      <c r="G456" s="452" t="s">
        <v>125</v>
      </c>
      <c r="H456" s="378" t="s">
        <v>9501</v>
      </c>
      <c r="I456" s="451" t="n">
        <v>44735</v>
      </c>
      <c r="J456" s="452" t="n">
        <v>6</v>
      </c>
      <c r="K456" s="466" t="s">
        <v>48</v>
      </c>
      <c r="L456" s="455" t="s">
        <v>61</v>
      </c>
      <c r="M456" s="455" t="n">
        <f aca="false">I456-D456</f>
        <v>232</v>
      </c>
    </row>
    <row r="457" customFormat="false" ht="12.75" hidden="false" customHeight="true" outlineLevel="0" collapsed="false">
      <c r="A457" s="456" t="n">
        <v>17722</v>
      </c>
      <c r="B457" s="458" t="s">
        <v>9502</v>
      </c>
      <c r="C457" s="458" t="n">
        <v>2017</v>
      </c>
      <c r="D457" s="459" t="n">
        <v>42915</v>
      </c>
      <c r="E457" s="460" t="s">
        <v>9503</v>
      </c>
      <c r="F457" s="380" t="s">
        <v>9504</v>
      </c>
      <c r="G457" s="460" t="s">
        <v>115</v>
      </c>
      <c r="H457" s="380" t="s">
        <v>3493</v>
      </c>
      <c r="I457" s="459" t="n">
        <v>44736</v>
      </c>
      <c r="J457" s="460" t="n">
        <v>6</v>
      </c>
      <c r="K457" s="466" t="s">
        <v>49</v>
      </c>
      <c r="L457" s="463" t="s">
        <v>60</v>
      </c>
      <c r="M457" s="463" t="n">
        <f aca="false">I457-D457</f>
        <v>1821</v>
      </c>
    </row>
    <row r="458" customFormat="false" ht="12.75" hidden="false" customHeight="true" outlineLevel="0" collapsed="false">
      <c r="A458" s="449" t="n">
        <v>17822</v>
      </c>
      <c r="B458" s="450" t="s">
        <v>9505</v>
      </c>
      <c r="C458" s="450" t="n">
        <v>2020</v>
      </c>
      <c r="D458" s="451" t="n">
        <v>44102</v>
      </c>
      <c r="E458" s="452" t="s">
        <v>9506</v>
      </c>
      <c r="F458" s="378" t="s">
        <v>9507</v>
      </c>
      <c r="G458" s="452" t="s">
        <v>144</v>
      </c>
      <c r="H458" s="378" t="s">
        <v>5888</v>
      </c>
      <c r="I458" s="451" t="n">
        <v>44749</v>
      </c>
      <c r="J458" s="452" t="n">
        <v>7</v>
      </c>
      <c r="K458" s="540" t="s">
        <v>46</v>
      </c>
      <c r="L458" s="455" t="s">
        <v>58</v>
      </c>
      <c r="M458" s="455" t="n">
        <f aca="false">I458-D458</f>
        <v>647</v>
      </c>
    </row>
    <row r="459" customFormat="false" ht="12.75" hidden="false" customHeight="true" outlineLevel="0" collapsed="false">
      <c r="A459" s="456" t="n">
        <v>17922</v>
      </c>
      <c r="B459" s="458" t="s">
        <v>9508</v>
      </c>
      <c r="C459" s="458" t="n">
        <v>2015</v>
      </c>
      <c r="D459" s="459" t="n">
        <v>42359</v>
      </c>
      <c r="E459" s="460" t="s">
        <v>9509</v>
      </c>
      <c r="F459" s="380" t="s">
        <v>1180</v>
      </c>
      <c r="G459" s="460" t="s">
        <v>441</v>
      </c>
      <c r="H459" s="380" t="s">
        <v>192</v>
      </c>
      <c r="I459" s="459" t="n">
        <v>44754</v>
      </c>
      <c r="J459" s="460" t="n">
        <v>7</v>
      </c>
      <c r="K459" s="466" t="s">
        <v>48</v>
      </c>
      <c r="L459" s="463" t="s">
        <v>58</v>
      </c>
      <c r="M459" s="463" t="n">
        <f aca="false">I459-D459</f>
        <v>2395</v>
      </c>
    </row>
    <row r="460" customFormat="false" ht="12.75" hidden="false" customHeight="true" outlineLevel="0" collapsed="false">
      <c r="A460" s="449" t="n">
        <v>18022</v>
      </c>
      <c r="B460" s="450" t="s">
        <v>9510</v>
      </c>
      <c r="C460" s="450" t="n">
        <v>2020</v>
      </c>
      <c r="D460" s="451" t="n">
        <v>44042</v>
      </c>
      <c r="E460" s="452" t="s">
        <v>9511</v>
      </c>
      <c r="F460" s="378" t="s">
        <v>9512</v>
      </c>
      <c r="G460" s="452" t="s">
        <v>441</v>
      </c>
      <c r="H460" s="378" t="s">
        <v>544</v>
      </c>
      <c r="I460" s="451" t="n">
        <v>44749</v>
      </c>
      <c r="J460" s="452" t="n">
        <v>7</v>
      </c>
      <c r="K460" s="466" t="s">
        <v>48</v>
      </c>
      <c r="L460" s="455" t="s">
        <v>60</v>
      </c>
      <c r="M460" s="455" t="n">
        <f aca="false">I460-D460</f>
        <v>707</v>
      </c>
    </row>
    <row r="461" customFormat="false" ht="12.75" hidden="false" customHeight="true" outlineLevel="0" collapsed="false">
      <c r="A461" s="456" t="n">
        <v>18122</v>
      </c>
      <c r="B461" s="458" t="s">
        <v>9513</v>
      </c>
      <c r="C461" s="458" t="n">
        <v>2017</v>
      </c>
      <c r="D461" s="459" t="n">
        <v>42768</v>
      </c>
      <c r="E461" s="460" t="s">
        <v>9514</v>
      </c>
      <c r="F461" s="380" t="s">
        <v>1200</v>
      </c>
      <c r="G461" s="460" t="s">
        <v>441</v>
      </c>
      <c r="H461" s="380" t="s">
        <v>1081</v>
      </c>
      <c r="I461" s="459" t="n">
        <v>44749</v>
      </c>
      <c r="J461" s="460" t="n">
        <v>7</v>
      </c>
      <c r="K461" s="466" t="s">
        <v>48</v>
      </c>
      <c r="L461" s="463" t="s">
        <v>58</v>
      </c>
      <c r="M461" s="463" t="n">
        <f aca="false">I461-D461</f>
        <v>1981</v>
      </c>
    </row>
    <row r="462" customFormat="false" ht="12.75" hidden="false" customHeight="true" outlineLevel="0" collapsed="false">
      <c r="A462" s="449" t="n">
        <v>18222</v>
      </c>
      <c r="B462" s="450" t="s">
        <v>9515</v>
      </c>
      <c r="C462" s="450" t="n">
        <v>2015</v>
      </c>
      <c r="D462" s="451" t="n">
        <v>42324</v>
      </c>
      <c r="E462" s="452" t="s">
        <v>9516</v>
      </c>
      <c r="F462" s="378" t="s">
        <v>3924</v>
      </c>
      <c r="G462" s="452" t="s">
        <v>441</v>
      </c>
      <c r="H462" s="378" t="s">
        <v>254</v>
      </c>
      <c r="I462" s="451" t="n">
        <v>44749</v>
      </c>
      <c r="J462" s="452" t="n">
        <v>7</v>
      </c>
      <c r="K462" s="466" t="s">
        <v>48</v>
      </c>
      <c r="L462" s="455" t="s">
        <v>58</v>
      </c>
      <c r="M462" s="455" t="n">
        <f aca="false">I462-D462</f>
        <v>2425</v>
      </c>
    </row>
    <row r="463" customFormat="false" ht="12.75" hidden="false" customHeight="true" outlineLevel="0" collapsed="false">
      <c r="A463" s="456" t="n">
        <v>18322</v>
      </c>
      <c r="B463" s="458" t="s">
        <v>9517</v>
      </c>
      <c r="C463" s="458" t="n">
        <v>2015</v>
      </c>
      <c r="D463" s="459" t="n">
        <v>42227</v>
      </c>
      <c r="E463" s="460" t="s">
        <v>9518</v>
      </c>
      <c r="F463" s="380" t="s">
        <v>9519</v>
      </c>
      <c r="G463" s="460" t="s">
        <v>441</v>
      </c>
      <c r="H463" s="380" t="s">
        <v>706</v>
      </c>
      <c r="I463" s="459" t="n">
        <v>44749</v>
      </c>
      <c r="J463" s="460" t="n">
        <v>7</v>
      </c>
      <c r="K463" s="466" t="s">
        <v>49</v>
      </c>
      <c r="L463" s="463" t="s">
        <v>60</v>
      </c>
      <c r="M463" s="463" t="n">
        <f aca="false">I463-D463</f>
        <v>2522</v>
      </c>
    </row>
    <row r="464" customFormat="false" ht="12.75" hidden="false" customHeight="true" outlineLevel="0" collapsed="false">
      <c r="A464" s="449" t="n">
        <v>18422</v>
      </c>
      <c r="B464" s="450" t="s">
        <v>9520</v>
      </c>
      <c r="C464" s="450" t="n">
        <v>2011</v>
      </c>
      <c r="D464" s="451" t="n">
        <v>40777</v>
      </c>
      <c r="E464" s="452" t="s">
        <v>9521</v>
      </c>
      <c r="F464" s="378" t="s">
        <v>9522</v>
      </c>
      <c r="G464" s="452" t="s">
        <v>144</v>
      </c>
      <c r="H464" s="378" t="s">
        <v>9523</v>
      </c>
      <c r="I464" s="451" t="n">
        <v>44749</v>
      </c>
      <c r="J464" s="452" t="n">
        <v>7</v>
      </c>
      <c r="K464" s="466" t="s">
        <v>49</v>
      </c>
      <c r="L464" s="455" t="s">
        <v>58</v>
      </c>
      <c r="M464" s="455" t="n">
        <f aca="false">I464-D464</f>
        <v>3972</v>
      </c>
    </row>
    <row r="465" customFormat="false" ht="12.75" hidden="false" customHeight="true" outlineLevel="0" collapsed="false">
      <c r="A465" s="456" t="n">
        <v>18522</v>
      </c>
      <c r="B465" s="458" t="s">
        <v>9524</v>
      </c>
      <c r="C465" s="458" t="n">
        <v>2017</v>
      </c>
      <c r="D465" s="459" t="n">
        <v>42899</v>
      </c>
      <c r="E465" s="460" t="s">
        <v>9525</v>
      </c>
      <c r="F465" s="380" t="s">
        <v>9526</v>
      </c>
      <c r="G465" s="460" t="s">
        <v>115</v>
      </c>
      <c r="H465" s="380" t="s">
        <v>119</v>
      </c>
      <c r="I465" s="459" t="n">
        <v>44749</v>
      </c>
      <c r="J465" s="460" t="n">
        <v>7</v>
      </c>
      <c r="K465" s="542" t="s">
        <v>290</v>
      </c>
      <c r="L465" s="463" t="s">
        <v>58</v>
      </c>
      <c r="M465" s="463" t="n">
        <f aca="false">I465-D465</f>
        <v>1850</v>
      </c>
    </row>
    <row r="466" customFormat="false" ht="12.75" hidden="false" customHeight="true" outlineLevel="0" collapsed="false">
      <c r="A466" s="449" t="n">
        <v>18622</v>
      </c>
      <c r="B466" s="450" t="s">
        <v>9527</v>
      </c>
      <c r="C466" s="450" t="n">
        <v>2015</v>
      </c>
      <c r="D466" s="451" t="n">
        <v>42216</v>
      </c>
      <c r="E466" s="452" t="s">
        <v>9528</v>
      </c>
      <c r="F466" s="378" t="s">
        <v>9529</v>
      </c>
      <c r="G466" s="452" t="s">
        <v>144</v>
      </c>
      <c r="H466" s="378" t="s">
        <v>285</v>
      </c>
      <c r="I466" s="451" t="n">
        <v>44754</v>
      </c>
      <c r="J466" s="452" t="n">
        <v>7</v>
      </c>
      <c r="K466" s="466" t="s">
        <v>49</v>
      </c>
      <c r="L466" s="455" t="s">
        <v>58</v>
      </c>
      <c r="M466" s="455" t="n">
        <f aca="false">I466-D466</f>
        <v>2538</v>
      </c>
    </row>
    <row r="467" customFormat="false" ht="12.75" hidden="false" customHeight="true" outlineLevel="0" collapsed="false">
      <c r="A467" s="456" t="n">
        <v>18722</v>
      </c>
      <c r="B467" s="458" t="s">
        <v>9530</v>
      </c>
      <c r="C467" s="458" t="n">
        <v>2015</v>
      </c>
      <c r="D467" s="459" t="n">
        <v>42335</v>
      </c>
      <c r="E467" s="460" t="s">
        <v>9531</v>
      </c>
      <c r="F467" s="380" t="s">
        <v>8245</v>
      </c>
      <c r="G467" s="460" t="s">
        <v>115</v>
      </c>
      <c r="H467" s="380" t="s">
        <v>119</v>
      </c>
      <c r="I467" s="459" t="n">
        <v>44754</v>
      </c>
      <c r="J467" s="460" t="n">
        <v>7</v>
      </c>
      <c r="K467" s="466" t="s">
        <v>49</v>
      </c>
      <c r="L467" s="463" t="s">
        <v>58</v>
      </c>
      <c r="M467" s="463" t="n">
        <f aca="false">I467-D467</f>
        <v>2419</v>
      </c>
    </row>
    <row r="468" customFormat="false" ht="12.75" hidden="false" customHeight="true" outlineLevel="0" collapsed="false">
      <c r="A468" s="449" t="n">
        <v>18822</v>
      </c>
      <c r="B468" s="450" t="s">
        <v>9532</v>
      </c>
      <c r="C468" s="450" t="n">
        <v>2021</v>
      </c>
      <c r="D468" s="451" t="n">
        <v>44531</v>
      </c>
      <c r="E468" s="452" t="s">
        <v>9533</v>
      </c>
      <c r="F468" s="378" t="s">
        <v>8160</v>
      </c>
      <c r="G468" s="452" t="s">
        <v>125</v>
      </c>
      <c r="H468" s="378" t="s">
        <v>149</v>
      </c>
      <c r="I468" s="451" t="n">
        <v>44757</v>
      </c>
      <c r="J468" s="452" t="n">
        <v>7</v>
      </c>
      <c r="K468" s="542" t="s">
        <v>290</v>
      </c>
      <c r="L468" s="455" t="s">
        <v>61</v>
      </c>
      <c r="M468" s="455" t="n">
        <f aca="false">I468-D468</f>
        <v>226</v>
      </c>
    </row>
    <row r="469" customFormat="false" ht="12.75" hidden="false" customHeight="true" outlineLevel="0" collapsed="false">
      <c r="A469" s="456" t="n">
        <v>18922</v>
      </c>
      <c r="B469" s="458" t="s">
        <v>9534</v>
      </c>
      <c r="C469" s="458" t="n">
        <v>2021</v>
      </c>
      <c r="D469" s="459" t="n">
        <v>44531</v>
      </c>
      <c r="E469" s="460" t="s">
        <v>9535</v>
      </c>
      <c r="F469" s="380" t="s">
        <v>8060</v>
      </c>
      <c r="G469" s="460" t="s">
        <v>125</v>
      </c>
      <c r="H469" s="380" t="s">
        <v>149</v>
      </c>
      <c r="I469" s="459" t="n">
        <v>44757</v>
      </c>
      <c r="J469" s="460" t="n">
        <v>7</v>
      </c>
      <c r="K469" s="542" t="s">
        <v>290</v>
      </c>
      <c r="L469" s="463" t="s">
        <v>61</v>
      </c>
      <c r="M469" s="463" t="n">
        <f aca="false">I469-D469</f>
        <v>226</v>
      </c>
    </row>
    <row r="470" customFormat="false" ht="12.75" hidden="false" customHeight="true" outlineLevel="0" collapsed="false">
      <c r="A470" s="449" t="n">
        <v>19022</v>
      </c>
      <c r="B470" s="450" t="s">
        <v>9536</v>
      </c>
      <c r="C470" s="450" t="n">
        <v>2020</v>
      </c>
      <c r="D470" s="451" t="n">
        <v>44046</v>
      </c>
      <c r="E470" s="452" t="s">
        <v>9537</v>
      </c>
      <c r="F470" s="378" t="s">
        <v>9538</v>
      </c>
      <c r="G470" s="452" t="s">
        <v>441</v>
      </c>
      <c r="H470" s="378" t="s">
        <v>243</v>
      </c>
      <c r="I470" s="451" t="n">
        <v>44757</v>
      </c>
      <c r="J470" s="452" t="n">
        <v>7</v>
      </c>
      <c r="K470" s="466" t="s">
        <v>48</v>
      </c>
      <c r="L470" s="455" t="s">
        <v>58</v>
      </c>
      <c r="M470" s="455" t="n">
        <f aca="false">I470-D470</f>
        <v>711</v>
      </c>
    </row>
    <row r="471" customFormat="false" ht="12.75" hidden="false" customHeight="true" outlineLevel="0" collapsed="false">
      <c r="A471" s="456" t="n">
        <v>19122</v>
      </c>
      <c r="B471" s="458" t="s">
        <v>9539</v>
      </c>
      <c r="C471" s="458" t="n">
        <v>2020</v>
      </c>
      <c r="D471" s="459" t="n">
        <v>43899</v>
      </c>
      <c r="E471" s="460" t="s">
        <v>9540</v>
      </c>
      <c r="F471" s="380" t="s">
        <v>168</v>
      </c>
      <c r="G471" s="460" t="s">
        <v>441</v>
      </c>
      <c r="H471" s="380" t="s">
        <v>9541</v>
      </c>
      <c r="I471" s="459" t="n">
        <v>44757</v>
      </c>
      <c r="J471" s="460" t="n">
        <v>7</v>
      </c>
      <c r="K471" s="466" t="s">
        <v>49</v>
      </c>
      <c r="L471" s="463" t="s">
        <v>60</v>
      </c>
      <c r="M471" s="463" t="n">
        <f aca="false">I471-D471</f>
        <v>858</v>
      </c>
    </row>
    <row r="472" customFormat="false" ht="12.75" hidden="false" customHeight="true" outlineLevel="0" collapsed="false">
      <c r="A472" s="449" t="n">
        <v>19222</v>
      </c>
      <c r="B472" s="450" t="s">
        <v>9542</v>
      </c>
      <c r="C472" s="450" t="n">
        <v>2021</v>
      </c>
      <c r="D472" s="451" t="n">
        <v>44537</v>
      </c>
      <c r="E472" s="452" t="s">
        <v>9543</v>
      </c>
      <c r="F472" s="378" t="s">
        <v>6303</v>
      </c>
      <c r="G472" s="452" t="s">
        <v>130</v>
      </c>
      <c r="H472" s="378" t="s">
        <v>3553</v>
      </c>
      <c r="I472" s="451" t="n">
        <v>44757</v>
      </c>
      <c r="J472" s="452" t="n">
        <v>7</v>
      </c>
      <c r="K472" s="466" t="s">
        <v>49</v>
      </c>
      <c r="L472" s="455" t="s">
        <v>61</v>
      </c>
      <c r="M472" s="455" t="n">
        <f aca="false">I472-D472</f>
        <v>220</v>
      </c>
    </row>
    <row r="473" customFormat="false" ht="12.75" hidden="false" customHeight="true" outlineLevel="0" collapsed="false">
      <c r="A473" s="456" t="n">
        <v>19322</v>
      </c>
      <c r="B473" s="458" t="s">
        <v>9544</v>
      </c>
      <c r="C473" s="458" t="n">
        <v>2018</v>
      </c>
      <c r="D473" s="459" t="n">
        <v>43130</v>
      </c>
      <c r="E473" s="460" t="s">
        <v>9545</v>
      </c>
      <c r="F473" s="380" t="s">
        <v>9546</v>
      </c>
      <c r="G473" s="460" t="s">
        <v>115</v>
      </c>
      <c r="H473" s="380" t="s">
        <v>134</v>
      </c>
      <c r="I473" s="459" t="n">
        <v>44760</v>
      </c>
      <c r="J473" s="460" t="n">
        <v>7</v>
      </c>
      <c r="K473" s="466" t="s">
        <v>48</v>
      </c>
      <c r="L473" s="463" t="s">
        <v>58</v>
      </c>
      <c r="M473" s="463" t="n">
        <f aca="false">I473-D473</f>
        <v>1630</v>
      </c>
    </row>
    <row r="474" customFormat="false" ht="12.75" hidden="false" customHeight="true" outlineLevel="0" collapsed="false">
      <c r="A474" s="449" t="n">
        <v>19422</v>
      </c>
      <c r="B474" s="450" t="s">
        <v>9547</v>
      </c>
      <c r="C474" s="450" t="n">
        <v>2021</v>
      </c>
      <c r="D474" s="451" t="n">
        <v>44518</v>
      </c>
      <c r="E474" s="452" t="s">
        <v>7301</v>
      </c>
      <c r="F474" s="378" t="s">
        <v>9548</v>
      </c>
      <c r="G474" s="452" t="s">
        <v>130</v>
      </c>
      <c r="H474" s="378" t="s">
        <v>9549</v>
      </c>
      <c r="I474" s="451" t="n">
        <v>44760</v>
      </c>
      <c r="J474" s="452" t="n">
        <v>7</v>
      </c>
      <c r="K474" s="542" t="s">
        <v>290</v>
      </c>
      <c r="L474" s="455" t="s">
        <v>61</v>
      </c>
      <c r="M474" s="455" t="n">
        <f aca="false">I474-D474</f>
        <v>242</v>
      </c>
    </row>
    <row r="475" customFormat="false" ht="12.75" hidden="false" customHeight="true" outlineLevel="0" collapsed="false">
      <c r="A475" s="456" t="n">
        <v>19522</v>
      </c>
      <c r="B475" s="458" t="s">
        <v>9550</v>
      </c>
      <c r="C475" s="458" t="n">
        <v>2021</v>
      </c>
      <c r="D475" s="459" t="n">
        <v>44551</v>
      </c>
      <c r="E475" s="460" t="s">
        <v>9551</v>
      </c>
      <c r="F475" s="380" t="s">
        <v>9552</v>
      </c>
      <c r="G475" s="460" t="s">
        <v>125</v>
      </c>
      <c r="H475" s="380" t="s">
        <v>3707</v>
      </c>
      <c r="I475" s="459" t="n">
        <v>44760</v>
      </c>
      <c r="J475" s="460" t="n">
        <v>7</v>
      </c>
      <c r="K475" s="466" t="s">
        <v>49</v>
      </c>
      <c r="L475" s="463" t="s">
        <v>61</v>
      </c>
      <c r="M475" s="463" t="n">
        <f aca="false">I475-D475</f>
        <v>209</v>
      </c>
    </row>
    <row r="476" customFormat="false" ht="12.75" hidden="false" customHeight="true" outlineLevel="0" collapsed="false">
      <c r="A476" s="449" t="n">
        <v>19622</v>
      </c>
      <c r="B476" s="450" t="s">
        <v>9553</v>
      </c>
      <c r="C476" s="450" t="n">
        <v>2018</v>
      </c>
      <c r="D476" s="451" t="n">
        <v>43453</v>
      </c>
      <c r="E476" s="452" t="s">
        <v>9554</v>
      </c>
      <c r="F476" s="378" t="s">
        <v>9538</v>
      </c>
      <c r="G476" s="452" t="s">
        <v>441</v>
      </c>
      <c r="H476" s="378" t="s">
        <v>354</v>
      </c>
      <c r="I476" s="451" t="n">
        <v>44760</v>
      </c>
      <c r="J476" s="452" t="n">
        <v>7</v>
      </c>
      <c r="K476" s="466" t="s">
        <v>48</v>
      </c>
      <c r="L476" s="455" t="s">
        <v>58</v>
      </c>
      <c r="M476" s="455" t="n">
        <f aca="false">I476-D476</f>
        <v>1307</v>
      </c>
    </row>
    <row r="477" customFormat="false" ht="12.75" hidden="false" customHeight="true" outlineLevel="0" collapsed="false">
      <c r="A477" s="456" t="n">
        <v>19722</v>
      </c>
      <c r="B477" s="458" t="s">
        <v>9555</v>
      </c>
      <c r="C477" s="458" t="n">
        <v>2022</v>
      </c>
      <c r="D477" s="459" t="n">
        <v>44607</v>
      </c>
      <c r="E477" s="460" t="s">
        <v>9556</v>
      </c>
      <c r="F477" s="380" t="s">
        <v>9557</v>
      </c>
      <c r="G477" s="460" t="s">
        <v>130</v>
      </c>
      <c r="H477" s="380" t="s">
        <v>9183</v>
      </c>
      <c r="I477" s="459" t="n">
        <v>44760</v>
      </c>
      <c r="J477" s="460" t="n">
        <v>7</v>
      </c>
      <c r="K477" s="466" t="s">
        <v>49</v>
      </c>
      <c r="L477" s="463" t="s">
        <v>61</v>
      </c>
      <c r="M477" s="463" t="n">
        <f aca="false">I477-D477</f>
        <v>153</v>
      </c>
    </row>
    <row r="478" customFormat="false" ht="12.75" hidden="false" customHeight="true" outlineLevel="0" collapsed="false">
      <c r="A478" s="449" t="n">
        <v>19822</v>
      </c>
      <c r="B478" s="450" t="s">
        <v>9558</v>
      </c>
      <c r="C478" s="450" t="n">
        <v>2021</v>
      </c>
      <c r="D478" s="451" t="n">
        <v>44523</v>
      </c>
      <c r="E478" s="452" t="s">
        <v>9559</v>
      </c>
      <c r="F478" s="378" t="s">
        <v>9560</v>
      </c>
      <c r="G478" s="452" t="s">
        <v>125</v>
      </c>
      <c r="H478" s="378" t="s">
        <v>9450</v>
      </c>
      <c r="I478" s="451" t="n">
        <v>44760</v>
      </c>
      <c r="J478" s="452" t="n">
        <v>7</v>
      </c>
      <c r="K478" s="466" t="s">
        <v>49</v>
      </c>
      <c r="L478" s="455" t="s">
        <v>61</v>
      </c>
      <c r="M478" s="455" t="n">
        <f aca="false">I478-D478</f>
        <v>237</v>
      </c>
    </row>
    <row r="479" customFormat="false" ht="12.75" hidden="false" customHeight="true" outlineLevel="0" collapsed="false">
      <c r="A479" s="456" t="n">
        <v>19922</v>
      </c>
      <c r="B479" s="458" t="s">
        <v>9561</v>
      </c>
      <c r="C479" s="458" t="n">
        <v>2021</v>
      </c>
      <c r="D479" s="459" t="n">
        <v>44530</v>
      </c>
      <c r="E479" s="460" t="s">
        <v>9562</v>
      </c>
      <c r="F479" s="380" t="s">
        <v>9563</v>
      </c>
      <c r="G479" s="460" t="s">
        <v>125</v>
      </c>
      <c r="H479" s="380" t="s">
        <v>9564</v>
      </c>
      <c r="I479" s="459" t="n">
        <v>44760</v>
      </c>
      <c r="J479" s="460" t="n">
        <v>7</v>
      </c>
      <c r="K479" s="466" t="s">
        <v>49</v>
      </c>
      <c r="L479" s="463" t="s">
        <v>61</v>
      </c>
      <c r="M479" s="463" t="n">
        <f aca="false">I479-D479</f>
        <v>230</v>
      </c>
    </row>
    <row r="480" customFormat="false" ht="12.75" hidden="false" customHeight="true" outlineLevel="0" collapsed="false">
      <c r="A480" s="449" t="n">
        <v>20022</v>
      </c>
      <c r="B480" s="450" t="s">
        <v>9565</v>
      </c>
      <c r="C480" s="450" t="n">
        <v>2015</v>
      </c>
      <c r="D480" s="451" t="n">
        <v>42216</v>
      </c>
      <c r="E480" s="452" t="s">
        <v>9566</v>
      </c>
      <c r="F480" s="378" t="s">
        <v>9529</v>
      </c>
      <c r="G480" s="452" t="s">
        <v>144</v>
      </c>
      <c r="H480" s="378" t="s">
        <v>285</v>
      </c>
      <c r="I480" s="451" t="n">
        <v>44760</v>
      </c>
      <c r="J480" s="452" t="n">
        <v>7</v>
      </c>
      <c r="K480" s="466" t="s">
        <v>49</v>
      </c>
      <c r="L480" s="455" t="s">
        <v>58</v>
      </c>
      <c r="M480" s="455" t="n">
        <f aca="false">I480-D480</f>
        <v>2544</v>
      </c>
    </row>
    <row r="481" customFormat="false" ht="12.75" hidden="false" customHeight="true" outlineLevel="0" collapsed="false">
      <c r="A481" s="456" t="n">
        <v>20122</v>
      </c>
      <c r="B481" s="458" t="s">
        <v>9567</v>
      </c>
      <c r="C481" s="458" t="n">
        <v>2021</v>
      </c>
      <c r="D481" s="459" t="n">
        <v>44550</v>
      </c>
      <c r="E481" s="460" t="s">
        <v>9568</v>
      </c>
      <c r="F481" s="380" t="s">
        <v>9569</v>
      </c>
      <c r="G481" s="460" t="s">
        <v>125</v>
      </c>
      <c r="H481" s="380" t="s">
        <v>3648</v>
      </c>
      <c r="I481" s="459" t="n">
        <v>44761</v>
      </c>
      <c r="J481" s="460" t="n">
        <v>7</v>
      </c>
      <c r="K481" s="466" t="s">
        <v>49</v>
      </c>
      <c r="L481" s="463" t="s">
        <v>61</v>
      </c>
      <c r="M481" s="463" t="n">
        <f aca="false">I481-D481</f>
        <v>211</v>
      </c>
    </row>
    <row r="482" customFormat="false" ht="12.75" hidden="false" customHeight="true" outlineLevel="0" collapsed="false">
      <c r="A482" s="449" t="n">
        <v>20222</v>
      </c>
      <c r="B482" s="450" t="s">
        <v>9570</v>
      </c>
      <c r="C482" s="450" t="n">
        <v>2021</v>
      </c>
      <c r="D482" s="451" t="n">
        <v>44550</v>
      </c>
      <c r="E482" s="452" t="s">
        <v>9571</v>
      </c>
      <c r="F482" s="378" t="s">
        <v>9572</v>
      </c>
      <c r="G482" s="452" t="s">
        <v>125</v>
      </c>
      <c r="H482" s="378" t="s">
        <v>3648</v>
      </c>
      <c r="I482" s="451" t="n">
        <v>44761</v>
      </c>
      <c r="J482" s="452" t="n">
        <v>7</v>
      </c>
      <c r="K482" s="466" t="s">
        <v>49</v>
      </c>
      <c r="L482" s="455" t="s">
        <v>61</v>
      </c>
      <c r="M482" s="455" t="n">
        <f aca="false">I482-D482</f>
        <v>211</v>
      </c>
    </row>
    <row r="483" customFormat="false" ht="12.75" hidden="false" customHeight="true" outlineLevel="0" collapsed="false">
      <c r="A483" s="456" t="n">
        <v>20322</v>
      </c>
      <c r="B483" s="458" t="s">
        <v>9573</v>
      </c>
      <c r="C483" s="458" t="n">
        <v>2021</v>
      </c>
      <c r="D483" s="459" t="n">
        <v>44546</v>
      </c>
      <c r="E483" s="460" t="s">
        <v>9574</v>
      </c>
      <c r="F483" s="380" t="s">
        <v>9569</v>
      </c>
      <c r="G483" s="460" t="s">
        <v>125</v>
      </c>
      <c r="H483" s="380" t="s">
        <v>3707</v>
      </c>
      <c r="I483" s="459" t="n">
        <v>44761</v>
      </c>
      <c r="J483" s="460" t="n">
        <v>7</v>
      </c>
      <c r="K483" s="466" t="s">
        <v>49</v>
      </c>
      <c r="L483" s="463" t="s">
        <v>61</v>
      </c>
      <c r="M483" s="463" t="n">
        <f aca="false">I483-D483</f>
        <v>215</v>
      </c>
    </row>
    <row r="484" customFormat="false" ht="12.75" hidden="false" customHeight="true" outlineLevel="0" collapsed="false">
      <c r="A484" s="449" t="n">
        <v>20422</v>
      </c>
      <c r="B484" s="450" t="s">
        <v>9575</v>
      </c>
      <c r="C484" s="450" t="n">
        <v>2021</v>
      </c>
      <c r="D484" s="451" t="n">
        <v>44550</v>
      </c>
      <c r="E484" s="452" t="s">
        <v>9576</v>
      </c>
      <c r="F484" s="378" t="s">
        <v>9577</v>
      </c>
      <c r="G484" s="452" t="s">
        <v>125</v>
      </c>
      <c r="H484" s="378" t="s">
        <v>9578</v>
      </c>
      <c r="I484" s="451" t="n">
        <v>44761</v>
      </c>
      <c r="J484" s="452" t="n">
        <v>7</v>
      </c>
      <c r="K484" s="466" t="s">
        <v>49</v>
      </c>
      <c r="L484" s="455" t="s">
        <v>61</v>
      </c>
      <c r="M484" s="455" t="n">
        <f aca="false">I484-D484</f>
        <v>211</v>
      </c>
    </row>
    <row r="485" customFormat="false" ht="12.75" hidden="false" customHeight="true" outlineLevel="0" collapsed="false">
      <c r="A485" s="456" t="n">
        <v>20522</v>
      </c>
      <c r="B485" s="458" t="s">
        <v>9579</v>
      </c>
      <c r="C485" s="458" t="n">
        <v>2022</v>
      </c>
      <c r="D485" s="459" t="n">
        <v>44648</v>
      </c>
      <c r="E485" s="460" t="s">
        <v>9580</v>
      </c>
      <c r="F485" s="380" t="s">
        <v>3207</v>
      </c>
      <c r="G485" s="460" t="s">
        <v>130</v>
      </c>
      <c r="H485" s="380" t="s">
        <v>9581</v>
      </c>
      <c r="I485" s="459" t="n">
        <v>44761</v>
      </c>
      <c r="J485" s="460" t="n">
        <v>7</v>
      </c>
      <c r="K485" s="542" t="s">
        <v>290</v>
      </c>
      <c r="L485" s="463" t="s">
        <v>61</v>
      </c>
      <c r="M485" s="463" t="n">
        <f aca="false">I485-D485</f>
        <v>113</v>
      </c>
    </row>
    <row r="486" customFormat="false" ht="12.75" hidden="false" customHeight="true" outlineLevel="0" collapsed="false">
      <c r="A486" s="449" t="n">
        <v>20622</v>
      </c>
      <c r="B486" s="450" t="s">
        <v>9582</v>
      </c>
      <c r="C486" s="450" t="n">
        <v>2017</v>
      </c>
      <c r="D486" s="451" t="n">
        <v>43042</v>
      </c>
      <c r="E486" s="452" t="s">
        <v>9583</v>
      </c>
      <c r="F486" s="378" t="s">
        <v>207</v>
      </c>
      <c r="G486" s="452" t="s">
        <v>441</v>
      </c>
      <c r="H486" s="378" t="s">
        <v>6520</v>
      </c>
      <c r="I486" s="451" t="n">
        <v>44762</v>
      </c>
      <c r="J486" s="452" t="n">
        <v>7</v>
      </c>
      <c r="K486" s="466" t="s">
        <v>49</v>
      </c>
      <c r="L486" s="455" t="s">
        <v>58</v>
      </c>
      <c r="M486" s="455" t="n">
        <f aca="false">I486-D486</f>
        <v>1720</v>
      </c>
    </row>
    <row r="487" customFormat="false" ht="12.75" hidden="false" customHeight="true" outlineLevel="0" collapsed="false">
      <c r="A487" s="456" t="n">
        <v>20722</v>
      </c>
      <c r="B487" s="458" t="s">
        <v>9584</v>
      </c>
      <c r="C487" s="458" t="n">
        <v>2022</v>
      </c>
      <c r="D487" s="459" t="n">
        <v>44637</v>
      </c>
      <c r="E487" s="460" t="s">
        <v>9585</v>
      </c>
      <c r="F487" s="380" t="s">
        <v>3200</v>
      </c>
      <c r="G487" s="460" t="s">
        <v>130</v>
      </c>
      <c r="H487" s="380" t="s">
        <v>9581</v>
      </c>
      <c r="I487" s="459" t="n">
        <v>44762</v>
      </c>
      <c r="J487" s="460" t="n">
        <v>7</v>
      </c>
      <c r="K487" s="542" t="s">
        <v>290</v>
      </c>
      <c r="L487" s="463" t="s">
        <v>61</v>
      </c>
      <c r="M487" s="463" t="n">
        <f aca="false">I487-D487</f>
        <v>125</v>
      </c>
    </row>
    <row r="488" customFormat="false" ht="12.75" hidden="false" customHeight="true" outlineLevel="0" collapsed="false">
      <c r="A488" s="449" t="n">
        <v>20822</v>
      </c>
      <c r="B488" s="450" t="s">
        <v>9586</v>
      </c>
      <c r="C488" s="450" t="n">
        <v>2021</v>
      </c>
      <c r="D488" s="451" t="n">
        <v>44551</v>
      </c>
      <c r="E488" s="452" t="s">
        <v>9587</v>
      </c>
      <c r="F488" s="378" t="s">
        <v>9552</v>
      </c>
      <c r="G488" s="452" t="s">
        <v>125</v>
      </c>
      <c r="H488" s="378" t="s">
        <v>3707</v>
      </c>
      <c r="I488" s="451" t="n">
        <v>44762</v>
      </c>
      <c r="J488" s="452" t="n">
        <v>7</v>
      </c>
      <c r="K488" s="466" t="s">
        <v>49</v>
      </c>
      <c r="L488" s="455" t="s">
        <v>61</v>
      </c>
      <c r="M488" s="455" t="n">
        <f aca="false">I488-D488</f>
        <v>211</v>
      </c>
    </row>
    <row r="489" customFormat="false" ht="12.75" hidden="false" customHeight="true" outlineLevel="0" collapsed="false">
      <c r="A489" s="456" t="n">
        <v>20922</v>
      </c>
      <c r="B489" s="458" t="s">
        <v>9588</v>
      </c>
      <c r="C489" s="458" t="n">
        <v>2021</v>
      </c>
      <c r="D489" s="459" t="n">
        <v>44264</v>
      </c>
      <c r="E489" s="460" t="s">
        <v>9589</v>
      </c>
      <c r="F489" s="380" t="s">
        <v>138</v>
      </c>
      <c r="G489" s="460" t="s">
        <v>441</v>
      </c>
      <c r="H489" s="380" t="s">
        <v>139</v>
      </c>
      <c r="I489" s="459" t="n">
        <v>44771</v>
      </c>
      <c r="J489" s="460" t="n">
        <v>7</v>
      </c>
      <c r="K489" s="466" t="s">
        <v>49</v>
      </c>
      <c r="L489" s="463" t="s">
        <v>60</v>
      </c>
      <c r="M489" s="463" t="n">
        <f aca="false">I489-D489</f>
        <v>507</v>
      </c>
    </row>
    <row r="490" customFormat="false" ht="12.75" hidden="false" customHeight="true" outlineLevel="0" collapsed="false">
      <c r="A490" s="449" t="n">
        <v>21022</v>
      </c>
      <c r="B490" s="450" t="s">
        <v>9590</v>
      </c>
      <c r="C490" s="450" t="n">
        <v>2021</v>
      </c>
      <c r="D490" s="451" t="n">
        <v>44417</v>
      </c>
      <c r="E490" s="452" t="s">
        <v>9591</v>
      </c>
      <c r="F490" s="378" t="s">
        <v>376</v>
      </c>
      <c r="G490" s="452" t="s">
        <v>130</v>
      </c>
      <c r="H490" s="378" t="s">
        <v>7469</v>
      </c>
      <c r="I490" s="451" t="n">
        <v>44771</v>
      </c>
      <c r="J490" s="452" t="n">
        <v>7</v>
      </c>
      <c r="K490" s="466" t="s">
        <v>49</v>
      </c>
      <c r="L490" s="455" t="s">
        <v>61</v>
      </c>
      <c r="M490" s="455" t="n">
        <f aca="false">I490-D490</f>
        <v>354</v>
      </c>
    </row>
    <row r="491" customFormat="false" ht="12.75" hidden="false" customHeight="true" outlineLevel="0" collapsed="false">
      <c r="A491" s="456" t="n">
        <v>21122</v>
      </c>
      <c r="B491" s="458" t="s">
        <v>9592</v>
      </c>
      <c r="C491" s="458" t="n">
        <v>2015</v>
      </c>
      <c r="D491" s="459" t="n">
        <v>42338</v>
      </c>
      <c r="E491" s="460" t="s">
        <v>9593</v>
      </c>
      <c r="F491" s="380" t="s">
        <v>346</v>
      </c>
      <c r="G491" s="460" t="s">
        <v>441</v>
      </c>
      <c r="H491" s="380" t="s">
        <v>9594</v>
      </c>
      <c r="I491" s="459" t="n">
        <v>44771</v>
      </c>
      <c r="J491" s="460" t="n">
        <v>7</v>
      </c>
      <c r="K491" s="466" t="s">
        <v>49</v>
      </c>
      <c r="L491" s="463" t="s">
        <v>58</v>
      </c>
      <c r="M491" s="463" t="n">
        <f aca="false">I491-D491</f>
        <v>2433</v>
      </c>
    </row>
    <row r="492" customFormat="false" ht="12.75" hidden="false" customHeight="true" outlineLevel="0" collapsed="false">
      <c r="A492" s="449" t="n">
        <v>21222</v>
      </c>
      <c r="B492" s="450" t="s">
        <v>9595</v>
      </c>
      <c r="C492" s="450" t="n">
        <v>2021</v>
      </c>
      <c r="D492" s="451" t="n">
        <v>44517</v>
      </c>
      <c r="E492" s="452" t="s">
        <v>9596</v>
      </c>
      <c r="F492" s="378" t="s">
        <v>376</v>
      </c>
      <c r="G492" s="452" t="s">
        <v>130</v>
      </c>
      <c r="H492" s="378" t="s">
        <v>5376</v>
      </c>
      <c r="I492" s="451" t="n">
        <v>44771</v>
      </c>
      <c r="J492" s="452" t="n">
        <v>7</v>
      </c>
      <c r="K492" s="466" t="s">
        <v>49</v>
      </c>
      <c r="L492" s="455" t="s">
        <v>61</v>
      </c>
      <c r="M492" s="455" t="n">
        <f aca="false">I492-D492</f>
        <v>254</v>
      </c>
    </row>
    <row r="493" customFormat="false" ht="12.75" hidden="false" customHeight="true" outlineLevel="0" collapsed="false">
      <c r="A493" s="456" t="n">
        <v>21322</v>
      </c>
      <c r="B493" s="458" t="s">
        <v>9597</v>
      </c>
      <c r="C493" s="458" t="n">
        <v>2011</v>
      </c>
      <c r="D493" s="459" t="n">
        <v>40752</v>
      </c>
      <c r="E493" s="460" t="s">
        <v>9598</v>
      </c>
      <c r="F493" s="380" t="s">
        <v>365</v>
      </c>
      <c r="G493" s="460" t="s">
        <v>441</v>
      </c>
      <c r="H493" s="380" t="s">
        <v>1305</v>
      </c>
      <c r="I493" s="459" t="n">
        <v>44771</v>
      </c>
      <c r="J493" s="460" t="n">
        <v>7</v>
      </c>
      <c r="K493" s="466" t="s">
        <v>47</v>
      </c>
      <c r="L493" s="463" t="s">
        <v>58</v>
      </c>
      <c r="M493" s="463" t="n">
        <f aca="false">I493-D493</f>
        <v>4019</v>
      </c>
    </row>
    <row r="494" customFormat="false" ht="12.75" hidden="false" customHeight="true" outlineLevel="0" collapsed="false">
      <c r="A494" s="449" t="n">
        <v>21422</v>
      </c>
      <c r="B494" s="450" t="s">
        <v>9599</v>
      </c>
      <c r="C494" s="450" t="n">
        <v>2021</v>
      </c>
      <c r="D494" s="451" t="n">
        <v>44223</v>
      </c>
      <c r="E494" s="452" t="s">
        <v>9600</v>
      </c>
      <c r="F494" s="378" t="s">
        <v>9601</v>
      </c>
      <c r="G494" s="452" t="s">
        <v>130</v>
      </c>
      <c r="H494" s="378" t="s">
        <v>9602</v>
      </c>
      <c r="I494" s="451" t="n">
        <v>44771</v>
      </c>
      <c r="J494" s="452" t="n">
        <v>7</v>
      </c>
      <c r="K494" s="542" t="s">
        <v>290</v>
      </c>
      <c r="L494" s="455" t="s">
        <v>61</v>
      </c>
      <c r="M494" s="455" t="n">
        <f aca="false">I494-D494</f>
        <v>548</v>
      </c>
    </row>
    <row r="495" customFormat="false" ht="12.75" hidden="false" customHeight="true" outlineLevel="0" collapsed="false">
      <c r="A495" s="456" t="n">
        <v>21522</v>
      </c>
      <c r="B495" s="458" t="s">
        <v>9603</v>
      </c>
      <c r="C495" s="458" t="n">
        <v>2017</v>
      </c>
      <c r="D495" s="459" t="n">
        <v>42898</v>
      </c>
      <c r="E495" s="460" t="s">
        <v>9604</v>
      </c>
      <c r="F495" s="380" t="s">
        <v>123</v>
      </c>
      <c r="G495" s="460" t="s">
        <v>441</v>
      </c>
      <c r="H495" s="380" t="s">
        <v>9523</v>
      </c>
      <c r="I495" s="459" t="n">
        <v>44771</v>
      </c>
      <c r="J495" s="460" t="n">
        <v>7</v>
      </c>
      <c r="K495" s="543" t="s">
        <v>46</v>
      </c>
      <c r="L495" s="463" t="s">
        <v>60</v>
      </c>
      <c r="M495" s="463" t="n">
        <f aca="false">I495-D495</f>
        <v>1873</v>
      </c>
    </row>
    <row r="496" customFormat="false" ht="12.75" hidden="false" customHeight="true" outlineLevel="0" collapsed="false">
      <c r="A496" s="449" t="n">
        <v>21622</v>
      </c>
      <c r="B496" s="450" t="s">
        <v>9605</v>
      </c>
      <c r="C496" s="450" t="n">
        <v>2021</v>
      </c>
      <c r="D496" s="451" t="n">
        <v>44545</v>
      </c>
      <c r="E496" s="452" t="s">
        <v>9606</v>
      </c>
      <c r="F496" s="378" t="s">
        <v>9607</v>
      </c>
      <c r="G496" s="452" t="s">
        <v>130</v>
      </c>
      <c r="H496" s="378" t="s">
        <v>684</v>
      </c>
      <c r="I496" s="451" t="n">
        <v>44771</v>
      </c>
      <c r="J496" s="452" t="n">
        <v>7</v>
      </c>
      <c r="K496" s="466" t="s">
        <v>49</v>
      </c>
      <c r="L496" s="455" t="s">
        <v>61</v>
      </c>
      <c r="M496" s="455" t="n">
        <f aca="false">I496-D496</f>
        <v>226</v>
      </c>
    </row>
    <row r="497" customFormat="false" ht="12.75" hidden="false" customHeight="true" outlineLevel="0" collapsed="false">
      <c r="A497" s="456" t="n">
        <v>21722</v>
      </c>
      <c r="B497" s="458" t="s">
        <v>9608</v>
      </c>
      <c r="C497" s="458" t="n">
        <v>2020</v>
      </c>
      <c r="D497" s="459" t="n">
        <v>44102</v>
      </c>
      <c r="E497" s="460" t="s">
        <v>9609</v>
      </c>
      <c r="F497" s="380" t="s">
        <v>9610</v>
      </c>
      <c r="G497" s="460" t="s">
        <v>441</v>
      </c>
      <c r="H497" s="380" t="s">
        <v>2677</v>
      </c>
      <c r="I497" s="459" t="n">
        <v>44771</v>
      </c>
      <c r="J497" s="460" t="n">
        <v>7</v>
      </c>
      <c r="K497" s="466" t="s">
        <v>49</v>
      </c>
      <c r="L497" s="463" t="s">
        <v>58</v>
      </c>
      <c r="M497" s="463" t="n">
        <f aca="false">I497-D497</f>
        <v>669</v>
      </c>
    </row>
    <row r="498" customFormat="false" ht="12.75" hidden="false" customHeight="true" outlineLevel="0" collapsed="false">
      <c r="A498" s="449" t="n">
        <v>21822</v>
      </c>
      <c r="B498" s="450" t="s">
        <v>9611</v>
      </c>
      <c r="C498" s="450" t="n">
        <v>2015</v>
      </c>
      <c r="D498" s="451" t="n">
        <v>42256</v>
      </c>
      <c r="E498" s="452" t="s">
        <v>9612</v>
      </c>
      <c r="F498" s="378" t="s">
        <v>1277</v>
      </c>
      <c r="G498" s="452" t="s">
        <v>441</v>
      </c>
      <c r="H498" s="378" t="s">
        <v>9613</v>
      </c>
      <c r="I498" s="451" t="n">
        <v>44771</v>
      </c>
      <c r="J498" s="452" t="n">
        <v>7</v>
      </c>
      <c r="K498" s="466" t="s">
        <v>48</v>
      </c>
      <c r="L498" s="455" t="s">
        <v>58</v>
      </c>
      <c r="M498" s="455" t="n">
        <f aca="false">I498-D498</f>
        <v>2515</v>
      </c>
    </row>
    <row r="499" customFormat="false" ht="12.75" hidden="false" customHeight="true" outlineLevel="0" collapsed="false">
      <c r="A499" s="456" t="n">
        <v>21922</v>
      </c>
      <c r="B499" s="458" t="s">
        <v>9614</v>
      </c>
      <c r="C499" s="458" t="n">
        <v>2021</v>
      </c>
      <c r="D499" s="459" t="n">
        <v>44523</v>
      </c>
      <c r="E499" s="460" t="s">
        <v>9615</v>
      </c>
      <c r="F499" s="380" t="s">
        <v>9616</v>
      </c>
      <c r="G499" s="460" t="s">
        <v>125</v>
      </c>
      <c r="H499" s="380" t="s">
        <v>149</v>
      </c>
      <c r="I499" s="459" t="n">
        <v>44771</v>
      </c>
      <c r="J499" s="460" t="n">
        <v>7</v>
      </c>
      <c r="K499" s="466" t="s">
        <v>49</v>
      </c>
      <c r="L499" s="463" t="s">
        <v>61</v>
      </c>
      <c r="M499" s="463" t="n">
        <f aca="false">I499-D499</f>
        <v>248</v>
      </c>
    </row>
    <row r="500" customFormat="false" ht="12.75" hidden="false" customHeight="true" outlineLevel="0" collapsed="false">
      <c r="A500" s="449" t="n">
        <v>22022</v>
      </c>
      <c r="B500" s="450" t="s">
        <v>9617</v>
      </c>
      <c r="C500" s="450" t="n">
        <v>2015</v>
      </c>
      <c r="D500" s="451" t="n">
        <v>42151</v>
      </c>
      <c r="E500" s="452" t="s">
        <v>9618</v>
      </c>
      <c r="F500" s="378" t="s">
        <v>9538</v>
      </c>
      <c r="G500" s="452" t="s">
        <v>441</v>
      </c>
      <c r="H500" s="378" t="s">
        <v>9594</v>
      </c>
      <c r="I500" s="451" t="n">
        <v>44774</v>
      </c>
      <c r="J500" s="452" t="n">
        <v>8</v>
      </c>
      <c r="K500" s="466" t="s">
        <v>48</v>
      </c>
      <c r="L500" s="455" t="s">
        <v>58</v>
      </c>
      <c r="M500" s="455" t="n">
        <f aca="false">I500-D500</f>
        <v>2623</v>
      </c>
    </row>
    <row r="501" customFormat="false" ht="12.75" hidden="false" customHeight="true" outlineLevel="0" collapsed="false">
      <c r="A501" s="456" t="n">
        <v>22122</v>
      </c>
      <c r="B501" s="458" t="s">
        <v>9619</v>
      </c>
      <c r="C501" s="458" t="n">
        <v>2021</v>
      </c>
      <c r="D501" s="459" t="n">
        <v>44551</v>
      </c>
      <c r="E501" s="460" t="s">
        <v>9620</v>
      </c>
      <c r="F501" s="380" t="s">
        <v>9621</v>
      </c>
      <c r="G501" s="460" t="s">
        <v>125</v>
      </c>
      <c r="H501" s="380" t="s">
        <v>3648</v>
      </c>
      <c r="I501" s="459" t="n">
        <v>44774</v>
      </c>
      <c r="J501" s="460" t="n">
        <v>8</v>
      </c>
      <c r="K501" s="466" t="s">
        <v>49</v>
      </c>
      <c r="L501" s="463" t="s">
        <v>61</v>
      </c>
      <c r="M501" s="463" t="n">
        <f aca="false">I501-D501</f>
        <v>223</v>
      </c>
    </row>
    <row r="502" customFormat="false" ht="15" hidden="false" customHeight="true" outlineLevel="0" collapsed="false">
      <c r="A502" s="449" t="n">
        <v>22222</v>
      </c>
      <c r="B502" s="450" t="s">
        <v>9622</v>
      </c>
      <c r="C502" s="450" t="n">
        <v>2018</v>
      </c>
      <c r="D502" s="451" t="n">
        <v>43320</v>
      </c>
      <c r="E502" s="452" t="s">
        <v>9623</v>
      </c>
      <c r="F502" s="378" t="s">
        <v>4581</v>
      </c>
      <c r="G502" s="452" t="s">
        <v>115</v>
      </c>
      <c r="H502" s="378" t="s">
        <v>119</v>
      </c>
      <c r="I502" s="451" t="n">
        <v>44774</v>
      </c>
      <c r="J502" s="452" t="n">
        <v>8</v>
      </c>
      <c r="K502" s="466" t="s">
        <v>48</v>
      </c>
      <c r="L502" s="455" t="s">
        <v>60</v>
      </c>
      <c r="M502" s="455" t="n">
        <f aca="false">I502-D502</f>
        <v>1454</v>
      </c>
    </row>
    <row r="503" customFormat="false" ht="12.75" hidden="false" customHeight="true" outlineLevel="0" collapsed="false">
      <c r="A503" s="456" t="n">
        <v>22322</v>
      </c>
      <c r="B503" s="458" t="s">
        <v>9624</v>
      </c>
      <c r="C503" s="458" t="n">
        <v>2021</v>
      </c>
      <c r="D503" s="459" t="n">
        <v>44551</v>
      </c>
      <c r="E503" s="460" t="s">
        <v>9625</v>
      </c>
      <c r="F503" s="380" t="s">
        <v>9626</v>
      </c>
      <c r="G503" s="460" t="s">
        <v>125</v>
      </c>
      <c r="H503" s="380" t="s">
        <v>9578</v>
      </c>
      <c r="I503" s="459" t="n">
        <v>44774</v>
      </c>
      <c r="J503" s="460" t="n">
        <v>8</v>
      </c>
      <c r="K503" s="466" t="s">
        <v>49</v>
      </c>
      <c r="L503" s="463" t="s">
        <v>61</v>
      </c>
      <c r="M503" s="463" t="n">
        <f aca="false">I503-D503</f>
        <v>223</v>
      </c>
    </row>
    <row r="504" customFormat="false" ht="12.75" hidden="false" customHeight="true" outlineLevel="0" collapsed="false">
      <c r="A504" s="449" t="n">
        <v>22422</v>
      </c>
      <c r="B504" s="450" t="s">
        <v>9627</v>
      </c>
      <c r="C504" s="450" t="n">
        <v>2011</v>
      </c>
      <c r="D504" s="451" t="n">
        <v>40778</v>
      </c>
      <c r="E504" s="452" t="s">
        <v>9628</v>
      </c>
      <c r="F504" s="378" t="s">
        <v>365</v>
      </c>
      <c r="G504" s="452" t="s">
        <v>441</v>
      </c>
      <c r="H504" s="378" t="s">
        <v>1305</v>
      </c>
      <c r="I504" s="451" t="n">
        <v>44775</v>
      </c>
      <c r="J504" s="452" t="n">
        <v>8</v>
      </c>
      <c r="K504" s="466" t="s">
        <v>47</v>
      </c>
      <c r="L504" s="455" t="s">
        <v>58</v>
      </c>
      <c r="M504" s="455" t="n">
        <f aca="false">I504-D504</f>
        <v>3997</v>
      </c>
    </row>
    <row r="505" customFormat="false" ht="12.75" hidden="false" customHeight="true" outlineLevel="0" collapsed="false">
      <c r="A505" s="456" t="n">
        <v>22522</v>
      </c>
      <c r="B505" s="458" t="s">
        <v>9629</v>
      </c>
      <c r="C505" s="458" t="n">
        <v>2020</v>
      </c>
      <c r="D505" s="459" t="n">
        <v>43847</v>
      </c>
      <c r="E505" s="460" t="s">
        <v>9630</v>
      </c>
      <c r="F505" s="380" t="s">
        <v>9631</v>
      </c>
      <c r="G505" s="460" t="s">
        <v>115</v>
      </c>
      <c r="H505" s="380" t="s">
        <v>254</v>
      </c>
      <c r="I505" s="459" t="n">
        <v>44775</v>
      </c>
      <c r="J505" s="460" t="n">
        <v>8</v>
      </c>
      <c r="K505" s="466" t="s">
        <v>49</v>
      </c>
      <c r="L505" s="463" t="s">
        <v>58</v>
      </c>
      <c r="M505" s="463" t="n">
        <f aca="false">I505-D505</f>
        <v>928</v>
      </c>
    </row>
    <row r="506" customFormat="false" ht="12.75" hidden="false" customHeight="true" outlineLevel="0" collapsed="false">
      <c r="A506" s="449" t="n">
        <v>22622</v>
      </c>
      <c r="B506" s="450" t="s">
        <v>9632</v>
      </c>
      <c r="C506" s="450" t="n">
        <v>2021</v>
      </c>
      <c r="D506" s="451" t="n">
        <v>44281</v>
      </c>
      <c r="E506" s="452" t="s">
        <v>9633</v>
      </c>
      <c r="F506" s="378" t="s">
        <v>9634</v>
      </c>
      <c r="G506" s="452" t="s">
        <v>441</v>
      </c>
      <c r="H506" s="378" t="s">
        <v>9635</v>
      </c>
      <c r="I506" s="451" t="n">
        <v>44776</v>
      </c>
      <c r="J506" s="452" t="n">
        <v>8</v>
      </c>
      <c r="K506" s="466" t="s">
        <v>49</v>
      </c>
      <c r="L506" s="455" t="s">
        <v>58</v>
      </c>
      <c r="M506" s="455" t="n">
        <f aca="false">I506-D506</f>
        <v>495</v>
      </c>
    </row>
    <row r="507" customFormat="false" ht="12.75" hidden="false" customHeight="true" outlineLevel="0" collapsed="false">
      <c r="A507" s="456" t="n">
        <v>22722</v>
      </c>
      <c r="B507" s="458" t="s">
        <v>9636</v>
      </c>
      <c r="C507" s="458" t="n">
        <v>2012</v>
      </c>
      <c r="D507" s="459" t="n">
        <v>41002</v>
      </c>
      <c r="E507" s="460" t="s">
        <v>9637</v>
      </c>
      <c r="F507" s="380" t="s">
        <v>180</v>
      </c>
      <c r="G507" s="460" t="s">
        <v>441</v>
      </c>
      <c r="H507" s="380" t="s">
        <v>9638</v>
      </c>
      <c r="I507" s="459" t="n">
        <v>44776</v>
      </c>
      <c r="J507" s="460" t="n">
        <v>8</v>
      </c>
      <c r="K507" s="466" t="s">
        <v>47</v>
      </c>
      <c r="L507" s="463" t="s">
        <v>58</v>
      </c>
      <c r="M507" s="463" t="n">
        <f aca="false">I507-D507</f>
        <v>3774</v>
      </c>
    </row>
    <row r="508" customFormat="false" ht="12.75" hidden="false" customHeight="true" outlineLevel="0" collapsed="false">
      <c r="A508" s="449" t="n">
        <v>22822</v>
      </c>
      <c r="B508" s="450" t="s">
        <v>9639</v>
      </c>
      <c r="C508" s="450" t="n">
        <v>2021</v>
      </c>
      <c r="D508" s="451" t="n">
        <v>44539</v>
      </c>
      <c r="E508" s="452" t="s">
        <v>9640</v>
      </c>
      <c r="F508" s="378" t="s">
        <v>9641</v>
      </c>
      <c r="G508" s="452" t="s">
        <v>125</v>
      </c>
      <c r="H508" s="378" t="s">
        <v>3506</v>
      </c>
      <c r="I508" s="451" t="n">
        <v>44788</v>
      </c>
      <c r="J508" s="452" t="n">
        <v>8</v>
      </c>
      <c r="K508" s="542" t="s">
        <v>290</v>
      </c>
      <c r="L508" s="455" t="s">
        <v>61</v>
      </c>
      <c r="M508" s="455" t="n">
        <f aca="false">I508-D508</f>
        <v>249</v>
      </c>
    </row>
    <row r="509" customFormat="false" ht="12.75" hidden="false" customHeight="true" outlineLevel="0" collapsed="false">
      <c r="A509" s="456" t="n">
        <v>22922</v>
      </c>
      <c r="B509" s="458" t="s">
        <v>9642</v>
      </c>
      <c r="C509" s="458" t="n">
        <v>2015</v>
      </c>
      <c r="D509" s="459" t="n">
        <v>42366</v>
      </c>
      <c r="E509" s="460" t="s">
        <v>9643</v>
      </c>
      <c r="F509" s="380" t="s">
        <v>9644</v>
      </c>
      <c r="G509" s="460" t="s">
        <v>441</v>
      </c>
      <c r="H509" s="380" t="s">
        <v>184</v>
      </c>
      <c r="I509" s="459" t="n">
        <v>44789</v>
      </c>
      <c r="J509" s="460" t="n">
        <v>8</v>
      </c>
      <c r="K509" s="466" t="s">
        <v>49</v>
      </c>
      <c r="L509" s="463" t="s">
        <v>58</v>
      </c>
      <c r="M509" s="463" t="n">
        <f aca="false">I509-D509</f>
        <v>2423</v>
      </c>
    </row>
    <row r="510" customFormat="false" ht="12.75" hidden="false" customHeight="true" outlineLevel="0" collapsed="false">
      <c r="A510" s="449" t="n">
        <v>23022</v>
      </c>
      <c r="B510" s="450" t="s">
        <v>9645</v>
      </c>
      <c r="C510" s="450" t="n">
        <v>2015</v>
      </c>
      <c r="D510" s="451" t="n">
        <v>42060</v>
      </c>
      <c r="E510" s="452" t="s">
        <v>9646</v>
      </c>
      <c r="F510" s="378" t="s">
        <v>9647</v>
      </c>
      <c r="G510" s="452" t="s">
        <v>441</v>
      </c>
      <c r="H510" s="378" t="s">
        <v>1501</v>
      </c>
      <c r="I510" s="451" t="n">
        <v>44789</v>
      </c>
      <c r="J510" s="452" t="n">
        <v>8</v>
      </c>
      <c r="K510" s="466" t="s">
        <v>48</v>
      </c>
      <c r="L510" s="455" t="s">
        <v>60</v>
      </c>
      <c r="M510" s="455" t="n">
        <f aca="false">I510-D510</f>
        <v>2729</v>
      </c>
    </row>
    <row r="511" customFormat="false" ht="12.75" hidden="false" customHeight="true" outlineLevel="0" collapsed="false">
      <c r="A511" s="456" t="n">
        <v>23122</v>
      </c>
      <c r="B511" s="458" t="s">
        <v>9648</v>
      </c>
      <c r="C511" s="458" t="n">
        <v>2021</v>
      </c>
      <c r="D511" s="459" t="n">
        <v>44421</v>
      </c>
      <c r="E511" s="460" t="s">
        <v>9649</v>
      </c>
      <c r="F511" s="380" t="s">
        <v>9650</v>
      </c>
      <c r="G511" s="460" t="s">
        <v>125</v>
      </c>
      <c r="H511" s="380" t="s">
        <v>3893</v>
      </c>
      <c r="I511" s="459" t="n">
        <v>44791</v>
      </c>
      <c r="J511" s="460" t="n">
        <v>8</v>
      </c>
      <c r="K511" s="542" t="s">
        <v>290</v>
      </c>
      <c r="L511" s="463" t="s">
        <v>61</v>
      </c>
      <c r="M511" s="463" t="n">
        <f aca="false">I511-D511</f>
        <v>370</v>
      </c>
    </row>
    <row r="512" customFormat="false" ht="12.75" hidden="false" customHeight="true" outlineLevel="0" collapsed="false">
      <c r="A512" s="449" t="n">
        <v>23222</v>
      </c>
      <c r="B512" s="450" t="s">
        <v>9651</v>
      </c>
      <c r="C512" s="450" t="n">
        <v>2017</v>
      </c>
      <c r="D512" s="451" t="n">
        <v>42979</v>
      </c>
      <c r="E512" s="452" t="s">
        <v>9652</v>
      </c>
      <c r="F512" s="378" t="s">
        <v>4270</v>
      </c>
      <c r="G512" s="452" t="s">
        <v>441</v>
      </c>
      <c r="H512" s="378" t="s">
        <v>2654</v>
      </c>
      <c r="I512" s="451" t="n">
        <v>44792</v>
      </c>
      <c r="J512" s="452" t="n">
        <v>8</v>
      </c>
      <c r="K512" s="466" t="s">
        <v>48</v>
      </c>
      <c r="L512" s="455" t="s">
        <v>60</v>
      </c>
      <c r="M512" s="455" t="n">
        <f aca="false">I512-D512</f>
        <v>1813</v>
      </c>
    </row>
    <row r="513" customFormat="false" ht="12.75" hidden="false" customHeight="true" outlineLevel="0" collapsed="false">
      <c r="A513" s="456" t="n">
        <v>23322</v>
      </c>
      <c r="B513" s="458" t="s">
        <v>9653</v>
      </c>
      <c r="C513" s="458" t="n">
        <v>2015</v>
      </c>
      <c r="D513" s="459" t="n">
        <v>42146</v>
      </c>
      <c r="E513" s="460" t="s">
        <v>9654</v>
      </c>
      <c r="F513" s="380" t="s">
        <v>9655</v>
      </c>
      <c r="G513" s="460" t="s">
        <v>441</v>
      </c>
      <c r="H513" s="380" t="s">
        <v>9594</v>
      </c>
      <c r="I513" s="459" t="n">
        <v>44792</v>
      </c>
      <c r="J513" s="460" t="n">
        <v>8</v>
      </c>
      <c r="K513" s="466" t="s">
        <v>49</v>
      </c>
      <c r="L513" s="463" t="s">
        <v>58</v>
      </c>
      <c r="M513" s="463" t="n">
        <f aca="false">I513-D513</f>
        <v>2646</v>
      </c>
    </row>
    <row r="514" customFormat="false" ht="12.75" hidden="false" customHeight="true" outlineLevel="0" collapsed="false">
      <c r="A514" s="449" t="n">
        <v>23422</v>
      </c>
      <c r="B514" s="450" t="s">
        <v>9656</v>
      </c>
      <c r="C514" s="450" t="n">
        <v>2021</v>
      </c>
      <c r="D514" s="451" t="n">
        <v>44264</v>
      </c>
      <c r="E514" s="452" t="s">
        <v>9657</v>
      </c>
      <c r="F514" s="378" t="s">
        <v>207</v>
      </c>
      <c r="G514" s="452" t="s">
        <v>441</v>
      </c>
      <c r="H514" s="378" t="s">
        <v>471</v>
      </c>
      <c r="I514" s="451" t="n">
        <v>44792</v>
      </c>
      <c r="J514" s="452" t="n">
        <v>8</v>
      </c>
      <c r="K514" s="466" t="s">
        <v>48</v>
      </c>
      <c r="L514" s="455" t="s">
        <v>58</v>
      </c>
      <c r="M514" s="455" t="n">
        <f aca="false">I514-D514</f>
        <v>528</v>
      </c>
    </row>
    <row r="515" customFormat="false" ht="12.75" hidden="false" customHeight="true" outlineLevel="0" collapsed="false">
      <c r="A515" s="456" t="n">
        <v>23522</v>
      </c>
      <c r="B515" s="458" t="s">
        <v>9658</v>
      </c>
      <c r="C515" s="458" t="n">
        <v>2021</v>
      </c>
      <c r="D515" s="459" t="n">
        <v>44286</v>
      </c>
      <c r="E515" s="460" t="s">
        <v>9659</v>
      </c>
      <c r="F515" s="380" t="s">
        <v>1463</v>
      </c>
      <c r="G515" s="460" t="s">
        <v>441</v>
      </c>
      <c r="H515" s="380" t="s">
        <v>208</v>
      </c>
      <c r="I515" s="459" t="n">
        <v>44795</v>
      </c>
      <c r="J515" s="460" t="n">
        <v>8</v>
      </c>
      <c r="K515" s="466" t="s">
        <v>48</v>
      </c>
      <c r="L515" s="463" t="s">
        <v>58</v>
      </c>
      <c r="M515" s="463" t="n">
        <f aca="false">I515-D515</f>
        <v>509</v>
      </c>
    </row>
    <row r="516" customFormat="false" ht="12.75" hidden="false" customHeight="true" outlineLevel="0" collapsed="false">
      <c r="A516" s="449" t="n">
        <v>23622</v>
      </c>
      <c r="B516" s="450" t="s">
        <v>9660</v>
      </c>
      <c r="C516" s="450" t="n">
        <v>2021</v>
      </c>
      <c r="D516" s="451" t="n">
        <v>44558</v>
      </c>
      <c r="E516" s="452" t="s">
        <v>9661</v>
      </c>
      <c r="F516" s="378" t="s">
        <v>9662</v>
      </c>
      <c r="G516" s="452" t="s">
        <v>125</v>
      </c>
      <c r="H516" s="378" t="s">
        <v>9663</v>
      </c>
      <c r="I516" s="451" t="n">
        <v>44795</v>
      </c>
      <c r="J516" s="452" t="n">
        <v>8</v>
      </c>
      <c r="K516" s="542" t="s">
        <v>290</v>
      </c>
      <c r="L516" s="455" t="s">
        <v>61</v>
      </c>
      <c r="M516" s="455" t="n">
        <f aca="false">I516-D516</f>
        <v>237</v>
      </c>
    </row>
    <row r="517" customFormat="false" ht="12.75" hidden="false" customHeight="true" outlineLevel="0" collapsed="false">
      <c r="A517" s="456" t="n">
        <v>23722</v>
      </c>
      <c r="B517" s="458" t="s">
        <v>9664</v>
      </c>
      <c r="C517" s="458" t="n">
        <v>2021</v>
      </c>
      <c r="D517" s="459" t="n">
        <v>44284</v>
      </c>
      <c r="E517" s="460" t="s">
        <v>9665</v>
      </c>
      <c r="F517" s="380" t="s">
        <v>5585</v>
      </c>
      <c r="G517" s="460" t="s">
        <v>441</v>
      </c>
      <c r="H517" s="380" t="s">
        <v>208</v>
      </c>
      <c r="I517" s="459" t="n">
        <v>44795</v>
      </c>
      <c r="J517" s="460" t="n">
        <v>8</v>
      </c>
      <c r="K517" s="466" t="s">
        <v>49</v>
      </c>
      <c r="L517" s="463" t="s">
        <v>60</v>
      </c>
      <c r="M517" s="463" t="n">
        <f aca="false">I517-D517</f>
        <v>511</v>
      </c>
    </row>
    <row r="518" customFormat="false" ht="12.75" hidden="false" customHeight="true" outlineLevel="0" collapsed="false">
      <c r="A518" s="449" t="n">
        <v>23822</v>
      </c>
      <c r="B518" s="450" t="s">
        <v>9666</v>
      </c>
      <c r="C518" s="450" t="n">
        <v>2022</v>
      </c>
      <c r="D518" s="451" t="n">
        <v>44651</v>
      </c>
      <c r="E518" s="452" t="s">
        <v>9667</v>
      </c>
      <c r="F518" s="378" t="s">
        <v>9668</v>
      </c>
      <c r="G518" s="452" t="s">
        <v>130</v>
      </c>
      <c r="H518" s="378" t="s">
        <v>3915</v>
      </c>
      <c r="I518" s="451" t="n">
        <v>44797</v>
      </c>
      <c r="J518" s="452" t="n">
        <v>8</v>
      </c>
      <c r="K518" s="542" t="s">
        <v>290</v>
      </c>
      <c r="L518" s="455" t="s">
        <v>61</v>
      </c>
      <c r="M518" s="455" t="n">
        <f aca="false">I518-D518</f>
        <v>146</v>
      </c>
    </row>
    <row r="519" customFormat="false" ht="12.75" hidden="false" customHeight="true" outlineLevel="0" collapsed="false">
      <c r="A519" s="456" t="n">
        <v>23922</v>
      </c>
      <c r="B519" s="458" t="s">
        <v>9669</v>
      </c>
      <c r="C519" s="458" t="n">
        <v>2020</v>
      </c>
      <c r="D519" s="459" t="n">
        <v>43873</v>
      </c>
      <c r="E519" s="460" t="s">
        <v>9670</v>
      </c>
      <c r="F519" s="380" t="s">
        <v>138</v>
      </c>
      <c r="G519" s="460" t="s">
        <v>441</v>
      </c>
      <c r="H519" s="380" t="s">
        <v>1081</v>
      </c>
      <c r="I519" s="459" t="n">
        <v>44797</v>
      </c>
      <c r="J519" s="460" t="n">
        <v>8</v>
      </c>
      <c r="K519" s="466" t="s">
        <v>49</v>
      </c>
      <c r="L519" s="463" t="s">
        <v>61</v>
      </c>
      <c r="M519" s="463" t="n">
        <f aca="false">I519-D519</f>
        <v>924</v>
      </c>
    </row>
    <row r="520" customFormat="false" ht="12.75" hidden="false" customHeight="true" outlineLevel="0" collapsed="false">
      <c r="A520" s="449" t="n">
        <v>24022</v>
      </c>
      <c r="B520" s="450" t="s">
        <v>9671</v>
      </c>
      <c r="C520" s="450" t="n">
        <v>2022</v>
      </c>
      <c r="D520" s="451" t="n">
        <v>44706</v>
      </c>
      <c r="E520" s="452" t="s">
        <v>9672</v>
      </c>
      <c r="F520" s="378" t="s">
        <v>4189</v>
      </c>
      <c r="G520" s="452" t="s">
        <v>130</v>
      </c>
      <c r="H520" s="378" t="s">
        <v>9673</v>
      </c>
      <c r="I520" s="451" t="n">
        <v>44797</v>
      </c>
      <c r="J520" s="452" t="n">
        <v>8</v>
      </c>
      <c r="K520" s="466" t="s">
        <v>49</v>
      </c>
      <c r="L520" s="455" t="s">
        <v>61</v>
      </c>
      <c r="M520" s="455" t="n">
        <f aca="false">I520-D520</f>
        <v>91</v>
      </c>
    </row>
    <row r="521" customFormat="false" ht="12.75" hidden="false" customHeight="true" outlineLevel="0" collapsed="false">
      <c r="A521" s="456" t="n">
        <v>24122</v>
      </c>
      <c r="B521" s="458" t="s">
        <v>9674</v>
      </c>
      <c r="C521" s="458" t="n">
        <v>2017</v>
      </c>
      <c r="D521" s="459" t="n">
        <v>42895</v>
      </c>
      <c r="E521" s="460" t="s">
        <v>9675</v>
      </c>
      <c r="F521" s="380" t="s">
        <v>9676</v>
      </c>
      <c r="G521" s="460" t="s">
        <v>144</v>
      </c>
      <c r="H521" s="380" t="s">
        <v>119</v>
      </c>
      <c r="I521" s="459" t="n">
        <v>44797</v>
      </c>
      <c r="J521" s="460" t="n">
        <v>8</v>
      </c>
      <c r="K521" s="466" t="s">
        <v>48</v>
      </c>
      <c r="L521" s="463" t="s">
        <v>58</v>
      </c>
      <c r="M521" s="463" t="n">
        <f aca="false">I521-D521</f>
        <v>1902</v>
      </c>
    </row>
    <row r="522" customFormat="false" ht="12.75" hidden="false" customHeight="true" outlineLevel="0" collapsed="false">
      <c r="A522" s="449" t="n">
        <v>24222</v>
      </c>
      <c r="B522" s="450" t="s">
        <v>9677</v>
      </c>
      <c r="C522" s="450" t="n">
        <v>2021</v>
      </c>
      <c r="D522" s="451" t="n">
        <v>44544</v>
      </c>
      <c r="E522" s="452" t="s">
        <v>9678</v>
      </c>
      <c r="F522" s="378" t="s">
        <v>9679</v>
      </c>
      <c r="G522" s="452" t="s">
        <v>130</v>
      </c>
      <c r="H522" s="378" t="s">
        <v>9663</v>
      </c>
      <c r="I522" s="451" t="n">
        <v>44803</v>
      </c>
      <c r="J522" s="452" t="n">
        <v>8</v>
      </c>
      <c r="K522" s="542" t="s">
        <v>290</v>
      </c>
      <c r="L522" s="455" t="s">
        <v>61</v>
      </c>
      <c r="M522" s="455" t="n">
        <f aca="false">I522-D522</f>
        <v>259</v>
      </c>
    </row>
    <row r="523" customFormat="false" ht="12.75" hidden="false" customHeight="true" outlineLevel="0" collapsed="false">
      <c r="A523" s="456" t="n">
        <v>24322</v>
      </c>
      <c r="B523" s="458" t="s">
        <v>9680</v>
      </c>
      <c r="C523" s="458" t="n">
        <v>2019</v>
      </c>
      <c r="D523" s="459" t="n">
        <v>43615</v>
      </c>
      <c r="E523" s="460" t="s">
        <v>9681</v>
      </c>
      <c r="F523" s="380" t="s">
        <v>467</v>
      </c>
      <c r="G523" s="460" t="s">
        <v>441</v>
      </c>
      <c r="H523" s="380" t="s">
        <v>310</v>
      </c>
      <c r="I523" s="459" t="n">
        <v>44803</v>
      </c>
      <c r="J523" s="460" t="n">
        <v>8</v>
      </c>
      <c r="K523" s="466" t="s">
        <v>49</v>
      </c>
      <c r="L523" s="463" t="s">
        <v>60</v>
      </c>
      <c r="M523" s="463" t="n">
        <f aca="false">I523-D523</f>
        <v>1188</v>
      </c>
    </row>
    <row r="524" customFormat="false" ht="12.75" hidden="false" customHeight="true" outlineLevel="0" collapsed="false">
      <c r="A524" s="449" t="n">
        <v>24422</v>
      </c>
      <c r="B524" s="450" t="s">
        <v>9682</v>
      </c>
      <c r="C524" s="450" t="n">
        <v>2020</v>
      </c>
      <c r="D524" s="451" t="n">
        <v>43899</v>
      </c>
      <c r="E524" s="452" t="s">
        <v>9683</v>
      </c>
      <c r="F524" s="378" t="s">
        <v>3190</v>
      </c>
      <c r="G524" s="452" t="s">
        <v>441</v>
      </c>
      <c r="H524" s="378" t="s">
        <v>544</v>
      </c>
      <c r="I524" s="451" t="n">
        <v>44803</v>
      </c>
      <c r="J524" s="452" t="n">
        <v>8</v>
      </c>
      <c r="K524" s="466" t="s">
        <v>48</v>
      </c>
      <c r="L524" s="455" t="s">
        <v>60</v>
      </c>
      <c r="M524" s="455" t="n">
        <f aca="false">I524-D524</f>
        <v>904</v>
      </c>
    </row>
    <row r="525" customFormat="false" ht="12.75" hidden="false" customHeight="true" outlineLevel="0" collapsed="false">
      <c r="A525" s="456" t="n">
        <v>24522</v>
      </c>
      <c r="B525" s="458" t="s">
        <v>9684</v>
      </c>
      <c r="C525" s="458" t="n">
        <v>2019</v>
      </c>
      <c r="D525" s="459" t="n">
        <v>43577</v>
      </c>
      <c r="E525" s="460" t="s">
        <v>9685</v>
      </c>
      <c r="F525" s="380" t="s">
        <v>9686</v>
      </c>
      <c r="G525" s="460" t="s">
        <v>441</v>
      </c>
      <c r="H525" s="380" t="s">
        <v>544</v>
      </c>
      <c r="I525" s="459" t="n">
        <v>44804</v>
      </c>
      <c r="J525" s="460" t="n">
        <v>8</v>
      </c>
      <c r="K525" s="543" t="s">
        <v>46</v>
      </c>
      <c r="L525" s="463" t="s">
        <v>2848</v>
      </c>
      <c r="M525" s="463" t="n">
        <f aca="false">I525-D525</f>
        <v>1227</v>
      </c>
    </row>
    <row r="526" customFormat="false" ht="12.75" hidden="false" customHeight="true" outlineLevel="0" collapsed="false">
      <c r="A526" s="449" t="n">
        <v>24622</v>
      </c>
      <c r="B526" s="450" t="s">
        <v>9687</v>
      </c>
      <c r="C526" s="450" t="n">
        <v>2021</v>
      </c>
      <c r="D526" s="451" t="n">
        <v>44551</v>
      </c>
      <c r="E526" s="452" t="s">
        <v>9688</v>
      </c>
      <c r="F526" s="378" t="s">
        <v>9689</v>
      </c>
      <c r="G526" s="452" t="s">
        <v>130</v>
      </c>
      <c r="H526" s="378" t="s">
        <v>9690</v>
      </c>
      <c r="I526" s="451" t="n">
        <v>44804</v>
      </c>
      <c r="J526" s="452" t="n">
        <v>8</v>
      </c>
      <c r="K526" s="466" t="s">
        <v>49</v>
      </c>
      <c r="L526" s="455" t="s">
        <v>61</v>
      </c>
      <c r="M526" s="455" t="n">
        <f aca="false">I526-D526</f>
        <v>253</v>
      </c>
    </row>
    <row r="527" customFormat="false" ht="12.75" hidden="false" customHeight="true" outlineLevel="0" collapsed="false">
      <c r="A527" s="456" t="n">
        <v>24722</v>
      </c>
      <c r="B527" s="458" t="s">
        <v>9691</v>
      </c>
      <c r="C527" s="458" t="n">
        <v>2022</v>
      </c>
      <c r="D527" s="459" t="n">
        <v>44669</v>
      </c>
      <c r="E527" s="460" t="s">
        <v>9692</v>
      </c>
      <c r="F527" s="380" t="s">
        <v>9321</v>
      </c>
      <c r="G527" s="460" t="s">
        <v>130</v>
      </c>
      <c r="H527" s="380" t="s">
        <v>9693</v>
      </c>
      <c r="I527" s="459" t="n">
        <v>44805</v>
      </c>
      <c r="J527" s="460" t="n">
        <v>9</v>
      </c>
      <c r="K527" s="542" t="s">
        <v>290</v>
      </c>
      <c r="L527" s="463" t="s">
        <v>61</v>
      </c>
      <c r="M527" s="463" t="n">
        <f aca="false">I527-D527</f>
        <v>136</v>
      </c>
    </row>
    <row r="528" customFormat="false" ht="12.75" hidden="false" customHeight="true" outlineLevel="0" collapsed="false">
      <c r="A528" s="449" t="n">
        <v>24822</v>
      </c>
      <c r="B528" s="450" t="s">
        <v>9694</v>
      </c>
      <c r="C528" s="450" t="n">
        <v>2017</v>
      </c>
      <c r="D528" s="451" t="n">
        <v>43063</v>
      </c>
      <c r="E528" s="452" t="s">
        <v>9695</v>
      </c>
      <c r="F528" s="378" t="s">
        <v>168</v>
      </c>
      <c r="G528" s="452" t="s">
        <v>441</v>
      </c>
      <c r="H528" s="378" t="s">
        <v>2873</v>
      </c>
      <c r="I528" s="451" t="n">
        <v>44805</v>
      </c>
      <c r="J528" s="452" t="n">
        <v>9</v>
      </c>
      <c r="K528" s="466" t="s">
        <v>48</v>
      </c>
      <c r="L528" s="455" t="s">
        <v>58</v>
      </c>
      <c r="M528" s="455" t="n">
        <f aca="false">I528-D528</f>
        <v>1742</v>
      </c>
    </row>
    <row r="529" customFormat="false" ht="12.75" hidden="false" customHeight="true" outlineLevel="0" collapsed="false">
      <c r="A529" s="456" t="n">
        <v>24922</v>
      </c>
      <c r="B529" s="458" t="s">
        <v>9696</v>
      </c>
      <c r="C529" s="458" t="n">
        <v>2016</v>
      </c>
      <c r="D529" s="459" t="n">
        <v>42628</v>
      </c>
      <c r="E529" s="460" t="s">
        <v>9697</v>
      </c>
      <c r="F529" s="380" t="s">
        <v>217</v>
      </c>
      <c r="G529" s="460" t="s">
        <v>441</v>
      </c>
      <c r="H529" s="380" t="s">
        <v>3339</v>
      </c>
      <c r="I529" s="459" t="n">
        <v>44817</v>
      </c>
      <c r="J529" s="460" t="n">
        <v>9</v>
      </c>
      <c r="K529" s="466" t="s">
        <v>48</v>
      </c>
      <c r="L529" s="463" t="s">
        <v>58</v>
      </c>
      <c r="M529" s="463" t="n">
        <f aca="false">I529-D529</f>
        <v>2189</v>
      </c>
    </row>
    <row r="530" customFormat="false" ht="12.75" hidden="false" customHeight="true" outlineLevel="0" collapsed="false">
      <c r="A530" s="449" t="n">
        <v>25022</v>
      </c>
      <c r="B530" s="450" t="s">
        <v>9698</v>
      </c>
      <c r="C530" s="450" t="n">
        <v>2021</v>
      </c>
      <c r="D530" s="451" t="n">
        <v>44518</v>
      </c>
      <c r="E530" s="452" t="s">
        <v>9699</v>
      </c>
      <c r="F530" s="378" t="s">
        <v>9700</v>
      </c>
      <c r="G530" s="452" t="s">
        <v>125</v>
      </c>
      <c r="H530" s="378" t="s">
        <v>149</v>
      </c>
      <c r="I530" s="451" t="n">
        <v>44817</v>
      </c>
      <c r="J530" s="452" t="n">
        <v>9</v>
      </c>
      <c r="K530" s="466" t="s">
        <v>49</v>
      </c>
      <c r="L530" s="455" t="s">
        <v>61</v>
      </c>
      <c r="M530" s="455" t="n">
        <f aca="false">I530-D530</f>
        <v>299</v>
      </c>
    </row>
    <row r="531" customFormat="false" ht="12.75" hidden="false" customHeight="true" outlineLevel="0" collapsed="false">
      <c r="A531" s="456" t="n">
        <v>25122</v>
      </c>
      <c r="B531" s="458" t="s">
        <v>9701</v>
      </c>
      <c r="C531" s="458" t="n">
        <v>2016</v>
      </c>
      <c r="D531" s="459" t="n">
        <v>42492</v>
      </c>
      <c r="E531" s="460" t="s">
        <v>9702</v>
      </c>
      <c r="F531" s="380" t="s">
        <v>2003</v>
      </c>
      <c r="G531" s="460" t="s">
        <v>441</v>
      </c>
      <c r="H531" s="380" t="s">
        <v>354</v>
      </c>
      <c r="I531" s="459" t="n">
        <v>44817</v>
      </c>
      <c r="J531" s="460" t="n">
        <v>9</v>
      </c>
      <c r="K531" s="466" t="s">
        <v>48</v>
      </c>
      <c r="L531" s="463" t="s">
        <v>60</v>
      </c>
      <c r="M531" s="463" t="n">
        <f aca="false">I531-D531</f>
        <v>2325</v>
      </c>
    </row>
    <row r="532" customFormat="false" ht="12.75" hidden="false" customHeight="true" outlineLevel="0" collapsed="false">
      <c r="A532" s="449" t="n">
        <v>25222</v>
      </c>
      <c r="B532" s="450" t="s">
        <v>9703</v>
      </c>
      <c r="C532" s="450" t="n">
        <v>2021</v>
      </c>
      <c r="D532" s="451" t="n">
        <v>44426</v>
      </c>
      <c r="E532" s="452" t="s">
        <v>9704</v>
      </c>
      <c r="F532" s="378" t="s">
        <v>9105</v>
      </c>
      <c r="G532" s="452" t="s">
        <v>130</v>
      </c>
      <c r="H532" s="378" t="s">
        <v>7469</v>
      </c>
      <c r="I532" s="451" t="n">
        <v>44817</v>
      </c>
      <c r="J532" s="452" t="n">
        <v>9</v>
      </c>
      <c r="K532" s="542" t="s">
        <v>290</v>
      </c>
      <c r="L532" s="455" t="s">
        <v>61</v>
      </c>
      <c r="M532" s="455" t="n">
        <f aca="false">I532-D532</f>
        <v>391</v>
      </c>
    </row>
    <row r="533" customFormat="false" ht="12.75" hidden="false" customHeight="true" outlineLevel="0" collapsed="false">
      <c r="A533" s="456" t="n">
        <v>25322</v>
      </c>
      <c r="B533" s="458" t="s">
        <v>9705</v>
      </c>
      <c r="C533" s="458" t="n">
        <v>2016</v>
      </c>
      <c r="D533" s="459" t="n">
        <v>42394</v>
      </c>
      <c r="E533" s="460" t="s">
        <v>9706</v>
      </c>
      <c r="F533" s="380" t="s">
        <v>9707</v>
      </c>
      <c r="G533" s="460" t="s">
        <v>441</v>
      </c>
      <c r="H533" s="380" t="s">
        <v>223</v>
      </c>
      <c r="I533" s="459" t="n">
        <v>44817</v>
      </c>
      <c r="J533" s="460" t="n">
        <v>9</v>
      </c>
      <c r="K533" s="466" t="s">
        <v>49</v>
      </c>
      <c r="L533" s="463" t="s">
        <v>60</v>
      </c>
      <c r="M533" s="463" t="n">
        <f aca="false">I533-D533</f>
        <v>2423</v>
      </c>
    </row>
    <row r="534" customFormat="false" ht="12.75" hidden="false" customHeight="true" outlineLevel="0" collapsed="false">
      <c r="A534" s="449" t="n">
        <v>25422</v>
      </c>
      <c r="B534" s="450" t="s">
        <v>9708</v>
      </c>
      <c r="C534" s="450" t="n">
        <v>2021</v>
      </c>
      <c r="D534" s="451" t="n">
        <v>44497</v>
      </c>
      <c r="E534" s="452" t="s">
        <v>9709</v>
      </c>
      <c r="F534" s="378" t="s">
        <v>9710</v>
      </c>
      <c r="G534" s="452" t="s">
        <v>125</v>
      </c>
      <c r="H534" s="378" t="s">
        <v>5376</v>
      </c>
      <c r="I534" s="451" t="n">
        <v>44817</v>
      </c>
      <c r="J534" s="452" t="n">
        <v>9</v>
      </c>
      <c r="K534" s="466" t="s">
        <v>49</v>
      </c>
      <c r="L534" s="455" t="s">
        <v>61</v>
      </c>
      <c r="M534" s="455" t="n">
        <f aca="false">I534-D534</f>
        <v>320</v>
      </c>
    </row>
    <row r="535" customFormat="false" ht="12.75" hidden="false" customHeight="true" outlineLevel="0" collapsed="false">
      <c r="A535" s="456" t="n">
        <v>25522</v>
      </c>
      <c r="B535" s="458" t="s">
        <v>9711</v>
      </c>
      <c r="C535" s="458" t="n">
        <v>2021</v>
      </c>
      <c r="D535" s="459" t="n">
        <v>44519</v>
      </c>
      <c r="E535" s="460" t="s">
        <v>9712</v>
      </c>
      <c r="F535" s="380" t="s">
        <v>9710</v>
      </c>
      <c r="G535" s="460" t="s">
        <v>125</v>
      </c>
      <c r="H535" s="380" t="s">
        <v>5376</v>
      </c>
      <c r="I535" s="459" t="n">
        <v>44817</v>
      </c>
      <c r="J535" s="460" t="n">
        <v>9</v>
      </c>
      <c r="K535" s="466" t="s">
        <v>49</v>
      </c>
      <c r="L535" s="463" t="s">
        <v>61</v>
      </c>
      <c r="M535" s="463" t="n">
        <f aca="false">I535-D535</f>
        <v>298</v>
      </c>
    </row>
    <row r="536" customFormat="false" ht="12.75" hidden="false" customHeight="true" outlineLevel="0" collapsed="false">
      <c r="A536" s="449" t="n">
        <v>25622</v>
      </c>
      <c r="B536" s="450" t="s">
        <v>9713</v>
      </c>
      <c r="C536" s="450" t="n">
        <v>2013</v>
      </c>
      <c r="D536" s="451" t="n">
        <v>41409</v>
      </c>
      <c r="E536" s="452" t="s">
        <v>9714</v>
      </c>
      <c r="F536" s="378" t="s">
        <v>401</v>
      </c>
      <c r="G536" s="452" t="s">
        <v>441</v>
      </c>
      <c r="H536" s="378" t="s">
        <v>1567</v>
      </c>
      <c r="I536" s="451" t="n">
        <v>44823</v>
      </c>
      <c r="J536" s="452" t="n">
        <v>9</v>
      </c>
      <c r="K536" s="466" t="s">
        <v>49</v>
      </c>
      <c r="L536" s="455" t="s">
        <v>58</v>
      </c>
      <c r="M536" s="455" t="n">
        <f aca="false">I536-D536</f>
        <v>3414</v>
      </c>
    </row>
    <row r="537" customFormat="false" ht="12.75" hidden="false" customHeight="true" outlineLevel="0" collapsed="false">
      <c r="A537" s="456" t="n">
        <v>25722</v>
      </c>
      <c r="B537" s="458" t="s">
        <v>9715</v>
      </c>
      <c r="C537" s="458" t="n">
        <v>2021</v>
      </c>
      <c r="D537" s="459" t="n">
        <v>44529</v>
      </c>
      <c r="E537" s="460" t="s">
        <v>9716</v>
      </c>
      <c r="F537" s="380" t="s">
        <v>9717</v>
      </c>
      <c r="G537" s="460" t="s">
        <v>125</v>
      </c>
      <c r="H537" s="380" t="s">
        <v>5376</v>
      </c>
      <c r="I537" s="459" t="n">
        <v>44823</v>
      </c>
      <c r="J537" s="460" t="n">
        <v>9</v>
      </c>
      <c r="K537" s="466" t="s">
        <v>49</v>
      </c>
      <c r="L537" s="463" t="s">
        <v>61</v>
      </c>
      <c r="M537" s="463" t="n">
        <f aca="false">I537-D537</f>
        <v>294</v>
      </c>
    </row>
    <row r="538" customFormat="false" ht="12.75" hidden="false" customHeight="true" outlineLevel="0" collapsed="false">
      <c r="A538" s="449" t="n">
        <v>25822</v>
      </c>
      <c r="B538" s="450" t="s">
        <v>9718</v>
      </c>
      <c r="C538" s="450" t="n">
        <v>2016</v>
      </c>
      <c r="D538" s="451" t="n">
        <v>42437</v>
      </c>
      <c r="E538" s="452" t="s">
        <v>9719</v>
      </c>
      <c r="F538" s="378" t="s">
        <v>9720</v>
      </c>
      <c r="G538" s="452" t="s">
        <v>441</v>
      </c>
      <c r="H538" s="378" t="s">
        <v>2654</v>
      </c>
      <c r="I538" s="451" t="n">
        <v>44823</v>
      </c>
      <c r="J538" s="452" t="n">
        <v>9</v>
      </c>
      <c r="K538" s="466" t="s">
        <v>49</v>
      </c>
      <c r="L538" s="455" t="s">
        <v>60</v>
      </c>
      <c r="M538" s="455" t="n">
        <f aca="false">I538-D538</f>
        <v>2386</v>
      </c>
    </row>
    <row r="539" customFormat="false" ht="12.75" hidden="false" customHeight="true" outlineLevel="0" collapsed="false">
      <c r="A539" s="456" t="n">
        <v>25922</v>
      </c>
      <c r="B539" s="458" t="s">
        <v>9721</v>
      </c>
      <c r="C539" s="458" t="n">
        <v>2020</v>
      </c>
      <c r="D539" s="459" t="n">
        <v>44152</v>
      </c>
      <c r="E539" s="460" t="s">
        <v>9722</v>
      </c>
      <c r="F539" s="380" t="s">
        <v>9723</v>
      </c>
      <c r="G539" s="460" t="s">
        <v>441</v>
      </c>
      <c r="H539" s="380" t="s">
        <v>243</v>
      </c>
      <c r="I539" s="459" t="n">
        <v>44824</v>
      </c>
      <c r="J539" s="460" t="n">
        <v>9</v>
      </c>
      <c r="K539" s="466" t="s">
        <v>48</v>
      </c>
      <c r="L539" s="463" t="s">
        <v>60</v>
      </c>
      <c r="M539" s="463" t="n">
        <f aca="false">I539-D539</f>
        <v>672</v>
      </c>
    </row>
    <row r="540" customFormat="false" ht="12.75" hidden="false" customHeight="true" outlineLevel="0" collapsed="false">
      <c r="A540" s="449" t="n">
        <v>26022</v>
      </c>
      <c r="B540" s="450" t="s">
        <v>9724</v>
      </c>
      <c r="C540" s="450" t="n">
        <v>2021</v>
      </c>
      <c r="D540" s="451" t="n">
        <v>44438</v>
      </c>
      <c r="E540" s="452" t="s">
        <v>9725</v>
      </c>
      <c r="F540" s="378" t="s">
        <v>428</v>
      </c>
      <c r="G540" s="452" t="s">
        <v>130</v>
      </c>
      <c r="H540" s="378" t="s">
        <v>1042</v>
      </c>
      <c r="I540" s="451" t="n">
        <v>44830</v>
      </c>
      <c r="J540" s="452" t="n">
        <v>9</v>
      </c>
      <c r="K540" s="466" t="s">
        <v>49</v>
      </c>
      <c r="L540" s="455" t="s">
        <v>61</v>
      </c>
      <c r="M540" s="455" t="n">
        <f aca="false">I540-D540</f>
        <v>392</v>
      </c>
    </row>
    <row r="541" customFormat="false" ht="12.75" hidden="false" customHeight="true" outlineLevel="0" collapsed="false">
      <c r="A541" s="456" t="n">
        <v>26122</v>
      </c>
      <c r="B541" s="458" t="s">
        <v>9726</v>
      </c>
      <c r="C541" s="458" t="n">
        <v>2018</v>
      </c>
      <c r="D541" s="459" t="n">
        <v>43279</v>
      </c>
      <c r="E541" s="460" t="s">
        <v>9727</v>
      </c>
      <c r="F541" s="380" t="s">
        <v>459</v>
      </c>
      <c r="G541" s="460" t="s">
        <v>441</v>
      </c>
      <c r="H541" s="380" t="s">
        <v>192</v>
      </c>
      <c r="I541" s="459" t="n">
        <v>44830</v>
      </c>
      <c r="J541" s="460" t="n">
        <v>9</v>
      </c>
      <c r="K541" s="535" t="s">
        <v>44</v>
      </c>
      <c r="L541" s="463" t="s">
        <v>60</v>
      </c>
      <c r="M541" s="463" t="n">
        <f aca="false">I541-D541</f>
        <v>1551</v>
      </c>
    </row>
    <row r="542" customFormat="false" ht="12.75" hidden="false" customHeight="true" outlineLevel="0" collapsed="false">
      <c r="A542" s="449" t="n">
        <v>26222</v>
      </c>
      <c r="B542" s="450" t="s">
        <v>9728</v>
      </c>
      <c r="C542" s="450" t="n">
        <v>2021</v>
      </c>
      <c r="D542" s="451" t="n">
        <v>44284</v>
      </c>
      <c r="E542" s="452" t="s">
        <v>9729</v>
      </c>
      <c r="F542" s="378" t="s">
        <v>459</v>
      </c>
      <c r="G542" s="452" t="s">
        <v>441</v>
      </c>
      <c r="H542" s="378" t="s">
        <v>544</v>
      </c>
      <c r="I542" s="451" t="n">
        <v>44830</v>
      </c>
      <c r="J542" s="452" t="n">
        <v>9</v>
      </c>
      <c r="K542" s="535" t="s">
        <v>44</v>
      </c>
      <c r="L542" s="455" t="s">
        <v>60</v>
      </c>
      <c r="M542" s="455" t="n">
        <f aca="false">I542-D542</f>
        <v>546</v>
      </c>
    </row>
    <row r="543" customFormat="false" ht="12.75" hidden="false" customHeight="true" outlineLevel="0" collapsed="false">
      <c r="A543" s="456" t="n">
        <v>26322</v>
      </c>
      <c r="B543" s="458" t="s">
        <v>9730</v>
      </c>
      <c r="C543" s="458" t="n">
        <v>2016</v>
      </c>
      <c r="D543" s="459" t="n">
        <v>42580</v>
      </c>
      <c r="E543" s="460" t="s">
        <v>9731</v>
      </c>
      <c r="F543" s="380" t="s">
        <v>1277</v>
      </c>
      <c r="G543" s="460" t="s">
        <v>441</v>
      </c>
      <c r="H543" s="380" t="s">
        <v>9732</v>
      </c>
      <c r="I543" s="459" t="n">
        <v>44831</v>
      </c>
      <c r="J543" s="460" t="n">
        <v>9</v>
      </c>
      <c r="K543" s="543" t="s">
        <v>46</v>
      </c>
      <c r="L543" s="463" t="s">
        <v>58</v>
      </c>
      <c r="M543" s="463" t="n">
        <f aca="false">I543-D543</f>
        <v>2251</v>
      </c>
    </row>
    <row r="544" customFormat="false" ht="12.75" hidden="false" customHeight="true" outlineLevel="0" collapsed="false">
      <c r="A544" s="449" t="n">
        <v>26422</v>
      </c>
      <c r="B544" s="450" t="s">
        <v>9733</v>
      </c>
      <c r="C544" s="450" t="n">
        <v>2021</v>
      </c>
      <c r="D544" s="451" t="n">
        <v>44215</v>
      </c>
      <c r="E544" s="452" t="s">
        <v>9734</v>
      </c>
      <c r="F544" s="378" t="s">
        <v>9735</v>
      </c>
      <c r="G544" s="452" t="s">
        <v>125</v>
      </c>
      <c r="H544" s="378" t="s">
        <v>3472</v>
      </c>
      <c r="I544" s="451" t="n">
        <v>44831</v>
      </c>
      <c r="J544" s="452" t="n">
        <v>9</v>
      </c>
      <c r="K544" s="466" t="s">
        <v>49</v>
      </c>
      <c r="L544" s="455" t="s">
        <v>61</v>
      </c>
      <c r="M544" s="455" t="n">
        <f aca="false">I544-D544</f>
        <v>616</v>
      </c>
    </row>
    <row r="545" customFormat="false" ht="12.75" hidden="false" customHeight="true" outlineLevel="0" collapsed="false">
      <c r="A545" s="456" t="n">
        <v>26522</v>
      </c>
      <c r="B545" s="458" t="s">
        <v>9736</v>
      </c>
      <c r="C545" s="458" t="n">
        <v>2020</v>
      </c>
      <c r="D545" s="459" t="n">
        <v>44188</v>
      </c>
      <c r="E545" s="460" t="s">
        <v>9737</v>
      </c>
      <c r="F545" s="380" t="s">
        <v>9735</v>
      </c>
      <c r="G545" s="460" t="s">
        <v>125</v>
      </c>
      <c r="H545" s="380" t="s">
        <v>3472</v>
      </c>
      <c r="I545" s="459" t="n">
        <v>44831</v>
      </c>
      <c r="J545" s="460" t="n">
        <v>9</v>
      </c>
      <c r="K545" s="466" t="s">
        <v>49</v>
      </c>
      <c r="L545" s="463" t="s">
        <v>61</v>
      </c>
      <c r="M545" s="463" t="n">
        <f aca="false">I545-D545</f>
        <v>643</v>
      </c>
    </row>
    <row r="546" customFormat="false" ht="12.75" hidden="false" customHeight="true" outlineLevel="0" collapsed="false">
      <c r="A546" s="449" t="n">
        <v>26622</v>
      </c>
      <c r="B546" s="450" t="s">
        <v>9738</v>
      </c>
      <c r="C546" s="450" t="n">
        <v>2015</v>
      </c>
      <c r="D546" s="451" t="n">
        <v>42349</v>
      </c>
      <c r="E546" s="452" t="s">
        <v>9739</v>
      </c>
      <c r="F546" s="378" t="s">
        <v>217</v>
      </c>
      <c r="G546" s="452" t="s">
        <v>441</v>
      </c>
      <c r="H546" s="378" t="s">
        <v>706</v>
      </c>
      <c r="I546" s="451" t="n">
        <v>44837</v>
      </c>
      <c r="J546" s="452" t="n">
        <v>10</v>
      </c>
      <c r="K546" s="466" t="s">
        <v>48</v>
      </c>
      <c r="L546" s="455" t="s">
        <v>58</v>
      </c>
      <c r="M546" s="455" t="n">
        <f aca="false">I546-D546</f>
        <v>2488</v>
      </c>
    </row>
    <row r="547" customFormat="false" ht="12.75" hidden="false" customHeight="true" outlineLevel="0" collapsed="false">
      <c r="A547" s="456" t="n">
        <v>26722</v>
      </c>
      <c r="B547" s="458" t="s">
        <v>9740</v>
      </c>
      <c r="C547" s="458" t="n">
        <v>2013</v>
      </c>
      <c r="D547" s="459" t="n">
        <v>41530</v>
      </c>
      <c r="E547" s="460" t="s">
        <v>9741</v>
      </c>
      <c r="F547" s="380" t="s">
        <v>816</v>
      </c>
      <c r="G547" s="460" t="s">
        <v>441</v>
      </c>
      <c r="H547" s="380" t="s">
        <v>208</v>
      </c>
      <c r="I547" s="459" t="n">
        <v>44837</v>
      </c>
      <c r="J547" s="460" t="n">
        <v>10</v>
      </c>
      <c r="K547" s="466" t="s">
        <v>49</v>
      </c>
      <c r="L547" s="463" t="s">
        <v>60</v>
      </c>
      <c r="M547" s="463" t="n">
        <f aca="false">I547-D547</f>
        <v>3307</v>
      </c>
    </row>
    <row r="548" customFormat="false" ht="12.75" hidden="false" customHeight="true" outlineLevel="0" collapsed="false">
      <c r="A548" s="449" t="n">
        <v>26822</v>
      </c>
      <c r="B548" s="450" t="s">
        <v>9742</v>
      </c>
      <c r="C548" s="450" t="n">
        <v>2017</v>
      </c>
      <c r="D548" s="451" t="n">
        <v>43005</v>
      </c>
      <c r="E548" s="452" t="s">
        <v>9743</v>
      </c>
      <c r="F548" s="378" t="s">
        <v>207</v>
      </c>
      <c r="G548" s="452" t="s">
        <v>144</v>
      </c>
      <c r="H548" s="378" t="s">
        <v>4657</v>
      </c>
      <c r="I548" s="451" t="n">
        <v>44840</v>
      </c>
      <c r="J548" s="452" t="n">
        <v>10</v>
      </c>
      <c r="K548" s="466" t="s">
        <v>49</v>
      </c>
      <c r="L548" s="455" t="s">
        <v>58</v>
      </c>
      <c r="M548" s="455" t="n">
        <f aca="false">I548-D548</f>
        <v>1835</v>
      </c>
    </row>
    <row r="549" customFormat="false" ht="12.75" hidden="false" customHeight="true" outlineLevel="0" collapsed="false">
      <c r="A549" s="456" t="n">
        <v>26922</v>
      </c>
      <c r="B549" s="458" t="s">
        <v>9744</v>
      </c>
      <c r="C549" s="458" t="n">
        <v>2021</v>
      </c>
      <c r="D549" s="459" t="n">
        <v>44526</v>
      </c>
      <c r="E549" s="460" t="s">
        <v>9745</v>
      </c>
      <c r="F549" s="380" t="s">
        <v>9746</v>
      </c>
      <c r="G549" s="460" t="s">
        <v>130</v>
      </c>
      <c r="H549" s="380" t="s">
        <v>4136</v>
      </c>
      <c r="I549" s="459" t="n">
        <v>44840</v>
      </c>
      <c r="J549" s="460" t="n">
        <v>10</v>
      </c>
      <c r="K549" s="466" t="s">
        <v>49</v>
      </c>
      <c r="L549" s="463" t="s">
        <v>61</v>
      </c>
      <c r="M549" s="463" t="n">
        <f aca="false">I549-D549</f>
        <v>314</v>
      </c>
    </row>
    <row r="550" customFormat="false" ht="12.75" hidden="false" customHeight="true" outlineLevel="0" collapsed="false">
      <c r="A550" s="449" t="n">
        <v>27022</v>
      </c>
      <c r="B550" s="450" t="s">
        <v>9747</v>
      </c>
      <c r="C550" s="450" t="n">
        <v>2014</v>
      </c>
      <c r="D550" s="451" t="n">
        <v>41815</v>
      </c>
      <c r="E550" s="452" t="s">
        <v>9748</v>
      </c>
      <c r="F550" s="378" t="s">
        <v>207</v>
      </c>
      <c r="G550" s="452" t="s">
        <v>441</v>
      </c>
      <c r="H550" s="378" t="s">
        <v>1501</v>
      </c>
      <c r="I550" s="451" t="n">
        <v>44840</v>
      </c>
      <c r="J550" s="452" t="n">
        <v>10</v>
      </c>
      <c r="K550" s="466" t="s">
        <v>49</v>
      </c>
      <c r="L550" s="455" t="s">
        <v>58</v>
      </c>
      <c r="M550" s="455" t="n">
        <f aca="false">I550-D550</f>
        <v>3025</v>
      </c>
    </row>
    <row r="551" customFormat="false" ht="12.75" hidden="false" customHeight="true" outlineLevel="0" collapsed="false">
      <c r="A551" s="456" t="n">
        <v>27122</v>
      </c>
      <c r="B551" s="458" t="s">
        <v>9749</v>
      </c>
      <c r="C551" s="458" t="n">
        <v>2021</v>
      </c>
      <c r="D551" s="459" t="n">
        <v>44434</v>
      </c>
      <c r="E551" s="460" t="s">
        <v>9750</v>
      </c>
      <c r="F551" s="380" t="s">
        <v>9751</v>
      </c>
      <c r="G551" s="460" t="s">
        <v>125</v>
      </c>
      <c r="H551" s="380" t="s">
        <v>3893</v>
      </c>
      <c r="I551" s="459" t="n">
        <v>44855</v>
      </c>
      <c r="J551" s="460" t="n">
        <v>10</v>
      </c>
      <c r="K551" s="542" t="s">
        <v>290</v>
      </c>
      <c r="L551" s="463" t="s">
        <v>61</v>
      </c>
      <c r="M551" s="463" t="n">
        <f aca="false">I551-D551</f>
        <v>421</v>
      </c>
    </row>
    <row r="552" customFormat="false" ht="12.75" hidden="false" customHeight="true" outlineLevel="0" collapsed="false">
      <c r="A552" s="449" t="n">
        <v>27222</v>
      </c>
      <c r="B552" s="450" t="s">
        <v>9752</v>
      </c>
      <c r="C552" s="450" t="n">
        <v>2017</v>
      </c>
      <c r="D552" s="451" t="n">
        <v>42915</v>
      </c>
      <c r="E552" s="452" t="s">
        <v>9753</v>
      </c>
      <c r="F552" s="378" t="s">
        <v>9754</v>
      </c>
      <c r="G552" s="452" t="s">
        <v>115</v>
      </c>
      <c r="H552" s="378" t="s">
        <v>1791</v>
      </c>
      <c r="I552" s="451" t="n">
        <v>44855</v>
      </c>
      <c r="J552" s="452" t="n">
        <v>10</v>
      </c>
      <c r="K552" s="466" t="s">
        <v>48</v>
      </c>
      <c r="L552" s="455" t="s">
        <v>58</v>
      </c>
      <c r="M552" s="455" t="n">
        <f aca="false">I552-D552</f>
        <v>1940</v>
      </c>
    </row>
    <row r="553" customFormat="false" ht="12.75" hidden="false" customHeight="true" outlineLevel="0" collapsed="false">
      <c r="A553" s="456" t="n">
        <v>27322</v>
      </c>
      <c r="B553" s="458" t="s">
        <v>9755</v>
      </c>
      <c r="C553" s="458" t="n">
        <v>2014</v>
      </c>
      <c r="D553" s="459" t="n">
        <v>41964</v>
      </c>
      <c r="E553" s="460" t="s">
        <v>9756</v>
      </c>
      <c r="F553" s="380" t="s">
        <v>9757</v>
      </c>
      <c r="G553" s="460" t="s">
        <v>441</v>
      </c>
      <c r="H553" s="380" t="s">
        <v>9758</v>
      </c>
      <c r="I553" s="459" t="n">
        <v>44855</v>
      </c>
      <c r="J553" s="460" t="n">
        <v>10</v>
      </c>
      <c r="K553" s="466" t="s">
        <v>49</v>
      </c>
      <c r="L553" s="463" t="s">
        <v>60</v>
      </c>
      <c r="M553" s="463" t="n">
        <f aca="false">I553-D553</f>
        <v>2891</v>
      </c>
    </row>
    <row r="554" customFormat="false" ht="12.75" hidden="false" customHeight="true" outlineLevel="0" collapsed="false">
      <c r="A554" s="449" t="n">
        <v>27422</v>
      </c>
      <c r="B554" s="450" t="s">
        <v>9759</v>
      </c>
      <c r="C554" s="450" t="n">
        <v>2021</v>
      </c>
      <c r="D554" s="451" t="n">
        <v>44348</v>
      </c>
      <c r="E554" s="452" t="s">
        <v>9760</v>
      </c>
      <c r="F554" s="378" t="s">
        <v>9761</v>
      </c>
      <c r="G554" s="452" t="s">
        <v>441</v>
      </c>
      <c r="H554" s="378" t="s">
        <v>9004</v>
      </c>
      <c r="I554" s="451" t="n">
        <v>44860</v>
      </c>
      <c r="J554" s="452" t="n">
        <v>10</v>
      </c>
      <c r="K554" s="466" t="s">
        <v>48</v>
      </c>
      <c r="L554" s="455" t="s">
        <v>58</v>
      </c>
      <c r="M554" s="455" t="n">
        <f aca="false">I554-D554</f>
        <v>512</v>
      </c>
    </row>
    <row r="555" customFormat="false" ht="12.75" hidden="false" customHeight="true" outlineLevel="0" collapsed="false">
      <c r="A555" s="456" t="n">
        <v>27522</v>
      </c>
      <c r="B555" s="458" t="s">
        <v>9762</v>
      </c>
      <c r="C555" s="458" t="n">
        <v>2014</v>
      </c>
      <c r="D555" s="459" t="n">
        <v>41821</v>
      </c>
      <c r="E555" s="460" t="s">
        <v>9763</v>
      </c>
      <c r="F555" s="380" t="s">
        <v>9764</v>
      </c>
      <c r="G555" s="460" t="s">
        <v>441</v>
      </c>
      <c r="H555" s="380" t="s">
        <v>2677</v>
      </c>
      <c r="I555" s="459" t="n">
        <v>44860</v>
      </c>
      <c r="J555" s="460" t="n">
        <v>10</v>
      </c>
      <c r="K555" s="466" t="s">
        <v>49</v>
      </c>
      <c r="L555" s="463" t="s">
        <v>60</v>
      </c>
      <c r="M555" s="463" t="n">
        <f aca="false">I555-D555</f>
        <v>3039</v>
      </c>
    </row>
    <row r="556" customFormat="false" ht="12.75" hidden="false" customHeight="true" outlineLevel="0" collapsed="false">
      <c r="A556" s="449" t="n">
        <v>27622</v>
      </c>
      <c r="B556" s="450" t="s">
        <v>9765</v>
      </c>
      <c r="C556" s="450" t="n">
        <v>2019</v>
      </c>
      <c r="D556" s="451" t="n">
        <v>43725</v>
      </c>
      <c r="E556" s="452" t="s">
        <v>9766</v>
      </c>
      <c r="F556" s="378" t="s">
        <v>9767</v>
      </c>
      <c r="G556" s="452" t="s">
        <v>441</v>
      </c>
      <c r="H556" s="378" t="s">
        <v>9768</v>
      </c>
      <c r="I556" s="451" t="n">
        <v>44866</v>
      </c>
      <c r="J556" s="452" t="n">
        <v>11</v>
      </c>
      <c r="K556" s="466" t="s">
        <v>49</v>
      </c>
      <c r="L556" s="455" t="s">
        <v>58</v>
      </c>
      <c r="M556" s="455" t="n">
        <f aca="false">I556-D556</f>
        <v>1141</v>
      </c>
    </row>
    <row r="557" customFormat="false" ht="12.75" hidden="false" customHeight="true" outlineLevel="0" collapsed="false">
      <c r="A557" s="456" t="n">
        <v>27722</v>
      </c>
      <c r="B557" s="458" t="s">
        <v>9769</v>
      </c>
      <c r="C557" s="458" t="n">
        <v>2010</v>
      </c>
      <c r="D557" s="459" t="n">
        <v>40361</v>
      </c>
      <c r="E557" s="460" t="s">
        <v>9770</v>
      </c>
      <c r="F557" s="380" t="s">
        <v>7739</v>
      </c>
      <c r="G557" s="460" t="s">
        <v>441</v>
      </c>
      <c r="H557" s="380" t="s">
        <v>6297</v>
      </c>
      <c r="I557" s="459" t="n">
        <v>44866</v>
      </c>
      <c r="J557" s="460" t="n">
        <v>11</v>
      </c>
      <c r="K557" s="466" t="s">
        <v>48</v>
      </c>
      <c r="L557" s="463" t="s">
        <v>60</v>
      </c>
      <c r="M557" s="463" t="n">
        <f aca="false">I557-D557</f>
        <v>4505</v>
      </c>
    </row>
    <row r="558" customFormat="false" ht="12.75" hidden="false" customHeight="true" outlineLevel="0" collapsed="false">
      <c r="A558" s="449" t="n">
        <v>27822</v>
      </c>
      <c r="B558" s="450" t="s">
        <v>9771</v>
      </c>
      <c r="C558" s="450" t="n">
        <v>2021</v>
      </c>
      <c r="D558" s="451" t="n">
        <v>44517</v>
      </c>
      <c r="E558" s="452" t="s">
        <v>9772</v>
      </c>
      <c r="F558" s="378" t="s">
        <v>9773</v>
      </c>
      <c r="G558" s="452" t="s">
        <v>130</v>
      </c>
      <c r="H558" s="378" t="s">
        <v>7469</v>
      </c>
      <c r="I558" s="451" t="n">
        <v>44866</v>
      </c>
      <c r="J558" s="452" t="n">
        <v>11</v>
      </c>
      <c r="K558" s="542" t="s">
        <v>290</v>
      </c>
      <c r="L558" s="455" t="s">
        <v>61</v>
      </c>
      <c r="M558" s="455" t="n">
        <f aca="false">I558-D558</f>
        <v>349</v>
      </c>
    </row>
    <row r="559" customFormat="false" ht="12.75" hidden="false" customHeight="true" outlineLevel="0" collapsed="false">
      <c r="A559" s="456" t="n">
        <v>27922</v>
      </c>
      <c r="B559" s="458" t="s">
        <v>9774</v>
      </c>
      <c r="C559" s="458" t="n">
        <v>2015</v>
      </c>
      <c r="D559" s="459" t="n">
        <v>42356</v>
      </c>
      <c r="E559" s="460" t="s">
        <v>9775</v>
      </c>
      <c r="F559" s="380" t="s">
        <v>157</v>
      </c>
      <c r="G559" s="460" t="s">
        <v>441</v>
      </c>
      <c r="H559" s="380" t="s">
        <v>1501</v>
      </c>
      <c r="I559" s="459" t="n">
        <v>44866</v>
      </c>
      <c r="J559" s="460" t="n">
        <v>11</v>
      </c>
      <c r="K559" s="466" t="s">
        <v>49</v>
      </c>
      <c r="L559" s="463" t="s">
        <v>58</v>
      </c>
      <c r="M559" s="463" t="n">
        <f aca="false">I559-D559</f>
        <v>2510</v>
      </c>
    </row>
    <row r="560" customFormat="false" ht="12.75" hidden="false" customHeight="true" outlineLevel="0" collapsed="false">
      <c r="A560" s="449" t="n">
        <v>28022</v>
      </c>
      <c r="B560" s="450" t="s">
        <v>9776</v>
      </c>
      <c r="C560" s="450" t="n">
        <v>2022</v>
      </c>
      <c r="D560" s="451" t="n">
        <v>44732</v>
      </c>
      <c r="E560" s="452" t="s">
        <v>9777</v>
      </c>
      <c r="F560" s="378" t="s">
        <v>9778</v>
      </c>
      <c r="G560" s="452" t="s">
        <v>130</v>
      </c>
      <c r="H560" s="378" t="s">
        <v>662</v>
      </c>
      <c r="I560" s="451" t="n">
        <v>44866</v>
      </c>
      <c r="J560" s="452" t="n">
        <v>11</v>
      </c>
      <c r="K560" s="466" t="s">
        <v>49</v>
      </c>
      <c r="L560" s="455" t="s">
        <v>61</v>
      </c>
      <c r="M560" s="455" t="n">
        <f aca="false">I560-D560</f>
        <v>134</v>
      </c>
    </row>
    <row r="561" customFormat="false" ht="12.75" hidden="false" customHeight="true" outlineLevel="0" collapsed="false">
      <c r="A561" s="456" t="n">
        <v>28122</v>
      </c>
      <c r="B561" s="458" t="s">
        <v>9779</v>
      </c>
      <c r="C561" s="458" t="n">
        <v>2022</v>
      </c>
      <c r="D561" s="459" t="n">
        <v>44749</v>
      </c>
      <c r="E561" s="460" t="s">
        <v>9780</v>
      </c>
      <c r="F561" s="380" t="s">
        <v>376</v>
      </c>
      <c r="G561" s="460" t="s">
        <v>130</v>
      </c>
      <c r="H561" s="380" t="s">
        <v>6426</v>
      </c>
      <c r="I561" s="459" t="n">
        <v>44866</v>
      </c>
      <c r="J561" s="460" t="n">
        <v>11</v>
      </c>
      <c r="K561" s="466" t="s">
        <v>49</v>
      </c>
      <c r="L561" s="463" t="s">
        <v>61</v>
      </c>
      <c r="M561" s="463" t="n">
        <f aca="false">I561-D561</f>
        <v>117</v>
      </c>
    </row>
    <row r="562" customFormat="false" ht="12.75" hidden="false" customHeight="true" outlineLevel="0" collapsed="false">
      <c r="A562" s="449" t="n">
        <v>28222</v>
      </c>
      <c r="B562" s="450" t="s">
        <v>9781</v>
      </c>
      <c r="C562" s="450" t="n">
        <v>2022</v>
      </c>
      <c r="D562" s="451" t="n">
        <v>44749</v>
      </c>
      <c r="E562" s="452" t="s">
        <v>9782</v>
      </c>
      <c r="F562" s="378" t="s">
        <v>6303</v>
      </c>
      <c r="G562" s="452" t="s">
        <v>130</v>
      </c>
      <c r="H562" s="378" t="s">
        <v>3909</v>
      </c>
      <c r="I562" s="451" t="n">
        <v>44866</v>
      </c>
      <c r="J562" s="452" t="n">
        <v>11</v>
      </c>
      <c r="K562" s="466" t="s">
        <v>49</v>
      </c>
      <c r="L562" s="455" t="s">
        <v>61</v>
      </c>
      <c r="M562" s="455" t="n">
        <f aca="false">I562-D562</f>
        <v>117</v>
      </c>
    </row>
    <row r="563" customFormat="false" ht="12.75" hidden="false" customHeight="true" outlineLevel="0" collapsed="false">
      <c r="A563" s="456" t="n">
        <v>28322</v>
      </c>
      <c r="B563" s="458" t="s">
        <v>9783</v>
      </c>
      <c r="C563" s="458" t="n">
        <v>2022</v>
      </c>
      <c r="D563" s="459" t="n">
        <v>44720</v>
      </c>
      <c r="E563" s="460" t="s">
        <v>9784</v>
      </c>
      <c r="F563" s="380" t="s">
        <v>9785</v>
      </c>
      <c r="G563" s="460" t="s">
        <v>130</v>
      </c>
      <c r="H563" s="380" t="s">
        <v>662</v>
      </c>
      <c r="I563" s="459" t="n">
        <v>44866</v>
      </c>
      <c r="J563" s="460" t="n">
        <v>11</v>
      </c>
      <c r="K563" s="466" t="s">
        <v>49</v>
      </c>
      <c r="L563" s="463" t="s">
        <v>61</v>
      </c>
      <c r="M563" s="463" t="n">
        <f aca="false">I563-D563</f>
        <v>146</v>
      </c>
    </row>
    <row r="564" customFormat="false" ht="12.75" hidden="false" customHeight="true" outlineLevel="0" collapsed="false">
      <c r="A564" s="449" t="n">
        <v>28422</v>
      </c>
      <c r="B564" s="450" t="s">
        <v>9786</v>
      </c>
      <c r="C564" s="450" t="n">
        <v>2022</v>
      </c>
      <c r="D564" s="451" t="n">
        <v>44721</v>
      </c>
      <c r="E564" s="452" t="s">
        <v>9787</v>
      </c>
      <c r="F564" s="378" t="s">
        <v>9785</v>
      </c>
      <c r="G564" s="452" t="s">
        <v>130</v>
      </c>
      <c r="H564" s="378" t="s">
        <v>662</v>
      </c>
      <c r="I564" s="451" t="n">
        <v>44866</v>
      </c>
      <c r="J564" s="452" t="n">
        <v>11</v>
      </c>
      <c r="K564" s="466" t="s">
        <v>49</v>
      </c>
      <c r="L564" s="455" t="s">
        <v>61</v>
      </c>
      <c r="M564" s="455" t="n">
        <f aca="false">I564-D564</f>
        <v>145</v>
      </c>
    </row>
    <row r="565" customFormat="false" ht="12.75" hidden="false" customHeight="true" outlineLevel="0" collapsed="false">
      <c r="A565" s="456" t="n">
        <v>28522</v>
      </c>
      <c r="B565" s="458" t="s">
        <v>9788</v>
      </c>
      <c r="C565" s="458" t="n">
        <v>2022</v>
      </c>
      <c r="D565" s="459" t="n">
        <v>44623</v>
      </c>
      <c r="E565" s="460" t="s">
        <v>9789</v>
      </c>
      <c r="F565" s="380" t="s">
        <v>9790</v>
      </c>
      <c r="G565" s="460" t="s">
        <v>130</v>
      </c>
      <c r="H565" s="380" t="s">
        <v>1042</v>
      </c>
      <c r="I565" s="459" t="n">
        <v>44866</v>
      </c>
      <c r="J565" s="460" t="n">
        <v>11</v>
      </c>
      <c r="K565" s="466" t="s">
        <v>49</v>
      </c>
      <c r="L565" s="463" t="s">
        <v>61</v>
      </c>
      <c r="M565" s="463" t="n">
        <f aca="false">I565-D565</f>
        <v>243</v>
      </c>
    </row>
    <row r="566" customFormat="false" ht="12.75" hidden="false" customHeight="true" outlineLevel="0" collapsed="false">
      <c r="A566" s="449" t="n">
        <v>28622</v>
      </c>
      <c r="B566" s="450" t="s">
        <v>9791</v>
      </c>
      <c r="C566" s="450" t="n">
        <v>2022</v>
      </c>
      <c r="D566" s="451" t="n">
        <v>44701</v>
      </c>
      <c r="E566" s="452" t="s">
        <v>9792</v>
      </c>
      <c r="F566" s="378" t="s">
        <v>6315</v>
      </c>
      <c r="G566" s="452" t="s">
        <v>130</v>
      </c>
      <c r="H566" s="378" t="s">
        <v>1042</v>
      </c>
      <c r="I566" s="451" t="n">
        <v>44866</v>
      </c>
      <c r="J566" s="452" t="n">
        <v>11</v>
      </c>
      <c r="K566" s="466" t="s">
        <v>49</v>
      </c>
      <c r="L566" s="455" t="s">
        <v>61</v>
      </c>
      <c r="M566" s="455" t="n">
        <f aca="false">I566-D566</f>
        <v>165</v>
      </c>
    </row>
    <row r="567" customFormat="false" ht="12.75" hidden="false" customHeight="true" outlineLevel="0" collapsed="false">
      <c r="A567" s="456" t="n">
        <v>28722</v>
      </c>
      <c r="B567" s="458" t="s">
        <v>9793</v>
      </c>
      <c r="C567" s="458" t="n">
        <v>2020</v>
      </c>
      <c r="D567" s="459" t="n">
        <v>44176</v>
      </c>
      <c r="E567" s="460" t="s">
        <v>9794</v>
      </c>
      <c r="F567" s="380" t="s">
        <v>3190</v>
      </c>
      <c r="G567" s="460" t="s">
        <v>441</v>
      </c>
      <c r="H567" s="380" t="s">
        <v>139</v>
      </c>
      <c r="I567" s="459" t="n">
        <v>44868</v>
      </c>
      <c r="J567" s="460" t="n">
        <v>11</v>
      </c>
      <c r="K567" s="466" t="s">
        <v>49</v>
      </c>
      <c r="L567" s="463" t="s">
        <v>60</v>
      </c>
      <c r="M567" s="463" t="n">
        <f aca="false">I567-D567</f>
        <v>692</v>
      </c>
    </row>
    <row r="568" customFormat="false" ht="12.75" hidden="false" customHeight="true" outlineLevel="0" collapsed="false">
      <c r="A568" s="449" t="n">
        <v>28822</v>
      </c>
      <c r="B568" s="450" t="s">
        <v>9795</v>
      </c>
      <c r="C568" s="450" t="n">
        <v>2021</v>
      </c>
      <c r="D568" s="451" t="n">
        <v>44488</v>
      </c>
      <c r="E568" s="452" t="s">
        <v>9796</v>
      </c>
      <c r="F568" s="378" t="s">
        <v>9797</v>
      </c>
      <c r="G568" s="452" t="s">
        <v>125</v>
      </c>
      <c r="H568" s="378" t="s">
        <v>6297</v>
      </c>
      <c r="I568" s="451" t="n">
        <v>44868</v>
      </c>
      <c r="J568" s="452" t="n">
        <v>11</v>
      </c>
      <c r="K568" s="542" t="s">
        <v>290</v>
      </c>
      <c r="L568" s="455" t="s">
        <v>61</v>
      </c>
      <c r="M568" s="455" t="n">
        <f aca="false">I568-D568</f>
        <v>380</v>
      </c>
    </row>
    <row r="569" customFormat="false" ht="12.75" hidden="false" customHeight="true" outlineLevel="0" collapsed="false">
      <c r="A569" s="456" t="n">
        <v>28922</v>
      </c>
      <c r="B569" s="458" t="s">
        <v>9798</v>
      </c>
      <c r="C569" s="458" t="n">
        <v>2022</v>
      </c>
      <c r="D569" s="459" t="n">
        <v>44701</v>
      </c>
      <c r="E569" s="460" t="s">
        <v>9799</v>
      </c>
      <c r="F569" s="380" t="s">
        <v>9800</v>
      </c>
      <c r="G569" s="460" t="s">
        <v>130</v>
      </c>
      <c r="H569" s="380" t="s">
        <v>1042</v>
      </c>
      <c r="I569" s="459" t="n">
        <v>44868</v>
      </c>
      <c r="J569" s="460" t="n">
        <v>11</v>
      </c>
      <c r="K569" s="466" t="s">
        <v>49</v>
      </c>
      <c r="L569" s="463" t="s">
        <v>61</v>
      </c>
      <c r="M569" s="463" t="n">
        <f aca="false">I569-D569</f>
        <v>167</v>
      </c>
    </row>
    <row r="570" customFormat="false" ht="12.75" hidden="false" customHeight="true" outlineLevel="0" collapsed="false">
      <c r="A570" s="449" t="n">
        <v>29022</v>
      </c>
      <c r="B570" s="450" t="s">
        <v>9801</v>
      </c>
      <c r="C570" s="450" t="n">
        <v>2022</v>
      </c>
      <c r="D570" s="451" t="n">
        <v>44705</v>
      </c>
      <c r="E570" s="452" t="s">
        <v>9802</v>
      </c>
      <c r="F570" s="378" t="s">
        <v>9803</v>
      </c>
      <c r="G570" s="452" t="s">
        <v>130</v>
      </c>
      <c r="H570" s="378" t="s">
        <v>3579</v>
      </c>
      <c r="I570" s="451" t="n">
        <v>44868</v>
      </c>
      <c r="J570" s="452" t="n">
        <v>11</v>
      </c>
      <c r="K570" s="466" t="s">
        <v>49</v>
      </c>
      <c r="L570" s="455" t="s">
        <v>61</v>
      </c>
      <c r="M570" s="455" t="n">
        <f aca="false">I570-D570</f>
        <v>163</v>
      </c>
    </row>
    <row r="571" customFormat="false" ht="12.75" hidden="false" customHeight="true" outlineLevel="0" collapsed="false">
      <c r="A571" s="456" t="n">
        <v>29122</v>
      </c>
      <c r="B571" s="458" t="s">
        <v>9804</v>
      </c>
      <c r="C571" s="458" t="n">
        <v>2022</v>
      </c>
      <c r="D571" s="459" t="n">
        <v>44721</v>
      </c>
      <c r="E571" s="460" t="s">
        <v>9805</v>
      </c>
      <c r="F571" s="380" t="s">
        <v>3295</v>
      </c>
      <c r="G571" s="460" t="s">
        <v>130</v>
      </c>
      <c r="H571" s="380" t="s">
        <v>9183</v>
      </c>
      <c r="I571" s="459" t="n">
        <v>44868</v>
      </c>
      <c r="J571" s="460" t="n">
        <v>11</v>
      </c>
      <c r="K571" s="466" t="s">
        <v>49</v>
      </c>
      <c r="L571" s="463" t="s">
        <v>61</v>
      </c>
      <c r="M571" s="463" t="n">
        <f aca="false">I571-D571</f>
        <v>147</v>
      </c>
    </row>
    <row r="572" customFormat="false" ht="12.75" hidden="false" customHeight="true" outlineLevel="0" collapsed="false">
      <c r="A572" s="449" t="n">
        <v>29222</v>
      </c>
      <c r="B572" s="450" t="s">
        <v>9806</v>
      </c>
      <c r="C572" s="450" t="n">
        <v>2021</v>
      </c>
      <c r="D572" s="451" t="n">
        <v>44398</v>
      </c>
      <c r="E572" s="452" t="s">
        <v>9807</v>
      </c>
      <c r="F572" s="378" t="s">
        <v>9808</v>
      </c>
      <c r="G572" s="452" t="s">
        <v>125</v>
      </c>
      <c r="H572" s="378" t="s">
        <v>3682</v>
      </c>
      <c r="I572" s="451" t="n">
        <v>44868</v>
      </c>
      <c r="J572" s="452" t="n">
        <v>11</v>
      </c>
      <c r="K572" s="466" t="s">
        <v>49</v>
      </c>
      <c r="L572" s="455" t="s">
        <v>61</v>
      </c>
      <c r="M572" s="455" t="n">
        <f aca="false">I572-D572</f>
        <v>470</v>
      </c>
    </row>
    <row r="573" customFormat="false" ht="12.75" hidden="false" customHeight="true" outlineLevel="0" collapsed="false">
      <c r="A573" s="456" t="n">
        <v>29322</v>
      </c>
      <c r="B573" s="458" t="s">
        <v>9809</v>
      </c>
      <c r="C573" s="458" t="n">
        <v>2022</v>
      </c>
      <c r="D573" s="459" t="n">
        <v>44713</v>
      </c>
      <c r="E573" s="460" t="s">
        <v>9810</v>
      </c>
      <c r="F573" s="380" t="s">
        <v>9811</v>
      </c>
      <c r="G573" s="460" t="s">
        <v>130</v>
      </c>
      <c r="H573" s="380" t="s">
        <v>9183</v>
      </c>
      <c r="I573" s="459" t="n">
        <v>44868</v>
      </c>
      <c r="J573" s="460" t="n">
        <v>11</v>
      </c>
      <c r="K573" s="466" t="s">
        <v>49</v>
      </c>
      <c r="L573" s="463" t="s">
        <v>61</v>
      </c>
      <c r="M573" s="463" t="n">
        <f aca="false">I573-D573</f>
        <v>155</v>
      </c>
    </row>
    <row r="574" customFormat="false" ht="12.75" hidden="false" customHeight="true" outlineLevel="0" collapsed="false">
      <c r="A574" s="449" t="n">
        <v>29422</v>
      </c>
      <c r="B574" s="450" t="s">
        <v>9812</v>
      </c>
      <c r="C574" s="450" t="n">
        <v>2017</v>
      </c>
      <c r="D574" s="451" t="n">
        <v>43069</v>
      </c>
      <c r="E574" s="452" t="s">
        <v>9813</v>
      </c>
      <c r="F574" s="378" t="s">
        <v>9814</v>
      </c>
      <c r="G574" s="452" t="s">
        <v>115</v>
      </c>
      <c r="H574" s="378" t="s">
        <v>254</v>
      </c>
      <c r="I574" s="451" t="n">
        <v>44868</v>
      </c>
      <c r="J574" s="452" t="n">
        <v>11</v>
      </c>
      <c r="K574" s="543" t="s">
        <v>46</v>
      </c>
      <c r="L574" s="455" t="s">
        <v>58</v>
      </c>
      <c r="M574" s="455" t="n">
        <f aca="false">I574-D574</f>
        <v>1799</v>
      </c>
    </row>
    <row r="575" customFormat="false" ht="12.75" hidden="false" customHeight="true" outlineLevel="0" collapsed="false">
      <c r="A575" s="456" t="n">
        <v>29522</v>
      </c>
      <c r="B575" s="458" t="s">
        <v>9815</v>
      </c>
      <c r="C575" s="458" t="n">
        <v>2020</v>
      </c>
      <c r="D575" s="459" t="n">
        <v>43950</v>
      </c>
      <c r="E575" s="460" t="s">
        <v>9816</v>
      </c>
      <c r="F575" s="380" t="s">
        <v>8626</v>
      </c>
      <c r="G575" s="460" t="s">
        <v>115</v>
      </c>
      <c r="H575" s="380" t="s">
        <v>5888</v>
      </c>
      <c r="I575" s="459" t="n">
        <v>44868</v>
      </c>
      <c r="J575" s="460" t="n">
        <v>11</v>
      </c>
      <c r="K575" s="466" t="s">
        <v>49</v>
      </c>
      <c r="L575" s="463" t="s">
        <v>60</v>
      </c>
      <c r="M575" s="463" t="n">
        <f aca="false">I575-D575</f>
        <v>918</v>
      </c>
    </row>
    <row r="576" customFormat="false" ht="12.75" hidden="false" customHeight="true" outlineLevel="0" collapsed="false">
      <c r="A576" s="449" t="n">
        <v>29622</v>
      </c>
      <c r="B576" s="450" t="s">
        <v>9817</v>
      </c>
      <c r="C576" s="450" t="n">
        <v>2022</v>
      </c>
      <c r="D576" s="451" t="n">
        <v>44788</v>
      </c>
      <c r="E576" s="452" t="s">
        <v>9818</v>
      </c>
      <c r="F576" s="378" t="s">
        <v>9819</v>
      </c>
      <c r="G576" s="452" t="s">
        <v>130</v>
      </c>
      <c r="H576" s="378" t="s">
        <v>9820</v>
      </c>
      <c r="I576" s="451" t="n">
        <v>44868</v>
      </c>
      <c r="J576" s="452" t="n">
        <v>11</v>
      </c>
      <c r="K576" s="542" t="s">
        <v>290</v>
      </c>
      <c r="L576" s="455" t="s">
        <v>61</v>
      </c>
      <c r="M576" s="455" t="n">
        <f aca="false">I576-D576</f>
        <v>80</v>
      </c>
    </row>
    <row r="577" customFormat="false" ht="12.75" hidden="false" customHeight="true" outlineLevel="0" collapsed="false">
      <c r="A577" s="456" t="n">
        <v>29722</v>
      </c>
      <c r="B577" s="458" t="s">
        <v>9821</v>
      </c>
      <c r="C577" s="458" t="n">
        <v>2021</v>
      </c>
      <c r="D577" s="459" t="n">
        <v>44256</v>
      </c>
      <c r="E577" s="460" t="s">
        <v>9822</v>
      </c>
      <c r="F577" s="380" t="s">
        <v>9823</v>
      </c>
      <c r="G577" s="460" t="s">
        <v>441</v>
      </c>
      <c r="H577" s="380" t="s">
        <v>243</v>
      </c>
      <c r="I577" s="459" t="n">
        <v>44868</v>
      </c>
      <c r="J577" s="460" t="n">
        <v>11</v>
      </c>
      <c r="K577" s="466" t="s">
        <v>48</v>
      </c>
      <c r="L577" s="463" t="s">
        <v>58</v>
      </c>
      <c r="M577" s="463" t="n">
        <f aca="false">I577-D577</f>
        <v>612</v>
      </c>
    </row>
    <row r="578" customFormat="false" ht="12.75" hidden="false" customHeight="true" outlineLevel="0" collapsed="false">
      <c r="A578" s="449" t="n">
        <v>29822</v>
      </c>
      <c r="B578" s="450" t="s">
        <v>9824</v>
      </c>
      <c r="C578" s="450" t="n">
        <v>2016</v>
      </c>
      <c r="D578" s="451" t="n">
        <v>42521</v>
      </c>
      <c r="E578" s="452" t="s">
        <v>9825</v>
      </c>
      <c r="F578" s="378" t="s">
        <v>9826</v>
      </c>
      <c r="G578" s="452" t="s">
        <v>441</v>
      </c>
      <c r="H578" s="378" t="s">
        <v>1059</v>
      </c>
      <c r="I578" s="451" t="n">
        <v>44869</v>
      </c>
      <c r="J578" s="452" t="n">
        <v>11</v>
      </c>
      <c r="K578" s="466" t="s">
        <v>48</v>
      </c>
      <c r="L578" s="455" t="s">
        <v>58</v>
      </c>
      <c r="M578" s="455" t="n">
        <f aca="false">I578-D578</f>
        <v>2348</v>
      </c>
    </row>
    <row r="579" customFormat="false" ht="12.75" hidden="false" customHeight="true" outlineLevel="0" collapsed="false">
      <c r="A579" s="456" t="n">
        <v>29922</v>
      </c>
      <c r="B579" s="458" t="s">
        <v>9827</v>
      </c>
      <c r="C579" s="458" t="n">
        <v>2016</v>
      </c>
      <c r="D579" s="459" t="n">
        <v>42557</v>
      </c>
      <c r="E579" s="460" t="s">
        <v>9828</v>
      </c>
      <c r="F579" s="380" t="s">
        <v>168</v>
      </c>
      <c r="G579" s="460" t="s">
        <v>441</v>
      </c>
      <c r="H579" s="380" t="s">
        <v>223</v>
      </c>
      <c r="I579" s="459" t="n">
        <v>44869</v>
      </c>
      <c r="J579" s="460" t="n">
        <v>11</v>
      </c>
      <c r="K579" s="543" t="s">
        <v>46</v>
      </c>
      <c r="L579" s="463" t="s">
        <v>60</v>
      </c>
      <c r="M579" s="463" t="n">
        <f aca="false">I579-D579</f>
        <v>2312</v>
      </c>
    </row>
    <row r="580" customFormat="false" ht="12.75" hidden="false" customHeight="true" outlineLevel="0" collapsed="false">
      <c r="A580" s="449" t="n">
        <v>30022</v>
      </c>
      <c r="B580" s="450" t="s">
        <v>9829</v>
      </c>
      <c r="C580" s="450" t="n">
        <v>2021</v>
      </c>
      <c r="D580" s="451" t="n">
        <v>44546</v>
      </c>
      <c r="E580" s="452" t="s">
        <v>9830</v>
      </c>
      <c r="F580" s="378" t="s">
        <v>7262</v>
      </c>
      <c r="G580" s="452" t="s">
        <v>125</v>
      </c>
      <c r="H580" s="378" t="s">
        <v>9450</v>
      </c>
      <c r="I580" s="451" t="n">
        <v>44872</v>
      </c>
      <c r="J580" s="452" t="n">
        <v>11</v>
      </c>
      <c r="K580" s="466" t="s">
        <v>49</v>
      </c>
      <c r="L580" s="455" t="s">
        <v>61</v>
      </c>
      <c r="M580" s="455" t="n">
        <f aca="false">I580-D580</f>
        <v>326</v>
      </c>
    </row>
    <row r="581" customFormat="false" ht="12.75" hidden="false" customHeight="true" outlineLevel="0" collapsed="false">
      <c r="A581" s="456" t="n">
        <v>30122</v>
      </c>
      <c r="B581" s="458" t="s">
        <v>9831</v>
      </c>
      <c r="C581" s="458" t="n">
        <v>2017</v>
      </c>
      <c r="D581" s="459" t="n">
        <v>42895</v>
      </c>
      <c r="E581" s="460" t="s">
        <v>9832</v>
      </c>
      <c r="F581" s="380" t="s">
        <v>180</v>
      </c>
      <c r="G581" s="460" t="s">
        <v>441</v>
      </c>
      <c r="H581" s="380" t="s">
        <v>513</v>
      </c>
      <c r="I581" s="459" t="n">
        <v>44872</v>
      </c>
      <c r="J581" s="460" t="n">
        <v>11</v>
      </c>
      <c r="K581" s="466" t="s">
        <v>49</v>
      </c>
      <c r="L581" s="463" t="s">
        <v>58</v>
      </c>
      <c r="M581" s="463" t="n">
        <f aca="false">I581-D581</f>
        <v>1977</v>
      </c>
    </row>
    <row r="582" customFormat="false" ht="12.75" hidden="false" customHeight="true" outlineLevel="0" collapsed="false">
      <c r="A582" s="449" t="n">
        <v>30222</v>
      </c>
      <c r="B582" s="450" t="s">
        <v>9833</v>
      </c>
      <c r="C582" s="450" t="n">
        <v>2021</v>
      </c>
      <c r="D582" s="451" t="n">
        <v>44469</v>
      </c>
      <c r="E582" s="452" t="s">
        <v>9834</v>
      </c>
      <c r="F582" s="378" t="s">
        <v>9835</v>
      </c>
      <c r="G582" s="452" t="s">
        <v>125</v>
      </c>
      <c r="H582" s="378" t="s">
        <v>3553</v>
      </c>
      <c r="I582" s="451" t="n">
        <v>44872</v>
      </c>
      <c r="J582" s="452" t="n">
        <v>11</v>
      </c>
      <c r="K582" s="542" t="s">
        <v>290</v>
      </c>
      <c r="L582" s="455" t="s">
        <v>61</v>
      </c>
      <c r="M582" s="455" t="n">
        <f aca="false">I582-D582</f>
        <v>403</v>
      </c>
    </row>
    <row r="583" customFormat="false" ht="12.75" hidden="false" customHeight="true" outlineLevel="0" collapsed="false">
      <c r="A583" s="456" t="n">
        <v>30322</v>
      </c>
      <c r="B583" s="458" t="s">
        <v>9836</v>
      </c>
      <c r="C583" s="458" t="n">
        <v>2010</v>
      </c>
      <c r="D583" s="459" t="n">
        <v>40449</v>
      </c>
      <c r="E583" s="460" t="s">
        <v>9837</v>
      </c>
      <c r="F583" s="380" t="s">
        <v>4384</v>
      </c>
      <c r="G583" s="460" t="s">
        <v>441</v>
      </c>
      <c r="H583" s="380" t="s">
        <v>7615</v>
      </c>
      <c r="I583" s="459" t="n">
        <v>44872</v>
      </c>
      <c r="J583" s="460" t="n">
        <v>11</v>
      </c>
      <c r="K583" s="535" t="s">
        <v>44</v>
      </c>
      <c r="L583" s="463" t="s">
        <v>58</v>
      </c>
      <c r="M583" s="463" t="n">
        <f aca="false">I583-D583</f>
        <v>4423</v>
      </c>
    </row>
    <row r="584" customFormat="false" ht="12.75" hidden="false" customHeight="true" outlineLevel="0" collapsed="false">
      <c r="A584" s="449" t="n">
        <v>30422</v>
      </c>
      <c r="B584" s="450" t="s">
        <v>9838</v>
      </c>
      <c r="C584" s="450" t="n">
        <v>2018</v>
      </c>
      <c r="D584" s="451" t="n">
        <v>43437</v>
      </c>
      <c r="E584" s="452" t="s">
        <v>9839</v>
      </c>
      <c r="F584" s="378" t="s">
        <v>1211</v>
      </c>
      <c r="G584" s="452" t="s">
        <v>441</v>
      </c>
      <c r="H584" s="378" t="s">
        <v>184</v>
      </c>
      <c r="I584" s="451" t="n">
        <v>44882</v>
      </c>
      <c r="J584" s="452" t="n">
        <v>11</v>
      </c>
      <c r="K584" s="466" t="s">
        <v>49</v>
      </c>
      <c r="L584" s="455" t="s">
        <v>61</v>
      </c>
      <c r="M584" s="455" t="n">
        <f aca="false">I584-D584</f>
        <v>1445</v>
      </c>
    </row>
    <row r="585" customFormat="false" ht="12.75" hidden="false" customHeight="true" outlineLevel="0" collapsed="false">
      <c r="A585" s="456" t="n">
        <v>30522</v>
      </c>
      <c r="B585" s="458" t="s">
        <v>9840</v>
      </c>
      <c r="C585" s="458" t="n">
        <v>2022</v>
      </c>
      <c r="D585" s="459" t="n">
        <v>44782</v>
      </c>
      <c r="E585" s="460" t="s">
        <v>9841</v>
      </c>
      <c r="F585" s="380" t="s">
        <v>376</v>
      </c>
      <c r="G585" s="460" t="s">
        <v>130</v>
      </c>
      <c r="H585" s="380" t="s">
        <v>9842</v>
      </c>
      <c r="I585" s="459" t="n">
        <v>44883</v>
      </c>
      <c r="J585" s="460" t="n">
        <v>11</v>
      </c>
      <c r="K585" s="466" t="s">
        <v>49</v>
      </c>
      <c r="L585" s="463" t="s">
        <v>61</v>
      </c>
      <c r="M585" s="463" t="n">
        <f aca="false">I585-D585</f>
        <v>101</v>
      </c>
    </row>
    <row r="586" customFormat="false" ht="12.75" hidden="false" customHeight="true" outlineLevel="0" collapsed="false">
      <c r="A586" s="449" t="n">
        <v>30622</v>
      </c>
      <c r="B586" s="450" t="s">
        <v>9843</v>
      </c>
      <c r="C586" s="450" t="n">
        <v>2022</v>
      </c>
      <c r="D586" s="451" t="n">
        <v>44782</v>
      </c>
      <c r="E586" s="452" t="s">
        <v>9844</v>
      </c>
      <c r="F586" s="378" t="s">
        <v>876</v>
      </c>
      <c r="G586" s="452" t="s">
        <v>130</v>
      </c>
      <c r="H586" s="378" t="s">
        <v>9842</v>
      </c>
      <c r="I586" s="451" t="n">
        <v>44883</v>
      </c>
      <c r="J586" s="452" t="n">
        <v>11</v>
      </c>
      <c r="K586" s="466" t="s">
        <v>49</v>
      </c>
      <c r="L586" s="455" t="s">
        <v>61</v>
      </c>
      <c r="M586" s="455" t="n">
        <f aca="false">I586-D586</f>
        <v>101</v>
      </c>
    </row>
    <row r="587" customFormat="false" ht="12.75" hidden="false" customHeight="true" outlineLevel="0" collapsed="false">
      <c r="A587" s="456" t="n">
        <v>30722</v>
      </c>
      <c r="B587" s="458" t="s">
        <v>9845</v>
      </c>
      <c r="C587" s="458" t="n">
        <v>2021</v>
      </c>
      <c r="D587" s="459" t="n">
        <v>44560</v>
      </c>
      <c r="E587" s="460" t="s">
        <v>9846</v>
      </c>
      <c r="F587" s="380" t="s">
        <v>9847</v>
      </c>
      <c r="G587" s="460" t="s">
        <v>125</v>
      </c>
      <c r="H587" s="380" t="s">
        <v>873</v>
      </c>
      <c r="I587" s="459" t="n">
        <v>44883</v>
      </c>
      <c r="J587" s="460" t="n">
        <v>11</v>
      </c>
      <c r="K587" s="466" t="s">
        <v>49</v>
      </c>
      <c r="L587" s="463" t="s">
        <v>61</v>
      </c>
      <c r="M587" s="463" t="n">
        <f aca="false">I587-D587</f>
        <v>323</v>
      </c>
    </row>
    <row r="588" customFormat="false" ht="12.75" hidden="false" customHeight="true" outlineLevel="0" collapsed="false">
      <c r="A588" s="449" t="n">
        <v>30822</v>
      </c>
      <c r="B588" s="450" t="s">
        <v>9848</v>
      </c>
      <c r="C588" s="450" t="n">
        <v>2017</v>
      </c>
      <c r="D588" s="451" t="n">
        <v>43059</v>
      </c>
      <c r="E588" s="452" t="s">
        <v>9849</v>
      </c>
      <c r="F588" s="378" t="s">
        <v>382</v>
      </c>
      <c r="G588" s="452" t="s">
        <v>441</v>
      </c>
      <c r="H588" s="378" t="s">
        <v>192</v>
      </c>
      <c r="I588" s="451" t="n">
        <v>44883</v>
      </c>
      <c r="J588" s="452" t="n">
        <v>11</v>
      </c>
      <c r="K588" s="466" t="s">
        <v>49</v>
      </c>
      <c r="L588" s="455" t="s">
        <v>60</v>
      </c>
      <c r="M588" s="455" t="n">
        <f aca="false">I588-D588</f>
        <v>1824</v>
      </c>
    </row>
    <row r="589" customFormat="false" ht="12.75" hidden="false" customHeight="true" outlineLevel="0" collapsed="false">
      <c r="A589" s="456" t="n">
        <v>30922</v>
      </c>
      <c r="B589" s="458" t="s">
        <v>9850</v>
      </c>
      <c r="C589" s="458" t="n">
        <v>2020</v>
      </c>
      <c r="D589" s="459" t="n">
        <v>44174</v>
      </c>
      <c r="E589" s="460" t="s">
        <v>9851</v>
      </c>
      <c r="F589" s="380" t="s">
        <v>9852</v>
      </c>
      <c r="G589" s="460" t="s">
        <v>125</v>
      </c>
      <c r="H589" s="380" t="s">
        <v>9853</v>
      </c>
      <c r="I589" s="459" t="n">
        <v>44883</v>
      </c>
      <c r="J589" s="460" t="n">
        <v>11</v>
      </c>
      <c r="K589" s="466" t="s">
        <v>48</v>
      </c>
      <c r="L589" s="463" t="s">
        <v>61</v>
      </c>
      <c r="M589" s="463" t="n">
        <f aca="false">I589-D589</f>
        <v>709</v>
      </c>
    </row>
    <row r="590" customFormat="false" ht="12.75" hidden="false" customHeight="true" outlineLevel="0" collapsed="false">
      <c r="A590" s="449" t="n">
        <v>31022</v>
      </c>
      <c r="B590" s="450" t="s">
        <v>9854</v>
      </c>
      <c r="C590" s="450" t="n">
        <v>2022</v>
      </c>
      <c r="D590" s="451" t="n">
        <v>44600</v>
      </c>
      <c r="E590" s="452" t="s">
        <v>9855</v>
      </c>
      <c r="F590" s="378" t="s">
        <v>9856</v>
      </c>
      <c r="G590" s="452" t="s">
        <v>125</v>
      </c>
      <c r="H590" s="378" t="s">
        <v>9450</v>
      </c>
      <c r="I590" s="451" t="n">
        <v>44883</v>
      </c>
      <c r="J590" s="452" t="n">
        <v>11</v>
      </c>
      <c r="K590" s="466" t="s">
        <v>49</v>
      </c>
      <c r="L590" s="455" t="s">
        <v>61</v>
      </c>
      <c r="M590" s="455" t="n">
        <f aca="false">I590-D590</f>
        <v>283</v>
      </c>
    </row>
    <row r="591" customFormat="false" ht="12.75" hidden="false" customHeight="true" outlineLevel="0" collapsed="false">
      <c r="A591" s="456" t="n">
        <v>31122</v>
      </c>
      <c r="B591" s="458" t="s">
        <v>9857</v>
      </c>
      <c r="C591" s="458" t="n">
        <v>2018</v>
      </c>
      <c r="D591" s="459" t="n">
        <v>43188</v>
      </c>
      <c r="E591" s="460" t="s">
        <v>9858</v>
      </c>
      <c r="F591" s="380" t="s">
        <v>3190</v>
      </c>
      <c r="G591" s="460" t="s">
        <v>441</v>
      </c>
      <c r="H591" s="380" t="s">
        <v>706</v>
      </c>
      <c r="I591" s="459" t="n">
        <v>44888</v>
      </c>
      <c r="J591" s="460" t="n">
        <v>11</v>
      </c>
      <c r="K591" s="466" t="s">
        <v>49</v>
      </c>
      <c r="L591" s="463" t="s">
        <v>60</v>
      </c>
      <c r="M591" s="463" t="n">
        <f aca="false">I591-D591</f>
        <v>1700</v>
      </c>
    </row>
    <row r="592" customFormat="false" ht="12.75" hidden="false" customHeight="true" outlineLevel="0" collapsed="false">
      <c r="A592" s="449" t="n">
        <v>31222</v>
      </c>
      <c r="B592" s="450" t="s">
        <v>9859</v>
      </c>
      <c r="C592" s="450" t="n">
        <v>2020</v>
      </c>
      <c r="D592" s="451" t="n">
        <v>44013</v>
      </c>
      <c r="E592" s="452" t="s">
        <v>9860</v>
      </c>
      <c r="F592" s="378" t="s">
        <v>9092</v>
      </c>
      <c r="G592" s="452" t="s">
        <v>441</v>
      </c>
      <c r="H592" s="378" t="s">
        <v>471</v>
      </c>
      <c r="I592" s="451" t="n">
        <v>44888</v>
      </c>
      <c r="J592" s="452" t="n">
        <v>11</v>
      </c>
      <c r="K592" s="466" t="s">
        <v>48</v>
      </c>
      <c r="L592" s="455" t="s">
        <v>60</v>
      </c>
      <c r="M592" s="455" t="n">
        <f aca="false">I592-D592</f>
        <v>875</v>
      </c>
    </row>
    <row r="593" customFormat="false" ht="12.75" hidden="false" customHeight="true" outlineLevel="0" collapsed="false">
      <c r="A593" s="456" t="n">
        <v>31322</v>
      </c>
      <c r="B593" s="458" t="s">
        <v>9861</v>
      </c>
      <c r="C593" s="458" t="n">
        <v>2022</v>
      </c>
      <c r="D593" s="459" t="n">
        <v>39905</v>
      </c>
      <c r="E593" s="460" t="s">
        <v>9862</v>
      </c>
      <c r="F593" s="380" t="s">
        <v>671</v>
      </c>
      <c r="G593" s="460" t="s">
        <v>144</v>
      </c>
      <c r="H593" s="380" t="s">
        <v>119</v>
      </c>
      <c r="I593" s="459" t="n">
        <v>44888</v>
      </c>
      <c r="J593" s="460" t="n">
        <v>11</v>
      </c>
      <c r="K593" s="543" t="s">
        <v>46</v>
      </c>
      <c r="L593" s="463" t="s">
        <v>2848</v>
      </c>
      <c r="M593" s="463" t="n">
        <f aca="false">I593-D593</f>
        <v>4983</v>
      </c>
    </row>
    <row r="594" customFormat="false" ht="12.75" hidden="false" customHeight="true" outlineLevel="0" collapsed="false">
      <c r="A594" s="449" t="n">
        <v>31422</v>
      </c>
      <c r="B594" s="450" t="s">
        <v>9863</v>
      </c>
      <c r="C594" s="450" t="n">
        <v>2017</v>
      </c>
      <c r="D594" s="451" t="n">
        <v>43091</v>
      </c>
      <c r="E594" s="452" t="s">
        <v>9864</v>
      </c>
      <c r="F594" s="378" t="s">
        <v>9865</v>
      </c>
      <c r="G594" s="452" t="s">
        <v>441</v>
      </c>
      <c r="H594" s="378" t="s">
        <v>1880</v>
      </c>
      <c r="I594" s="451" t="n">
        <v>44888</v>
      </c>
      <c r="J594" s="452" t="n">
        <v>11</v>
      </c>
      <c r="K594" s="466" t="s">
        <v>48</v>
      </c>
      <c r="L594" s="455" t="s">
        <v>58</v>
      </c>
      <c r="M594" s="455" t="n">
        <f aca="false">I594-D594</f>
        <v>1797</v>
      </c>
    </row>
    <row r="595" customFormat="false" ht="12.75" hidden="false" customHeight="true" outlineLevel="0" collapsed="false">
      <c r="A595" s="456" t="n">
        <v>31522</v>
      </c>
      <c r="B595" s="458" t="s">
        <v>9866</v>
      </c>
      <c r="C595" s="458" t="n">
        <v>2021</v>
      </c>
      <c r="D595" s="459" t="n">
        <v>44305</v>
      </c>
      <c r="E595" s="460" t="s">
        <v>9867</v>
      </c>
      <c r="F595" s="380" t="s">
        <v>668</v>
      </c>
      <c r="G595" s="460" t="s">
        <v>441</v>
      </c>
      <c r="H595" s="380" t="s">
        <v>471</v>
      </c>
      <c r="I595" s="459" t="n">
        <v>44888</v>
      </c>
      <c r="J595" s="460" t="n">
        <v>11</v>
      </c>
      <c r="K595" s="535" t="s">
        <v>44</v>
      </c>
      <c r="L595" s="463" t="s">
        <v>58</v>
      </c>
      <c r="M595" s="463" t="n">
        <f aca="false">I595-D595</f>
        <v>583</v>
      </c>
    </row>
    <row r="596" customFormat="false" ht="12.75" hidden="false" customHeight="true" outlineLevel="0" collapsed="false">
      <c r="A596" s="449" t="n">
        <v>31622</v>
      </c>
      <c r="B596" s="450" t="s">
        <v>9868</v>
      </c>
      <c r="C596" s="450" t="n">
        <v>2017</v>
      </c>
      <c r="D596" s="451" t="n">
        <v>42937</v>
      </c>
      <c r="E596" s="452" t="s">
        <v>9869</v>
      </c>
      <c r="F596" s="378" t="s">
        <v>9870</v>
      </c>
      <c r="G596" s="452" t="s">
        <v>115</v>
      </c>
      <c r="H596" s="378" t="s">
        <v>119</v>
      </c>
      <c r="I596" s="451" t="n">
        <v>44888</v>
      </c>
      <c r="J596" s="452" t="n">
        <v>11</v>
      </c>
      <c r="K596" s="466" t="s">
        <v>49</v>
      </c>
      <c r="L596" s="455" t="s">
        <v>58</v>
      </c>
      <c r="M596" s="455" t="n">
        <f aca="false">I596-D596</f>
        <v>1951</v>
      </c>
    </row>
    <row r="597" customFormat="false" ht="12.75" hidden="false" customHeight="true" outlineLevel="0" collapsed="false">
      <c r="A597" s="456" t="n">
        <v>31722</v>
      </c>
      <c r="B597" s="458" t="s">
        <v>9871</v>
      </c>
      <c r="C597" s="458" t="n">
        <v>2016</v>
      </c>
      <c r="D597" s="459" t="n">
        <v>42599</v>
      </c>
      <c r="E597" s="460" t="s">
        <v>9872</v>
      </c>
      <c r="F597" s="380" t="s">
        <v>9873</v>
      </c>
      <c r="G597" s="460" t="s">
        <v>115</v>
      </c>
      <c r="H597" s="380" t="s">
        <v>1791</v>
      </c>
      <c r="I597" s="459" t="n">
        <v>44897</v>
      </c>
      <c r="J597" s="460" t="n">
        <v>12</v>
      </c>
      <c r="K597" s="543" t="s">
        <v>46</v>
      </c>
      <c r="L597" s="463" t="s">
        <v>60</v>
      </c>
      <c r="M597" s="463" t="n">
        <f aca="false">I597-D597</f>
        <v>2298</v>
      </c>
    </row>
    <row r="598" customFormat="false" ht="12.75" hidden="false" customHeight="true" outlineLevel="0" collapsed="false">
      <c r="A598" s="449" t="n">
        <v>31822</v>
      </c>
      <c r="B598" s="450" t="s">
        <v>9874</v>
      </c>
      <c r="C598" s="450" t="n">
        <v>2016</v>
      </c>
      <c r="D598" s="451" t="n">
        <v>42487</v>
      </c>
      <c r="E598" s="452" t="s">
        <v>9875</v>
      </c>
      <c r="F598" s="378" t="s">
        <v>1277</v>
      </c>
      <c r="G598" s="452" t="s">
        <v>441</v>
      </c>
      <c r="H598" s="378" t="s">
        <v>706</v>
      </c>
      <c r="I598" s="451" t="n">
        <v>44897</v>
      </c>
      <c r="J598" s="452" t="n">
        <v>12</v>
      </c>
      <c r="K598" s="543" t="s">
        <v>46</v>
      </c>
      <c r="L598" s="455" t="s">
        <v>58</v>
      </c>
      <c r="M598" s="455" t="n">
        <f aca="false">I598-D598</f>
        <v>2410</v>
      </c>
    </row>
    <row r="599" customFormat="false" ht="12.75" hidden="false" customHeight="true" outlineLevel="0" collapsed="false">
      <c r="A599" s="456" t="n">
        <v>31922</v>
      </c>
      <c r="B599" s="458" t="s">
        <v>9876</v>
      </c>
      <c r="C599" s="458" t="n">
        <v>2022</v>
      </c>
      <c r="D599" s="459" t="n">
        <v>44749</v>
      </c>
      <c r="E599" s="460" t="s">
        <v>9877</v>
      </c>
      <c r="F599" s="380" t="s">
        <v>9878</v>
      </c>
      <c r="G599" s="460" t="s">
        <v>130</v>
      </c>
      <c r="H599" s="380" t="s">
        <v>3838</v>
      </c>
      <c r="I599" s="459" t="n">
        <v>44900</v>
      </c>
      <c r="J599" s="460" t="n">
        <v>12</v>
      </c>
      <c r="K599" s="466" t="s">
        <v>49</v>
      </c>
      <c r="L599" s="463" t="s">
        <v>61</v>
      </c>
      <c r="M599" s="463" t="n">
        <f aca="false">I599-D599</f>
        <v>151</v>
      </c>
    </row>
    <row r="600" customFormat="false" ht="12.75" hidden="false" customHeight="true" outlineLevel="0" collapsed="false">
      <c r="A600" s="449" t="n">
        <v>32022</v>
      </c>
      <c r="B600" s="450" t="s">
        <v>9879</v>
      </c>
      <c r="C600" s="450" t="n">
        <v>2022</v>
      </c>
      <c r="D600" s="451" t="n">
        <v>44805</v>
      </c>
      <c r="E600" s="452" t="s">
        <v>9880</v>
      </c>
      <c r="F600" s="378" t="s">
        <v>428</v>
      </c>
      <c r="G600" s="452" t="s">
        <v>130</v>
      </c>
      <c r="H600" s="378" t="s">
        <v>9881</v>
      </c>
      <c r="I600" s="451" t="n">
        <v>44900</v>
      </c>
      <c r="J600" s="452" t="n">
        <v>12</v>
      </c>
      <c r="K600" s="466" t="s">
        <v>49</v>
      </c>
      <c r="L600" s="455" t="s">
        <v>61</v>
      </c>
      <c r="M600" s="455" t="n">
        <f aca="false">I600-D600</f>
        <v>95</v>
      </c>
    </row>
    <row r="601" customFormat="false" ht="12.75" hidden="false" customHeight="true" outlineLevel="0" collapsed="false">
      <c r="A601" s="456" t="n">
        <v>32122</v>
      </c>
      <c r="B601" s="458" t="s">
        <v>9882</v>
      </c>
      <c r="C601" s="458" t="n">
        <v>2020</v>
      </c>
      <c r="D601" s="459" t="n">
        <v>43949</v>
      </c>
      <c r="E601" s="460" t="s">
        <v>9883</v>
      </c>
      <c r="F601" s="380" t="s">
        <v>4118</v>
      </c>
      <c r="G601" s="460" t="s">
        <v>441</v>
      </c>
      <c r="H601" s="380" t="s">
        <v>745</v>
      </c>
      <c r="I601" s="459" t="n">
        <v>44900</v>
      </c>
      <c r="J601" s="460" t="n">
        <v>12</v>
      </c>
      <c r="K601" s="543" t="s">
        <v>46</v>
      </c>
      <c r="L601" s="463" t="s">
        <v>58</v>
      </c>
      <c r="M601" s="463" t="n">
        <f aca="false">I601-D601</f>
        <v>951</v>
      </c>
    </row>
    <row r="602" customFormat="false" ht="12.75" hidden="false" customHeight="true" outlineLevel="0" collapsed="false">
      <c r="A602" s="449" t="n">
        <v>32222</v>
      </c>
      <c r="B602" s="450" t="s">
        <v>9884</v>
      </c>
      <c r="C602" s="450" t="n">
        <v>2015</v>
      </c>
      <c r="D602" s="451" t="n">
        <v>42360</v>
      </c>
      <c r="E602" s="452" t="s">
        <v>9885</v>
      </c>
      <c r="F602" s="378" t="s">
        <v>3844</v>
      </c>
      <c r="G602" s="452" t="s">
        <v>441</v>
      </c>
      <c r="H602" s="378" t="s">
        <v>706</v>
      </c>
      <c r="I602" s="451" t="n">
        <v>44900</v>
      </c>
      <c r="J602" s="452" t="n">
        <v>12</v>
      </c>
      <c r="K602" s="466" t="s">
        <v>49</v>
      </c>
      <c r="L602" s="455" t="s">
        <v>58</v>
      </c>
      <c r="M602" s="455" t="n">
        <f aca="false">I602-D602</f>
        <v>2540</v>
      </c>
    </row>
    <row r="603" customFormat="false" ht="12.75" hidden="false" customHeight="true" outlineLevel="0" collapsed="false">
      <c r="A603" s="456" t="n">
        <v>32322</v>
      </c>
      <c r="B603" s="458" t="s">
        <v>9886</v>
      </c>
      <c r="C603" s="458" t="n">
        <v>2018</v>
      </c>
      <c r="D603" s="459" t="n">
        <v>43392</v>
      </c>
      <c r="E603" s="460" t="s">
        <v>9887</v>
      </c>
      <c r="F603" s="380" t="s">
        <v>467</v>
      </c>
      <c r="G603" s="460" t="s">
        <v>441</v>
      </c>
      <c r="H603" s="380" t="s">
        <v>2677</v>
      </c>
      <c r="I603" s="459" t="n">
        <v>44900</v>
      </c>
      <c r="J603" s="460" t="n">
        <v>12</v>
      </c>
      <c r="K603" s="466" t="s">
        <v>49</v>
      </c>
      <c r="L603" s="463" t="s">
        <v>61</v>
      </c>
      <c r="M603" s="463" t="n">
        <f aca="false">I603-D603</f>
        <v>1508</v>
      </c>
    </row>
    <row r="604" customFormat="false" ht="12.75" hidden="false" customHeight="true" outlineLevel="0" collapsed="false">
      <c r="A604" s="449" t="n">
        <v>32422</v>
      </c>
      <c r="B604" s="450" t="s">
        <v>9888</v>
      </c>
      <c r="C604" s="450" t="n">
        <v>2021</v>
      </c>
      <c r="D604" s="451" t="n">
        <v>44378</v>
      </c>
      <c r="E604" s="452" t="s">
        <v>9889</v>
      </c>
      <c r="F604" s="378" t="s">
        <v>9890</v>
      </c>
      <c r="G604" s="452" t="s">
        <v>125</v>
      </c>
      <c r="H604" s="378" t="s">
        <v>3682</v>
      </c>
      <c r="I604" s="451" t="n">
        <v>44901</v>
      </c>
      <c r="J604" s="452" t="n">
        <v>12</v>
      </c>
      <c r="K604" s="542" t="s">
        <v>290</v>
      </c>
      <c r="L604" s="455" t="s">
        <v>61</v>
      </c>
      <c r="M604" s="455" t="n">
        <f aca="false">I604-D604</f>
        <v>523</v>
      </c>
    </row>
    <row r="605" customFormat="false" ht="12.75" hidden="false" customHeight="true" outlineLevel="0" collapsed="false">
      <c r="A605" s="456" t="n">
        <v>32522</v>
      </c>
      <c r="B605" s="458" t="s">
        <v>9891</v>
      </c>
      <c r="C605" s="458" t="n">
        <v>2021</v>
      </c>
      <c r="D605" s="459" t="n">
        <v>44474</v>
      </c>
      <c r="E605" s="460" t="s">
        <v>9892</v>
      </c>
      <c r="F605" s="380" t="s">
        <v>428</v>
      </c>
      <c r="G605" s="460" t="s">
        <v>130</v>
      </c>
      <c r="H605" s="380" t="s">
        <v>3915</v>
      </c>
      <c r="I605" s="459" t="n">
        <v>44907</v>
      </c>
      <c r="J605" s="460" t="n">
        <v>12</v>
      </c>
      <c r="K605" s="466" t="s">
        <v>49</v>
      </c>
      <c r="L605" s="463" t="s">
        <v>61</v>
      </c>
      <c r="M605" s="463" t="n">
        <f aca="false">I605-D605</f>
        <v>433</v>
      </c>
    </row>
    <row r="606" customFormat="false" ht="12.75" hidden="false" customHeight="true" outlineLevel="0" collapsed="false">
      <c r="A606" s="449" t="n">
        <v>32622</v>
      </c>
      <c r="B606" s="450" t="s">
        <v>9893</v>
      </c>
      <c r="C606" s="450" t="n">
        <v>2010</v>
      </c>
      <c r="D606" s="451" t="n">
        <v>40535</v>
      </c>
      <c r="E606" s="452" t="s">
        <v>9894</v>
      </c>
      <c r="F606" s="378" t="s">
        <v>365</v>
      </c>
      <c r="G606" s="452" t="s">
        <v>441</v>
      </c>
      <c r="H606" s="378" t="s">
        <v>254</v>
      </c>
      <c r="I606" s="451" t="n">
        <v>44907</v>
      </c>
      <c r="J606" s="452" t="n">
        <v>12</v>
      </c>
      <c r="K606" s="466" t="s">
        <v>48</v>
      </c>
      <c r="L606" s="455" t="s">
        <v>58</v>
      </c>
      <c r="M606" s="455" t="n">
        <f aca="false">I606-D606</f>
        <v>4372</v>
      </c>
    </row>
    <row r="607" customFormat="false" ht="12.75" hidden="false" customHeight="true" outlineLevel="0" collapsed="false">
      <c r="A607" s="456" t="n">
        <v>32722</v>
      </c>
      <c r="B607" s="458" t="s">
        <v>9895</v>
      </c>
      <c r="C607" s="458" t="n">
        <v>2022</v>
      </c>
      <c r="D607" s="459" t="n">
        <v>44636</v>
      </c>
      <c r="E607" s="460" t="s">
        <v>9896</v>
      </c>
      <c r="F607" s="380" t="s">
        <v>9897</v>
      </c>
      <c r="G607" s="460" t="s">
        <v>125</v>
      </c>
      <c r="H607" s="380" t="s">
        <v>3506</v>
      </c>
      <c r="I607" s="459" t="n">
        <v>44907</v>
      </c>
      <c r="J607" s="460" t="n">
        <v>12</v>
      </c>
      <c r="K607" s="542" t="s">
        <v>290</v>
      </c>
      <c r="L607" s="463" t="s">
        <v>61</v>
      </c>
      <c r="M607" s="463" t="n">
        <f aca="false">I607-D607</f>
        <v>271</v>
      </c>
    </row>
    <row r="608" customFormat="false" ht="12.75" hidden="false" customHeight="true" outlineLevel="0" collapsed="false">
      <c r="A608" s="449" t="n">
        <v>32822</v>
      </c>
      <c r="B608" s="450" t="s">
        <v>9898</v>
      </c>
      <c r="C608" s="450" t="n">
        <v>2015</v>
      </c>
      <c r="D608" s="451" t="n">
        <v>42180</v>
      </c>
      <c r="E608" s="452" t="s">
        <v>9899</v>
      </c>
      <c r="F608" s="378" t="s">
        <v>9900</v>
      </c>
      <c r="G608" s="452" t="s">
        <v>441</v>
      </c>
      <c r="H608" s="378" t="s">
        <v>1567</v>
      </c>
      <c r="I608" s="451" t="n">
        <v>44908</v>
      </c>
      <c r="J608" s="452" t="n">
        <v>12</v>
      </c>
      <c r="K608" s="466" t="s">
        <v>49</v>
      </c>
      <c r="L608" s="455" t="s">
        <v>58</v>
      </c>
      <c r="M608" s="455" t="n">
        <f aca="false">I608-D608</f>
        <v>2728</v>
      </c>
    </row>
    <row r="609" customFormat="false" ht="12.75" hidden="false" customHeight="true" outlineLevel="0" collapsed="false">
      <c r="A609" s="456" t="n">
        <v>32922</v>
      </c>
      <c r="B609" s="458" t="s">
        <v>9901</v>
      </c>
      <c r="C609" s="458" t="n">
        <v>2019</v>
      </c>
      <c r="D609" s="459" t="n">
        <v>43577</v>
      </c>
      <c r="E609" s="460" t="s">
        <v>9902</v>
      </c>
      <c r="F609" s="380" t="s">
        <v>7202</v>
      </c>
      <c r="G609" s="460" t="s">
        <v>115</v>
      </c>
      <c r="H609" s="380" t="s">
        <v>697</v>
      </c>
      <c r="I609" s="459" t="n">
        <v>44908</v>
      </c>
      <c r="J609" s="460" t="n">
        <v>12</v>
      </c>
      <c r="K609" s="466" t="s">
        <v>49</v>
      </c>
      <c r="L609" s="463" t="s">
        <v>60</v>
      </c>
      <c r="M609" s="463" t="n">
        <f aca="false">I609-D609</f>
        <v>1331</v>
      </c>
    </row>
    <row r="610" customFormat="false" ht="12.75" hidden="false" customHeight="true" outlineLevel="0" collapsed="false">
      <c r="A610" s="449" t="n">
        <v>33022</v>
      </c>
      <c r="B610" s="450" t="s">
        <v>9903</v>
      </c>
      <c r="C610" s="450" t="n">
        <v>2017</v>
      </c>
      <c r="D610" s="451" t="n">
        <v>42943</v>
      </c>
      <c r="E610" s="452" t="s">
        <v>9904</v>
      </c>
      <c r="F610" s="378" t="s">
        <v>9873</v>
      </c>
      <c r="G610" s="452" t="s">
        <v>115</v>
      </c>
      <c r="H610" s="378" t="s">
        <v>1791</v>
      </c>
      <c r="I610" s="451" t="n">
        <v>44908</v>
      </c>
      <c r="J610" s="452" t="n">
        <v>12</v>
      </c>
      <c r="K610" s="543" t="s">
        <v>46</v>
      </c>
      <c r="L610" s="455" t="s">
        <v>60</v>
      </c>
      <c r="M610" s="455" t="n">
        <f aca="false">I610-D610</f>
        <v>1965</v>
      </c>
    </row>
    <row r="611" customFormat="false" ht="12.75" hidden="false" customHeight="true" outlineLevel="0" collapsed="false">
      <c r="A611" s="456" t="n">
        <v>33122</v>
      </c>
      <c r="B611" s="458" t="s">
        <v>9905</v>
      </c>
      <c r="C611" s="458" t="n">
        <v>2022</v>
      </c>
      <c r="D611" s="459" t="n">
        <v>44813</v>
      </c>
      <c r="E611" s="460" t="s">
        <v>9906</v>
      </c>
      <c r="F611" s="380" t="s">
        <v>4653</v>
      </c>
      <c r="G611" s="460" t="s">
        <v>130</v>
      </c>
      <c r="H611" s="380" t="s">
        <v>9183</v>
      </c>
      <c r="I611" s="459" t="n">
        <v>44908</v>
      </c>
      <c r="J611" s="460" t="n">
        <v>12</v>
      </c>
      <c r="K611" s="466" t="s">
        <v>49</v>
      </c>
      <c r="L611" s="463" t="s">
        <v>61</v>
      </c>
      <c r="M611" s="463" t="n">
        <f aca="false">I611-D611</f>
        <v>95</v>
      </c>
    </row>
    <row r="612" customFormat="false" ht="12.75" hidden="false" customHeight="true" outlineLevel="0" collapsed="false">
      <c r="A612" s="449" t="n">
        <v>33222</v>
      </c>
      <c r="B612" s="450" t="s">
        <v>9907</v>
      </c>
      <c r="C612" s="450" t="n">
        <v>2019</v>
      </c>
      <c r="D612" s="451" t="n">
        <v>43544</v>
      </c>
      <c r="E612" s="452" t="s">
        <v>9908</v>
      </c>
      <c r="F612" s="378" t="s">
        <v>7202</v>
      </c>
      <c r="G612" s="452" t="s">
        <v>115</v>
      </c>
      <c r="H612" s="378" t="s">
        <v>697</v>
      </c>
      <c r="I612" s="451" t="n">
        <v>44908</v>
      </c>
      <c r="J612" s="452" t="n">
        <v>12</v>
      </c>
      <c r="K612" s="466" t="s">
        <v>49</v>
      </c>
      <c r="L612" s="455" t="s">
        <v>60</v>
      </c>
      <c r="M612" s="455" t="n">
        <f aca="false">I612-D612</f>
        <v>1364</v>
      </c>
    </row>
    <row r="613" customFormat="false" ht="12.75" hidden="false" customHeight="true" outlineLevel="0" collapsed="false">
      <c r="A613" s="456" t="n">
        <v>33322</v>
      </c>
      <c r="B613" s="458" t="s">
        <v>9909</v>
      </c>
      <c r="C613" s="458" t="n">
        <v>2017</v>
      </c>
      <c r="D613" s="459" t="n">
        <v>42894</v>
      </c>
      <c r="E613" s="460" t="s">
        <v>9910</v>
      </c>
      <c r="F613" s="380" t="s">
        <v>123</v>
      </c>
      <c r="G613" s="460" t="s">
        <v>144</v>
      </c>
      <c r="H613" s="380" t="s">
        <v>285</v>
      </c>
      <c r="I613" s="459" t="n">
        <v>44911</v>
      </c>
      <c r="J613" s="460" t="n">
        <v>12</v>
      </c>
      <c r="K613" s="543" t="s">
        <v>46</v>
      </c>
      <c r="L613" s="463" t="s">
        <v>60</v>
      </c>
      <c r="M613" s="463" t="n">
        <f aca="false">I613-D613</f>
        <v>2017</v>
      </c>
    </row>
    <row r="614" customFormat="false" ht="12.75" hidden="false" customHeight="true" outlineLevel="0" collapsed="false">
      <c r="A614" s="449" t="n">
        <v>33422</v>
      </c>
      <c r="B614" s="450" t="s">
        <v>9911</v>
      </c>
      <c r="C614" s="450" t="n">
        <v>2017</v>
      </c>
      <c r="D614" s="451" t="n">
        <v>43091</v>
      </c>
      <c r="E614" s="452" t="s">
        <v>9912</v>
      </c>
      <c r="F614" s="378" t="s">
        <v>207</v>
      </c>
      <c r="G614" s="452" t="s">
        <v>441</v>
      </c>
      <c r="H614" s="378" t="s">
        <v>706</v>
      </c>
      <c r="I614" s="451" t="n">
        <v>44911</v>
      </c>
      <c r="J614" s="452" t="n">
        <v>12</v>
      </c>
      <c r="K614" s="466" t="s">
        <v>49</v>
      </c>
      <c r="L614" s="455" t="s">
        <v>58</v>
      </c>
      <c r="M614" s="455" t="n">
        <f aca="false">I614-D614</f>
        <v>1820</v>
      </c>
    </row>
    <row r="615" customFormat="false" ht="12.75" hidden="false" customHeight="true" outlineLevel="0" collapsed="false">
      <c r="A615" s="456" t="n">
        <v>33522</v>
      </c>
      <c r="B615" s="458" t="s">
        <v>9913</v>
      </c>
      <c r="C615" s="458" t="n">
        <v>2021</v>
      </c>
      <c r="D615" s="459" t="n">
        <v>44267</v>
      </c>
      <c r="E615" s="460" t="s">
        <v>9914</v>
      </c>
      <c r="F615" s="380" t="s">
        <v>3362</v>
      </c>
      <c r="G615" s="460" t="s">
        <v>441</v>
      </c>
      <c r="H615" s="380" t="s">
        <v>706</v>
      </c>
      <c r="I615" s="459" t="n">
        <v>44911</v>
      </c>
      <c r="J615" s="460" t="n">
        <v>12</v>
      </c>
      <c r="K615" s="466" t="s">
        <v>49</v>
      </c>
      <c r="L615" s="463" t="s">
        <v>60</v>
      </c>
      <c r="M615" s="463" t="n">
        <f aca="false">I615-D615</f>
        <v>644</v>
      </c>
    </row>
    <row r="616" customFormat="false" ht="12.75" hidden="false" customHeight="true" outlineLevel="0" collapsed="false">
      <c r="A616" s="449" t="n">
        <v>33622</v>
      </c>
      <c r="B616" s="450" t="s">
        <v>9915</v>
      </c>
      <c r="C616" s="450" t="n">
        <v>2022</v>
      </c>
      <c r="D616" s="451" t="n">
        <v>44775</v>
      </c>
      <c r="E616" s="452" t="s">
        <v>9916</v>
      </c>
      <c r="F616" s="378" t="s">
        <v>876</v>
      </c>
      <c r="G616" s="452" t="s">
        <v>130</v>
      </c>
      <c r="H616" s="378" t="s">
        <v>9917</v>
      </c>
      <c r="I616" s="451" t="n">
        <v>44911</v>
      </c>
      <c r="J616" s="452" t="n">
        <v>12</v>
      </c>
      <c r="K616" s="466" t="s">
        <v>49</v>
      </c>
      <c r="L616" s="455" t="s">
        <v>61</v>
      </c>
      <c r="M616" s="455" t="n">
        <f aca="false">I616-D616</f>
        <v>136</v>
      </c>
    </row>
    <row r="617" customFormat="false" ht="12.75" hidden="false" customHeight="true" outlineLevel="0" collapsed="false">
      <c r="A617" s="456" t="n">
        <v>33722</v>
      </c>
      <c r="B617" s="458" t="s">
        <v>9918</v>
      </c>
      <c r="C617" s="458" t="n">
        <v>2022</v>
      </c>
      <c r="D617" s="459" t="n">
        <v>44775</v>
      </c>
      <c r="E617" s="460" t="s">
        <v>9919</v>
      </c>
      <c r="F617" s="380" t="s">
        <v>636</v>
      </c>
      <c r="G617" s="460" t="s">
        <v>130</v>
      </c>
      <c r="H617" s="380" t="s">
        <v>9917</v>
      </c>
      <c r="I617" s="459" t="n">
        <v>44911</v>
      </c>
      <c r="J617" s="460" t="n">
        <v>12</v>
      </c>
      <c r="K617" s="466" t="s">
        <v>49</v>
      </c>
      <c r="L617" s="463" t="s">
        <v>61</v>
      </c>
      <c r="M617" s="463" t="n">
        <f aca="false">I617-D617</f>
        <v>136</v>
      </c>
    </row>
    <row r="618" customFormat="false" ht="12.75" hidden="false" customHeight="true" outlineLevel="0" collapsed="false">
      <c r="A618" s="449" t="n">
        <v>33822</v>
      </c>
      <c r="B618" s="450" t="s">
        <v>9920</v>
      </c>
      <c r="C618" s="450" t="n">
        <v>2022</v>
      </c>
      <c r="D618" s="451" t="n">
        <v>44775</v>
      </c>
      <c r="E618" s="452" t="s">
        <v>9921</v>
      </c>
      <c r="F618" s="378" t="s">
        <v>376</v>
      </c>
      <c r="G618" s="452" t="s">
        <v>130</v>
      </c>
      <c r="H618" s="378" t="s">
        <v>9917</v>
      </c>
      <c r="I618" s="451" t="n">
        <v>44911</v>
      </c>
      <c r="J618" s="452" t="n">
        <v>12</v>
      </c>
      <c r="K618" s="466" t="s">
        <v>49</v>
      </c>
      <c r="L618" s="455" t="s">
        <v>61</v>
      </c>
      <c r="M618" s="455" t="n">
        <f aca="false">I618-D618</f>
        <v>136</v>
      </c>
    </row>
    <row r="619" customFormat="false" ht="12.75" hidden="false" customHeight="true" outlineLevel="0" collapsed="false">
      <c r="A619" s="456" t="n">
        <v>33922</v>
      </c>
      <c r="B619" s="458" t="s">
        <v>9922</v>
      </c>
      <c r="C619" s="458" t="n">
        <v>2021</v>
      </c>
      <c r="D619" s="459" t="n">
        <v>44354</v>
      </c>
      <c r="E619" s="460" t="s">
        <v>9923</v>
      </c>
      <c r="F619" s="380" t="s">
        <v>4019</v>
      </c>
      <c r="G619" s="460" t="s">
        <v>125</v>
      </c>
      <c r="H619" s="380" t="s">
        <v>3472</v>
      </c>
      <c r="I619" s="459" t="n">
        <v>44911</v>
      </c>
      <c r="J619" s="460" t="n">
        <v>12</v>
      </c>
      <c r="K619" s="466" t="s">
        <v>49</v>
      </c>
      <c r="L619" s="463" t="s">
        <v>61</v>
      </c>
      <c r="M619" s="463" t="n">
        <f aca="false">I619-D619</f>
        <v>557</v>
      </c>
    </row>
    <row r="620" customFormat="false" ht="12.75" hidden="false" customHeight="true" outlineLevel="0" collapsed="false">
      <c r="A620" s="449" t="n">
        <v>34022</v>
      </c>
      <c r="B620" s="450" t="s">
        <v>9924</v>
      </c>
      <c r="C620" s="450" t="n">
        <v>2021</v>
      </c>
      <c r="D620" s="451" t="n">
        <v>44344</v>
      </c>
      <c r="E620" s="452" t="s">
        <v>9925</v>
      </c>
      <c r="F620" s="378" t="s">
        <v>9926</v>
      </c>
      <c r="G620" s="452" t="s">
        <v>125</v>
      </c>
      <c r="H620" s="378" t="s">
        <v>1042</v>
      </c>
      <c r="I620" s="451" t="n">
        <v>44911</v>
      </c>
      <c r="J620" s="452" t="n">
        <v>12</v>
      </c>
      <c r="K620" s="542" t="s">
        <v>290</v>
      </c>
      <c r="L620" s="455" t="s">
        <v>61</v>
      </c>
      <c r="M620" s="455" t="n">
        <f aca="false">I620-D620</f>
        <v>567</v>
      </c>
    </row>
    <row r="621" customFormat="false" ht="12.75" hidden="false" customHeight="true" outlineLevel="0" collapsed="false">
      <c r="A621" s="456" t="n">
        <v>34122</v>
      </c>
      <c r="B621" s="458" t="s">
        <v>9927</v>
      </c>
      <c r="C621" s="458" t="n">
        <v>2016</v>
      </c>
      <c r="D621" s="459" t="n">
        <v>42468</v>
      </c>
      <c r="E621" s="460" t="s">
        <v>9928</v>
      </c>
      <c r="F621" s="380" t="s">
        <v>3981</v>
      </c>
      <c r="G621" s="460" t="s">
        <v>441</v>
      </c>
      <c r="H621" s="380" t="s">
        <v>471</v>
      </c>
      <c r="I621" s="459" t="n">
        <v>44911</v>
      </c>
      <c r="J621" s="460" t="n">
        <v>12</v>
      </c>
      <c r="K621" s="466" t="s">
        <v>48</v>
      </c>
      <c r="L621" s="463" t="s">
        <v>58</v>
      </c>
      <c r="M621" s="463" t="n">
        <f aca="false">I621-D621</f>
        <v>2443</v>
      </c>
    </row>
    <row r="622" customFormat="false" ht="12.75" hidden="false" customHeight="true" outlineLevel="0" collapsed="false">
      <c r="A622" s="449" t="n">
        <v>34222</v>
      </c>
      <c r="B622" s="450" t="s">
        <v>9929</v>
      </c>
      <c r="C622" s="450" t="n">
        <v>2022</v>
      </c>
      <c r="D622" s="451" t="n">
        <v>44797</v>
      </c>
      <c r="E622" s="452" t="s">
        <v>9930</v>
      </c>
      <c r="F622" s="378" t="s">
        <v>856</v>
      </c>
      <c r="G622" s="452" t="s">
        <v>130</v>
      </c>
      <c r="H622" s="378" t="s">
        <v>9673</v>
      </c>
      <c r="I622" s="451" t="n">
        <v>44911</v>
      </c>
      <c r="J622" s="452" t="n">
        <v>12</v>
      </c>
      <c r="K622" s="466" t="s">
        <v>49</v>
      </c>
      <c r="L622" s="455" t="s">
        <v>61</v>
      </c>
      <c r="M622" s="455" t="n">
        <f aca="false">I622-D622</f>
        <v>114</v>
      </c>
    </row>
    <row r="623" customFormat="false" ht="12.75" hidden="false" customHeight="true" outlineLevel="0" collapsed="false">
      <c r="A623" s="456" t="n">
        <v>34322</v>
      </c>
      <c r="B623" s="458" t="s">
        <v>9931</v>
      </c>
      <c r="C623" s="458" t="n">
        <v>2022</v>
      </c>
      <c r="D623" s="459" t="n">
        <v>44812</v>
      </c>
      <c r="E623" s="460" t="s">
        <v>9932</v>
      </c>
      <c r="F623" s="380" t="s">
        <v>376</v>
      </c>
      <c r="G623" s="460" t="s">
        <v>130</v>
      </c>
      <c r="H623" s="380" t="s">
        <v>9933</v>
      </c>
      <c r="I623" s="459" t="n">
        <v>44911</v>
      </c>
      <c r="J623" s="460" t="n">
        <v>12</v>
      </c>
      <c r="K623" s="466" t="s">
        <v>49</v>
      </c>
      <c r="L623" s="463" t="s">
        <v>61</v>
      </c>
      <c r="M623" s="463" t="n">
        <f aca="false">I623-D623</f>
        <v>99</v>
      </c>
    </row>
    <row r="624" customFormat="false" ht="12.75" hidden="false" customHeight="true" outlineLevel="0" collapsed="false">
      <c r="A624" s="449" t="n">
        <v>34422</v>
      </c>
      <c r="B624" s="450" t="s">
        <v>9934</v>
      </c>
      <c r="C624" s="450" t="n">
        <v>2021</v>
      </c>
      <c r="D624" s="451" t="n">
        <v>44503</v>
      </c>
      <c r="E624" s="452" t="s">
        <v>9935</v>
      </c>
      <c r="F624" s="378" t="s">
        <v>9936</v>
      </c>
      <c r="G624" s="452" t="s">
        <v>125</v>
      </c>
      <c r="H624" s="378" t="s">
        <v>6297</v>
      </c>
      <c r="I624" s="451" t="n">
        <v>44911</v>
      </c>
      <c r="J624" s="452" t="n">
        <v>12</v>
      </c>
      <c r="K624" s="542" t="s">
        <v>290</v>
      </c>
      <c r="L624" s="455" t="s">
        <v>61</v>
      </c>
      <c r="M624" s="455" t="n">
        <f aca="false">I624-D624</f>
        <v>408</v>
      </c>
    </row>
    <row r="625" customFormat="false" ht="12.75" hidden="false" customHeight="true" outlineLevel="0" collapsed="false">
      <c r="A625" s="456" t="n">
        <v>34522</v>
      </c>
      <c r="B625" s="458" t="s">
        <v>9937</v>
      </c>
      <c r="C625" s="458" t="n">
        <v>2022</v>
      </c>
      <c r="D625" s="459" t="n">
        <v>44818</v>
      </c>
      <c r="E625" s="460" t="s">
        <v>9938</v>
      </c>
      <c r="F625" s="380" t="s">
        <v>4653</v>
      </c>
      <c r="G625" s="460" t="s">
        <v>130</v>
      </c>
      <c r="H625" s="380" t="s">
        <v>9939</v>
      </c>
      <c r="I625" s="459" t="n">
        <v>44914</v>
      </c>
      <c r="J625" s="460" t="n">
        <v>12</v>
      </c>
      <c r="K625" s="466" t="s">
        <v>49</v>
      </c>
      <c r="L625" s="463" t="s">
        <v>61</v>
      </c>
      <c r="M625" s="463" t="n">
        <f aca="false">I625-D625</f>
        <v>96</v>
      </c>
    </row>
    <row r="626" customFormat="false" ht="12.75" hidden="false" customHeight="true" outlineLevel="0" collapsed="false">
      <c r="A626" s="449" t="n">
        <v>34622</v>
      </c>
      <c r="B626" s="450" t="s">
        <v>9940</v>
      </c>
      <c r="C626" s="450" t="n">
        <v>2015</v>
      </c>
      <c r="D626" s="451" t="n">
        <v>42348</v>
      </c>
      <c r="E626" s="452" t="s">
        <v>9941</v>
      </c>
      <c r="F626" s="378" t="s">
        <v>705</v>
      </c>
      <c r="G626" s="452" t="s">
        <v>441</v>
      </c>
      <c r="H626" s="378" t="s">
        <v>706</v>
      </c>
      <c r="I626" s="451" t="n">
        <v>44914</v>
      </c>
      <c r="J626" s="452" t="n">
        <v>12</v>
      </c>
      <c r="K626" s="466" t="s">
        <v>48</v>
      </c>
      <c r="L626" s="455" t="s">
        <v>58</v>
      </c>
      <c r="M626" s="455" t="n">
        <f aca="false">I626-D626</f>
        <v>2566</v>
      </c>
    </row>
    <row r="627" customFormat="false" ht="12.75" hidden="false" customHeight="true" outlineLevel="0" collapsed="false">
      <c r="A627" s="456" t="n">
        <v>34722</v>
      </c>
      <c r="B627" s="458" t="s">
        <v>9942</v>
      </c>
      <c r="C627" s="458" t="n">
        <v>2015</v>
      </c>
      <c r="D627" s="459" t="n">
        <v>42353</v>
      </c>
      <c r="E627" s="460" t="s">
        <v>9943</v>
      </c>
      <c r="F627" s="380" t="s">
        <v>3418</v>
      </c>
      <c r="G627" s="460" t="s">
        <v>441</v>
      </c>
      <c r="H627" s="380" t="s">
        <v>706</v>
      </c>
      <c r="I627" s="459" t="n">
        <v>44914</v>
      </c>
      <c r="J627" s="460" t="n">
        <v>12</v>
      </c>
      <c r="K627" s="466" t="s">
        <v>48</v>
      </c>
      <c r="L627" s="463" t="s">
        <v>58</v>
      </c>
      <c r="M627" s="463" t="n">
        <f aca="false">I627-D627</f>
        <v>2561</v>
      </c>
    </row>
    <row r="628" customFormat="false" ht="12.75" hidden="false" customHeight="true" outlineLevel="0" collapsed="false">
      <c r="A628" s="449" t="n">
        <v>34822</v>
      </c>
      <c r="B628" s="450" t="s">
        <v>9944</v>
      </c>
      <c r="C628" s="450" t="n">
        <v>2022</v>
      </c>
      <c r="D628" s="451" t="n">
        <v>44568</v>
      </c>
      <c r="E628" s="452" t="s">
        <v>9945</v>
      </c>
      <c r="F628" s="378" t="s">
        <v>9946</v>
      </c>
      <c r="G628" s="452" t="s">
        <v>125</v>
      </c>
      <c r="H628" s="378" t="s">
        <v>9947</v>
      </c>
      <c r="I628" s="451" t="n">
        <v>44914</v>
      </c>
      <c r="J628" s="452" t="n">
        <v>12</v>
      </c>
      <c r="K628" s="466" t="s">
        <v>49</v>
      </c>
      <c r="L628" s="455" t="s">
        <v>61</v>
      </c>
      <c r="M628" s="455" t="n">
        <f aca="false">I628-D628</f>
        <v>346</v>
      </c>
    </row>
    <row r="629" customFormat="false" ht="12.75" hidden="false" customHeight="true" outlineLevel="0" collapsed="false">
      <c r="A629" s="456" t="n">
        <v>34922</v>
      </c>
      <c r="B629" s="458" t="s">
        <v>9948</v>
      </c>
      <c r="C629" s="458" t="n">
        <v>2022</v>
      </c>
      <c r="D629" s="459" t="n">
        <v>44833</v>
      </c>
      <c r="E629" s="460" t="s">
        <v>9949</v>
      </c>
      <c r="F629" s="380" t="s">
        <v>428</v>
      </c>
      <c r="G629" s="460" t="s">
        <v>130</v>
      </c>
      <c r="H629" s="380" t="s">
        <v>9950</v>
      </c>
      <c r="I629" s="459" t="n">
        <v>44914</v>
      </c>
      <c r="J629" s="460" t="n">
        <v>12</v>
      </c>
      <c r="K629" s="466" t="s">
        <v>49</v>
      </c>
      <c r="L629" s="463" t="s">
        <v>61</v>
      </c>
      <c r="M629" s="463" t="n">
        <f aca="false">I629-D629</f>
        <v>81</v>
      </c>
    </row>
    <row r="630" customFormat="false" ht="12.75" hidden="false" customHeight="true" outlineLevel="0" collapsed="false">
      <c r="A630" s="449" t="n">
        <v>35022</v>
      </c>
      <c r="B630" s="450" t="s">
        <v>9951</v>
      </c>
      <c r="C630" s="450" t="n">
        <v>2022</v>
      </c>
      <c r="D630" s="451" t="n">
        <v>44818</v>
      </c>
      <c r="E630" s="452" t="s">
        <v>9952</v>
      </c>
      <c r="F630" s="378" t="s">
        <v>876</v>
      </c>
      <c r="G630" s="452" t="s">
        <v>130</v>
      </c>
      <c r="H630" s="378" t="s">
        <v>9939</v>
      </c>
      <c r="I630" s="451" t="n">
        <v>44914</v>
      </c>
      <c r="J630" s="452" t="n">
        <v>12</v>
      </c>
      <c r="K630" s="466" t="s">
        <v>49</v>
      </c>
      <c r="L630" s="455" t="s">
        <v>61</v>
      </c>
      <c r="M630" s="455" t="n">
        <f aca="false">I630-D630</f>
        <v>96</v>
      </c>
    </row>
    <row r="631" customFormat="false" ht="12.75" hidden="false" customHeight="true" outlineLevel="0" collapsed="false">
      <c r="A631" s="456" t="n">
        <v>35122</v>
      </c>
      <c r="B631" s="458" t="s">
        <v>9953</v>
      </c>
      <c r="C631" s="458" t="n">
        <v>2022</v>
      </c>
      <c r="D631" s="459" t="n">
        <v>44818</v>
      </c>
      <c r="E631" s="460" t="s">
        <v>9954</v>
      </c>
      <c r="F631" s="380" t="s">
        <v>376</v>
      </c>
      <c r="G631" s="460" t="s">
        <v>130</v>
      </c>
      <c r="H631" s="380" t="s">
        <v>9939</v>
      </c>
      <c r="I631" s="459" t="n">
        <v>44915</v>
      </c>
      <c r="J631" s="460" t="n">
        <v>12</v>
      </c>
      <c r="K631" s="466" t="s">
        <v>49</v>
      </c>
      <c r="L631" s="463" t="s">
        <v>61</v>
      </c>
      <c r="M631" s="463" t="n">
        <f aca="false">I631-D631</f>
        <v>97</v>
      </c>
    </row>
    <row r="632" customFormat="false" ht="12.75" hidden="false" customHeight="true" outlineLevel="0" collapsed="false">
      <c r="A632" s="449" t="n">
        <v>35222</v>
      </c>
      <c r="B632" s="450" t="s">
        <v>9955</v>
      </c>
      <c r="C632" s="450" t="n">
        <v>2022</v>
      </c>
      <c r="D632" s="451" t="n">
        <v>44774</v>
      </c>
      <c r="E632" s="452" t="s">
        <v>9956</v>
      </c>
      <c r="F632" s="378" t="s">
        <v>876</v>
      </c>
      <c r="G632" s="452" t="s">
        <v>130</v>
      </c>
      <c r="H632" s="378" t="s">
        <v>4476</v>
      </c>
      <c r="I632" s="451" t="n">
        <v>44915</v>
      </c>
      <c r="J632" s="452" t="n">
        <v>12</v>
      </c>
      <c r="K632" s="466" t="s">
        <v>49</v>
      </c>
      <c r="L632" s="455" t="s">
        <v>61</v>
      </c>
      <c r="M632" s="455" t="n">
        <f aca="false">I632-D632</f>
        <v>141</v>
      </c>
    </row>
    <row r="633" customFormat="false" ht="12.75" hidden="false" customHeight="true" outlineLevel="0" collapsed="false">
      <c r="A633" s="456" t="n">
        <v>35322</v>
      </c>
      <c r="B633" s="458" t="s">
        <v>9957</v>
      </c>
      <c r="C633" s="458" t="n">
        <v>2022</v>
      </c>
      <c r="D633" s="459" t="n">
        <v>44774</v>
      </c>
      <c r="E633" s="460" t="s">
        <v>9958</v>
      </c>
      <c r="F633" s="380" t="s">
        <v>376</v>
      </c>
      <c r="G633" s="460" t="s">
        <v>130</v>
      </c>
      <c r="H633" s="380" t="s">
        <v>9959</v>
      </c>
      <c r="I633" s="459" t="n">
        <v>44915</v>
      </c>
      <c r="J633" s="460" t="n">
        <v>12</v>
      </c>
      <c r="K633" s="466" t="s">
        <v>49</v>
      </c>
      <c r="L633" s="463" t="s">
        <v>61</v>
      </c>
      <c r="M633" s="463" t="n">
        <f aca="false">I633-D633</f>
        <v>141</v>
      </c>
    </row>
    <row r="634" customFormat="false" ht="12.75" hidden="false" customHeight="true" outlineLevel="0" collapsed="false">
      <c r="A634" s="449" t="n">
        <v>35422</v>
      </c>
      <c r="B634" s="450" t="s">
        <v>9960</v>
      </c>
      <c r="C634" s="450" t="n">
        <v>2014</v>
      </c>
      <c r="D634" s="451" t="n">
        <v>41746</v>
      </c>
      <c r="E634" s="452" t="s">
        <v>9961</v>
      </c>
      <c r="F634" s="378" t="s">
        <v>1424</v>
      </c>
      <c r="G634" s="452" t="s">
        <v>144</v>
      </c>
      <c r="H634" s="378" t="s">
        <v>4438</v>
      </c>
      <c r="I634" s="451" t="n">
        <v>44915</v>
      </c>
      <c r="J634" s="452" t="n">
        <v>12</v>
      </c>
      <c r="K634" s="466" t="s">
        <v>49</v>
      </c>
      <c r="L634" s="455" t="s">
        <v>61</v>
      </c>
      <c r="M634" s="455" t="n">
        <f aca="false">I634-D634</f>
        <v>3169</v>
      </c>
    </row>
    <row r="635" customFormat="false" ht="12.75" hidden="false" customHeight="true" outlineLevel="0" collapsed="false">
      <c r="A635" s="456" t="n">
        <v>35522</v>
      </c>
      <c r="B635" s="458" t="s">
        <v>9962</v>
      </c>
      <c r="C635" s="458" t="n">
        <v>2021</v>
      </c>
      <c r="D635" s="459" t="n">
        <v>44517</v>
      </c>
      <c r="E635" s="460" t="s">
        <v>9963</v>
      </c>
      <c r="F635" s="380" t="s">
        <v>9964</v>
      </c>
      <c r="G635" s="460" t="s">
        <v>125</v>
      </c>
      <c r="H635" s="380" t="s">
        <v>9965</v>
      </c>
      <c r="I635" s="459" t="n">
        <v>44915</v>
      </c>
      <c r="J635" s="460" t="n">
        <v>12</v>
      </c>
      <c r="K635" s="466" t="s">
        <v>48</v>
      </c>
      <c r="L635" s="463" t="s">
        <v>61</v>
      </c>
      <c r="M635" s="463" t="n">
        <f aca="false">I635-D635</f>
        <v>398</v>
      </c>
    </row>
    <row r="636" customFormat="false" ht="12.75" hidden="false" customHeight="true" outlineLevel="0" collapsed="false">
      <c r="A636" s="449" t="n">
        <v>35622</v>
      </c>
      <c r="B636" s="450" t="s">
        <v>9966</v>
      </c>
      <c r="C636" s="450" t="n">
        <v>2022</v>
      </c>
      <c r="D636" s="451" t="n">
        <v>44643</v>
      </c>
      <c r="E636" s="452" t="s">
        <v>9967</v>
      </c>
      <c r="F636" s="378" t="s">
        <v>9968</v>
      </c>
      <c r="G636" s="452" t="s">
        <v>125</v>
      </c>
      <c r="H636" s="378" t="s">
        <v>3506</v>
      </c>
      <c r="I636" s="451" t="n">
        <v>44917</v>
      </c>
      <c r="J636" s="452" t="n">
        <v>12</v>
      </c>
      <c r="K636" s="466" t="s">
        <v>49</v>
      </c>
      <c r="L636" s="455" t="s">
        <v>61</v>
      </c>
      <c r="M636" s="455" t="n">
        <f aca="false">I636-D636</f>
        <v>274</v>
      </c>
    </row>
    <row r="637" customFormat="false" ht="12.75" hidden="false" customHeight="true" outlineLevel="0" collapsed="false">
      <c r="A637" s="456" t="n">
        <v>35722</v>
      </c>
      <c r="B637" s="458" t="s">
        <v>9969</v>
      </c>
      <c r="C637" s="458" t="n">
        <v>2021</v>
      </c>
      <c r="D637" s="459" t="n">
        <v>44557</v>
      </c>
      <c r="E637" s="460" t="s">
        <v>9970</v>
      </c>
      <c r="F637" s="380" t="s">
        <v>876</v>
      </c>
      <c r="G637" s="460" t="s">
        <v>130</v>
      </c>
      <c r="H637" s="380" t="s">
        <v>9971</v>
      </c>
      <c r="I637" s="459" t="n">
        <v>44917</v>
      </c>
      <c r="J637" s="460" t="n">
        <v>12</v>
      </c>
      <c r="K637" s="466" t="s">
        <v>49</v>
      </c>
      <c r="L637" s="463" t="s">
        <v>61</v>
      </c>
      <c r="M637" s="463" t="n">
        <f aca="false">I637-D637</f>
        <v>360</v>
      </c>
    </row>
    <row r="638" customFormat="false" ht="12.75" hidden="false" customHeight="true" outlineLevel="0" collapsed="false">
      <c r="A638" s="449" t="n">
        <v>35822</v>
      </c>
      <c r="B638" s="450" t="s">
        <v>9972</v>
      </c>
      <c r="C638" s="450" t="n">
        <v>2016</v>
      </c>
      <c r="D638" s="451" t="n">
        <v>42398</v>
      </c>
      <c r="E638" s="452" t="s">
        <v>9973</v>
      </c>
      <c r="F638" s="378" t="s">
        <v>183</v>
      </c>
      <c r="G638" s="452" t="s">
        <v>441</v>
      </c>
      <c r="H638" s="378" t="s">
        <v>223</v>
      </c>
      <c r="I638" s="451" t="n">
        <v>44917</v>
      </c>
      <c r="J638" s="452" t="n">
        <v>12</v>
      </c>
      <c r="K638" s="466" t="s">
        <v>49</v>
      </c>
      <c r="L638" s="455" t="s">
        <v>60</v>
      </c>
      <c r="M638" s="455" t="n">
        <f aca="false">I638-D638</f>
        <v>2519</v>
      </c>
    </row>
    <row r="639" customFormat="false" ht="12.75" hidden="false" customHeight="true" outlineLevel="0" collapsed="false">
      <c r="A639" s="456" t="n">
        <v>35922</v>
      </c>
      <c r="B639" s="458" t="s">
        <v>9974</v>
      </c>
      <c r="C639" s="458" t="n">
        <v>2017</v>
      </c>
      <c r="D639" s="459" t="n">
        <v>43062</v>
      </c>
      <c r="E639" s="460" t="s">
        <v>9975</v>
      </c>
      <c r="F639" s="380" t="s">
        <v>1324</v>
      </c>
      <c r="G639" s="460" t="s">
        <v>441</v>
      </c>
      <c r="H639" s="380" t="s">
        <v>192</v>
      </c>
      <c r="I639" s="459" t="n">
        <v>44917</v>
      </c>
      <c r="J639" s="460" t="n">
        <v>12</v>
      </c>
      <c r="K639" s="466" t="s">
        <v>49</v>
      </c>
      <c r="L639" s="463" t="s">
        <v>60</v>
      </c>
      <c r="M639" s="463" t="n">
        <f aca="false">I639-D639</f>
        <v>1855</v>
      </c>
    </row>
    <row r="640" customFormat="false" ht="12.75" hidden="false" customHeight="true" outlineLevel="0" collapsed="false">
      <c r="A640" s="449" t="n">
        <v>36022</v>
      </c>
      <c r="B640" s="450" t="s">
        <v>9976</v>
      </c>
      <c r="C640" s="450" t="n">
        <v>2012</v>
      </c>
      <c r="D640" s="451" t="n">
        <v>43640</v>
      </c>
      <c r="E640" s="452" t="s">
        <v>9977</v>
      </c>
      <c r="F640" s="378" t="s">
        <v>3403</v>
      </c>
      <c r="G640" s="452" t="s">
        <v>115</v>
      </c>
      <c r="H640" s="378" t="s">
        <v>119</v>
      </c>
      <c r="I640" s="451" t="n">
        <v>44917</v>
      </c>
      <c r="J640" s="452" t="n">
        <v>12</v>
      </c>
      <c r="K640" s="466" t="s">
        <v>48</v>
      </c>
      <c r="L640" s="455" t="s">
        <v>60</v>
      </c>
      <c r="M640" s="455" t="n">
        <f aca="false">I640-D640</f>
        <v>1277</v>
      </c>
    </row>
    <row r="641" customFormat="false" ht="12.75" hidden="false" customHeight="true" outlineLevel="0" collapsed="false">
      <c r="A641" s="456" t="n">
        <v>36122</v>
      </c>
      <c r="B641" s="458" t="s">
        <v>9978</v>
      </c>
      <c r="C641" s="458" t="n">
        <v>2012</v>
      </c>
      <c r="D641" s="459" t="n">
        <v>41183</v>
      </c>
      <c r="E641" s="460" t="s">
        <v>9979</v>
      </c>
      <c r="F641" s="380" t="s">
        <v>3403</v>
      </c>
      <c r="G641" s="460" t="s">
        <v>115</v>
      </c>
      <c r="H641" s="380" t="s">
        <v>119</v>
      </c>
      <c r="I641" s="459" t="n">
        <v>44917</v>
      </c>
      <c r="J641" s="460" t="n">
        <v>12</v>
      </c>
      <c r="K641" s="466" t="s">
        <v>48</v>
      </c>
      <c r="L641" s="463" t="s">
        <v>60</v>
      </c>
      <c r="M641" s="463" t="n">
        <f aca="false">I641-D641</f>
        <v>3734</v>
      </c>
    </row>
    <row r="642" customFormat="false" ht="12.75" hidden="false" customHeight="true" outlineLevel="0" collapsed="false">
      <c r="A642" s="449" t="n">
        <v>36222</v>
      </c>
      <c r="B642" s="450" t="s">
        <v>9980</v>
      </c>
      <c r="C642" s="450" t="n">
        <v>2012</v>
      </c>
      <c r="D642" s="451" t="n">
        <v>41204</v>
      </c>
      <c r="E642" s="452" t="s">
        <v>9981</v>
      </c>
      <c r="F642" s="378" t="s">
        <v>3403</v>
      </c>
      <c r="G642" s="452" t="s">
        <v>115</v>
      </c>
      <c r="H642" s="378" t="s">
        <v>119</v>
      </c>
      <c r="I642" s="451" t="n">
        <v>44917</v>
      </c>
      <c r="J642" s="452" t="n">
        <v>12</v>
      </c>
      <c r="K642" s="466" t="s">
        <v>48</v>
      </c>
      <c r="L642" s="455" t="s">
        <v>60</v>
      </c>
      <c r="M642" s="455" t="n">
        <f aca="false">I642-D642</f>
        <v>3713</v>
      </c>
    </row>
    <row r="643" customFormat="false" ht="12.75" hidden="false" customHeight="true" outlineLevel="0" collapsed="false">
      <c r="A643" s="456" t="n">
        <v>36322</v>
      </c>
      <c r="B643" s="458" t="s">
        <v>9982</v>
      </c>
      <c r="C643" s="458" t="n">
        <v>2016</v>
      </c>
      <c r="D643" s="459" t="n">
        <v>42727</v>
      </c>
      <c r="E643" s="460" t="s">
        <v>9983</v>
      </c>
      <c r="F643" s="380" t="s">
        <v>7373</v>
      </c>
      <c r="G643" s="460" t="s">
        <v>441</v>
      </c>
      <c r="H643" s="380" t="s">
        <v>2677</v>
      </c>
      <c r="I643" s="459" t="n">
        <v>44917</v>
      </c>
      <c r="J643" s="460" t="n">
        <v>12</v>
      </c>
      <c r="K643" s="466" t="s">
        <v>49</v>
      </c>
      <c r="L643" s="463" t="s">
        <v>60</v>
      </c>
      <c r="M643" s="463" t="n">
        <f aca="false">I643-D643</f>
        <v>2190</v>
      </c>
    </row>
    <row r="644" customFormat="false" ht="12.75" hidden="false" customHeight="true" outlineLevel="0" collapsed="false">
      <c r="A644" s="449" t="n">
        <v>36422</v>
      </c>
      <c r="B644" s="450" t="s">
        <v>9984</v>
      </c>
      <c r="C644" s="450" t="n">
        <v>2016</v>
      </c>
      <c r="D644" s="451" t="n">
        <v>42389</v>
      </c>
      <c r="E644" s="452" t="s">
        <v>9985</v>
      </c>
      <c r="F644" s="378" t="s">
        <v>157</v>
      </c>
      <c r="G644" s="452" t="s">
        <v>441</v>
      </c>
      <c r="H644" s="378" t="s">
        <v>1501</v>
      </c>
      <c r="I644" s="451" t="n">
        <v>44917</v>
      </c>
      <c r="J644" s="452" t="n">
        <v>12</v>
      </c>
      <c r="K644" s="466" t="s">
        <v>49</v>
      </c>
      <c r="L644" s="455" t="s">
        <v>58</v>
      </c>
      <c r="M644" s="455" t="n">
        <f aca="false">I644-D644</f>
        <v>2528</v>
      </c>
    </row>
    <row r="645" customFormat="false" ht="12.75" hidden="false" customHeight="true" outlineLevel="0" collapsed="false">
      <c r="A645" s="456" t="n">
        <v>36522</v>
      </c>
      <c r="B645" s="458" t="s">
        <v>9986</v>
      </c>
      <c r="C645" s="458" t="n">
        <v>2012</v>
      </c>
      <c r="D645" s="459" t="n">
        <v>41225</v>
      </c>
      <c r="E645" s="460" t="s">
        <v>9987</v>
      </c>
      <c r="F645" s="380" t="s">
        <v>9988</v>
      </c>
      <c r="G645" s="460" t="s">
        <v>144</v>
      </c>
      <c r="H645" s="380" t="s">
        <v>119</v>
      </c>
      <c r="I645" s="459" t="n">
        <v>44917</v>
      </c>
      <c r="J645" s="460" t="n">
        <v>12</v>
      </c>
      <c r="K645" s="466" t="s">
        <v>49</v>
      </c>
      <c r="L645" s="463" t="s">
        <v>58</v>
      </c>
      <c r="M645" s="463" t="n">
        <f aca="false">I645-D645</f>
        <v>3692</v>
      </c>
    </row>
    <row r="646" customFormat="false" ht="12.75" hidden="false" customHeight="true" outlineLevel="0" collapsed="false">
      <c r="A646" s="449" t="n">
        <v>36622</v>
      </c>
      <c r="B646" s="450" t="s">
        <v>9989</v>
      </c>
      <c r="C646" s="450" t="n">
        <v>2022</v>
      </c>
      <c r="D646" s="451" t="n">
        <v>44568</v>
      </c>
      <c r="E646" s="452" t="s">
        <v>9990</v>
      </c>
      <c r="F646" s="378" t="s">
        <v>3946</v>
      </c>
      <c r="G646" s="452" t="s">
        <v>125</v>
      </c>
      <c r="H646" s="378" t="s">
        <v>9991</v>
      </c>
      <c r="I646" s="451" t="n">
        <v>44917</v>
      </c>
      <c r="J646" s="452" t="n">
        <v>12</v>
      </c>
      <c r="K646" s="542" t="s">
        <v>290</v>
      </c>
      <c r="L646" s="455" t="s">
        <v>61</v>
      </c>
      <c r="M646" s="455" t="n">
        <f aca="false">I646-D646</f>
        <v>349</v>
      </c>
    </row>
    <row r="647" customFormat="false" ht="12.75" hidden="false" customHeight="true" outlineLevel="0" collapsed="false">
      <c r="A647" s="456" t="n">
        <v>36722</v>
      </c>
      <c r="B647" s="458" t="s">
        <v>9992</v>
      </c>
      <c r="C647" s="458" t="n">
        <v>2012</v>
      </c>
      <c r="D647" s="459" t="n">
        <v>41205</v>
      </c>
      <c r="E647" s="460" t="s">
        <v>9993</v>
      </c>
      <c r="F647" s="380" t="s">
        <v>9988</v>
      </c>
      <c r="G647" s="460" t="s">
        <v>144</v>
      </c>
      <c r="H647" s="380" t="s">
        <v>119</v>
      </c>
      <c r="I647" s="459" t="n">
        <v>44917</v>
      </c>
      <c r="J647" s="460" t="n">
        <v>12</v>
      </c>
      <c r="K647" s="466" t="s">
        <v>49</v>
      </c>
      <c r="L647" s="463" t="s">
        <v>58</v>
      </c>
      <c r="M647" s="463" t="n">
        <f aca="false">I647-D647</f>
        <v>3712</v>
      </c>
    </row>
    <row r="648" customFormat="false" ht="12.75" hidden="false" customHeight="true" outlineLevel="0" collapsed="false">
      <c r="A648" s="449" t="n">
        <v>36822</v>
      </c>
      <c r="B648" s="450" t="s">
        <v>9994</v>
      </c>
      <c r="C648" s="450" t="n">
        <v>2015</v>
      </c>
      <c r="D648" s="451" t="n">
        <v>42026</v>
      </c>
      <c r="E648" s="452" t="s">
        <v>9995</v>
      </c>
      <c r="F648" s="378" t="s">
        <v>1916</v>
      </c>
      <c r="G648" s="452" t="s">
        <v>441</v>
      </c>
      <c r="H648" s="378" t="s">
        <v>817</v>
      </c>
      <c r="I648" s="451" t="n">
        <v>44917</v>
      </c>
      <c r="J648" s="452" t="n">
        <v>12</v>
      </c>
      <c r="K648" s="535" t="s">
        <v>44</v>
      </c>
      <c r="L648" s="455" t="s">
        <v>58</v>
      </c>
      <c r="M648" s="455" t="n">
        <f aca="false">I648-D648</f>
        <v>2891</v>
      </c>
    </row>
    <row r="649" customFormat="false" ht="12.75" hidden="false" customHeight="true" outlineLevel="0" collapsed="false">
      <c r="A649" s="456" t="n">
        <v>36922</v>
      </c>
      <c r="B649" s="458" t="s">
        <v>9996</v>
      </c>
      <c r="C649" s="458" t="n">
        <v>2016</v>
      </c>
      <c r="D649" s="459" t="n">
        <v>42375</v>
      </c>
      <c r="E649" s="460" t="s">
        <v>9997</v>
      </c>
      <c r="F649" s="380" t="s">
        <v>1277</v>
      </c>
      <c r="G649" s="460" t="s">
        <v>441</v>
      </c>
      <c r="H649" s="380" t="s">
        <v>223</v>
      </c>
      <c r="I649" s="459" t="n">
        <v>44918</v>
      </c>
      <c r="J649" s="460" t="n">
        <v>12</v>
      </c>
      <c r="K649" s="543" t="s">
        <v>46</v>
      </c>
      <c r="L649" s="463" t="s">
        <v>58</v>
      </c>
      <c r="M649" s="463" t="n">
        <f aca="false">I649-D649</f>
        <v>2543</v>
      </c>
    </row>
    <row r="650" customFormat="false" ht="12.75" hidden="false" customHeight="true" outlineLevel="0" collapsed="false">
      <c r="A650" s="449" t="n">
        <v>37022</v>
      </c>
      <c r="B650" s="450" t="s">
        <v>9998</v>
      </c>
      <c r="C650" s="450" t="n">
        <v>2013</v>
      </c>
      <c r="D650" s="451" t="n">
        <v>41613</v>
      </c>
      <c r="E650" s="452" t="s">
        <v>9999</v>
      </c>
      <c r="F650" s="378" t="s">
        <v>10000</v>
      </c>
      <c r="G650" s="452" t="s">
        <v>441</v>
      </c>
      <c r="H650" s="378" t="s">
        <v>1072</v>
      </c>
      <c r="I650" s="451" t="n">
        <v>44922</v>
      </c>
      <c r="J650" s="452" t="n">
        <v>12</v>
      </c>
      <c r="K650" s="543" t="s">
        <v>46</v>
      </c>
      <c r="L650" s="455" t="s">
        <v>58</v>
      </c>
      <c r="M650" s="455" t="n">
        <f aca="false">I650-D650</f>
        <v>3309</v>
      </c>
    </row>
    <row r="651" customFormat="false" ht="12.75" hidden="false" customHeight="true" outlineLevel="0" collapsed="false">
      <c r="A651" s="456" t="n">
        <v>37122</v>
      </c>
      <c r="B651" s="458" t="s">
        <v>10001</v>
      </c>
      <c r="C651" s="458" t="n">
        <v>2021</v>
      </c>
      <c r="D651" s="459" t="n">
        <v>44434</v>
      </c>
      <c r="E651" s="460" t="s">
        <v>10002</v>
      </c>
      <c r="F651" s="380" t="s">
        <v>10003</v>
      </c>
      <c r="G651" s="460" t="s">
        <v>125</v>
      </c>
      <c r="H651" s="380" t="s">
        <v>10004</v>
      </c>
      <c r="I651" s="459" t="n">
        <v>44922</v>
      </c>
      <c r="J651" s="460" t="n">
        <v>12</v>
      </c>
      <c r="K651" s="466" t="s">
        <v>49</v>
      </c>
      <c r="L651" s="463" t="s">
        <v>61</v>
      </c>
      <c r="M651" s="463" t="n">
        <f aca="false">I651-D651</f>
        <v>488</v>
      </c>
    </row>
    <row r="652" customFormat="false" ht="12.75" hidden="false" customHeight="true" outlineLevel="0" collapsed="false">
      <c r="A652" s="449" t="n">
        <v>37222</v>
      </c>
      <c r="B652" s="450" t="s">
        <v>10005</v>
      </c>
      <c r="C652" s="450" t="n">
        <v>2021</v>
      </c>
      <c r="D652" s="451" t="n">
        <v>44439</v>
      </c>
      <c r="E652" s="452" t="s">
        <v>10006</v>
      </c>
      <c r="F652" s="378" t="s">
        <v>10003</v>
      </c>
      <c r="G652" s="452" t="s">
        <v>125</v>
      </c>
      <c r="H652" s="378" t="s">
        <v>10004</v>
      </c>
      <c r="I652" s="451" t="n">
        <v>44922</v>
      </c>
      <c r="J652" s="452" t="n">
        <v>12</v>
      </c>
      <c r="K652" s="466" t="s">
        <v>49</v>
      </c>
      <c r="L652" s="455" t="s">
        <v>61</v>
      </c>
      <c r="M652" s="455" t="n">
        <f aca="false">I652-D652</f>
        <v>483</v>
      </c>
    </row>
    <row r="653" customFormat="false" ht="12.75" hidden="false" customHeight="true" outlineLevel="0" collapsed="false">
      <c r="A653" s="456" t="n">
        <v>37322</v>
      </c>
      <c r="B653" s="458" t="s">
        <v>10007</v>
      </c>
      <c r="C653" s="458" t="n">
        <v>2015</v>
      </c>
      <c r="D653" s="459" t="n">
        <v>42242</v>
      </c>
      <c r="E653" s="460" t="s">
        <v>10008</v>
      </c>
      <c r="F653" s="380" t="s">
        <v>816</v>
      </c>
      <c r="G653" s="460" t="s">
        <v>441</v>
      </c>
      <c r="H653" s="380" t="s">
        <v>6570</v>
      </c>
      <c r="I653" s="459" t="n">
        <v>44922</v>
      </c>
      <c r="J653" s="460" t="n">
        <v>12</v>
      </c>
      <c r="K653" s="544" t="s">
        <v>49</v>
      </c>
      <c r="L653" s="463" t="s">
        <v>60</v>
      </c>
      <c r="M653" s="463" t="n">
        <f aca="false">I653-D653</f>
        <v>2680</v>
      </c>
    </row>
  </sheetData>
  <autoFilter ref="A1:M653">
    <sortState ref="A2:M653">
      <sortCondition ref="A2:A653"/>
    </sortState>
  </autoFilter>
  <mergeCells count="78">
    <mergeCell ref="O2:P2"/>
    <mergeCell ref="O14:S15"/>
    <mergeCell ref="O16:S16"/>
    <mergeCell ref="O17:S17"/>
    <mergeCell ref="O18:S18"/>
    <mergeCell ref="O19:S19"/>
    <mergeCell ref="O20:S20"/>
    <mergeCell ref="O21:S21"/>
    <mergeCell ref="O22:S22"/>
    <mergeCell ref="O23:S23"/>
    <mergeCell ref="O24:S24"/>
    <mergeCell ref="O26:S27"/>
    <mergeCell ref="P28:R28"/>
    <mergeCell ref="P29:R29"/>
    <mergeCell ref="P30:R30"/>
    <mergeCell ref="P31:R31"/>
    <mergeCell ref="P32:R32"/>
    <mergeCell ref="P33:R33"/>
    <mergeCell ref="P34:R34"/>
    <mergeCell ref="P35:R35"/>
    <mergeCell ref="P36:R36"/>
    <mergeCell ref="P37:R37"/>
    <mergeCell ref="P38:R38"/>
    <mergeCell ref="P39:R39"/>
    <mergeCell ref="P40:R40"/>
    <mergeCell ref="P41:R41"/>
    <mergeCell ref="P42:R42"/>
    <mergeCell ref="P43:R43"/>
    <mergeCell ref="P44:R44"/>
    <mergeCell ref="O46:S47"/>
    <mergeCell ref="P48:R48"/>
    <mergeCell ref="P49:R49"/>
    <mergeCell ref="P50:R50"/>
    <mergeCell ref="P51:R51"/>
    <mergeCell ref="P52:R52"/>
    <mergeCell ref="P53:R53"/>
    <mergeCell ref="P54:R54"/>
    <mergeCell ref="P55:R55"/>
    <mergeCell ref="P56:R56"/>
    <mergeCell ref="P57:R57"/>
    <mergeCell ref="P58:R58"/>
    <mergeCell ref="P59:R59"/>
    <mergeCell ref="P60:R60"/>
    <mergeCell ref="P61:R61"/>
    <mergeCell ref="O63:T64"/>
    <mergeCell ref="O65:R65"/>
    <mergeCell ref="O66:R66"/>
    <mergeCell ref="O67:R67"/>
    <mergeCell ref="O68:R68"/>
    <mergeCell ref="O69:R69"/>
    <mergeCell ref="O70:R70"/>
    <mergeCell ref="O71:R71"/>
    <mergeCell ref="O72:R72"/>
    <mergeCell ref="O73:R73"/>
    <mergeCell ref="O74:R74"/>
    <mergeCell ref="O75:R75"/>
    <mergeCell ref="O76:R76"/>
    <mergeCell ref="O77:R77"/>
    <mergeCell ref="O78:R78"/>
    <mergeCell ref="O80:T81"/>
    <mergeCell ref="O82:R82"/>
    <mergeCell ref="O83:R83"/>
    <mergeCell ref="O84:R84"/>
    <mergeCell ref="O85:R85"/>
    <mergeCell ref="O86:R86"/>
    <mergeCell ref="O87:R87"/>
    <mergeCell ref="O89:R90"/>
    <mergeCell ref="P91:R91"/>
    <mergeCell ref="P92:R92"/>
    <mergeCell ref="P93:R93"/>
    <mergeCell ref="P94:R94"/>
    <mergeCell ref="P95:R95"/>
    <mergeCell ref="P96:R96"/>
    <mergeCell ref="P97:R97"/>
    <mergeCell ref="P98:R98"/>
    <mergeCell ref="P99:R99"/>
    <mergeCell ref="P100:R100"/>
    <mergeCell ref="P101:R101"/>
  </mergeCells>
  <conditionalFormatting sqref="I2:I40 I44">
    <cfRule type="timePeriod" priority="2" timePeriod="today" dxfId="97"/>
  </conditionalFormatting>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true">
    <pageSetUpPr fitToPage="true"/>
  </sheetPr>
  <dimension ref="A1:T56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M44" activePane="bottomRight" state="frozen"/>
      <selection pane="topLeft" activeCell="A1" activeCellId="0" sqref="A1"/>
      <selection pane="topRight" activeCell="M1" activeCellId="0" sqref="M1"/>
      <selection pane="bottomLeft" activeCell="A44" activeCellId="0" sqref="A44"/>
      <selection pane="bottomRight" activeCell="F1" activeCellId="0" sqref="F1"/>
    </sheetView>
  </sheetViews>
  <sheetFormatPr defaultColWidth="14.2890625" defaultRowHeight="12.75" customHeight="false" zeroHeight="false" outlineLevelRow="0" outlineLevelCol="0"/>
  <cols>
    <col collapsed="false" customWidth="true" hidden="false" outlineLevel="0" max="1" min="1" style="0" width="20"/>
    <col collapsed="false" customWidth="true" hidden="false" outlineLevel="0" max="2" min="2" style="0" width="27.43"/>
    <col collapsed="false" customWidth="true" hidden="false" outlineLevel="0" max="4" min="3" style="0" width="24.85"/>
    <col collapsed="false" customWidth="true" hidden="false" outlineLevel="0" max="5" min="5" style="0" width="47.71"/>
    <col collapsed="false" customWidth="true" hidden="false" outlineLevel="0" max="6" min="6" style="0" width="79.43"/>
    <col collapsed="false" customWidth="true" hidden="false" outlineLevel="0" max="7" min="7" style="0" width="15.42"/>
    <col collapsed="false" customWidth="true" hidden="false" outlineLevel="0" max="8" min="8" style="0" width="22.29"/>
    <col collapsed="false" customWidth="true" hidden="false" outlineLevel="0" max="9" min="9" style="0" width="22.42"/>
    <col collapsed="false" customWidth="true" hidden="false" outlineLevel="0" max="10" min="10" style="0" width="14.71"/>
    <col collapsed="false" customWidth="true" hidden="false" outlineLevel="0" max="11" min="11" style="0" width="82.42"/>
    <col collapsed="false" customWidth="true" hidden="false" outlineLevel="0" max="12" min="12" style="0" width="76.14"/>
    <col collapsed="false" customWidth="true" hidden="false" outlineLevel="0" max="13" min="13" style="0" width="57.85"/>
    <col collapsed="false" customWidth="true" hidden="false" outlineLevel="0" max="14" min="14" style="0" width="7.71"/>
    <col collapsed="false" customWidth="true" hidden="false" outlineLevel="0" max="15" min="15" style="0" width="27.14"/>
    <col collapsed="false" customWidth="true" hidden="false" outlineLevel="0" max="16" min="16" style="0" width="9.85"/>
    <col collapsed="false" customWidth="true" hidden="false" outlineLevel="0" max="17" min="17" style="0" width="3.42"/>
    <col collapsed="false" customWidth="true" hidden="false" outlineLevel="0" max="18" min="18" style="0" width="39"/>
    <col collapsed="false" customWidth="true" hidden="false" outlineLevel="0" max="19" min="19" style="0" width="62.85"/>
    <col collapsed="false" customWidth="true" hidden="false" outlineLevel="0" max="20" min="20" style="0" width="13.71"/>
    <col collapsed="false" customWidth="true" hidden="false" outlineLevel="0" max="21" min="21" style="0" width="18.14"/>
    <col collapsed="false" customWidth="true" hidden="false" outlineLevel="0" max="26" min="22" style="0" width="8.71"/>
  </cols>
  <sheetData>
    <row r="1" customFormat="false" ht="12.75" hidden="false" customHeight="true" outlineLevel="0" collapsed="false">
      <c r="A1" s="276" t="s">
        <v>92</v>
      </c>
      <c r="B1" s="277" t="s">
        <v>93</v>
      </c>
      <c r="C1" s="277" t="s">
        <v>89</v>
      </c>
      <c r="D1" s="278" t="s">
        <v>94</v>
      </c>
      <c r="E1" s="277" t="s">
        <v>95</v>
      </c>
      <c r="F1" s="277" t="s">
        <v>96</v>
      </c>
      <c r="G1" s="277" t="s">
        <v>97</v>
      </c>
      <c r="H1" s="277" t="s">
        <v>98</v>
      </c>
      <c r="I1" s="278" t="s">
        <v>99</v>
      </c>
      <c r="J1" s="277" t="s">
        <v>100</v>
      </c>
      <c r="K1" s="277" t="s">
        <v>101</v>
      </c>
      <c r="L1" s="277" t="s">
        <v>102</v>
      </c>
      <c r="M1" s="279" t="s">
        <v>103</v>
      </c>
      <c r="N1" s="146"/>
      <c r="O1" s="146"/>
      <c r="P1" s="146"/>
      <c r="Q1" s="146"/>
      <c r="R1" s="146"/>
      <c r="S1" s="146"/>
    </row>
    <row r="2" customFormat="false" ht="15" hidden="false" customHeight="true" outlineLevel="0" collapsed="false">
      <c r="A2" s="456" t="s">
        <v>10009</v>
      </c>
      <c r="B2" s="458" t="s">
        <v>10010</v>
      </c>
      <c r="C2" s="458" t="n">
        <v>2017</v>
      </c>
      <c r="D2" s="459" t="n">
        <v>43073</v>
      </c>
      <c r="E2" s="380" t="s">
        <v>10011</v>
      </c>
      <c r="F2" s="460" t="s">
        <v>113</v>
      </c>
      <c r="G2" s="460" t="s">
        <v>1174</v>
      </c>
      <c r="H2" s="380" t="s">
        <v>254</v>
      </c>
      <c r="I2" s="459" t="n">
        <v>44225</v>
      </c>
      <c r="J2" s="460" t="n">
        <v>1</v>
      </c>
      <c r="K2" s="460" t="s">
        <v>10012</v>
      </c>
      <c r="L2" s="460" t="s">
        <v>10013</v>
      </c>
      <c r="M2" s="545" t="n">
        <f aca="false">I2-D2</f>
        <v>1152</v>
      </c>
      <c r="N2" s="146"/>
      <c r="O2" s="280" t="s">
        <v>10014</v>
      </c>
      <c r="P2" s="280"/>
      <c r="Q2" s="146"/>
      <c r="R2" s="146"/>
      <c r="S2" s="146"/>
    </row>
    <row r="3" customFormat="false" ht="15" hidden="false" customHeight="true" outlineLevel="0" collapsed="false">
      <c r="A3" s="449" t="s">
        <v>10015</v>
      </c>
      <c r="B3" s="450" t="s">
        <v>10016</v>
      </c>
      <c r="C3" s="450" t="n">
        <v>2013</v>
      </c>
      <c r="D3" s="451" t="n">
        <v>41365</v>
      </c>
      <c r="E3" s="452" t="s">
        <v>10017</v>
      </c>
      <c r="F3" s="452" t="s">
        <v>1817</v>
      </c>
      <c r="G3" s="378" t="s">
        <v>1174</v>
      </c>
      <c r="H3" s="378" t="s">
        <v>354</v>
      </c>
      <c r="I3" s="451" t="n">
        <v>44225</v>
      </c>
      <c r="J3" s="452" t="n">
        <v>1</v>
      </c>
      <c r="K3" s="452" t="s">
        <v>10012</v>
      </c>
      <c r="L3" s="452" t="s">
        <v>10018</v>
      </c>
      <c r="M3" s="546" t="n">
        <f aca="false">I3-D3</f>
        <v>2860</v>
      </c>
      <c r="N3" s="146"/>
      <c r="O3" s="281" t="s">
        <v>1182</v>
      </c>
      <c r="P3" s="281" t="n">
        <f aca="false">COUNTIF($G$2:$G$564,"PT")</f>
        <v>1</v>
      </c>
      <c r="Q3" s="146"/>
      <c r="R3" s="153"/>
      <c r="S3" s="146"/>
    </row>
    <row r="4" customFormat="false" ht="15" hidden="false" customHeight="true" outlineLevel="0" collapsed="false">
      <c r="A4" s="456" t="s">
        <v>10019</v>
      </c>
      <c r="B4" s="458" t="s">
        <v>10020</v>
      </c>
      <c r="C4" s="458" t="n">
        <v>2017</v>
      </c>
      <c r="D4" s="459" t="n">
        <v>42996</v>
      </c>
      <c r="E4" s="380" t="s">
        <v>10021</v>
      </c>
      <c r="F4" s="460" t="s">
        <v>180</v>
      </c>
      <c r="G4" s="460" t="s">
        <v>1174</v>
      </c>
      <c r="H4" s="380" t="s">
        <v>192</v>
      </c>
      <c r="I4" s="459" t="n">
        <v>44225</v>
      </c>
      <c r="J4" s="460" t="n">
        <v>1</v>
      </c>
      <c r="K4" s="460" t="s">
        <v>10012</v>
      </c>
      <c r="L4" s="460" t="s">
        <v>10018</v>
      </c>
      <c r="M4" s="545" t="n">
        <f aca="false">I4-D4</f>
        <v>1229</v>
      </c>
      <c r="N4" s="153"/>
      <c r="O4" s="282" t="s">
        <v>1188</v>
      </c>
      <c r="P4" s="282" t="n">
        <f aca="false">COUNTIF($G$2:$G$564,"PTN")</f>
        <v>7</v>
      </c>
      <c r="Q4" s="153"/>
      <c r="R4" s="153"/>
      <c r="S4" s="153"/>
    </row>
    <row r="5" customFormat="false" ht="15" hidden="false" customHeight="true" outlineLevel="0" collapsed="false">
      <c r="A5" s="449" t="s">
        <v>10022</v>
      </c>
      <c r="B5" s="450" t="s">
        <v>10023</v>
      </c>
      <c r="C5" s="450" t="n">
        <v>2018</v>
      </c>
      <c r="D5" s="451" t="n">
        <v>43158</v>
      </c>
      <c r="E5" s="452" t="s">
        <v>10024</v>
      </c>
      <c r="F5" s="452" t="s">
        <v>1916</v>
      </c>
      <c r="G5" s="378" t="s">
        <v>1174</v>
      </c>
      <c r="H5" s="378" t="s">
        <v>1740</v>
      </c>
      <c r="I5" s="451" t="n">
        <v>44225</v>
      </c>
      <c r="J5" s="452" t="n">
        <v>1</v>
      </c>
      <c r="K5" s="452" t="s">
        <v>10012</v>
      </c>
      <c r="L5" s="452" t="s">
        <v>10018</v>
      </c>
      <c r="M5" s="546" t="n">
        <f aca="false">I5-D5</f>
        <v>1067</v>
      </c>
      <c r="N5" s="153"/>
      <c r="O5" s="283" t="s">
        <v>1192</v>
      </c>
      <c r="P5" s="283" t="n">
        <f aca="false">COUNTIF($G$2:$G$564,"PTE")</f>
        <v>182</v>
      </c>
      <c r="Q5" s="153"/>
      <c r="R5" s="153"/>
      <c r="S5" s="153"/>
    </row>
    <row r="6" customFormat="false" ht="15" hidden="false" customHeight="true" outlineLevel="0" collapsed="false">
      <c r="A6" s="456" t="s">
        <v>10025</v>
      </c>
      <c r="B6" s="458" t="s">
        <v>10026</v>
      </c>
      <c r="C6" s="458" t="n">
        <v>2020</v>
      </c>
      <c r="D6" s="459" t="n">
        <v>43902</v>
      </c>
      <c r="E6" s="380" t="s">
        <v>10027</v>
      </c>
      <c r="F6" s="460" t="s">
        <v>1373</v>
      </c>
      <c r="G6" s="460" t="s">
        <v>1174</v>
      </c>
      <c r="H6" s="380" t="s">
        <v>3727</v>
      </c>
      <c r="I6" s="459" t="n">
        <v>44225</v>
      </c>
      <c r="J6" s="460" t="n">
        <v>1</v>
      </c>
      <c r="K6" s="460" t="s">
        <v>10012</v>
      </c>
      <c r="L6" s="460" t="s">
        <v>10013</v>
      </c>
      <c r="M6" s="545" t="n">
        <f aca="false">I6-D6</f>
        <v>323</v>
      </c>
      <c r="N6" s="153"/>
      <c r="O6" s="282" t="s">
        <v>8</v>
      </c>
      <c r="P6" s="282" t="n">
        <f aca="false">COUNTIF($G$2:$G$564,"Pré-Mistura")</f>
        <v>1</v>
      </c>
      <c r="Q6" s="153"/>
      <c r="R6" s="153"/>
      <c r="S6" s="153"/>
    </row>
    <row r="7" customFormat="false" ht="15" hidden="false" customHeight="true" outlineLevel="0" collapsed="false">
      <c r="A7" s="449" t="s">
        <v>10028</v>
      </c>
      <c r="B7" s="450" t="s">
        <v>10029</v>
      </c>
      <c r="C7" s="450" t="n">
        <v>2019</v>
      </c>
      <c r="D7" s="451" t="n">
        <v>43535</v>
      </c>
      <c r="E7" s="452" t="s">
        <v>10030</v>
      </c>
      <c r="F7" s="452" t="s">
        <v>1357</v>
      </c>
      <c r="G7" s="378" t="s">
        <v>1174</v>
      </c>
      <c r="H7" s="378" t="s">
        <v>223</v>
      </c>
      <c r="I7" s="451" t="n">
        <v>44225</v>
      </c>
      <c r="J7" s="452" t="n">
        <v>1</v>
      </c>
      <c r="K7" s="452" t="s">
        <v>10012</v>
      </c>
      <c r="L7" s="452" t="s">
        <v>10013</v>
      </c>
      <c r="M7" s="546" t="n">
        <f aca="false">I7-D7</f>
        <v>690</v>
      </c>
      <c r="N7" s="153"/>
      <c r="O7" s="283" t="s">
        <v>110</v>
      </c>
      <c r="P7" s="283" t="n">
        <f aca="false">COUNTIF($G$2:$G$564,"PF")</f>
        <v>60</v>
      </c>
      <c r="Q7" s="153"/>
      <c r="R7" s="153"/>
      <c r="S7" s="153"/>
    </row>
    <row r="8" customFormat="false" ht="15" hidden="false" customHeight="true" outlineLevel="0" collapsed="false">
      <c r="A8" s="456" t="s">
        <v>10031</v>
      </c>
      <c r="B8" s="458" t="s">
        <v>10032</v>
      </c>
      <c r="C8" s="458" t="n">
        <v>2019</v>
      </c>
      <c r="D8" s="459" t="n">
        <v>43724</v>
      </c>
      <c r="E8" s="380" t="s">
        <v>10033</v>
      </c>
      <c r="F8" s="460" t="s">
        <v>365</v>
      </c>
      <c r="G8" s="460" t="s">
        <v>1174</v>
      </c>
      <c r="H8" s="380" t="s">
        <v>1740</v>
      </c>
      <c r="I8" s="459" t="n">
        <v>44225</v>
      </c>
      <c r="J8" s="460" t="n">
        <v>1</v>
      </c>
      <c r="K8" s="460" t="s">
        <v>10012</v>
      </c>
      <c r="L8" s="460" t="s">
        <v>10013</v>
      </c>
      <c r="M8" s="545" t="n">
        <f aca="false">I8-D8</f>
        <v>501</v>
      </c>
      <c r="N8" s="153"/>
      <c r="O8" s="282" t="s">
        <v>115</v>
      </c>
      <c r="P8" s="282" t="n">
        <f aca="false">COUNTIF($G$2:$G$564,"PFN")</f>
        <v>12</v>
      </c>
      <c r="Q8" s="153"/>
      <c r="R8" s="153"/>
      <c r="S8" s="153"/>
    </row>
    <row r="9" customFormat="false" ht="15" hidden="false" customHeight="true" outlineLevel="0" collapsed="false">
      <c r="A9" s="449" t="s">
        <v>10034</v>
      </c>
      <c r="B9" s="450" t="s">
        <v>10035</v>
      </c>
      <c r="C9" s="450" t="n">
        <v>2019</v>
      </c>
      <c r="D9" s="451" t="n">
        <v>43801</v>
      </c>
      <c r="E9" s="452" t="s">
        <v>10036</v>
      </c>
      <c r="F9" s="452" t="s">
        <v>671</v>
      </c>
      <c r="G9" s="378" t="s">
        <v>1174</v>
      </c>
      <c r="H9" s="378" t="s">
        <v>192</v>
      </c>
      <c r="I9" s="451" t="n">
        <v>44225</v>
      </c>
      <c r="J9" s="452" t="n">
        <v>1</v>
      </c>
      <c r="K9" s="452" t="s">
        <v>10012</v>
      </c>
      <c r="L9" s="452" t="s">
        <v>2848</v>
      </c>
      <c r="M9" s="546" t="n">
        <f aca="false">I9-D9</f>
        <v>424</v>
      </c>
      <c r="N9" s="153"/>
      <c r="O9" s="283" t="s">
        <v>120</v>
      </c>
      <c r="P9" s="283" t="n">
        <f aca="false">COUNTIF($G$2:$G$564,"PF/PTE")</f>
        <v>207</v>
      </c>
      <c r="Q9" s="153"/>
      <c r="R9" s="153"/>
      <c r="S9" s="153"/>
    </row>
    <row r="10" customFormat="false" ht="15" hidden="false" customHeight="true" outlineLevel="0" collapsed="false">
      <c r="A10" s="456" t="s">
        <v>10037</v>
      </c>
      <c r="B10" s="458" t="s">
        <v>10038</v>
      </c>
      <c r="C10" s="458" t="n">
        <v>2020</v>
      </c>
      <c r="D10" s="459" t="n">
        <v>43895</v>
      </c>
      <c r="E10" s="380" t="s">
        <v>10039</v>
      </c>
      <c r="F10" s="460" t="s">
        <v>689</v>
      </c>
      <c r="G10" s="460" t="s">
        <v>1174</v>
      </c>
      <c r="H10" s="380" t="s">
        <v>243</v>
      </c>
      <c r="I10" s="459" t="n">
        <v>44225</v>
      </c>
      <c r="J10" s="460" t="n">
        <v>1</v>
      </c>
      <c r="K10" s="460" t="s">
        <v>10012</v>
      </c>
      <c r="L10" s="460" t="s">
        <v>10013</v>
      </c>
      <c r="M10" s="545" t="n">
        <f aca="false">I10-D10</f>
        <v>330</v>
      </c>
      <c r="N10" s="153"/>
      <c r="O10" s="282" t="s">
        <v>125</v>
      </c>
      <c r="P10" s="282" t="n">
        <f aca="false">COUNTIF($G$2:$G$564,"Bio")</f>
        <v>41</v>
      </c>
      <c r="Q10" s="153"/>
      <c r="R10" s="153"/>
      <c r="S10" s="153"/>
    </row>
    <row r="11" customFormat="false" ht="15" hidden="false" customHeight="true" outlineLevel="0" collapsed="false">
      <c r="A11" s="449" t="s">
        <v>10040</v>
      </c>
      <c r="B11" s="450" t="s">
        <v>10041</v>
      </c>
      <c r="C11" s="450" t="n">
        <v>2020</v>
      </c>
      <c r="D11" s="451" t="n">
        <v>43852</v>
      </c>
      <c r="E11" s="452" t="s">
        <v>10042</v>
      </c>
      <c r="F11" s="452" t="s">
        <v>689</v>
      </c>
      <c r="G11" s="378" t="s">
        <v>1174</v>
      </c>
      <c r="H11" s="378" t="s">
        <v>706</v>
      </c>
      <c r="I11" s="451" t="n">
        <v>44225</v>
      </c>
      <c r="J11" s="452" t="n">
        <v>1</v>
      </c>
      <c r="K11" s="452" t="s">
        <v>10012</v>
      </c>
      <c r="L11" s="452" t="s">
        <v>10013</v>
      </c>
      <c r="M11" s="546" t="n">
        <f aca="false">I11-D11</f>
        <v>373</v>
      </c>
      <c r="N11" s="153"/>
      <c r="O11" s="284" t="s">
        <v>130</v>
      </c>
      <c r="P11" s="284" t="n">
        <f aca="false">COUNTIF($G$2:$G$564,"Bio/Org")</f>
        <v>51</v>
      </c>
      <c r="Q11" s="153"/>
      <c r="R11" s="153"/>
      <c r="S11" s="153"/>
    </row>
    <row r="12" customFormat="false" ht="15" hidden="false" customHeight="true" outlineLevel="0" collapsed="false">
      <c r="A12" s="456" t="s">
        <v>10043</v>
      </c>
      <c r="B12" s="458" t="s">
        <v>10044</v>
      </c>
      <c r="C12" s="458" t="n">
        <v>2015</v>
      </c>
      <c r="D12" s="459" t="n">
        <v>42275</v>
      </c>
      <c r="E12" s="380" t="s">
        <v>10045</v>
      </c>
      <c r="F12" s="460" t="s">
        <v>689</v>
      </c>
      <c r="G12" s="460" t="s">
        <v>1174</v>
      </c>
      <c r="H12" s="380" t="s">
        <v>1571</v>
      </c>
      <c r="I12" s="459" t="n">
        <v>44225</v>
      </c>
      <c r="J12" s="460" t="n">
        <v>1</v>
      </c>
      <c r="K12" s="460" t="s">
        <v>10012</v>
      </c>
      <c r="L12" s="460" t="s">
        <v>10013</v>
      </c>
      <c r="M12" s="545" t="n">
        <f aca="false">I12-D12</f>
        <v>1950</v>
      </c>
      <c r="N12" s="153"/>
      <c r="O12" s="285" t="s">
        <v>140</v>
      </c>
      <c r="P12" s="286" t="n">
        <f aca="false">SUM(P3:P11)</f>
        <v>562</v>
      </c>
      <c r="Q12" s="153"/>
      <c r="R12" s="153"/>
      <c r="S12" s="153"/>
    </row>
    <row r="13" customFormat="false" ht="15" hidden="false" customHeight="true" outlineLevel="0" collapsed="false">
      <c r="A13" s="449" t="s">
        <v>10046</v>
      </c>
      <c r="B13" s="450" t="s">
        <v>10047</v>
      </c>
      <c r="C13" s="450" t="n">
        <v>2015</v>
      </c>
      <c r="D13" s="451" t="n">
        <v>42297</v>
      </c>
      <c r="E13" s="452" t="s">
        <v>10048</v>
      </c>
      <c r="F13" s="452" t="s">
        <v>689</v>
      </c>
      <c r="G13" s="378" t="s">
        <v>1174</v>
      </c>
      <c r="H13" s="378" t="s">
        <v>1059</v>
      </c>
      <c r="I13" s="451" t="n">
        <v>44225</v>
      </c>
      <c r="J13" s="452" t="n">
        <v>1</v>
      </c>
      <c r="K13" s="452" t="s">
        <v>10012</v>
      </c>
      <c r="L13" s="452" t="s">
        <v>10013</v>
      </c>
      <c r="M13" s="546" t="n">
        <f aca="false">I13-D13</f>
        <v>1928</v>
      </c>
      <c r="N13" s="160"/>
      <c r="O13" s="153"/>
      <c r="P13" s="153"/>
      <c r="Q13" s="153"/>
      <c r="R13" s="287"/>
      <c r="S13" s="287"/>
    </row>
    <row r="14" customFormat="false" ht="15" hidden="false" customHeight="true" outlineLevel="0" collapsed="false">
      <c r="A14" s="456" t="s">
        <v>10049</v>
      </c>
      <c r="B14" s="458" t="s">
        <v>10050</v>
      </c>
      <c r="C14" s="458" t="n">
        <v>2014</v>
      </c>
      <c r="D14" s="459" t="n">
        <v>41948</v>
      </c>
      <c r="E14" s="380" t="s">
        <v>10051</v>
      </c>
      <c r="F14" s="460" t="s">
        <v>180</v>
      </c>
      <c r="G14" s="460" t="s">
        <v>1174</v>
      </c>
      <c r="H14" s="380" t="s">
        <v>1258</v>
      </c>
      <c r="I14" s="459" t="n">
        <v>44225</v>
      </c>
      <c r="J14" s="460" t="n">
        <v>1</v>
      </c>
      <c r="K14" s="460" t="s">
        <v>10012</v>
      </c>
      <c r="L14" s="460" t="s">
        <v>10018</v>
      </c>
      <c r="M14" s="545" t="n">
        <f aca="false">I14-D14</f>
        <v>2277</v>
      </c>
      <c r="N14" s="160"/>
      <c r="O14" s="411" t="s">
        <v>151</v>
      </c>
      <c r="P14" s="411"/>
      <c r="Q14" s="411"/>
      <c r="R14" s="411"/>
      <c r="S14" s="411"/>
    </row>
    <row r="15" customFormat="false" ht="15" hidden="false" customHeight="true" outlineLevel="0" collapsed="false">
      <c r="A15" s="449" t="s">
        <v>10052</v>
      </c>
      <c r="B15" s="450" t="s">
        <v>10053</v>
      </c>
      <c r="C15" s="450" t="n">
        <v>2020</v>
      </c>
      <c r="D15" s="451" t="n">
        <v>43920</v>
      </c>
      <c r="E15" s="452" t="s">
        <v>10054</v>
      </c>
      <c r="F15" s="452" t="s">
        <v>180</v>
      </c>
      <c r="G15" s="378" t="s">
        <v>1174</v>
      </c>
      <c r="H15" s="378" t="s">
        <v>354</v>
      </c>
      <c r="I15" s="451" t="n">
        <v>44225</v>
      </c>
      <c r="J15" s="452" t="n">
        <v>1</v>
      </c>
      <c r="K15" s="452" t="s">
        <v>10012</v>
      </c>
      <c r="L15" s="452" t="s">
        <v>10018</v>
      </c>
      <c r="M15" s="546" t="n">
        <f aca="false">I15-D15</f>
        <v>305</v>
      </c>
      <c r="N15" s="153"/>
      <c r="O15" s="411"/>
      <c r="P15" s="411"/>
      <c r="Q15" s="411"/>
      <c r="R15" s="411"/>
      <c r="S15" s="411"/>
    </row>
    <row r="16" customFormat="false" ht="15" hidden="false" customHeight="true" outlineLevel="0" collapsed="false">
      <c r="A16" s="456" t="s">
        <v>10055</v>
      </c>
      <c r="B16" s="458" t="s">
        <v>10056</v>
      </c>
      <c r="C16" s="458" t="n">
        <v>2013</v>
      </c>
      <c r="D16" s="459" t="n">
        <v>41528</v>
      </c>
      <c r="E16" s="380" t="s">
        <v>10057</v>
      </c>
      <c r="F16" s="460" t="s">
        <v>3865</v>
      </c>
      <c r="G16" s="460" t="s">
        <v>1174</v>
      </c>
      <c r="H16" s="380" t="s">
        <v>1567</v>
      </c>
      <c r="I16" s="459" t="n">
        <v>44225</v>
      </c>
      <c r="J16" s="460" t="n">
        <v>1</v>
      </c>
      <c r="K16" s="460" t="s">
        <v>10012</v>
      </c>
      <c r="L16" s="460" t="s">
        <v>10013</v>
      </c>
      <c r="M16" s="545" t="n">
        <f aca="false">I16-D16</f>
        <v>2697</v>
      </c>
      <c r="N16" s="153"/>
      <c r="O16" s="412" t="s">
        <v>2194</v>
      </c>
      <c r="P16" s="412"/>
      <c r="Q16" s="412"/>
      <c r="R16" s="412"/>
      <c r="S16" s="412"/>
    </row>
    <row r="17" customFormat="false" ht="15" hidden="false" customHeight="true" outlineLevel="0" collapsed="false">
      <c r="A17" s="449" t="s">
        <v>10058</v>
      </c>
      <c r="B17" s="450" t="s">
        <v>10059</v>
      </c>
      <c r="C17" s="450" t="n">
        <v>2019</v>
      </c>
      <c r="D17" s="451" t="n">
        <v>43602</v>
      </c>
      <c r="E17" s="452" t="s">
        <v>10060</v>
      </c>
      <c r="F17" s="452" t="s">
        <v>723</v>
      </c>
      <c r="G17" s="378" t="s">
        <v>1174</v>
      </c>
      <c r="H17" s="378" t="s">
        <v>3727</v>
      </c>
      <c r="I17" s="451" t="n">
        <v>44225</v>
      </c>
      <c r="J17" s="452" t="n">
        <v>1</v>
      </c>
      <c r="K17" s="452" t="s">
        <v>10012</v>
      </c>
      <c r="L17" s="452" t="s">
        <v>10018</v>
      </c>
      <c r="M17" s="546" t="n">
        <f aca="false">I17-D17</f>
        <v>623</v>
      </c>
      <c r="N17" s="153"/>
      <c r="O17" s="413" t="s">
        <v>2198</v>
      </c>
      <c r="P17" s="413"/>
      <c r="Q17" s="413"/>
      <c r="R17" s="413"/>
      <c r="S17" s="413"/>
    </row>
    <row r="18" customFormat="false" ht="15" hidden="false" customHeight="true" outlineLevel="0" collapsed="false">
      <c r="A18" s="456" t="s">
        <v>10061</v>
      </c>
      <c r="B18" s="458" t="s">
        <v>10062</v>
      </c>
      <c r="C18" s="458" t="n">
        <v>2014</v>
      </c>
      <c r="D18" s="459" t="n">
        <v>41911</v>
      </c>
      <c r="E18" s="380" t="s">
        <v>10063</v>
      </c>
      <c r="F18" s="460" t="s">
        <v>123</v>
      </c>
      <c r="G18" s="460" t="s">
        <v>1174</v>
      </c>
      <c r="H18" s="380" t="s">
        <v>254</v>
      </c>
      <c r="I18" s="459" t="n">
        <v>44225</v>
      </c>
      <c r="J18" s="460" t="n">
        <v>1</v>
      </c>
      <c r="K18" s="460" t="s">
        <v>10012</v>
      </c>
      <c r="L18" s="460" t="s">
        <v>10018</v>
      </c>
      <c r="M18" s="545" t="n">
        <f aca="false">I18-D18</f>
        <v>2314</v>
      </c>
      <c r="N18" s="153"/>
      <c r="O18" s="414" t="s">
        <v>2203</v>
      </c>
      <c r="P18" s="414"/>
      <c r="Q18" s="414"/>
      <c r="R18" s="414"/>
      <c r="S18" s="414"/>
    </row>
    <row r="19" customFormat="false" ht="15" hidden="false" customHeight="true" outlineLevel="0" collapsed="false">
      <c r="A19" s="449" t="s">
        <v>10064</v>
      </c>
      <c r="B19" s="450" t="s">
        <v>10065</v>
      </c>
      <c r="C19" s="450" t="n">
        <v>2015</v>
      </c>
      <c r="D19" s="451" t="n">
        <v>42240</v>
      </c>
      <c r="E19" s="452" t="s">
        <v>10066</v>
      </c>
      <c r="F19" s="452" t="s">
        <v>1068</v>
      </c>
      <c r="G19" s="378" t="s">
        <v>1174</v>
      </c>
      <c r="H19" s="378" t="s">
        <v>223</v>
      </c>
      <c r="I19" s="451" t="n">
        <v>44225</v>
      </c>
      <c r="J19" s="452" t="n">
        <v>1</v>
      </c>
      <c r="K19" s="452" t="s">
        <v>10012</v>
      </c>
      <c r="L19" s="452" t="s">
        <v>10013</v>
      </c>
      <c r="M19" s="546" t="n">
        <f aca="false">I19-D19</f>
        <v>1985</v>
      </c>
      <c r="N19" s="153"/>
      <c r="O19" s="413" t="s">
        <v>2207</v>
      </c>
      <c r="P19" s="413"/>
      <c r="Q19" s="413"/>
      <c r="R19" s="413"/>
      <c r="S19" s="413"/>
    </row>
    <row r="20" customFormat="false" ht="15" hidden="false" customHeight="true" outlineLevel="0" collapsed="false">
      <c r="A20" s="456" t="s">
        <v>10067</v>
      </c>
      <c r="B20" s="458" t="s">
        <v>10068</v>
      </c>
      <c r="C20" s="458" t="n">
        <v>2015</v>
      </c>
      <c r="D20" s="459" t="n">
        <v>42129</v>
      </c>
      <c r="E20" s="380" t="s">
        <v>10069</v>
      </c>
      <c r="F20" s="460" t="s">
        <v>1357</v>
      </c>
      <c r="G20" s="460" t="s">
        <v>1174</v>
      </c>
      <c r="H20" s="380" t="s">
        <v>3339</v>
      </c>
      <c r="I20" s="459" t="n">
        <v>44225</v>
      </c>
      <c r="J20" s="460" t="n">
        <v>1</v>
      </c>
      <c r="K20" s="460" t="s">
        <v>10012</v>
      </c>
      <c r="L20" s="460" t="s">
        <v>10018</v>
      </c>
      <c r="M20" s="545" t="n">
        <f aca="false">I20-D20</f>
        <v>2096</v>
      </c>
      <c r="N20" s="153"/>
      <c r="O20" s="414" t="s">
        <v>2211</v>
      </c>
      <c r="P20" s="414"/>
      <c r="Q20" s="414"/>
      <c r="R20" s="414"/>
      <c r="S20" s="414"/>
    </row>
    <row r="21" customFormat="false" ht="15" hidden="false" customHeight="true" outlineLevel="0" collapsed="false">
      <c r="A21" s="449" t="s">
        <v>10070</v>
      </c>
      <c r="B21" s="450" t="s">
        <v>10071</v>
      </c>
      <c r="C21" s="450" t="n">
        <v>2019</v>
      </c>
      <c r="D21" s="451" t="n">
        <v>43717</v>
      </c>
      <c r="E21" s="452" t="s">
        <v>10072</v>
      </c>
      <c r="F21" s="452" t="s">
        <v>668</v>
      </c>
      <c r="G21" s="378" t="s">
        <v>1174</v>
      </c>
      <c r="H21" s="378" t="s">
        <v>1740</v>
      </c>
      <c r="I21" s="451" t="n">
        <v>44225</v>
      </c>
      <c r="J21" s="452" t="n">
        <v>1</v>
      </c>
      <c r="K21" s="452" t="s">
        <v>10012</v>
      </c>
      <c r="L21" s="452" t="s">
        <v>10018</v>
      </c>
      <c r="M21" s="546" t="n">
        <f aca="false">I21-D21</f>
        <v>508</v>
      </c>
      <c r="N21" s="153"/>
      <c r="O21" s="413" t="s">
        <v>2215</v>
      </c>
      <c r="P21" s="413"/>
      <c r="Q21" s="413"/>
      <c r="R21" s="413"/>
      <c r="S21" s="413"/>
    </row>
    <row r="22" customFormat="false" ht="15" hidden="false" customHeight="true" outlineLevel="0" collapsed="false">
      <c r="A22" s="456" t="s">
        <v>10073</v>
      </c>
      <c r="B22" s="458" t="s">
        <v>10074</v>
      </c>
      <c r="C22" s="458" t="n">
        <v>2019</v>
      </c>
      <c r="D22" s="459" t="n">
        <v>43717</v>
      </c>
      <c r="E22" s="380" t="s">
        <v>10075</v>
      </c>
      <c r="F22" s="460" t="s">
        <v>1357</v>
      </c>
      <c r="G22" s="460" t="s">
        <v>1174</v>
      </c>
      <c r="H22" s="380" t="s">
        <v>1740</v>
      </c>
      <c r="I22" s="459" t="n">
        <v>44225</v>
      </c>
      <c r="J22" s="460" t="n">
        <v>1</v>
      </c>
      <c r="K22" s="460" t="s">
        <v>10012</v>
      </c>
      <c r="L22" s="460" t="s">
        <v>10018</v>
      </c>
      <c r="M22" s="545" t="n">
        <f aca="false">I22-D22</f>
        <v>508</v>
      </c>
      <c r="N22" s="153"/>
      <c r="O22" s="414" t="s">
        <v>2220</v>
      </c>
      <c r="P22" s="414"/>
      <c r="Q22" s="414"/>
      <c r="R22" s="414"/>
      <c r="S22" s="414"/>
    </row>
    <row r="23" customFormat="false" ht="15" hidden="false" customHeight="true" outlineLevel="0" collapsed="false">
      <c r="A23" s="449" t="s">
        <v>10076</v>
      </c>
      <c r="B23" s="450" t="s">
        <v>10077</v>
      </c>
      <c r="C23" s="450" t="n">
        <v>2019</v>
      </c>
      <c r="D23" s="451" t="n">
        <v>43819</v>
      </c>
      <c r="E23" s="452" t="s">
        <v>10078</v>
      </c>
      <c r="F23" s="452" t="s">
        <v>1277</v>
      </c>
      <c r="G23" s="378" t="s">
        <v>1174</v>
      </c>
      <c r="H23" s="378" t="s">
        <v>1740</v>
      </c>
      <c r="I23" s="451" t="n">
        <v>44225</v>
      </c>
      <c r="J23" s="452" t="n">
        <v>1</v>
      </c>
      <c r="K23" s="452" t="s">
        <v>10012</v>
      </c>
      <c r="L23" s="452" t="s">
        <v>10018</v>
      </c>
      <c r="M23" s="546" t="n">
        <f aca="false">I23-D23</f>
        <v>406</v>
      </c>
      <c r="N23" s="153"/>
      <c r="O23" s="413" t="s">
        <v>2225</v>
      </c>
      <c r="P23" s="413"/>
      <c r="Q23" s="413"/>
      <c r="R23" s="413"/>
      <c r="S23" s="413"/>
    </row>
    <row r="24" customFormat="false" ht="15" hidden="false" customHeight="true" outlineLevel="0" collapsed="false">
      <c r="A24" s="456" t="s">
        <v>10079</v>
      </c>
      <c r="B24" s="458" t="s">
        <v>10080</v>
      </c>
      <c r="C24" s="458" t="n">
        <v>2019</v>
      </c>
      <c r="D24" s="459" t="n">
        <v>43727</v>
      </c>
      <c r="E24" s="380" t="s">
        <v>10081</v>
      </c>
      <c r="F24" s="460" t="s">
        <v>180</v>
      </c>
      <c r="G24" s="460" t="s">
        <v>1174</v>
      </c>
      <c r="H24" s="380" t="s">
        <v>409</v>
      </c>
      <c r="I24" s="459" t="n">
        <v>44225</v>
      </c>
      <c r="J24" s="460" t="n">
        <v>1</v>
      </c>
      <c r="K24" s="460" t="s">
        <v>10012</v>
      </c>
      <c r="L24" s="460" t="s">
        <v>10018</v>
      </c>
      <c r="M24" s="545" t="n">
        <f aca="false">I24-D24</f>
        <v>498</v>
      </c>
      <c r="N24" s="153"/>
      <c r="O24" s="415" t="s">
        <v>2229</v>
      </c>
      <c r="P24" s="415"/>
      <c r="Q24" s="415"/>
      <c r="R24" s="415"/>
      <c r="S24" s="415"/>
    </row>
    <row r="25" customFormat="false" ht="15" hidden="false" customHeight="true" outlineLevel="0" collapsed="false">
      <c r="A25" s="449" t="s">
        <v>10082</v>
      </c>
      <c r="B25" s="450" t="s">
        <v>10083</v>
      </c>
      <c r="C25" s="450" t="n">
        <v>2014</v>
      </c>
      <c r="D25" s="451" t="n">
        <v>41900</v>
      </c>
      <c r="E25" s="452" t="s">
        <v>10084</v>
      </c>
      <c r="F25" s="452" t="s">
        <v>10085</v>
      </c>
      <c r="G25" s="378" t="s">
        <v>1174</v>
      </c>
      <c r="H25" s="378" t="s">
        <v>471</v>
      </c>
      <c r="I25" s="451" t="n">
        <v>44225</v>
      </c>
      <c r="J25" s="452" t="n">
        <v>1</v>
      </c>
      <c r="K25" s="452" t="s">
        <v>10012</v>
      </c>
      <c r="L25" s="452" t="s">
        <v>10018</v>
      </c>
      <c r="M25" s="546" t="n">
        <f aca="false">I25-D25</f>
        <v>2325</v>
      </c>
      <c r="N25" s="153"/>
      <c r="O25" s="153"/>
      <c r="P25" s="153"/>
      <c r="Q25" s="153"/>
      <c r="R25" s="153"/>
      <c r="S25" s="153"/>
    </row>
    <row r="26" customFormat="false" ht="15" hidden="false" customHeight="true" outlineLevel="0" collapsed="false">
      <c r="A26" s="456" t="s">
        <v>10086</v>
      </c>
      <c r="B26" s="458" t="s">
        <v>10087</v>
      </c>
      <c r="C26" s="458" t="n">
        <v>2017</v>
      </c>
      <c r="D26" s="459" t="n">
        <v>42824</v>
      </c>
      <c r="E26" s="380" t="s">
        <v>10088</v>
      </c>
      <c r="F26" s="460" t="s">
        <v>1527</v>
      </c>
      <c r="G26" s="460" t="s">
        <v>1174</v>
      </c>
      <c r="H26" s="380" t="s">
        <v>471</v>
      </c>
      <c r="I26" s="459" t="n">
        <v>44225</v>
      </c>
      <c r="J26" s="460" t="n">
        <v>1</v>
      </c>
      <c r="K26" s="460" t="s">
        <v>10012</v>
      </c>
      <c r="L26" s="460" t="s">
        <v>10018</v>
      </c>
      <c r="M26" s="545" t="n">
        <f aca="false">I26-D26</f>
        <v>1401</v>
      </c>
      <c r="N26" s="153"/>
      <c r="O26" s="326" t="s">
        <v>185</v>
      </c>
      <c r="P26" s="326"/>
      <c r="Q26" s="326"/>
      <c r="R26" s="326"/>
      <c r="S26" s="326"/>
    </row>
    <row r="27" customFormat="false" ht="15" hidden="false" customHeight="true" outlineLevel="0" collapsed="false">
      <c r="A27" s="449" t="s">
        <v>10089</v>
      </c>
      <c r="B27" s="450" t="s">
        <v>10090</v>
      </c>
      <c r="C27" s="450" t="n">
        <v>2015</v>
      </c>
      <c r="D27" s="451" t="n">
        <v>42108</v>
      </c>
      <c r="E27" s="452" t="s">
        <v>10091</v>
      </c>
      <c r="F27" s="452" t="s">
        <v>1916</v>
      </c>
      <c r="G27" s="378" t="s">
        <v>1174</v>
      </c>
      <c r="H27" s="378" t="s">
        <v>522</v>
      </c>
      <c r="I27" s="451" t="n">
        <v>44225</v>
      </c>
      <c r="J27" s="452" t="n">
        <v>1</v>
      </c>
      <c r="K27" s="452" t="s">
        <v>10012</v>
      </c>
      <c r="L27" s="452" t="s">
        <v>10018</v>
      </c>
      <c r="M27" s="546" t="n">
        <f aca="false">I27-D27</f>
        <v>2117</v>
      </c>
      <c r="N27" s="153"/>
      <c r="O27" s="326"/>
      <c r="P27" s="326"/>
      <c r="Q27" s="326"/>
      <c r="R27" s="326"/>
      <c r="S27" s="326"/>
    </row>
    <row r="28" customFormat="false" ht="15" hidden="false" customHeight="true" outlineLevel="0" collapsed="false">
      <c r="A28" s="456" t="s">
        <v>10092</v>
      </c>
      <c r="B28" s="458" t="s">
        <v>10093</v>
      </c>
      <c r="C28" s="458" t="n">
        <v>2020</v>
      </c>
      <c r="D28" s="459" t="n">
        <v>44125</v>
      </c>
      <c r="E28" s="380" t="s">
        <v>10094</v>
      </c>
      <c r="F28" s="460" t="s">
        <v>668</v>
      </c>
      <c r="G28" s="460" t="s">
        <v>1174</v>
      </c>
      <c r="H28" s="380" t="s">
        <v>243</v>
      </c>
      <c r="I28" s="459" t="n">
        <v>44225</v>
      </c>
      <c r="J28" s="460" t="n">
        <v>1</v>
      </c>
      <c r="K28" s="460" t="s">
        <v>10012</v>
      </c>
      <c r="L28" s="460" t="s">
        <v>10018</v>
      </c>
      <c r="M28" s="545" t="n">
        <f aca="false">I28-D28</f>
        <v>100</v>
      </c>
      <c r="N28" s="153"/>
      <c r="O28" s="309" t="s">
        <v>39</v>
      </c>
      <c r="P28" s="416" t="s">
        <v>40</v>
      </c>
      <c r="Q28" s="416"/>
      <c r="R28" s="416"/>
      <c r="S28" s="313" t="s">
        <v>41</v>
      </c>
    </row>
    <row r="29" customFormat="false" ht="15" hidden="false" customHeight="true" outlineLevel="0" collapsed="false">
      <c r="A29" s="449" t="s">
        <v>10095</v>
      </c>
      <c r="B29" s="450" t="s">
        <v>10096</v>
      </c>
      <c r="C29" s="450" t="n">
        <v>2016</v>
      </c>
      <c r="D29" s="451" t="n">
        <v>42502</v>
      </c>
      <c r="E29" s="452" t="s">
        <v>10097</v>
      </c>
      <c r="F29" s="452" t="s">
        <v>668</v>
      </c>
      <c r="G29" s="378" t="s">
        <v>1174</v>
      </c>
      <c r="H29" s="378" t="s">
        <v>513</v>
      </c>
      <c r="I29" s="451" t="n">
        <v>44263</v>
      </c>
      <c r="J29" s="452" t="n">
        <v>3</v>
      </c>
      <c r="K29" s="452" t="s">
        <v>10012</v>
      </c>
      <c r="L29" s="452" t="s">
        <v>10018</v>
      </c>
      <c r="M29" s="546" t="n">
        <f aca="false">I29-D29</f>
        <v>1761</v>
      </c>
      <c r="N29" s="153"/>
      <c r="O29" s="283" t="n">
        <v>2008</v>
      </c>
      <c r="P29" s="314" t="n">
        <f aca="false">COUNTIF($C$2:$C$564,"2008")</f>
        <v>1</v>
      </c>
      <c r="Q29" s="314"/>
      <c r="R29" s="314"/>
      <c r="S29" s="315" t="n">
        <f aca="false">(P29/P43)</f>
        <v>0.00177935943060498</v>
      </c>
    </row>
    <row r="30" customFormat="false" ht="15" hidden="false" customHeight="true" outlineLevel="0" collapsed="false">
      <c r="A30" s="456" t="s">
        <v>10098</v>
      </c>
      <c r="B30" s="458" t="s">
        <v>10099</v>
      </c>
      <c r="C30" s="458" t="n">
        <v>2014</v>
      </c>
      <c r="D30" s="459" t="n">
        <v>41974</v>
      </c>
      <c r="E30" s="380" t="s">
        <v>10100</v>
      </c>
      <c r="F30" s="460" t="s">
        <v>668</v>
      </c>
      <c r="G30" s="460" t="s">
        <v>1174</v>
      </c>
      <c r="H30" s="380" t="s">
        <v>192</v>
      </c>
      <c r="I30" s="459" t="n">
        <v>44263</v>
      </c>
      <c r="J30" s="460" t="n">
        <v>3</v>
      </c>
      <c r="K30" s="460" t="s">
        <v>10012</v>
      </c>
      <c r="L30" s="460" t="s">
        <v>10018</v>
      </c>
      <c r="M30" s="545" t="n">
        <f aca="false">I30-D30</f>
        <v>2289</v>
      </c>
      <c r="N30" s="153"/>
      <c r="O30" s="282" t="n">
        <v>2009</v>
      </c>
      <c r="P30" s="282" t="n">
        <f aca="false">COUNTIF($C$2:$C$564,"2009")</f>
        <v>1</v>
      </c>
      <c r="Q30" s="282"/>
      <c r="R30" s="282"/>
      <c r="S30" s="316" t="n">
        <f aca="false">(P30/P43)</f>
        <v>0.00177935943060498</v>
      </c>
    </row>
    <row r="31" customFormat="false" ht="15" hidden="false" customHeight="true" outlineLevel="0" collapsed="false">
      <c r="A31" s="449" t="s">
        <v>10101</v>
      </c>
      <c r="B31" s="450" t="s">
        <v>10102</v>
      </c>
      <c r="C31" s="450" t="n">
        <v>2016</v>
      </c>
      <c r="D31" s="451" t="n">
        <v>42599</v>
      </c>
      <c r="E31" s="452" t="s">
        <v>10103</v>
      </c>
      <c r="F31" s="452" t="s">
        <v>8545</v>
      </c>
      <c r="G31" s="378" t="s">
        <v>1174</v>
      </c>
      <c r="H31" s="378" t="s">
        <v>1059</v>
      </c>
      <c r="I31" s="451" t="n">
        <v>44263</v>
      </c>
      <c r="J31" s="452" t="n">
        <v>3</v>
      </c>
      <c r="K31" s="452" t="s">
        <v>10012</v>
      </c>
      <c r="L31" s="452" t="s">
        <v>10018</v>
      </c>
      <c r="M31" s="546" t="n">
        <f aca="false">I31-D31</f>
        <v>1664</v>
      </c>
      <c r="N31" s="153"/>
      <c r="O31" s="283" t="n">
        <v>2010</v>
      </c>
      <c r="P31" s="283" t="n">
        <f aca="false">COUNTIF($C$2:$C$564,"2010")</f>
        <v>3</v>
      </c>
      <c r="Q31" s="283"/>
      <c r="R31" s="283"/>
      <c r="S31" s="315" t="n">
        <f aca="false">(P31/P43)</f>
        <v>0.00533807829181495</v>
      </c>
    </row>
    <row r="32" customFormat="false" ht="15" hidden="false" customHeight="true" outlineLevel="0" collapsed="false">
      <c r="A32" s="456" t="s">
        <v>10104</v>
      </c>
      <c r="B32" s="458" t="s">
        <v>10105</v>
      </c>
      <c r="C32" s="458" t="n">
        <v>2017</v>
      </c>
      <c r="D32" s="459" t="n">
        <v>42814</v>
      </c>
      <c r="E32" s="380" t="s">
        <v>10106</v>
      </c>
      <c r="F32" s="460" t="s">
        <v>1277</v>
      </c>
      <c r="G32" s="460" t="s">
        <v>1174</v>
      </c>
      <c r="H32" s="380" t="s">
        <v>263</v>
      </c>
      <c r="I32" s="459" t="n">
        <v>44263</v>
      </c>
      <c r="J32" s="460" t="n">
        <v>3</v>
      </c>
      <c r="K32" s="460" t="s">
        <v>10012</v>
      </c>
      <c r="L32" s="460" t="s">
        <v>10018</v>
      </c>
      <c r="M32" s="545" t="n">
        <f aca="false">I32-D32</f>
        <v>1449</v>
      </c>
      <c r="N32" s="153"/>
      <c r="O32" s="282" t="n">
        <v>2011</v>
      </c>
      <c r="P32" s="282" t="n">
        <f aca="false">COUNTIF($C$2:$C$564,"2011")</f>
        <v>11</v>
      </c>
      <c r="Q32" s="282"/>
      <c r="R32" s="282"/>
      <c r="S32" s="316" t="n">
        <f aca="false">(P32/P43)</f>
        <v>0.0195729537366548</v>
      </c>
    </row>
    <row r="33" customFormat="false" ht="15" hidden="true" customHeight="true" outlineLevel="0" collapsed="false">
      <c r="A33" s="449" t="s">
        <v>10107</v>
      </c>
      <c r="B33" s="450" t="s">
        <v>10108</v>
      </c>
      <c r="C33" s="450" t="n">
        <v>2015</v>
      </c>
      <c r="D33" s="451" t="n">
        <v>42353</v>
      </c>
      <c r="E33" s="452" t="s">
        <v>10109</v>
      </c>
      <c r="F33" s="452" t="s">
        <v>699</v>
      </c>
      <c r="G33" s="378" t="s">
        <v>8</v>
      </c>
      <c r="H33" s="378" t="s">
        <v>10110</v>
      </c>
      <c r="I33" s="451" t="n">
        <v>44263</v>
      </c>
      <c r="J33" s="452" t="n">
        <v>3</v>
      </c>
      <c r="K33" s="452" t="s">
        <v>47</v>
      </c>
      <c r="L33" s="452" t="s">
        <v>10013</v>
      </c>
      <c r="M33" s="546" t="n">
        <f aca="false">I33-D33</f>
        <v>1910</v>
      </c>
      <c r="N33" s="153"/>
      <c r="O33" s="283" t="n">
        <v>2012</v>
      </c>
      <c r="P33" s="283" t="n">
        <f aca="false">COUNTIF($C$2:$C$564,"2012")</f>
        <v>11</v>
      </c>
      <c r="Q33" s="283"/>
      <c r="R33" s="283"/>
      <c r="S33" s="315" t="n">
        <f aca="false">(P33/P43)</f>
        <v>0.0195729537366548</v>
      </c>
    </row>
    <row r="34" customFormat="false" ht="15" hidden="false" customHeight="true" outlineLevel="0" collapsed="false">
      <c r="A34" s="456" t="s">
        <v>10111</v>
      </c>
      <c r="B34" s="458" t="s">
        <v>10112</v>
      </c>
      <c r="C34" s="458" t="n">
        <v>2018</v>
      </c>
      <c r="D34" s="459" t="n">
        <v>43299</v>
      </c>
      <c r="E34" s="380" t="s">
        <v>10113</v>
      </c>
      <c r="F34" s="460" t="s">
        <v>1273</v>
      </c>
      <c r="G34" s="460" t="s">
        <v>1174</v>
      </c>
      <c r="H34" s="380" t="s">
        <v>1258</v>
      </c>
      <c r="I34" s="459" t="n">
        <v>44263</v>
      </c>
      <c r="J34" s="460" t="n">
        <v>3</v>
      </c>
      <c r="K34" s="460" t="s">
        <v>10012</v>
      </c>
      <c r="L34" s="460" t="s">
        <v>10018</v>
      </c>
      <c r="M34" s="545" t="n">
        <f aca="false">I34-D34</f>
        <v>964</v>
      </c>
      <c r="N34" s="153"/>
      <c r="O34" s="282" t="n">
        <v>2013</v>
      </c>
      <c r="P34" s="282" t="n">
        <f aca="false">COUNTIF($C$2:$C$564,"2013")</f>
        <v>57</v>
      </c>
      <c r="Q34" s="282"/>
      <c r="R34" s="282"/>
      <c r="S34" s="316" t="n">
        <f aca="false">(P34/P43)</f>
        <v>0.101423487544484</v>
      </c>
    </row>
    <row r="35" customFormat="false" ht="15" hidden="false" customHeight="true" outlineLevel="0" collapsed="false">
      <c r="A35" s="449" t="s">
        <v>10114</v>
      </c>
      <c r="B35" s="450" t="s">
        <v>10115</v>
      </c>
      <c r="C35" s="450" t="n">
        <v>2018</v>
      </c>
      <c r="D35" s="451" t="n">
        <v>43131</v>
      </c>
      <c r="E35" s="452" t="s">
        <v>10116</v>
      </c>
      <c r="F35" s="452" t="s">
        <v>467</v>
      </c>
      <c r="G35" s="378" t="s">
        <v>1174</v>
      </c>
      <c r="H35" s="378" t="s">
        <v>354</v>
      </c>
      <c r="I35" s="451" t="n">
        <v>44263</v>
      </c>
      <c r="J35" s="452" t="n">
        <v>3</v>
      </c>
      <c r="K35" s="452" t="s">
        <v>10012</v>
      </c>
      <c r="L35" s="452" t="s">
        <v>10013</v>
      </c>
      <c r="M35" s="546" t="n">
        <f aca="false">I35-D35</f>
        <v>1132</v>
      </c>
      <c r="N35" s="153"/>
      <c r="O35" s="283" t="n">
        <v>2014</v>
      </c>
      <c r="P35" s="283" t="n">
        <f aca="false">COUNTIF($C$2:$C$564,"2014")</f>
        <v>85</v>
      </c>
      <c r="Q35" s="283"/>
      <c r="R35" s="283"/>
      <c r="S35" s="315" t="n">
        <f aca="false">(P35/P43)</f>
        <v>0.151245551601424</v>
      </c>
    </row>
    <row r="36" customFormat="false" ht="15" hidden="false" customHeight="true" outlineLevel="0" collapsed="false">
      <c r="A36" s="456" t="s">
        <v>10117</v>
      </c>
      <c r="B36" s="458" t="s">
        <v>10118</v>
      </c>
      <c r="C36" s="458" t="n">
        <v>2020</v>
      </c>
      <c r="D36" s="459" t="n">
        <v>43979</v>
      </c>
      <c r="E36" s="380" t="s">
        <v>10119</v>
      </c>
      <c r="F36" s="460" t="s">
        <v>509</v>
      </c>
      <c r="G36" s="460" t="s">
        <v>1174</v>
      </c>
      <c r="H36" s="380" t="s">
        <v>310</v>
      </c>
      <c r="I36" s="459" t="n">
        <v>44263</v>
      </c>
      <c r="J36" s="460" t="n">
        <v>3</v>
      </c>
      <c r="K36" s="460" t="s">
        <v>10012</v>
      </c>
      <c r="L36" s="460" t="s">
        <v>10018</v>
      </c>
      <c r="M36" s="545" t="n">
        <f aca="false">I36-D36</f>
        <v>284</v>
      </c>
      <c r="N36" s="153"/>
      <c r="O36" s="282" t="n">
        <v>2015</v>
      </c>
      <c r="P36" s="282" t="n">
        <f aca="false">COUNTIF($C$2:$C$5646,"2015")</f>
        <v>64</v>
      </c>
      <c r="Q36" s="282"/>
      <c r="R36" s="282"/>
      <c r="S36" s="316" t="n">
        <f aca="false">(P36/P43)</f>
        <v>0.113879003558719</v>
      </c>
    </row>
    <row r="37" customFormat="false" ht="15" hidden="false" customHeight="true" outlineLevel="0" collapsed="false">
      <c r="A37" s="449" t="s">
        <v>10120</v>
      </c>
      <c r="B37" s="450" t="s">
        <v>10121</v>
      </c>
      <c r="C37" s="450" t="n">
        <v>2017</v>
      </c>
      <c r="D37" s="451" t="n">
        <v>42884</v>
      </c>
      <c r="E37" s="452" t="s">
        <v>10122</v>
      </c>
      <c r="F37" s="452" t="s">
        <v>1068</v>
      </c>
      <c r="G37" s="378" t="s">
        <v>1174</v>
      </c>
      <c r="H37" s="378" t="s">
        <v>267</v>
      </c>
      <c r="I37" s="451" t="n">
        <v>44263</v>
      </c>
      <c r="J37" s="452" t="n">
        <v>3</v>
      </c>
      <c r="K37" s="452" t="s">
        <v>10012</v>
      </c>
      <c r="L37" s="452" t="s">
        <v>10013</v>
      </c>
      <c r="M37" s="546" t="n">
        <f aca="false">I37-D37</f>
        <v>1379</v>
      </c>
      <c r="N37" s="153"/>
      <c r="O37" s="283" t="n">
        <v>2016</v>
      </c>
      <c r="P37" s="283" t="n">
        <f aca="false">COUNTIF($C$2:$C$564,"2016")</f>
        <v>54</v>
      </c>
      <c r="Q37" s="283"/>
      <c r="R37" s="283"/>
      <c r="S37" s="315" t="n">
        <f aca="false">(P37/P43)</f>
        <v>0.096085409252669</v>
      </c>
    </row>
    <row r="38" customFormat="false" ht="15" hidden="false" customHeight="true" outlineLevel="0" collapsed="false">
      <c r="A38" s="456" t="s">
        <v>10123</v>
      </c>
      <c r="B38" s="458" t="s">
        <v>10124</v>
      </c>
      <c r="C38" s="458" t="n">
        <v>2017</v>
      </c>
      <c r="D38" s="459" t="n">
        <v>43063</v>
      </c>
      <c r="E38" s="380" t="s">
        <v>10125</v>
      </c>
      <c r="F38" s="460" t="s">
        <v>180</v>
      </c>
      <c r="G38" s="460" t="s">
        <v>1174</v>
      </c>
      <c r="H38" s="380" t="s">
        <v>267</v>
      </c>
      <c r="I38" s="459" t="n">
        <v>44263</v>
      </c>
      <c r="J38" s="460" t="n">
        <v>3</v>
      </c>
      <c r="K38" s="460" t="s">
        <v>10012</v>
      </c>
      <c r="L38" s="460" t="s">
        <v>10018</v>
      </c>
      <c r="M38" s="545" t="n">
        <f aca="false">I38-D38</f>
        <v>1200</v>
      </c>
      <c r="N38" s="153"/>
      <c r="O38" s="282" t="n">
        <v>2017</v>
      </c>
      <c r="P38" s="282" t="n">
        <f aca="false">COUNTIF($C$2:$C$5646,"2017")</f>
        <v>42</v>
      </c>
      <c r="Q38" s="282"/>
      <c r="R38" s="282"/>
      <c r="S38" s="316" t="n">
        <f aca="false">(P38/P43)</f>
        <v>0.0747330960854093</v>
      </c>
    </row>
    <row r="39" customFormat="false" ht="15" hidden="false" customHeight="true" outlineLevel="0" collapsed="false">
      <c r="A39" s="449" t="s">
        <v>10126</v>
      </c>
      <c r="B39" s="450" t="s">
        <v>10127</v>
      </c>
      <c r="C39" s="450" t="n">
        <v>2020</v>
      </c>
      <c r="D39" s="451" t="n">
        <v>43964</v>
      </c>
      <c r="E39" s="452" t="s">
        <v>10128</v>
      </c>
      <c r="F39" s="452" t="s">
        <v>689</v>
      </c>
      <c r="G39" s="378" t="s">
        <v>1174</v>
      </c>
      <c r="H39" s="378" t="s">
        <v>522</v>
      </c>
      <c r="I39" s="451" t="n">
        <v>44263</v>
      </c>
      <c r="J39" s="452" t="n">
        <v>3</v>
      </c>
      <c r="K39" s="452" t="s">
        <v>10012</v>
      </c>
      <c r="L39" s="452" t="s">
        <v>10013</v>
      </c>
      <c r="M39" s="546" t="n">
        <f aca="false">I39-D39</f>
        <v>299</v>
      </c>
      <c r="N39" s="153"/>
      <c r="O39" s="283" t="n">
        <v>2018</v>
      </c>
      <c r="P39" s="283" t="n">
        <f aca="false">COUNTIF($C$2:$C$564,"2018")</f>
        <v>74</v>
      </c>
      <c r="Q39" s="283"/>
      <c r="R39" s="283"/>
      <c r="S39" s="315" t="n">
        <f aca="false">(P39/P43)</f>
        <v>0.131672597864769</v>
      </c>
    </row>
    <row r="40" customFormat="false" ht="15" hidden="false" customHeight="true" outlineLevel="0" collapsed="false">
      <c r="A40" s="456" t="s">
        <v>10129</v>
      </c>
      <c r="B40" s="458" t="s">
        <v>10130</v>
      </c>
      <c r="C40" s="458" t="n">
        <v>2015</v>
      </c>
      <c r="D40" s="459" t="n">
        <v>42102</v>
      </c>
      <c r="E40" s="380" t="s">
        <v>10131</v>
      </c>
      <c r="F40" s="460" t="s">
        <v>689</v>
      </c>
      <c r="G40" s="460" t="s">
        <v>1174</v>
      </c>
      <c r="H40" s="380" t="s">
        <v>184</v>
      </c>
      <c r="I40" s="459" t="n">
        <v>44263</v>
      </c>
      <c r="J40" s="460" t="n">
        <v>3</v>
      </c>
      <c r="K40" s="460" t="s">
        <v>10012</v>
      </c>
      <c r="L40" s="460" t="s">
        <v>10013</v>
      </c>
      <c r="M40" s="545" t="n">
        <f aca="false">I40-D40</f>
        <v>2161</v>
      </c>
      <c r="N40" s="153"/>
      <c r="O40" s="282" t="n">
        <v>2019</v>
      </c>
      <c r="P40" s="282" t="n">
        <f aca="false">COUNTIF($C$2:$C$564,"2019")</f>
        <v>38</v>
      </c>
      <c r="Q40" s="282"/>
      <c r="R40" s="282"/>
      <c r="S40" s="316" t="n">
        <f aca="false">(P40/P43)</f>
        <v>0.0676156583629893</v>
      </c>
    </row>
    <row r="41" customFormat="false" ht="15" hidden="false" customHeight="true" outlineLevel="0" collapsed="false">
      <c r="A41" s="449" t="s">
        <v>10132</v>
      </c>
      <c r="B41" s="450" t="s">
        <v>10133</v>
      </c>
      <c r="C41" s="450" t="n">
        <v>2019</v>
      </c>
      <c r="D41" s="451" t="n">
        <v>43522</v>
      </c>
      <c r="E41" s="452" t="s">
        <v>10134</v>
      </c>
      <c r="F41" s="452" t="s">
        <v>1068</v>
      </c>
      <c r="G41" s="378" t="s">
        <v>1174</v>
      </c>
      <c r="H41" s="378" t="s">
        <v>243</v>
      </c>
      <c r="I41" s="451" t="n">
        <v>44263</v>
      </c>
      <c r="J41" s="452" t="n">
        <v>3</v>
      </c>
      <c r="K41" s="452" t="s">
        <v>10012</v>
      </c>
      <c r="L41" s="452" t="s">
        <v>10013</v>
      </c>
      <c r="M41" s="546" t="n">
        <f aca="false">I41-D41</f>
        <v>741</v>
      </c>
      <c r="N41" s="153"/>
      <c r="O41" s="283" t="n">
        <v>2020</v>
      </c>
      <c r="P41" s="283" t="n">
        <f aca="false">COUNTIF($C$2:$C$564,"2020")</f>
        <v>77</v>
      </c>
      <c r="Q41" s="283"/>
      <c r="R41" s="283"/>
      <c r="S41" s="315" t="n">
        <f aca="false">(P41/P43)</f>
        <v>0.137010676156584</v>
      </c>
    </row>
    <row r="42" customFormat="false" ht="15" hidden="false" customHeight="true" outlineLevel="0" collapsed="false">
      <c r="A42" s="456" t="s">
        <v>10135</v>
      </c>
      <c r="B42" s="458" t="s">
        <v>10136</v>
      </c>
      <c r="C42" s="458" t="n">
        <v>2014</v>
      </c>
      <c r="D42" s="459" t="n">
        <v>41948</v>
      </c>
      <c r="E42" s="380" t="s">
        <v>10137</v>
      </c>
      <c r="F42" s="460" t="s">
        <v>1068</v>
      </c>
      <c r="G42" s="460" t="s">
        <v>1174</v>
      </c>
      <c r="H42" s="380" t="s">
        <v>471</v>
      </c>
      <c r="I42" s="459" t="n">
        <v>44263</v>
      </c>
      <c r="J42" s="460" t="n">
        <v>3</v>
      </c>
      <c r="K42" s="460" t="s">
        <v>10012</v>
      </c>
      <c r="L42" s="460" t="s">
        <v>10013</v>
      </c>
      <c r="M42" s="545" t="n">
        <f aca="false">I42-D42</f>
        <v>2315</v>
      </c>
      <c r="N42" s="153"/>
      <c r="O42" s="282" t="n">
        <v>2021</v>
      </c>
      <c r="P42" s="282" t="n">
        <f aca="false">COUNTIF($C$2:$C$564,"2021")</f>
        <v>44</v>
      </c>
      <c r="Q42" s="282"/>
      <c r="R42" s="282"/>
      <c r="S42" s="316" t="n">
        <f aca="false">(P42/P43)</f>
        <v>0.0782918149466192</v>
      </c>
    </row>
    <row r="43" customFormat="false" ht="15" hidden="false" customHeight="true" outlineLevel="0" collapsed="false">
      <c r="A43" s="449" t="s">
        <v>10138</v>
      </c>
      <c r="B43" s="450" t="s">
        <v>10139</v>
      </c>
      <c r="C43" s="450" t="n">
        <v>2020</v>
      </c>
      <c r="D43" s="451" t="n">
        <v>44133</v>
      </c>
      <c r="E43" s="452" t="s">
        <v>10140</v>
      </c>
      <c r="F43" s="452" t="s">
        <v>1689</v>
      </c>
      <c r="G43" s="378" t="s">
        <v>1174</v>
      </c>
      <c r="H43" s="378" t="s">
        <v>706</v>
      </c>
      <c r="I43" s="451" t="n">
        <v>44263</v>
      </c>
      <c r="J43" s="452" t="n">
        <v>3</v>
      </c>
      <c r="K43" s="452" t="s">
        <v>10012</v>
      </c>
      <c r="L43" s="452" t="s">
        <v>10018</v>
      </c>
      <c r="M43" s="546" t="n">
        <f aca="false">I43-D43</f>
        <v>130</v>
      </c>
      <c r="N43" s="153"/>
      <c r="O43" s="323" t="s">
        <v>56</v>
      </c>
      <c r="P43" s="418" t="n">
        <f aca="false">SUM(P29:R42)</f>
        <v>562</v>
      </c>
      <c r="Q43" s="418"/>
      <c r="R43" s="418"/>
      <c r="S43" s="325" t="n">
        <f aca="false">SUM(S29:S42)</f>
        <v>1</v>
      </c>
    </row>
    <row r="44" customFormat="false" ht="15" hidden="false" customHeight="true" outlineLevel="0" collapsed="false">
      <c r="A44" s="456" t="s">
        <v>10141</v>
      </c>
      <c r="B44" s="458" t="s">
        <v>10142</v>
      </c>
      <c r="C44" s="458" t="n">
        <v>2019</v>
      </c>
      <c r="D44" s="459" t="n">
        <v>43495</v>
      </c>
      <c r="E44" s="380" t="s">
        <v>10143</v>
      </c>
      <c r="F44" s="460" t="s">
        <v>1068</v>
      </c>
      <c r="G44" s="460" t="s">
        <v>1174</v>
      </c>
      <c r="H44" s="380" t="s">
        <v>235</v>
      </c>
      <c r="I44" s="459" t="n">
        <v>44263</v>
      </c>
      <c r="J44" s="460" t="n">
        <v>3</v>
      </c>
      <c r="K44" s="460" t="s">
        <v>10012</v>
      </c>
      <c r="L44" s="460" t="s">
        <v>10013</v>
      </c>
      <c r="M44" s="545" t="n">
        <f aca="false">I44-D44</f>
        <v>768</v>
      </c>
      <c r="N44" s="153"/>
      <c r="O44" s="153"/>
      <c r="P44" s="153"/>
      <c r="Q44" s="153"/>
      <c r="R44" s="153"/>
      <c r="S44" s="153"/>
    </row>
    <row r="45" customFormat="false" ht="15" hidden="false" customHeight="true" outlineLevel="0" collapsed="false">
      <c r="A45" s="449" t="s">
        <v>10144</v>
      </c>
      <c r="B45" s="450" t="s">
        <v>10145</v>
      </c>
      <c r="C45" s="450" t="n">
        <v>2018</v>
      </c>
      <c r="D45" s="451" t="n">
        <v>43438</v>
      </c>
      <c r="E45" s="452" t="s">
        <v>10146</v>
      </c>
      <c r="F45" s="452" t="s">
        <v>1068</v>
      </c>
      <c r="G45" s="378" t="s">
        <v>1174</v>
      </c>
      <c r="H45" s="378" t="s">
        <v>471</v>
      </c>
      <c r="I45" s="451" t="n">
        <v>44263</v>
      </c>
      <c r="J45" s="452" t="n">
        <v>3</v>
      </c>
      <c r="K45" s="452" t="s">
        <v>10012</v>
      </c>
      <c r="L45" s="452" t="s">
        <v>10013</v>
      </c>
      <c r="M45" s="546" t="n">
        <f aca="false">I45-D45</f>
        <v>825</v>
      </c>
      <c r="N45" s="153"/>
      <c r="O45" s="326" t="s">
        <v>272</v>
      </c>
      <c r="P45" s="326"/>
      <c r="Q45" s="326"/>
      <c r="R45" s="326"/>
      <c r="S45" s="326"/>
    </row>
    <row r="46" customFormat="false" ht="15" hidden="false" customHeight="true" outlineLevel="0" collapsed="false">
      <c r="A46" s="456" t="s">
        <v>10147</v>
      </c>
      <c r="B46" s="458" t="s">
        <v>10148</v>
      </c>
      <c r="C46" s="458" t="n">
        <v>2020</v>
      </c>
      <c r="D46" s="459" t="n">
        <v>43878</v>
      </c>
      <c r="E46" s="380" t="s">
        <v>10149</v>
      </c>
      <c r="F46" s="460" t="s">
        <v>10150</v>
      </c>
      <c r="G46" s="460" t="s">
        <v>1174</v>
      </c>
      <c r="H46" s="380" t="s">
        <v>10151</v>
      </c>
      <c r="I46" s="459" t="n">
        <v>44263</v>
      </c>
      <c r="J46" s="460" t="n">
        <v>3</v>
      </c>
      <c r="K46" s="460" t="s">
        <v>10012</v>
      </c>
      <c r="L46" s="460" t="s">
        <v>10018</v>
      </c>
      <c r="M46" s="545" t="n">
        <f aca="false">I46-D46</f>
        <v>385</v>
      </c>
      <c r="N46" s="153"/>
      <c r="O46" s="326"/>
      <c r="P46" s="326"/>
      <c r="Q46" s="326"/>
      <c r="R46" s="326"/>
      <c r="S46" s="326"/>
    </row>
    <row r="47" customFormat="false" ht="15" hidden="false" customHeight="true" outlineLevel="0" collapsed="false">
      <c r="A47" s="449" t="s">
        <v>10152</v>
      </c>
      <c r="B47" s="450" t="s">
        <v>10153</v>
      </c>
      <c r="C47" s="450" t="n">
        <v>2017</v>
      </c>
      <c r="D47" s="451" t="n">
        <v>43095</v>
      </c>
      <c r="E47" s="452" t="s">
        <v>10154</v>
      </c>
      <c r="F47" s="452" t="s">
        <v>1068</v>
      </c>
      <c r="G47" s="378" t="s">
        <v>1174</v>
      </c>
      <c r="H47" s="378" t="s">
        <v>267</v>
      </c>
      <c r="I47" s="451" t="n">
        <v>44263</v>
      </c>
      <c r="J47" s="452" t="n">
        <v>3</v>
      </c>
      <c r="K47" s="452" t="s">
        <v>10012</v>
      </c>
      <c r="L47" s="452" t="s">
        <v>10013</v>
      </c>
      <c r="M47" s="546" t="n">
        <f aca="false">I47-D47</f>
        <v>1168</v>
      </c>
      <c r="N47" s="153"/>
      <c r="O47" s="309" t="s">
        <v>100</v>
      </c>
      <c r="P47" s="416" t="s">
        <v>40</v>
      </c>
      <c r="Q47" s="416"/>
      <c r="R47" s="416"/>
      <c r="S47" s="313" t="s">
        <v>41</v>
      </c>
    </row>
    <row r="48" customFormat="false" ht="15" hidden="false" customHeight="true" outlineLevel="0" collapsed="false">
      <c r="A48" s="456" t="s">
        <v>10155</v>
      </c>
      <c r="B48" s="458" t="s">
        <v>10156</v>
      </c>
      <c r="C48" s="458" t="n">
        <v>2015</v>
      </c>
      <c r="D48" s="459" t="n">
        <v>42184</v>
      </c>
      <c r="E48" s="380" t="s">
        <v>10157</v>
      </c>
      <c r="F48" s="460" t="s">
        <v>1894</v>
      </c>
      <c r="G48" s="460" t="s">
        <v>1174</v>
      </c>
      <c r="H48" s="380" t="s">
        <v>192</v>
      </c>
      <c r="I48" s="459" t="n">
        <v>44263</v>
      </c>
      <c r="J48" s="460" t="n">
        <v>3</v>
      </c>
      <c r="K48" s="460" t="s">
        <v>10012</v>
      </c>
      <c r="L48" s="460" t="s">
        <v>10018</v>
      </c>
      <c r="M48" s="545" t="n">
        <f aca="false">I48-D48</f>
        <v>2079</v>
      </c>
      <c r="N48" s="153"/>
      <c r="O48" s="314" t="s">
        <v>63</v>
      </c>
      <c r="P48" s="314" t="n">
        <f aca="false">COUNTIF($J$2:$J$564,"1")</f>
        <v>76</v>
      </c>
      <c r="Q48" s="314"/>
      <c r="R48" s="314"/>
      <c r="S48" s="469" t="n">
        <f aca="false">(P48/P60)</f>
        <v>0.135231316725979</v>
      </c>
    </row>
    <row r="49" customFormat="false" ht="15" hidden="false" customHeight="true" outlineLevel="0" collapsed="false">
      <c r="A49" s="449" t="s">
        <v>10158</v>
      </c>
      <c r="B49" s="450" t="s">
        <v>10159</v>
      </c>
      <c r="C49" s="450" t="n">
        <v>2016</v>
      </c>
      <c r="D49" s="451" t="n">
        <v>42510</v>
      </c>
      <c r="E49" s="452" t="s">
        <v>10160</v>
      </c>
      <c r="F49" s="452" t="s">
        <v>1916</v>
      </c>
      <c r="G49" s="378" t="s">
        <v>1174</v>
      </c>
      <c r="H49" s="378" t="s">
        <v>522</v>
      </c>
      <c r="I49" s="451" t="n">
        <v>44263</v>
      </c>
      <c r="J49" s="452" t="n">
        <v>3</v>
      </c>
      <c r="K49" s="452" t="s">
        <v>10012</v>
      </c>
      <c r="L49" s="452" t="s">
        <v>10018</v>
      </c>
      <c r="M49" s="546" t="n">
        <f aca="false">I49-D49</f>
        <v>1753</v>
      </c>
      <c r="N49" s="153"/>
      <c r="O49" s="282" t="s">
        <v>64</v>
      </c>
      <c r="P49" s="282" t="n">
        <f aca="false">COUNTIF($J$2:$J$564,"2")</f>
        <v>18</v>
      </c>
      <c r="Q49" s="282"/>
      <c r="R49" s="282"/>
      <c r="S49" s="316" t="n">
        <f aca="false">(P49/P60)</f>
        <v>0.0320284697508897</v>
      </c>
      <c r="T49" s="153"/>
    </row>
    <row r="50" customFormat="false" ht="15" hidden="false" customHeight="true" outlineLevel="0" collapsed="false">
      <c r="A50" s="456" t="s">
        <v>10161</v>
      </c>
      <c r="B50" s="458" t="s">
        <v>10162</v>
      </c>
      <c r="C50" s="458" t="n">
        <v>2015</v>
      </c>
      <c r="D50" s="459" t="n">
        <v>42082</v>
      </c>
      <c r="E50" s="380" t="s">
        <v>10163</v>
      </c>
      <c r="F50" s="460" t="s">
        <v>467</v>
      </c>
      <c r="G50" s="460" t="s">
        <v>1174</v>
      </c>
      <c r="H50" s="380" t="s">
        <v>522</v>
      </c>
      <c r="I50" s="459" t="n">
        <v>44263</v>
      </c>
      <c r="J50" s="460" t="n">
        <v>3</v>
      </c>
      <c r="K50" s="460" t="s">
        <v>10012</v>
      </c>
      <c r="L50" s="460" t="s">
        <v>10013</v>
      </c>
      <c r="M50" s="545" t="n">
        <f aca="false">I50-D50</f>
        <v>2181</v>
      </c>
      <c r="N50" s="153"/>
      <c r="O50" s="283" t="s">
        <v>66</v>
      </c>
      <c r="P50" s="283" t="n">
        <f aca="false">COUNTIF($J$2:$J$564,"3")</f>
        <v>54</v>
      </c>
      <c r="Q50" s="283"/>
      <c r="R50" s="283"/>
      <c r="S50" s="315" t="n">
        <f aca="false">(P50/P60)</f>
        <v>0.096085409252669</v>
      </c>
      <c r="T50" s="153"/>
    </row>
    <row r="51" customFormat="false" ht="15" hidden="false" customHeight="true" outlineLevel="0" collapsed="false">
      <c r="A51" s="449" t="s">
        <v>10164</v>
      </c>
      <c r="B51" s="450" t="s">
        <v>10165</v>
      </c>
      <c r="C51" s="450" t="n">
        <v>2018</v>
      </c>
      <c r="D51" s="451" t="n">
        <v>43434</v>
      </c>
      <c r="E51" s="452" t="s">
        <v>10166</v>
      </c>
      <c r="F51" s="452" t="s">
        <v>1373</v>
      </c>
      <c r="G51" s="378" t="s">
        <v>1174</v>
      </c>
      <c r="H51" s="378" t="s">
        <v>267</v>
      </c>
      <c r="I51" s="451" t="n">
        <v>44263</v>
      </c>
      <c r="J51" s="452" t="n">
        <v>3</v>
      </c>
      <c r="K51" s="452" t="s">
        <v>10012</v>
      </c>
      <c r="L51" s="452" t="s">
        <v>10013</v>
      </c>
      <c r="M51" s="546" t="n">
        <f aca="false">I51-D51</f>
        <v>829</v>
      </c>
      <c r="N51" s="153"/>
      <c r="O51" s="282" t="s">
        <v>67</v>
      </c>
      <c r="P51" s="282" t="n">
        <f aca="false">COUNTIF($J$2:$J$564,"4")</f>
        <v>35</v>
      </c>
      <c r="Q51" s="282"/>
      <c r="R51" s="282"/>
      <c r="S51" s="316" t="n">
        <f aca="false">(P51/P60)</f>
        <v>0.0622775800711744</v>
      </c>
      <c r="T51" s="153"/>
    </row>
    <row r="52" customFormat="false" ht="15" hidden="false" customHeight="true" outlineLevel="0" collapsed="false">
      <c r="A52" s="456" t="s">
        <v>10167</v>
      </c>
      <c r="B52" s="458" t="s">
        <v>10168</v>
      </c>
      <c r="C52" s="458" t="n">
        <v>2019</v>
      </c>
      <c r="D52" s="459" t="n">
        <v>43580</v>
      </c>
      <c r="E52" s="380" t="s">
        <v>10169</v>
      </c>
      <c r="F52" s="460" t="s">
        <v>2151</v>
      </c>
      <c r="G52" s="460" t="s">
        <v>1174</v>
      </c>
      <c r="H52" s="380" t="s">
        <v>10170</v>
      </c>
      <c r="I52" s="459" t="n">
        <v>44263</v>
      </c>
      <c r="J52" s="460" t="n">
        <v>3</v>
      </c>
      <c r="K52" s="460" t="s">
        <v>10012</v>
      </c>
      <c r="L52" s="460" t="s">
        <v>10018</v>
      </c>
      <c r="M52" s="545" t="n">
        <f aca="false">I52-D52</f>
        <v>683</v>
      </c>
      <c r="N52" s="153"/>
      <c r="O52" s="283" t="s">
        <v>68</v>
      </c>
      <c r="P52" s="283" t="n">
        <f aca="false">COUNTIF($J$2:$J$564,"5")</f>
        <v>75</v>
      </c>
      <c r="Q52" s="283"/>
      <c r="R52" s="283"/>
      <c r="S52" s="315" t="n">
        <f aca="false">(P52/P60)</f>
        <v>0.133451957295374</v>
      </c>
      <c r="T52" s="153"/>
    </row>
    <row r="53" customFormat="false" ht="15" hidden="false" customHeight="true" outlineLevel="0" collapsed="false">
      <c r="A53" s="449" t="s">
        <v>10171</v>
      </c>
      <c r="B53" s="450" t="s">
        <v>10172</v>
      </c>
      <c r="C53" s="450" t="n">
        <v>2020</v>
      </c>
      <c r="D53" s="451" t="n">
        <v>44103</v>
      </c>
      <c r="E53" s="452" t="s">
        <v>10173</v>
      </c>
      <c r="F53" s="452" t="s">
        <v>211</v>
      </c>
      <c r="G53" s="378" t="s">
        <v>1174</v>
      </c>
      <c r="H53" s="378" t="s">
        <v>243</v>
      </c>
      <c r="I53" s="451" t="n">
        <v>44279</v>
      </c>
      <c r="J53" s="452" t="n">
        <v>3</v>
      </c>
      <c r="K53" s="452" t="s">
        <v>10012</v>
      </c>
      <c r="L53" s="452" t="s">
        <v>10018</v>
      </c>
      <c r="M53" s="546" t="n">
        <f aca="false">I53-D53</f>
        <v>176</v>
      </c>
      <c r="N53" s="153"/>
      <c r="O53" s="282" t="s">
        <v>70</v>
      </c>
      <c r="P53" s="282" t="n">
        <f aca="false">COUNTIF($J$2:$J$564,"6")</f>
        <v>34</v>
      </c>
      <c r="Q53" s="282"/>
      <c r="R53" s="282"/>
      <c r="S53" s="316" t="n">
        <f aca="false">(P53/P60)</f>
        <v>0.0604982206405694</v>
      </c>
      <c r="T53" s="153"/>
    </row>
    <row r="54" customFormat="false" ht="15" hidden="false" customHeight="true" outlineLevel="0" collapsed="false">
      <c r="A54" s="456" t="s">
        <v>10174</v>
      </c>
      <c r="B54" s="458" t="s">
        <v>10175</v>
      </c>
      <c r="C54" s="458" t="n">
        <v>2020</v>
      </c>
      <c r="D54" s="459" t="n">
        <v>44132</v>
      </c>
      <c r="E54" s="380" t="s">
        <v>10176</v>
      </c>
      <c r="F54" s="460" t="s">
        <v>1357</v>
      </c>
      <c r="G54" s="460" t="s">
        <v>1174</v>
      </c>
      <c r="H54" s="380" t="s">
        <v>243</v>
      </c>
      <c r="I54" s="459" t="n">
        <v>44284</v>
      </c>
      <c r="J54" s="460" t="n">
        <v>3</v>
      </c>
      <c r="K54" s="460" t="s">
        <v>10012</v>
      </c>
      <c r="L54" s="460" t="s">
        <v>10013</v>
      </c>
      <c r="M54" s="545" t="n">
        <f aca="false">I54-D54</f>
        <v>152</v>
      </c>
      <c r="N54" s="153"/>
      <c r="O54" s="283" t="s">
        <v>72</v>
      </c>
      <c r="P54" s="283" t="n">
        <f aca="false">COUNTIF($J$2:$J$564,"7")</f>
        <v>77</v>
      </c>
      <c r="Q54" s="283"/>
      <c r="R54" s="283"/>
      <c r="S54" s="315" t="n">
        <f aca="false">(P54/P60)</f>
        <v>0.137010676156584</v>
      </c>
      <c r="T54" s="153"/>
    </row>
    <row r="55" customFormat="false" ht="15" hidden="false" customHeight="true" outlineLevel="0" collapsed="false">
      <c r="A55" s="449" t="s">
        <v>10177</v>
      </c>
      <c r="B55" s="450" t="s">
        <v>10178</v>
      </c>
      <c r="C55" s="450" t="n">
        <v>2015</v>
      </c>
      <c r="D55" s="451" t="n">
        <v>42199</v>
      </c>
      <c r="E55" s="452" t="s">
        <v>10179</v>
      </c>
      <c r="F55" s="452" t="s">
        <v>1894</v>
      </c>
      <c r="G55" s="378" t="s">
        <v>1174</v>
      </c>
      <c r="H55" s="378" t="s">
        <v>184</v>
      </c>
      <c r="I55" s="451" t="n">
        <v>44284</v>
      </c>
      <c r="J55" s="452" t="n">
        <v>3</v>
      </c>
      <c r="K55" s="452" t="s">
        <v>10012</v>
      </c>
      <c r="L55" s="452" t="s">
        <v>10018</v>
      </c>
      <c r="M55" s="546" t="n">
        <f aca="false">I55-D55</f>
        <v>2085</v>
      </c>
      <c r="N55" s="160"/>
      <c r="O55" s="282" t="s">
        <v>74</v>
      </c>
      <c r="P55" s="282" t="n">
        <f aca="false">COUNTIF($J$2:$J$564,"8")</f>
        <v>29</v>
      </c>
      <c r="Q55" s="282"/>
      <c r="R55" s="282"/>
      <c r="S55" s="316" t="n">
        <f aca="false">(P55/P60)</f>
        <v>0.0516014234875445</v>
      </c>
      <c r="T55" s="153"/>
    </row>
    <row r="56" customFormat="false" ht="15" hidden="false" customHeight="true" outlineLevel="0" collapsed="false">
      <c r="A56" s="456" t="s">
        <v>10180</v>
      </c>
      <c r="B56" s="458" t="s">
        <v>10181</v>
      </c>
      <c r="C56" s="458" t="n">
        <v>2017</v>
      </c>
      <c r="D56" s="459" t="n">
        <v>43063</v>
      </c>
      <c r="E56" s="380" t="s">
        <v>10182</v>
      </c>
      <c r="F56" s="460" t="s">
        <v>1916</v>
      </c>
      <c r="G56" s="460" t="s">
        <v>1174</v>
      </c>
      <c r="H56" s="380" t="s">
        <v>254</v>
      </c>
      <c r="I56" s="459" t="n">
        <v>44284</v>
      </c>
      <c r="J56" s="460" t="n">
        <v>3</v>
      </c>
      <c r="K56" s="460" t="s">
        <v>10012</v>
      </c>
      <c r="L56" s="460" t="s">
        <v>10018</v>
      </c>
      <c r="M56" s="545" t="n">
        <f aca="false">I56-D56</f>
        <v>1221</v>
      </c>
      <c r="N56" s="153"/>
      <c r="O56" s="283" t="s">
        <v>76</v>
      </c>
      <c r="P56" s="283" t="n">
        <f aca="false">COUNTIF($J$2:$J$564,"9")</f>
        <v>43</v>
      </c>
      <c r="Q56" s="283"/>
      <c r="R56" s="283"/>
      <c r="S56" s="315" t="n">
        <f aca="false">(P56/P60)</f>
        <v>0.0765124555160142</v>
      </c>
      <c r="T56" s="153"/>
    </row>
    <row r="57" customFormat="false" ht="15" hidden="false" customHeight="true" outlineLevel="0" collapsed="false">
      <c r="A57" s="449" t="s">
        <v>10183</v>
      </c>
      <c r="B57" s="450" t="s">
        <v>10184</v>
      </c>
      <c r="C57" s="450" t="n">
        <v>2021</v>
      </c>
      <c r="D57" s="451" t="n">
        <v>43895</v>
      </c>
      <c r="E57" s="452" t="s">
        <v>10185</v>
      </c>
      <c r="F57" s="452" t="s">
        <v>509</v>
      </c>
      <c r="G57" s="378" t="s">
        <v>1174</v>
      </c>
      <c r="H57" s="378" t="s">
        <v>243</v>
      </c>
      <c r="I57" s="451" t="n">
        <v>44292</v>
      </c>
      <c r="J57" s="452" t="n">
        <v>4</v>
      </c>
      <c r="K57" s="452" t="s">
        <v>10012</v>
      </c>
      <c r="L57" s="452" t="s">
        <v>10018</v>
      </c>
      <c r="M57" s="546" t="n">
        <f aca="false">I57-D57</f>
        <v>397</v>
      </c>
      <c r="N57" s="153"/>
      <c r="O57" s="282" t="s">
        <v>78</v>
      </c>
      <c r="P57" s="282" t="n">
        <f aca="false">COUNTIF($J$2:$J$564,"10")</f>
        <v>40</v>
      </c>
      <c r="Q57" s="282"/>
      <c r="R57" s="282"/>
      <c r="S57" s="316" t="n">
        <f aca="false">(P57/P60)</f>
        <v>0.0711743772241993</v>
      </c>
      <c r="T57" s="153"/>
    </row>
    <row r="58" customFormat="false" ht="15" hidden="true" customHeight="true" outlineLevel="0" collapsed="false">
      <c r="A58" s="456" t="s">
        <v>10186</v>
      </c>
      <c r="B58" s="458" t="s">
        <v>10187</v>
      </c>
      <c r="C58" s="458" t="n">
        <v>2013</v>
      </c>
      <c r="D58" s="459" t="n">
        <v>41627</v>
      </c>
      <c r="E58" s="380" t="s">
        <v>10188</v>
      </c>
      <c r="F58" s="460" t="s">
        <v>7916</v>
      </c>
      <c r="G58" s="460" t="s">
        <v>1188</v>
      </c>
      <c r="H58" s="380" t="s">
        <v>10110</v>
      </c>
      <c r="I58" s="459" t="n">
        <v>44292</v>
      </c>
      <c r="J58" s="460" t="n">
        <v>4</v>
      </c>
      <c r="K58" s="547" t="s">
        <v>51</v>
      </c>
      <c r="L58" s="460" t="s">
        <v>10013</v>
      </c>
      <c r="M58" s="545" t="n">
        <f aca="false">I58-D58</f>
        <v>2665</v>
      </c>
      <c r="N58" s="153"/>
      <c r="O58" s="283" t="s">
        <v>80</v>
      </c>
      <c r="P58" s="283" t="n">
        <f aca="false">COUNTIF($J$2:$J$564,"11")</f>
        <v>27</v>
      </c>
      <c r="Q58" s="283"/>
      <c r="R58" s="283"/>
      <c r="S58" s="315" t="n">
        <f aca="false">(P58/P60)</f>
        <v>0.0480427046263345</v>
      </c>
      <c r="T58" s="153"/>
    </row>
    <row r="59" customFormat="false" ht="15" hidden="false" customHeight="true" outlineLevel="0" collapsed="false">
      <c r="A59" s="449" t="s">
        <v>10189</v>
      </c>
      <c r="B59" s="450" t="s">
        <v>10190</v>
      </c>
      <c r="C59" s="450" t="n">
        <v>2020</v>
      </c>
      <c r="D59" s="451" t="n">
        <v>44123</v>
      </c>
      <c r="E59" s="452" t="s">
        <v>10191</v>
      </c>
      <c r="F59" s="452" t="s">
        <v>459</v>
      </c>
      <c r="G59" s="378" t="s">
        <v>1174</v>
      </c>
      <c r="H59" s="378" t="s">
        <v>267</v>
      </c>
      <c r="I59" s="451" t="n">
        <v>44292</v>
      </c>
      <c r="J59" s="452" t="n">
        <v>4</v>
      </c>
      <c r="K59" s="452" t="s">
        <v>10012</v>
      </c>
      <c r="L59" s="452" t="s">
        <v>10018</v>
      </c>
      <c r="M59" s="546" t="n">
        <f aca="false">I59-D59</f>
        <v>169</v>
      </c>
      <c r="N59" s="153"/>
      <c r="O59" s="336" t="s">
        <v>82</v>
      </c>
      <c r="P59" s="282" t="n">
        <f aca="false">COUNTIF($J$2:$J$564,"12")</f>
        <v>54</v>
      </c>
      <c r="Q59" s="282"/>
      <c r="R59" s="282"/>
      <c r="S59" s="470" t="n">
        <f aca="false">(P59/P60)</f>
        <v>0.096085409252669</v>
      </c>
      <c r="T59" s="153"/>
    </row>
    <row r="60" customFormat="false" ht="15" hidden="false" customHeight="true" outlineLevel="0" collapsed="false">
      <c r="A60" s="456" t="s">
        <v>10192</v>
      </c>
      <c r="B60" s="458" t="s">
        <v>10193</v>
      </c>
      <c r="C60" s="458" t="n">
        <v>2019</v>
      </c>
      <c r="D60" s="459" t="n">
        <v>43570</v>
      </c>
      <c r="E60" s="380" t="s">
        <v>10194</v>
      </c>
      <c r="F60" s="460" t="s">
        <v>509</v>
      </c>
      <c r="G60" s="460" t="s">
        <v>1174</v>
      </c>
      <c r="H60" s="380" t="s">
        <v>471</v>
      </c>
      <c r="I60" s="459" t="n">
        <v>44292</v>
      </c>
      <c r="J60" s="460" t="n">
        <v>4</v>
      </c>
      <c r="K60" s="460" t="s">
        <v>10012</v>
      </c>
      <c r="L60" s="460" t="s">
        <v>10013</v>
      </c>
      <c r="M60" s="545" t="n">
        <f aca="false">I60-D60</f>
        <v>722</v>
      </c>
      <c r="N60" s="153"/>
      <c r="O60" s="323" t="s">
        <v>54</v>
      </c>
      <c r="P60" s="418" t="n">
        <f aca="false">SUM(P48:R59)</f>
        <v>562</v>
      </c>
      <c r="Q60" s="418"/>
      <c r="R60" s="418"/>
      <c r="S60" s="325" t="n">
        <f aca="false">SUM(S48:S59)</f>
        <v>1</v>
      </c>
      <c r="T60" s="153"/>
    </row>
    <row r="61" customFormat="false" ht="15" hidden="false" customHeight="true" outlineLevel="0" collapsed="false">
      <c r="A61" s="449" t="s">
        <v>10195</v>
      </c>
      <c r="B61" s="450" t="s">
        <v>10196</v>
      </c>
      <c r="C61" s="450" t="n">
        <v>2020</v>
      </c>
      <c r="D61" s="451" t="n">
        <v>44127</v>
      </c>
      <c r="E61" s="452" t="s">
        <v>10197</v>
      </c>
      <c r="F61" s="452" t="s">
        <v>1693</v>
      </c>
      <c r="G61" s="378" t="s">
        <v>1174</v>
      </c>
      <c r="H61" s="378" t="s">
        <v>208</v>
      </c>
      <c r="I61" s="451" t="n">
        <v>44294</v>
      </c>
      <c r="J61" s="452" t="n">
        <v>4</v>
      </c>
      <c r="K61" s="452" t="s">
        <v>10012</v>
      </c>
      <c r="L61" s="452" t="s">
        <v>10018</v>
      </c>
      <c r="M61" s="546" t="n">
        <f aca="false">I61-D61</f>
        <v>167</v>
      </c>
      <c r="N61" s="153"/>
      <c r="O61" s="153"/>
      <c r="P61" s="153"/>
      <c r="Q61" s="153"/>
      <c r="R61" s="153"/>
      <c r="S61" s="153"/>
      <c r="T61" s="153"/>
    </row>
    <row r="62" customFormat="false" ht="15" hidden="false" customHeight="true" outlineLevel="0" collapsed="false">
      <c r="A62" s="456" t="s">
        <v>10198</v>
      </c>
      <c r="B62" s="458" t="s">
        <v>10199</v>
      </c>
      <c r="C62" s="458" t="n">
        <v>2016</v>
      </c>
      <c r="D62" s="459" t="n">
        <v>42451</v>
      </c>
      <c r="E62" s="380" t="s">
        <v>10200</v>
      </c>
      <c r="F62" s="460" t="s">
        <v>1211</v>
      </c>
      <c r="G62" s="460" t="s">
        <v>1174</v>
      </c>
      <c r="H62" s="380" t="s">
        <v>184</v>
      </c>
      <c r="I62" s="459" t="n">
        <v>44294</v>
      </c>
      <c r="J62" s="460" t="n">
        <v>4</v>
      </c>
      <c r="K62" s="460" t="s">
        <v>10012</v>
      </c>
      <c r="L62" s="460" t="s">
        <v>10013</v>
      </c>
      <c r="M62" s="545" t="n">
        <f aca="false">I62-D62</f>
        <v>1843</v>
      </c>
      <c r="N62" s="153"/>
      <c r="O62" s="339" t="s">
        <v>335</v>
      </c>
      <c r="P62" s="339"/>
      <c r="Q62" s="339"/>
      <c r="R62" s="339"/>
      <c r="S62" s="339"/>
      <c r="T62" s="339"/>
    </row>
    <row r="63" customFormat="false" ht="15" hidden="false" customHeight="true" outlineLevel="0" collapsed="false">
      <c r="A63" s="449" t="s">
        <v>10201</v>
      </c>
      <c r="B63" s="450" t="s">
        <v>10202</v>
      </c>
      <c r="C63" s="450" t="n">
        <v>2018</v>
      </c>
      <c r="D63" s="451" t="n">
        <v>43238</v>
      </c>
      <c r="E63" s="452" t="s">
        <v>10203</v>
      </c>
      <c r="F63" s="452" t="s">
        <v>10204</v>
      </c>
      <c r="G63" s="378" t="s">
        <v>1174</v>
      </c>
      <c r="H63" s="378" t="s">
        <v>1740</v>
      </c>
      <c r="I63" s="451" t="n">
        <v>44315</v>
      </c>
      <c r="J63" s="452" t="n">
        <v>4</v>
      </c>
      <c r="K63" s="452" t="s">
        <v>10012</v>
      </c>
      <c r="L63" s="452" t="s">
        <v>10013</v>
      </c>
      <c r="M63" s="546" t="n">
        <f aca="false">I63-D63</f>
        <v>1077</v>
      </c>
      <c r="N63" s="153"/>
      <c r="O63" s="339"/>
      <c r="P63" s="339"/>
      <c r="Q63" s="339"/>
      <c r="R63" s="339"/>
      <c r="S63" s="339"/>
      <c r="T63" s="339"/>
    </row>
    <row r="64" customFormat="false" ht="15" hidden="false" customHeight="true" outlineLevel="0" collapsed="false">
      <c r="A64" s="456" t="s">
        <v>10205</v>
      </c>
      <c r="B64" s="458" t="s">
        <v>10206</v>
      </c>
      <c r="C64" s="458" t="n">
        <v>2019</v>
      </c>
      <c r="D64" s="459" t="n">
        <v>43607</v>
      </c>
      <c r="E64" s="380" t="s">
        <v>10207</v>
      </c>
      <c r="F64" s="460" t="s">
        <v>1211</v>
      </c>
      <c r="G64" s="460" t="s">
        <v>1174</v>
      </c>
      <c r="H64" s="380" t="s">
        <v>409</v>
      </c>
      <c r="I64" s="459" t="n">
        <v>44315</v>
      </c>
      <c r="J64" s="460" t="n">
        <v>4</v>
      </c>
      <c r="K64" s="460" t="s">
        <v>10012</v>
      </c>
      <c r="L64" s="460" t="s">
        <v>10013</v>
      </c>
      <c r="M64" s="545" t="n">
        <f aca="false">I64-D64</f>
        <v>708</v>
      </c>
      <c r="N64" s="160"/>
      <c r="O64" s="340" t="s">
        <v>38</v>
      </c>
      <c r="P64" s="340"/>
      <c r="Q64" s="340"/>
      <c r="R64" s="340"/>
      <c r="S64" s="341" t="s">
        <v>343</v>
      </c>
      <c r="T64" s="342" t="s">
        <v>41</v>
      </c>
    </row>
    <row r="65" customFormat="false" ht="15" hidden="false" customHeight="true" outlineLevel="0" collapsed="false">
      <c r="A65" s="449" t="s">
        <v>10208</v>
      </c>
      <c r="B65" s="450" t="s">
        <v>10209</v>
      </c>
      <c r="C65" s="450" t="n">
        <v>2013</v>
      </c>
      <c r="D65" s="451" t="n">
        <v>41540</v>
      </c>
      <c r="E65" s="452" t="s">
        <v>10210</v>
      </c>
      <c r="F65" s="452" t="s">
        <v>10211</v>
      </c>
      <c r="G65" s="378" t="s">
        <v>1174</v>
      </c>
      <c r="H65" s="378" t="s">
        <v>1567</v>
      </c>
      <c r="I65" s="451" t="n">
        <v>44323</v>
      </c>
      <c r="J65" s="452" t="n">
        <v>5</v>
      </c>
      <c r="K65" s="452" t="s">
        <v>10012</v>
      </c>
      <c r="L65" s="452" t="s">
        <v>10018</v>
      </c>
      <c r="M65" s="546" t="n">
        <f aca="false">I65-D65</f>
        <v>2783</v>
      </c>
      <c r="N65" s="153"/>
      <c r="O65" s="471" t="s">
        <v>42</v>
      </c>
      <c r="P65" s="471"/>
      <c r="Q65" s="471"/>
      <c r="R65" s="471"/>
      <c r="S65" s="471" t="n">
        <f aca="false">COUNTIF($K$2:$K$564,"I - Extremamente tóxico")</f>
        <v>14</v>
      </c>
      <c r="T65" s="472" t="n">
        <f aca="false">(S65/S77)</f>
        <v>0.0249110320284698</v>
      </c>
    </row>
    <row r="66" customFormat="false" ht="15" hidden="false" customHeight="true" outlineLevel="0" collapsed="false">
      <c r="A66" s="456" t="s">
        <v>10212</v>
      </c>
      <c r="B66" s="458" t="s">
        <v>10213</v>
      </c>
      <c r="C66" s="458" t="n">
        <v>2016</v>
      </c>
      <c r="D66" s="459" t="n">
        <v>42527</v>
      </c>
      <c r="E66" s="380" t="s">
        <v>10214</v>
      </c>
      <c r="F66" s="460" t="s">
        <v>10211</v>
      </c>
      <c r="G66" s="460" t="s">
        <v>1174</v>
      </c>
      <c r="H66" s="380" t="s">
        <v>192</v>
      </c>
      <c r="I66" s="459" t="n">
        <v>44323</v>
      </c>
      <c r="J66" s="460" t="n">
        <v>5</v>
      </c>
      <c r="K66" s="460" t="s">
        <v>10012</v>
      </c>
      <c r="L66" s="460" t="s">
        <v>10018</v>
      </c>
      <c r="M66" s="545" t="n">
        <f aca="false">I66-D66</f>
        <v>1796</v>
      </c>
      <c r="N66" s="153"/>
      <c r="O66" s="345" t="s">
        <v>43</v>
      </c>
      <c r="P66" s="345"/>
      <c r="Q66" s="345"/>
      <c r="R66" s="345"/>
      <c r="S66" s="345" t="n">
        <f aca="false">COUNTIF($K$2:$K$564,"Categoria 1 - Produto Extremamente Tóxico")</f>
        <v>0</v>
      </c>
      <c r="T66" s="473" t="n">
        <f aca="false">(S66/S77)</f>
        <v>0</v>
      </c>
    </row>
    <row r="67" customFormat="false" ht="15" hidden="false" customHeight="true" outlineLevel="0" collapsed="false">
      <c r="A67" s="449" t="s">
        <v>10215</v>
      </c>
      <c r="B67" s="450" t="s">
        <v>10216</v>
      </c>
      <c r="C67" s="450" t="n">
        <v>2016</v>
      </c>
      <c r="D67" s="451" t="n">
        <v>42493</v>
      </c>
      <c r="E67" s="452" t="s">
        <v>10217</v>
      </c>
      <c r="F67" s="452" t="s">
        <v>509</v>
      </c>
      <c r="G67" s="378" t="s">
        <v>1174</v>
      </c>
      <c r="H67" s="378" t="s">
        <v>1059</v>
      </c>
      <c r="I67" s="451" t="n">
        <v>44323</v>
      </c>
      <c r="J67" s="452" t="n">
        <v>5</v>
      </c>
      <c r="K67" s="452" t="s">
        <v>10012</v>
      </c>
      <c r="L67" s="452" t="s">
        <v>10018</v>
      </c>
      <c r="M67" s="546" t="n">
        <f aca="false">I67-D67</f>
        <v>1830</v>
      </c>
      <c r="N67" s="153"/>
      <c r="O67" s="345" t="s">
        <v>44</v>
      </c>
      <c r="P67" s="345"/>
      <c r="Q67" s="345"/>
      <c r="R67" s="345"/>
      <c r="S67" s="345" t="n">
        <f aca="false">COUNTIF($K$2:$K$564,"Categoria 2 - Produto Altamente Tóxico")</f>
        <v>8</v>
      </c>
      <c r="T67" s="473" t="n">
        <f aca="false">(S67/S77)</f>
        <v>0.0142348754448399</v>
      </c>
    </row>
    <row r="68" customFormat="false" ht="15" hidden="false" customHeight="true" outlineLevel="0" collapsed="false">
      <c r="A68" s="456" t="s">
        <v>10218</v>
      </c>
      <c r="B68" s="458" t="s">
        <v>10219</v>
      </c>
      <c r="C68" s="458" t="n">
        <v>2015</v>
      </c>
      <c r="D68" s="459" t="n">
        <v>42048</v>
      </c>
      <c r="E68" s="380" t="s">
        <v>10220</v>
      </c>
      <c r="F68" s="460" t="s">
        <v>537</v>
      </c>
      <c r="G68" s="460" t="s">
        <v>1174</v>
      </c>
      <c r="H68" s="380" t="s">
        <v>184</v>
      </c>
      <c r="I68" s="459" t="n">
        <v>44323</v>
      </c>
      <c r="J68" s="460" t="n">
        <v>5</v>
      </c>
      <c r="K68" s="460" t="s">
        <v>10012</v>
      </c>
      <c r="L68" s="460" t="s">
        <v>10018</v>
      </c>
      <c r="M68" s="545" t="n">
        <f aca="false">I68-D68</f>
        <v>2275</v>
      </c>
      <c r="N68" s="153"/>
      <c r="O68" s="349" t="s">
        <v>45</v>
      </c>
      <c r="P68" s="349"/>
      <c r="Q68" s="349"/>
      <c r="R68" s="349"/>
      <c r="S68" s="349" t="n">
        <f aca="false">COUNTIF($K$2:$K$564,"II - Altamente tóxico")</f>
        <v>0</v>
      </c>
      <c r="T68" s="474" t="n">
        <f aca="false">(S68/S77)</f>
        <v>0</v>
      </c>
    </row>
    <row r="69" customFormat="false" ht="15" hidden="false" customHeight="true" outlineLevel="0" collapsed="false">
      <c r="A69" s="449" t="s">
        <v>10221</v>
      </c>
      <c r="B69" s="450" t="s">
        <v>10222</v>
      </c>
      <c r="C69" s="450" t="n">
        <v>2020</v>
      </c>
      <c r="D69" s="451" t="n">
        <v>43844</v>
      </c>
      <c r="E69" s="452" t="s">
        <v>10223</v>
      </c>
      <c r="F69" s="452" t="s">
        <v>509</v>
      </c>
      <c r="G69" s="378" t="s">
        <v>1174</v>
      </c>
      <c r="H69" s="378" t="s">
        <v>184</v>
      </c>
      <c r="I69" s="451" t="n">
        <v>44323</v>
      </c>
      <c r="J69" s="452" t="n">
        <v>5</v>
      </c>
      <c r="K69" s="452" t="s">
        <v>10012</v>
      </c>
      <c r="L69" s="452" t="s">
        <v>10018</v>
      </c>
      <c r="M69" s="546" t="n">
        <f aca="false">I69-D69</f>
        <v>479</v>
      </c>
      <c r="N69" s="153"/>
      <c r="O69" s="349" t="s">
        <v>46</v>
      </c>
      <c r="P69" s="349"/>
      <c r="Q69" s="349"/>
      <c r="R69" s="349"/>
      <c r="S69" s="349" t="n">
        <f aca="false">COUNTIF($K$2:$K$564,"Categoria 3 - Produto Moderadamente Tóxico")</f>
        <v>28</v>
      </c>
      <c r="T69" s="474" t="n">
        <f aca="false">(S69/S77)</f>
        <v>0.0498220640569395</v>
      </c>
    </row>
    <row r="70" customFormat="false" ht="15" hidden="false" customHeight="true" outlineLevel="0" collapsed="false">
      <c r="A70" s="456" t="s">
        <v>10224</v>
      </c>
      <c r="B70" s="458" t="s">
        <v>10225</v>
      </c>
      <c r="C70" s="458" t="n">
        <v>2015</v>
      </c>
      <c r="D70" s="459" t="n">
        <v>42095</v>
      </c>
      <c r="E70" s="380" t="s">
        <v>10226</v>
      </c>
      <c r="F70" s="460" t="s">
        <v>1373</v>
      </c>
      <c r="G70" s="460" t="s">
        <v>1174</v>
      </c>
      <c r="H70" s="380" t="s">
        <v>184</v>
      </c>
      <c r="I70" s="459" t="n">
        <v>44323</v>
      </c>
      <c r="J70" s="460" t="n">
        <v>5</v>
      </c>
      <c r="K70" s="460" t="s">
        <v>10012</v>
      </c>
      <c r="L70" s="460" t="s">
        <v>10013</v>
      </c>
      <c r="M70" s="545" t="n">
        <f aca="false">I70-D70</f>
        <v>2228</v>
      </c>
      <c r="N70" s="153"/>
      <c r="O70" s="351" t="s">
        <v>47</v>
      </c>
      <c r="P70" s="351"/>
      <c r="Q70" s="351"/>
      <c r="R70" s="351"/>
      <c r="S70" s="351" t="n">
        <f aca="false">COUNTIF($K$2:$K$564,"III - Medianamente tóxico")</f>
        <v>7</v>
      </c>
      <c r="T70" s="475" t="n">
        <f aca="false">(S70/S77)</f>
        <v>0.0124555160142349</v>
      </c>
    </row>
    <row r="71" customFormat="false" ht="15" hidden="true" customHeight="true" outlineLevel="0" collapsed="false">
      <c r="A71" s="449" t="s">
        <v>10227</v>
      </c>
      <c r="B71" s="450" t="s">
        <v>10228</v>
      </c>
      <c r="C71" s="450" t="n">
        <v>2014</v>
      </c>
      <c r="D71" s="451" t="n">
        <v>41821</v>
      </c>
      <c r="E71" s="452" t="s">
        <v>10229</v>
      </c>
      <c r="F71" s="452" t="s">
        <v>10230</v>
      </c>
      <c r="G71" s="378" t="s">
        <v>1188</v>
      </c>
      <c r="H71" s="378" t="s">
        <v>697</v>
      </c>
      <c r="I71" s="451" t="n">
        <v>44323</v>
      </c>
      <c r="J71" s="452" t="n">
        <v>5</v>
      </c>
      <c r="K71" s="547" t="s">
        <v>51</v>
      </c>
      <c r="L71" s="452" t="s">
        <v>10018</v>
      </c>
      <c r="M71" s="546" t="n">
        <f aca="false">I71-D71</f>
        <v>2502</v>
      </c>
      <c r="N71" s="153"/>
      <c r="O71" s="351" t="s">
        <v>48</v>
      </c>
      <c r="P71" s="351"/>
      <c r="Q71" s="351"/>
      <c r="R71" s="351"/>
      <c r="S71" s="351" t="n">
        <f aca="false">COUNTIF($K$2:$K$564,"Categoria 4 - Produto Pouco Tóxico")</f>
        <v>74</v>
      </c>
      <c r="T71" s="475" t="n">
        <f aca="false">(S71/S77)</f>
        <v>0.131672597864769</v>
      </c>
    </row>
    <row r="72" customFormat="false" ht="15" hidden="false" customHeight="true" outlineLevel="0" collapsed="false">
      <c r="A72" s="456" t="s">
        <v>10231</v>
      </c>
      <c r="B72" s="458" t="s">
        <v>10232</v>
      </c>
      <c r="C72" s="458" t="n">
        <v>2011</v>
      </c>
      <c r="D72" s="459" t="n">
        <v>40738</v>
      </c>
      <c r="E72" s="380" t="s">
        <v>10233</v>
      </c>
      <c r="F72" s="460" t="s">
        <v>3656</v>
      </c>
      <c r="G72" s="460" t="s">
        <v>1174</v>
      </c>
      <c r="H72" s="380" t="s">
        <v>1567</v>
      </c>
      <c r="I72" s="459" t="n">
        <v>44323</v>
      </c>
      <c r="J72" s="460" t="n">
        <v>5</v>
      </c>
      <c r="K72" s="460" t="s">
        <v>10012</v>
      </c>
      <c r="L72" s="460" t="s">
        <v>10013</v>
      </c>
      <c r="M72" s="545" t="n">
        <f aca="false">I72-D72</f>
        <v>3585</v>
      </c>
      <c r="N72" s="153"/>
      <c r="O72" s="351" t="s">
        <v>49</v>
      </c>
      <c r="P72" s="351"/>
      <c r="Q72" s="351"/>
      <c r="R72" s="351"/>
      <c r="S72" s="351" t="n">
        <f aca="false">COUNTIF($K$2:$K$564,"Categoria 5 - Produto Improvável de Causar Dano Agudo")</f>
        <v>186</v>
      </c>
      <c r="T72" s="475" t="n">
        <f aca="false">(S72/S77)</f>
        <v>0.330960854092527</v>
      </c>
    </row>
    <row r="73" customFormat="false" ht="15" hidden="false" customHeight="true" outlineLevel="0" collapsed="false">
      <c r="A73" s="449" t="s">
        <v>10234</v>
      </c>
      <c r="B73" s="450" t="s">
        <v>10235</v>
      </c>
      <c r="C73" s="450" t="n">
        <v>2015</v>
      </c>
      <c r="D73" s="451" t="n">
        <v>42356</v>
      </c>
      <c r="E73" s="452" t="s">
        <v>10236</v>
      </c>
      <c r="F73" s="452" t="s">
        <v>1347</v>
      </c>
      <c r="G73" s="378" t="s">
        <v>1174</v>
      </c>
      <c r="H73" s="378" t="s">
        <v>223</v>
      </c>
      <c r="I73" s="451" t="n">
        <v>44323</v>
      </c>
      <c r="J73" s="452" t="n">
        <v>5</v>
      </c>
      <c r="K73" s="452" t="s">
        <v>10012</v>
      </c>
      <c r="L73" s="452" t="s">
        <v>10018</v>
      </c>
      <c r="M73" s="546" t="n">
        <f aca="false">I73-D73</f>
        <v>1967</v>
      </c>
      <c r="N73" s="153"/>
      <c r="O73" s="353" t="s">
        <v>50</v>
      </c>
      <c r="P73" s="353"/>
      <c r="Q73" s="353"/>
      <c r="R73" s="353"/>
      <c r="S73" s="353" t="n">
        <f aca="false">COUNTIF($K$2:$K$564,"IV - Pouco tóxico")</f>
        <v>2</v>
      </c>
      <c r="T73" s="476" t="n">
        <f aca="false">(S73/S77)</f>
        <v>0.00355871886120996</v>
      </c>
    </row>
    <row r="74" customFormat="false" ht="15" hidden="false" customHeight="true" outlineLevel="0" collapsed="false">
      <c r="A74" s="456" t="s">
        <v>10237</v>
      </c>
      <c r="B74" s="458" t="s">
        <v>10238</v>
      </c>
      <c r="C74" s="458" t="n">
        <v>2015</v>
      </c>
      <c r="D74" s="459" t="n">
        <v>42066</v>
      </c>
      <c r="E74" s="380" t="s">
        <v>10239</v>
      </c>
      <c r="F74" s="460" t="s">
        <v>207</v>
      </c>
      <c r="G74" s="460" t="s">
        <v>1174</v>
      </c>
      <c r="H74" s="380" t="s">
        <v>471</v>
      </c>
      <c r="I74" s="459" t="n">
        <v>44323</v>
      </c>
      <c r="J74" s="460" t="n">
        <v>5</v>
      </c>
      <c r="K74" s="460" t="s">
        <v>10012</v>
      </c>
      <c r="L74" s="460" t="s">
        <v>10018</v>
      </c>
      <c r="M74" s="545" t="n">
        <f aca="false">I74-D74</f>
        <v>2257</v>
      </c>
      <c r="N74" s="153"/>
      <c r="O74" s="353" t="s">
        <v>51</v>
      </c>
      <c r="P74" s="353"/>
      <c r="Q74" s="353"/>
      <c r="R74" s="353"/>
      <c r="S74" s="353" t="n">
        <f aca="false">COUNTIF($K$2:$K$564,"Não classificado - Produto não classificado")</f>
        <v>61</v>
      </c>
      <c r="T74" s="476" t="n">
        <f aca="false">(S74/S77)</f>
        <v>0.108540925266904</v>
      </c>
    </row>
    <row r="75" customFormat="false" ht="15" hidden="false" customHeight="true" outlineLevel="0" collapsed="false">
      <c r="A75" s="449" t="s">
        <v>10240</v>
      </c>
      <c r="B75" s="450" t="s">
        <v>10241</v>
      </c>
      <c r="C75" s="450" t="n">
        <v>2018</v>
      </c>
      <c r="D75" s="451" t="n">
        <v>43195</v>
      </c>
      <c r="E75" s="452" t="s">
        <v>10242</v>
      </c>
      <c r="F75" s="452" t="s">
        <v>1097</v>
      </c>
      <c r="G75" s="378" t="s">
        <v>1174</v>
      </c>
      <c r="H75" s="378" t="s">
        <v>2278</v>
      </c>
      <c r="I75" s="451" t="n">
        <v>44323</v>
      </c>
      <c r="J75" s="452" t="n">
        <v>5</v>
      </c>
      <c r="K75" s="452" t="s">
        <v>10012</v>
      </c>
      <c r="L75" s="452" t="s">
        <v>10013</v>
      </c>
      <c r="M75" s="546" t="n">
        <f aca="false">I75-D75</f>
        <v>1128</v>
      </c>
      <c r="N75" s="153"/>
      <c r="O75" s="353" t="s">
        <v>2407</v>
      </c>
      <c r="P75" s="353"/>
      <c r="Q75" s="353"/>
      <c r="R75" s="353"/>
      <c r="S75" s="353" t="n">
        <f aca="false">COUNTIF($K$2:$K$564,"Não determinada devido à natureza do produto (Inimigos naturais)")</f>
        <v>0</v>
      </c>
      <c r="T75" s="476" t="n">
        <f aca="false">(S75/S77)</f>
        <v>0</v>
      </c>
    </row>
    <row r="76" customFormat="false" ht="15" hidden="false" customHeight="true" outlineLevel="0" collapsed="false">
      <c r="A76" s="456" t="s">
        <v>10243</v>
      </c>
      <c r="B76" s="458" t="s">
        <v>10244</v>
      </c>
      <c r="C76" s="458" t="n">
        <v>2016</v>
      </c>
      <c r="D76" s="459" t="n">
        <v>42561</v>
      </c>
      <c r="E76" s="380" t="s">
        <v>10245</v>
      </c>
      <c r="F76" s="460" t="s">
        <v>1097</v>
      </c>
      <c r="G76" s="460" t="s">
        <v>1174</v>
      </c>
      <c r="H76" s="380" t="s">
        <v>8343</v>
      </c>
      <c r="I76" s="459" t="n">
        <v>44323</v>
      </c>
      <c r="J76" s="460" t="n">
        <v>5</v>
      </c>
      <c r="K76" s="460" t="s">
        <v>10012</v>
      </c>
      <c r="L76" s="460" t="s">
        <v>10013</v>
      </c>
      <c r="M76" s="545" t="n">
        <f aca="false">I76-D76</f>
        <v>1762</v>
      </c>
      <c r="N76" s="153"/>
      <c r="O76" s="478" t="s">
        <v>53</v>
      </c>
      <c r="P76" s="478"/>
      <c r="Q76" s="478"/>
      <c r="R76" s="478"/>
      <c r="S76" s="478" t="n">
        <f aca="false">COUNTIF($K$2:$K$564,"O perfil toxicológico foi considerado equivalente ao produto técnico de referência.")</f>
        <v>182</v>
      </c>
      <c r="T76" s="479" t="n">
        <f aca="false">(S76/S77)</f>
        <v>0.323843416370107</v>
      </c>
    </row>
    <row r="77" customFormat="false" ht="15" hidden="false" customHeight="true" outlineLevel="0" collapsed="false">
      <c r="A77" s="449" t="s">
        <v>10246</v>
      </c>
      <c r="B77" s="450" t="s">
        <v>10247</v>
      </c>
      <c r="C77" s="450" t="n">
        <v>2019</v>
      </c>
      <c r="D77" s="451" t="n">
        <v>43551</v>
      </c>
      <c r="E77" s="452" t="s">
        <v>10248</v>
      </c>
      <c r="F77" s="452" t="s">
        <v>1097</v>
      </c>
      <c r="G77" s="378" t="s">
        <v>1174</v>
      </c>
      <c r="H77" s="378" t="s">
        <v>250</v>
      </c>
      <c r="I77" s="451" t="n">
        <v>44323</v>
      </c>
      <c r="J77" s="452" t="n">
        <v>5</v>
      </c>
      <c r="K77" s="452" t="s">
        <v>10012</v>
      </c>
      <c r="L77" s="452" t="s">
        <v>10013</v>
      </c>
      <c r="M77" s="546" t="n">
        <f aca="false">I77-D77</f>
        <v>772</v>
      </c>
      <c r="N77" s="153"/>
      <c r="O77" s="419" t="s">
        <v>54</v>
      </c>
      <c r="P77" s="419"/>
      <c r="Q77" s="419"/>
      <c r="R77" s="419"/>
      <c r="S77" s="363" t="n">
        <f aca="false">SUM(S65:S76)</f>
        <v>562</v>
      </c>
      <c r="T77" s="364" t="n">
        <f aca="false">(S77/S77)</f>
        <v>1</v>
      </c>
    </row>
    <row r="78" customFormat="false" ht="15" hidden="false" customHeight="true" outlineLevel="0" collapsed="false">
      <c r="A78" s="456" t="s">
        <v>10249</v>
      </c>
      <c r="B78" s="458" t="s">
        <v>10250</v>
      </c>
      <c r="C78" s="458" t="n">
        <v>2017</v>
      </c>
      <c r="D78" s="459" t="n">
        <v>42745</v>
      </c>
      <c r="E78" s="380" t="s">
        <v>10251</v>
      </c>
      <c r="F78" s="460" t="s">
        <v>211</v>
      </c>
      <c r="G78" s="460" t="s">
        <v>1174</v>
      </c>
      <c r="H78" s="380" t="s">
        <v>192</v>
      </c>
      <c r="I78" s="459" t="n">
        <v>44323</v>
      </c>
      <c r="J78" s="460" t="n">
        <v>5</v>
      </c>
      <c r="K78" s="460" t="s">
        <v>10012</v>
      </c>
      <c r="L78" s="460" t="s">
        <v>10018</v>
      </c>
      <c r="M78" s="545" t="n">
        <f aca="false">I78-D78</f>
        <v>1578</v>
      </c>
      <c r="N78" s="153"/>
      <c r="O78" s="153"/>
      <c r="P78" s="153"/>
      <c r="Q78" s="153"/>
      <c r="R78" s="153"/>
      <c r="S78" s="153"/>
      <c r="T78" s="153"/>
    </row>
    <row r="79" customFormat="false" ht="15" hidden="false" customHeight="true" outlineLevel="0" collapsed="false">
      <c r="A79" s="449" t="s">
        <v>10252</v>
      </c>
      <c r="B79" s="450" t="s">
        <v>10253</v>
      </c>
      <c r="C79" s="450" t="n">
        <v>2014</v>
      </c>
      <c r="D79" s="451" t="n">
        <v>41739</v>
      </c>
      <c r="E79" s="452" t="s">
        <v>10254</v>
      </c>
      <c r="F79" s="452" t="s">
        <v>180</v>
      </c>
      <c r="G79" s="378" t="s">
        <v>1174</v>
      </c>
      <c r="H79" s="378" t="s">
        <v>267</v>
      </c>
      <c r="I79" s="451" t="n">
        <v>44323</v>
      </c>
      <c r="J79" s="452" t="n">
        <v>5</v>
      </c>
      <c r="K79" s="452" t="s">
        <v>10012</v>
      </c>
      <c r="L79" s="452" t="s">
        <v>10018</v>
      </c>
      <c r="M79" s="546" t="n">
        <f aca="false">I79-D79</f>
        <v>2584</v>
      </c>
      <c r="N79" s="153"/>
      <c r="O79" s="339" t="s">
        <v>102</v>
      </c>
      <c r="P79" s="339"/>
      <c r="Q79" s="339"/>
      <c r="R79" s="339"/>
      <c r="S79" s="339"/>
      <c r="T79" s="339"/>
    </row>
    <row r="80" customFormat="false" ht="15" hidden="false" customHeight="true" outlineLevel="0" collapsed="false">
      <c r="A80" s="456" t="s">
        <v>10255</v>
      </c>
      <c r="B80" s="458" t="s">
        <v>10256</v>
      </c>
      <c r="C80" s="458" t="n">
        <v>2014</v>
      </c>
      <c r="D80" s="459" t="n">
        <v>41999</v>
      </c>
      <c r="E80" s="380" t="s">
        <v>10257</v>
      </c>
      <c r="F80" s="460" t="s">
        <v>1373</v>
      </c>
      <c r="G80" s="460" t="s">
        <v>1174</v>
      </c>
      <c r="H80" s="380" t="s">
        <v>706</v>
      </c>
      <c r="I80" s="459" t="n">
        <v>44323</v>
      </c>
      <c r="J80" s="460" t="n">
        <v>5</v>
      </c>
      <c r="K80" s="460" t="s">
        <v>10012</v>
      </c>
      <c r="L80" s="460" t="s">
        <v>10013</v>
      </c>
      <c r="M80" s="545" t="n">
        <f aca="false">I80-D80</f>
        <v>2324</v>
      </c>
      <c r="N80" s="153"/>
      <c r="O80" s="339"/>
      <c r="P80" s="339"/>
      <c r="Q80" s="339"/>
      <c r="R80" s="339"/>
      <c r="S80" s="339"/>
      <c r="T80" s="339"/>
    </row>
    <row r="81" customFormat="false" ht="15" hidden="false" customHeight="true" outlineLevel="0" collapsed="false">
      <c r="A81" s="449" t="s">
        <v>10258</v>
      </c>
      <c r="B81" s="450" t="s">
        <v>10259</v>
      </c>
      <c r="C81" s="450" t="n">
        <v>2020</v>
      </c>
      <c r="D81" s="451" t="n">
        <v>43934</v>
      </c>
      <c r="E81" s="452" t="s">
        <v>10260</v>
      </c>
      <c r="F81" s="452" t="s">
        <v>1916</v>
      </c>
      <c r="G81" s="378" t="s">
        <v>1174</v>
      </c>
      <c r="H81" s="378" t="s">
        <v>532</v>
      </c>
      <c r="I81" s="451" t="n">
        <v>44323</v>
      </c>
      <c r="J81" s="452" t="n">
        <v>5</v>
      </c>
      <c r="K81" s="452" t="s">
        <v>10012</v>
      </c>
      <c r="L81" s="452" t="s">
        <v>10018</v>
      </c>
      <c r="M81" s="546" t="n">
        <f aca="false">I81-D81</f>
        <v>389</v>
      </c>
      <c r="N81" s="153"/>
      <c r="O81" s="340" t="s">
        <v>38</v>
      </c>
      <c r="P81" s="340"/>
      <c r="Q81" s="340"/>
      <c r="R81" s="340"/>
      <c r="S81" s="374" t="s">
        <v>343</v>
      </c>
      <c r="T81" s="375" t="s">
        <v>41</v>
      </c>
    </row>
    <row r="82" customFormat="false" ht="15" hidden="false" customHeight="true" outlineLevel="0" collapsed="false">
      <c r="A82" s="456" t="s">
        <v>10261</v>
      </c>
      <c r="B82" s="458" t="s">
        <v>10262</v>
      </c>
      <c r="C82" s="458" t="n">
        <v>2015</v>
      </c>
      <c r="D82" s="459" t="n">
        <v>42111</v>
      </c>
      <c r="E82" s="380" t="s">
        <v>10263</v>
      </c>
      <c r="F82" s="460" t="s">
        <v>123</v>
      </c>
      <c r="G82" s="460" t="s">
        <v>1174</v>
      </c>
      <c r="H82" s="380" t="s">
        <v>223</v>
      </c>
      <c r="I82" s="459" t="n">
        <v>44323</v>
      </c>
      <c r="J82" s="460" t="n">
        <v>5</v>
      </c>
      <c r="K82" s="460" t="s">
        <v>10012</v>
      </c>
      <c r="L82" s="460" t="s">
        <v>10018</v>
      </c>
      <c r="M82" s="545" t="n">
        <f aca="false">I82-D82</f>
        <v>2212</v>
      </c>
      <c r="N82" s="153"/>
      <c r="O82" s="480" t="s">
        <v>57</v>
      </c>
      <c r="P82" s="480"/>
      <c r="Q82" s="480"/>
      <c r="R82" s="480"/>
      <c r="S82" s="536" t="n">
        <f aca="false">COUNTIF($L$2:$L$564,"I - Produto altamente perigoso ao meio ambiente")</f>
        <v>4</v>
      </c>
      <c r="T82" s="377" t="n">
        <f aca="false">(S82/S86)</f>
        <v>0.00711743772241993</v>
      </c>
    </row>
    <row r="83" customFormat="false" ht="15" hidden="false" customHeight="true" outlineLevel="0" collapsed="false">
      <c r="A83" s="449" t="s">
        <v>10264</v>
      </c>
      <c r="B83" s="450" t="s">
        <v>10265</v>
      </c>
      <c r="C83" s="450" t="n">
        <v>2020</v>
      </c>
      <c r="D83" s="451" t="n">
        <v>43956</v>
      </c>
      <c r="E83" s="452" t="s">
        <v>10266</v>
      </c>
      <c r="F83" s="452" t="s">
        <v>1987</v>
      </c>
      <c r="G83" s="378" t="s">
        <v>1174</v>
      </c>
      <c r="H83" s="378" t="s">
        <v>1740</v>
      </c>
      <c r="I83" s="451" t="n">
        <v>44326</v>
      </c>
      <c r="J83" s="452" t="n">
        <v>5</v>
      </c>
      <c r="K83" s="452" t="s">
        <v>10012</v>
      </c>
      <c r="L83" s="452" t="s">
        <v>10018</v>
      </c>
      <c r="M83" s="546" t="n">
        <f aca="false">I83-D83</f>
        <v>370</v>
      </c>
      <c r="N83" s="153"/>
      <c r="O83" s="378" t="s">
        <v>58</v>
      </c>
      <c r="P83" s="378"/>
      <c r="Q83" s="378"/>
      <c r="R83" s="378"/>
      <c r="S83" s="537" t="n">
        <f aca="false">COUNTIF($L$2:$L$564,"II - Produto muito perigoso ao meio ambiente")</f>
        <v>273</v>
      </c>
      <c r="T83" s="379" t="n">
        <f aca="false">(S83/S86)</f>
        <v>0.48576512455516</v>
      </c>
    </row>
    <row r="84" customFormat="false" ht="15" hidden="false" customHeight="true" outlineLevel="0" collapsed="false">
      <c r="A84" s="456" t="s">
        <v>10267</v>
      </c>
      <c r="B84" s="458" t="s">
        <v>10268</v>
      </c>
      <c r="C84" s="458" t="n">
        <v>2016</v>
      </c>
      <c r="D84" s="459" t="n">
        <v>42578</v>
      </c>
      <c r="E84" s="380" t="s">
        <v>10269</v>
      </c>
      <c r="F84" s="460" t="s">
        <v>123</v>
      </c>
      <c r="G84" s="460" t="s">
        <v>1174</v>
      </c>
      <c r="H84" s="380" t="s">
        <v>6570</v>
      </c>
      <c r="I84" s="459" t="n">
        <v>44326</v>
      </c>
      <c r="J84" s="460" t="n">
        <v>5</v>
      </c>
      <c r="K84" s="460" t="s">
        <v>10012</v>
      </c>
      <c r="L84" s="460" t="s">
        <v>10018</v>
      </c>
      <c r="M84" s="545" t="n">
        <f aca="false">I84-D84</f>
        <v>1748</v>
      </c>
      <c r="N84" s="153"/>
      <c r="O84" s="380" t="s">
        <v>60</v>
      </c>
      <c r="P84" s="380"/>
      <c r="Q84" s="380"/>
      <c r="R84" s="380"/>
      <c r="S84" s="536" t="n">
        <f aca="false">COUNTIF($L$2:$L$564,"III - Produto perigoso ao meio ambiente")</f>
        <v>190</v>
      </c>
      <c r="T84" s="377" t="n">
        <f aca="false">(S84/S86)</f>
        <v>0.338078291814947</v>
      </c>
    </row>
    <row r="85" customFormat="false" ht="15" hidden="false" customHeight="true" outlineLevel="0" collapsed="false">
      <c r="A85" s="449" t="s">
        <v>10270</v>
      </c>
      <c r="B85" s="450" t="s">
        <v>10271</v>
      </c>
      <c r="C85" s="450" t="n">
        <v>2014</v>
      </c>
      <c r="D85" s="451" t="n">
        <v>41893</v>
      </c>
      <c r="E85" s="452" t="s">
        <v>10272</v>
      </c>
      <c r="F85" s="452" t="s">
        <v>537</v>
      </c>
      <c r="G85" s="378" t="s">
        <v>1174</v>
      </c>
      <c r="H85" s="378" t="s">
        <v>1072</v>
      </c>
      <c r="I85" s="451" t="n">
        <v>44326</v>
      </c>
      <c r="J85" s="452" t="n">
        <v>5</v>
      </c>
      <c r="K85" s="452" t="s">
        <v>10012</v>
      </c>
      <c r="L85" s="452" t="s">
        <v>10018</v>
      </c>
      <c r="M85" s="546" t="n">
        <f aca="false">I85-D85</f>
        <v>2433</v>
      </c>
      <c r="N85" s="153"/>
      <c r="O85" s="378" t="s">
        <v>61</v>
      </c>
      <c r="P85" s="378"/>
      <c r="Q85" s="378"/>
      <c r="R85" s="378"/>
      <c r="S85" s="537" t="n">
        <f aca="false">COUNTIF($L$2:$L$564,"IV - Produto pouco perigoso ao meio ambiente")</f>
        <v>95</v>
      </c>
      <c r="T85" s="379" t="n">
        <f aca="false">(S85/S86)</f>
        <v>0.169039145907473</v>
      </c>
    </row>
    <row r="86" customFormat="false" ht="15" hidden="true" customHeight="true" outlineLevel="0" collapsed="false">
      <c r="A86" s="456" t="s">
        <v>10273</v>
      </c>
      <c r="B86" s="458" t="s">
        <v>10274</v>
      </c>
      <c r="C86" s="458" t="n">
        <v>2014</v>
      </c>
      <c r="D86" s="459" t="n">
        <v>41656</v>
      </c>
      <c r="E86" s="380" t="s">
        <v>10275</v>
      </c>
      <c r="F86" s="460" t="s">
        <v>9406</v>
      </c>
      <c r="G86" s="460" t="s">
        <v>1188</v>
      </c>
      <c r="H86" s="380" t="s">
        <v>5589</v>
      </c>
      <c r="I86" s="459" t="n">
        <v>44328</v>
      </c>
      <c r="J86" s="460" t="n">
        <v>5</v>
      </c>
      <c r="K86" s="547" t="s">
        <v>51</v>
      </c>
      <c r="L86" s="460" t="s">
        <v>10013</v>
      </c>
      <c r="M86" s="545" t="n">
        <f aca="false">I86-D86</f>
        <v>2672</v>
      </c>
      <c r="N86" s="153"/>
      <c r="O86" s="340" t="s">
        <v>54</v>
      </c>
      <c r="P86" s="340"/>
      <c r="Q86" s="340"/>
      <c r="R86" s="340"/>
      <c r="S86" s="363" t="n">
        <f aca="false">SUM(S82:S85)</f>
        <v>562</v>
      </c>
      <c r="T86" s="364" t="n">
        <f aca="false">(S86/S86)</f>
        <v>1</v>
      </c>
    </row>
    <row r="87" customFormat="false" ht="15" hidden="false" customHeight="true" outlineLevel="0" collapsed="false">
      <c r="A87" s="449" t="s">
        <v>10276</v>
      </c>
      <c r="B87" s="450" t="s">
        <v>10277</v>
      </c>
      <c r="C87" s="450" t="n">
        <v>2016</v>
      </c>
      <c r="D87" s="451" t="n">
        <v>42486</v>
      </c>
      <c r="E87" s="452" t="s">
        <v>10278</v>
      </c>
      <c r="F87" s="452" t="s">
        <v>467</v>
      </c>
      <c r="G87" s="378" t="s">
        <v>1174</v>
      </c>
      <c r="H87" s="378" t="s">
        <v>184</v>
      </c>
      <c r="I87" s="451" t="n">
        <v>44328</v>
      </c>
      <c r="J87" s="452" t="n">
        <v>5</v>
      </c>
      <c r="K87" s="452" t="s">
        <v>10012</v>
      </c>
      <c r="L87" s="452" t="s">
        <v>10018</v>
      </c>
      <c r="M87" s="546" t="n">
        <f aca="false">I87-D87</f>
        <v>1842</v>
      </c>
      <c r="N87" s="153"/>
      <c r="O87" s="153"/>
      <c r="P87" s="153"/>
      <c r="Q87" s="153"/>
      <c r="R87" s="153"/>
      <c r="S87" s="153"/>
      <c r="T87" s="153"/>
    </row>
    <row r="88" customFormat="false" ht="15" hidden="false" customHeight="true" outlineLevel="0" collapsed="false">
      <c r="A88" s="456" t="s">
        <v>10279</v>
      </c>
      <c r="B88" s="458" t="s">
        <v>10280</v>
      </c>
      <c r="C88" s="458" t="n">
        <v>2014</v>
      </c>
      <c r="D88" s="459" t="n">
        <v>41823</v>
      </c>
      <c r="E88" s="380" t="s">
        <v>10281</v>
      </c>
      <c r="F88" s="460" t="s">
        <v>408</v>
      </c>
      <c r="G88" s="460" t="s">
        <v>1174</v>
      </c>
      <c r="H88" s="380" t="s">
        <v>471</v>
      </c>
      <c r="I88" s="459" t="n">
        <v>44328</v>
      </c>
      <c r="J88" s="460" t="n">
        <v>5</v>
      </c>
      <c r="K88" s="460" t="s">
        <v>10012</v>
      </c>
      <c r="L88" s="460" t="s">
        <v>10018</v>
      </c>
      <c r="M88" s="545" t="n">
        <f aca="false">I88-D88</f>
        <v>2505</v>
      </c>
      <c r="N88" s="153"/>
      <c r="O88" s="421" t="s">
        <v>425</v>
      </c>
      <c r="P88" s="421"/>
      <c r="Q88" s="421"/>
      <c r="R88" s="421"/>
      <c r="S88" s="153"/>
      <c r="T88" s="153"/>
    </row>
    <row r="89" customFormat="false" ht="15" hidden="true" customHeight="true" outlineLevel="0" collapsed="false">
      <c r="A89" s="449" t="s">
        <v>10282</v>
      </c>
      <c r="B89" s="450" t="s">
        <v>10283</v>
      </c>
      <c r="C89" s="450" t="n">
        <v>2014</v>
      </c>
      <c r="D89" s="451" t="n">
        <v>41758</v>
      </c>
      <c r="E89" s="452" t="s">
        <v>10284</v>
      </c>
      <c r="F89" s="452" t="s">
        <v>790</v>
      </c>
      <c r="G89" s="378" t="s">
        <v>1474</v>
      </c>
      <c r="H89" s="378" t="s">
        <v>1791</v>
      </c>
      <c r="I89" s="451" t="n">
        <v>44328</v>
      </c>
      <c r="J89" s="452" t="n">
        <v>5</v>
      </c>
      <c r="K89" s="547" t="s">
        <v>51</v>
      </c>
      <c r="L89" s="452" t="s">
        <v>10018</v>
      </c>
      <c r="M89" s="546" t="n">
        <f aca="false">I89-D89</f>
        <v>2570</v>
      </c>
      <c r="N89" s="153"/>
      <c r="O89" s="421"/>
      <c r="P89" s="421"/>
      <c r="Q89" s="421"/>
      <c r="R89" s="421"/>
      <c r="S89" s="153"/>
      <c r="T89" s="153"/>
    </row>
    <row r="90" customFormat="false" ht="15" hidden="false" customHeight="true" outlineLevel="0" collapsed="false">
      <c r="A90" s="456" t="s">
        <v>10285</v>
      </c>
      <c r="B90" s="458" t="s">
        <v>10286</v>
      </c>
      <c r="C90" s="458" t="n">
        <v>2016</v>
      </c>
      <c r="D90" s="459" t="n">
        <v>42572</v>
      </c>
      <c r="E90" s="380" t="s">
        <v>10287</v>
      </c>
      <c r="F90" s="460" t="s">
        <v>123</v>
      </c>
      <c r="G90" s="460" t="s">
        <v>1174</v>
      </c>
      <c r="H90" s="380" t="s">
        <v>1571</v>
      </c>
      <c r="I90" s="459" t="n">
        <v>44358</v>
      </c>
      <c r="J90" s="460" t="n">
        <v>6</v>
      </c>
      <c r="K90" s="460" t="s">
        <v>10012</v>
      </c>
      <c r="L90" s="460" t="s">
        <v>10018</v>
      </c>
      <c r="M90" s="545" t="n">
        <f aca="false">I90-D90</f>
        <v>1786</v>
      </c>
      <c r="N90" s="153"/>
      <c r="O90" s="390" t="s">
        <v>69</v>
      </c>
      <c r="P90" s="422" t="s">
        <v>433</v>
      </c>
      <c r="Q90" s="422"/>
      <c r="R90" s="422"/>
      <c r="S90" s="153"/>
      <c r="T90" s="153"/>
    </row>
    <row r="91" customFormat="false" ht="15" hidden="false" customHeight="true" outlineLevel="0" collapsed="false">
      <c r="A91" s="449" t="s">
        <v>10288</v>
      </c>
      <c r="B91" s="450" t="s">
        <v>10289</v>
      </c>
      <c r="C91" s="450" t="n">
        <v>2017</v>
      </c>
      <c r="D91" s="451" t="n">
        <v>42850</v>
      </c>
      <c r="E91" s="452" t="s">
        <v>10290</v>
      </c>
      <c r="F91" s="452" t="s">
        <v>1068</v>
      </c>
      <c r="G91" s="378" t="s">
        <v>1174</v>
      </c>
      <c r="H91" s="378" t="s">
        <v>223</v>
      </c>
      <c r="I91" s="451" t="n">
        <v>44358</v>
      </c>
      <c r="J91" s="452" t="n">
        <v>6</v>
      </c>
      <c r="K91" s="452" t="s">
        <v>10012</v>
      </c>
      <c r="L91" s="452" t="s">
        <v>10013</v>
      </c>
      <c r="M91" s="546" t="n">
        <f aca="false">I91-D91</f>
        <v>1508</v>
      </c>
      <c r="N91" s="153"/>
      <c r="O91" s="394" t="s">
        <v>1474</v>
      </c>
      <c r="P91" s="481" t="n">
        <f aca="false">AVERAGEIF(G2:G564,"PT",M2:M564)</f>
        <v>2570</v>
      </c>
      <c r="Q91" s="481"/>
      <c r="R91" s="481"/>
      <c r="S91" s="153"/>
      <c r="T91" s="153"/>
    </row>
    <row r="92" customFormat="false" ht="15" hidden="false" customHeight="true" outlineLevel="0" collapsed="false">
      <c r="A92" s="456" t="s">
        <v>10291</v>
      </c>
      <c r="B92" s="458" t="s">
        <v>10292</v>
      </c>
      <c r="C92" s="458" t="n">
        <v>2013</v>
      </c>
      <c r="D92" s="459" t="n">
        <v>41495</v>
      </c>
      <c r="E92" s="380" t="s">
        <v>10293</v>
      </c>
      <c r="F92" s="460" t="s">
        <v>10294</v>
      </c>
      <c r="G92" s="460" t="s">
        <v>1174</v>
      </c>
      <c r="H92" s="380" t="s">
        <v>1567</v>
      </c>
      <c r="I92" s="459" t="n">
        <v>44358</v>
      </c>
      <c r="J92" s="460" t="n">
        <v>6</v>
      </c>
      <c r="K92" s="460" t="s">
        <v>10012</v>
      </c>
      <c r="L92" s="460" t="s">
        <v>10018</v>
      </c>
      <c r="M92" s="545" t="n">
        <f aca="false">I92-D92</f>
        <v>2863</v>
      </c>
      <c r="N92" s="153"/>
      <c r="O92" s="396" t="s">
        <v>1188</v>
      </c>
      <c r="P92" s="482" t="n">
        <f aca="false">AVERAGEIF(G2:G564,"PTN",M2:M564)</f>
        <v>2562.42857142857</v>
      </c>
      <c r="Q92" s="482"/>
      <c r="R92" s="482"/>
      <c r="S92" s="153"/>
      <c r="T92" s="153"/>
    </row>
    <row r="93" customFormat="false" ht="15" hidden="false" customHeight="true" outlineLevel="0" collapsed="false">
      <c r="A93" s="449" t="s">
        <v>10295</v>
      </c>
      <c r="B93" s="450" t="s">
        <v>10296</v>
      </c>
      <c r="C93" s="450" t="n">
        <v>2015</v>
      </c>
      <c r="D93" s="451" t="n">
        <v>42270</v>
      </c>
      <c r="E93" s="452" t="s">
        <v>10297</v>
      </c>
      <c r="F93" s="452" t="s">
        <v>1211</v>
      </c>
      <c r="G93" s="378" t="s">
        <v>1174</v>
      </c>
      <c r="H93" s="378" t="s">
        <v>471</v>
      </c>
      <c r="I93" s="451" t="n">
        <v>44358</v>
      </c>
      <c r="J93" s="452" t="n">
        <v>6</v>
      </c>
      <c r="K93" s="452" t="s">
        <v>10012</v>
      </c>
      <c r="L93" s="452" t="s">
        <v>10013</v>
      </c>
      <c r="M93" s="546" t="n">
        <f aca="false">I93-D93</f>
        <v>2088</v>
      </c>
      <c r="N93" s="153"/>
      <c r="O93" s="394" t="s">
        <v>1174</v>
      </c>
      <c r="P93" s="481" t="n">
        <f aca="false">AVERAGEIF(G2:G564,"PTE",M2:M564)</f>
        <v>1498.26923076923</v>
      </c>
      <c r="Q93" s="481"/>
      <c r="R93" s="481"/>
      <c r="S93" s="153"/>
      <c r="T93" s="153"/>
    </row>
    <row r="94" customFormat="false" ht="15" hidden="false" customHeight="true" outlineLevel="0" collapsed="false">
      <c r="A94" s="456" t="s">
        <v>10298</v>
      </c>
      <c r="B94" s="458" t="s">
        <v>10299</v>
      </c>
      <c r="C94" s="458" t="n">
        <v>2020</v>
      </c>
      <c r="D94" s="459" t="n">
        <v>44055</v>
      </c>
      <c r="E94" s="380" t="s">
        <v>10300</v>
      </c>
      <c r="F94" s="460" t="s">
        <v>723</v>
      </c>
      <c r="G94" s="460" t="s">
        <v>1174</v>
      </c>
      <c r="H94" s="380" t="s">
        <v>184</v>
      </c>
      <c r="I94" s="459" t="n">
        <v>44358</v>
      </c>
      <c r="J94" s="460" t="n">
        <v>6</v>
      </c>
      <c r="K94" s="460" t="s">
        <v>10012</v>
      </c>
      <c r="L94" s="460" t="s">
        <v>10018</v>
      </c>
      <c r="M94" s="545" t="n">
        <f aca="false">I94-D94</f>
        <v>303</v>
      </c>
      <c r="N94" s="153"/>
      <c r="O94" s="396" t="s">
        <v>8</v>
      </c>
      <c r="P94" s="482" t="n">
        <f aca="false">AVERAGEIF(G2:G564,"Pré-Mistura",M2:M564)</f>
        <v>1910</v>
      </c>
      <c r="Q94" s="482"/>
      <c r="R94" s="482"/>
      <c r="S94" s="153"/>
      <c r="T94" s="153"/>
    </row>
    <row r="95" customFormat="false" ht="15" hidden="false" customHeight="true" outlineLevel="0" collapsed="false">
      <c r="A95" s="449" t="s">
        <v>10301</v>
      </c>
      <c r="B95" s="450" t="s">
        <v>10302</v>
      </c>
      <c r="C95" s="450" t="n">
        <v>2016</v>
      </c>
      <c r="D95" s="451" t="n">
        <v>42502</v>
      </c>
      <c r="E95" s="452" t="s">
        <v>10303</v>
      </c>
      <c r="F95" s="452" t="s">
        <v>123</v>
      </c>
      <c r="G95" s="378" t="s">
        <v>1174</v>
      </c>
      <c r="H95" s="378" t="s">
        <v>5263</v>
      </c>
      <c r="I95" s="451" t="n">
        <v>44358</v>
      </c>
      <c r="J95" s="452" t="n">
        <v>6</v>
      </c>
      <c r="K95" s="452" t="s">
        <v>10012</v>
      </c>
      <c r="L95" s="452" t="s">
        <v>10018</v>
      </c>
      <c r="M95" s="546" t="n">
        <f aca="false">I95-D95</f>
        <v>1856</v>
      </c>
      <c r="N95" s="153"/>
      <c r="O95" s="394" t="s">
        <v>144</v>
      </c>
      <c r="P95" s="481" t="n">
        <f aca="false">AVERAGEIF(G2:G564,"PF",M2:M564)</f>
        <v>2029.45</v>
      </c>
      <c r="Q95" s="481"/>
      <c r="R95" s="481"/>
      <c r="S95" s="153"/>
      <c r="T95" s="153"/>
    </row>
    <row r="96" customFormat="false" ht="15" hidden="false" customHeight="true" outlineLevel="0" collapsed="false">
      <c r="A96" s="456" t="s">
        <v>10304</v>
      </c>
      <c r="B96" s="458" t="s">
        <v>10305</v>
      </c>
      <c r="C96" s="458" t="n">
        <v>2018</v>
      </c>
      <c r="D96" s="459" t="n">
        <v>43453</v>
      </c>
      <c r="E96" s="380" t="s">
        <v>10306</v>
      </c>
      <c r="F96" s="460" t="s">
        <v>123</v>
      </c>
      <c r="G96" s="460" t="s">
        <v>1174</v>
      </c>
      <c r="H96" s="380" t="s">
        <v>10307</v>
      </c>
      <c r="I96" s="459" t="n">
        <v>44358</v>
      </c>
      <c r="J96" s="460" t="n">
        <v>6</v>
      </c>
      <c r="K96" s="460" t="s">
        <v>10012</v>
      </c>
      <c r="L96" s="460" t="s">
        <v>10018</v>
      </c>
      <c r="M96" s="545" t="n">
        <f aca="false">I96-D96</f>
        <v>905</v>
      </c>
      <c r="N96" s="153"/>
      <c r="O96" s="396" t="s">
        <v>115</v>
      </c>
      <c r="P96" s="482" t="n">
        <f aca="false">AVERAGEIF(G2:G564,"PFN",M2:M564)</f>
        <v>2119.58333333333</v>
      </c>
      <c r="Q96" s="482"/>
      <c r="R96" s="482"/>
      <c r="S96" s="153"/>
      <c r="T96" s="153"/>
    </row>
    <row r="97" customFormat="false" ht="15" hidden="false" customHeight="true" outlineLevel="0" collapsed="false">
      <c r="A97" s="449" t="s">
        <v>10308</v>
      </c>
      <c r="B97" s="450" t="s">
        <v>10309</v>
      </c>
      <c r="C97" s="450" t="n">
        <v>2016</v>
      </c>
      <c r="D97" s="451" t="n">
        <v>42543</v>
      </c>
      <c r="E97" s="452" t="s">
        <v>10310</v>
      </c>
      <c r="F97" s="452" t="s">
        <v>10311</v>
      </c>
      <c r="G97" s="378" t="s">
        <v>1174</v>
      </c>
      <c r="H97" s="378" t="s">
        <v>184</v>
      </c>
      <c r="I97" s="451" t="n">
        <v>44358</v>
      </c>
      <c r="J97" s="452" t="n">
        <v>6</v>
      </c>
      <c r="K97" s="452" t="s">
        <v>10012</v>
      </c>
      <c r="L97" s="452" t="s">
        <v>10018</v>
      </c>
      <c r="M97" s="546" t="n">
        <f aca="false">I97-D97</f>
        <v>1815</v>
      </c>
      <c r="N97" s="153"/>
      <c r="O97" s="394" t="s">
        <v>441</v>
      </c>
      <c r="P97" s="481" t="n">
        <f aca="false">AVERAGEIF(G2:G564,"PF/PTE",M2:M564)</f>
        <v>2067.09708737864</v>
      </c>
      <c r="Q97" s="481"/>
      <c r="R97" s="481"/>
    </row>
    <row r="98" customFormat="false" ht="15" hidden="false" customHeight="true" outlineLevel="0" collapsed="false">
      <c r="A98" s="456" t="s">
        <v>10312</v>
      </c>
      <c r="B98" s="458" t="s">
        <v>10313</v>
      </c>
      <c r="C98" s="458" t="n">
        <v>2013</v>
      </c>
      <c r="D98" s="459" t="n">
        <v>41627</v>
      </c>
      <c r="E98" s="380" t="s">
        <v>10314</v>
      </c>
      <c r="F98" s="460" t="s">
        <v>123</v>
      </c>
      <c r="G98" s="460" t="s">
        <v>1174</v>
      </c>
      <c r="H98" s="380" t="s">
        <v>10307</v>
      </c>
      <c r="I98" s="459" t="n">
        <v>44358</v>
      </c>
      <c r="J98" s="460" t="n">
        <v>6</v>
      </c>
      <c r="K98" s="460" t="s">
        <v>10012</v>
      </c>
      <c r="L98" s="460" t="s">
        <v>10018</v>
      </c>
      <c r="M98" s="545" t="n">
        <f aca="false">I98-D98</f>
        <v>2731</v>
      </c>
      <c r="N98" s="153"/>
      <c r="O98" s="396" t="s">
        <v>125</v>
      </c>
      <c r="P98" s="482" t="n">
        <f aca="false">AVERAGEIF(G2:G546,"Bio",M2:M564)</f>
        <v>355.74358974359</v>
      </c>
      <c r="Q98" s="482"/>
      <c r="R98" s="482"/>
    </row>
    <row r="99" customFormat="false" ht="15" hidden="true" customHeight="true" outlineLevel="0" collapsed="false">
      <c r="A99" s="449" t="s">
        <v>10315</v>
      </c>
      <c r="B99" s="450" t="s">
        <v>10316</v>
      </c>
      <c r="C99" s="450" t="n">
        <v>2009</v>
      </c>
      <c r="D99" s="451" t="n">
        <v>40051</v>
      </c>
      <c r="E99" s="452" t="s">
        <v>10317</v>
      </c>
      <c r="F99" s="452" t="s">
        <v>10318</v>
      </c>
      <c r="G99" s="378" t="s">
        <v>1188</v>
      </c>
      <c r="H99" s="378" t="s">
        <v>1791</v>
      </c>
      <c r="I99" s="451" t="n">
        <v>44358</v>
      </c>
      <c r="J99" s="452" t="n">
        <v>6</v>
      </c>
      <c r="K99" s="547" t="s">
        <v>51</v>
      </c>
      <c r="L99" s="452" t="s">
        <v>10013</v>
      </c>
      <c r="M99" s="546" t="n">
        <f aca="false">I99-D99</f>
        <v>4307</v>
      </c>
      <c r="N99" s="153"/>
      <c r="O99" s="394" t="s">
        <v>130</v>
      </c>
      <c r="P99" s="481" t="n">
        <f aca="false">AVERAGEIF(G2:G564,"Bio/Org",M2:M564)</f>
        <v>211.607843137255</v>
      </c>
      <c r="Q99" s="481"/>
      <c r="R99" s="481"/>
    </row>
    <row r="100" customFormat="false" ht="15" hidden="true" customHeight="true" outlineLevel="0" collapsed="false">
      <c r="A100" s="456" t="s">
        <v>10319</v>
      </c>
      <c r="B100" s="458" t="s">
        <v>10320</v>
      </c>
      <c r="C100" s="458" t="n">
        <v>2014</v>
      </c>
      <c r="D100" s="459" t="n">
        <v>41851</v>
      </c>
      <c r="E100" s="380" t="s">
        <v>10321</v>
      </c>
      <c r="F100" s="460" t="s">
        <v>10322</v>
      </c>
      <c r="G100" s="460" t="s">
        <v>1188</v>
      </c>
      <c r="H100" s="380" t="s">
        <v>697</v>
      </c>
      <c r="I100" s="459" t="n">
        <v>44358</v>
      </c>
      <c r="J100" s="460" t="n">
        <v>6</v>
      </c>
      <c r="K100" s="547" t="s">
        <v>51</v>
      </c>
      <c r="L100" s="460" t="s">
        <v>10018</v>
      </c>
      <c r="M100" s="545" t="n">
        <f aca="false">I100-D100</f>
        <v>2507</v>
      </c>
      <c r="N100" s="153"/>
      <c r="O100" s="398" t="s">
        <v>86</v>
      </c>
      <c r="P100" s="399" t="n">
        <f aca="false">AVERAGE(M2:M564)</f>
        <v>1592.64527629234</v>
      </c>
      <c r="Q100" s="399"/>
      <c r="R100" s="399"/>
    </row>
    <row r="101" customFormat="false" ht="15" hidden="false" customHeight="true" outlineLevel="0" collapsed="false">
      <c r="A101" s="449" t="s">
        <v>10323</v>
      </c>
      <c r="B101" s="450" t="s">
        <v>10324</v>
      </c>
      <c r="C101" s="450" t="n">
        <v>2016</v>
      </c>
      <c r="D101" s="451" t="n">
        <v>42606</v>
      </c>
      <c r="E101" s="452" t="s">
        <v>10325</v>
      </c>
      <c r="F101" s="452" t="s">
        <v>449</v>
      </c>
      <c r="G101" s="378" t="s">
        <v>1174</v>
      </c>
      <c r="H101" s="378" t="s">
        <v>1571</v>
      </c>
      <c r="I101" s="451" t="n">
        <v>44358</v>
      </c>
      <c r="J101" s="452" t="n">
        <v>6</v>
      </c>
      <c r="K101" s="452" t="s">
        <v>10012</v>
      </c>
      <c r="L101" s="452" t="s">
        <v>10018</v>
      </c>
      <c r="M101" s="546" t="n">
        <f aca="false">I101-D101</f>
        <v>1752</v>
      </c>
      <c r="N101" s="153"/>
      <c r="O101" s="153"/>
      <c r="P101" s="153"/>
      <c r="Q101" s="153"/>
      <c r="R101" s="153"/>
    </row>
    <row r="102" customFormat="false" ht="15" hidden="false" customHeight="true" outlineLevel="0" collapsed="false">
      <c r="A102" s="456" t="s">
        <v>10326</v>
      </c>
      <c r="B102" s="458" t="s">
        <v>10327</v>
      </c>
      <c r="C102" s="458" t="n">
        <v>2020</v>
      </c>
      <c r="D102" s="459" t="n">
        <v>43913</v>
      </c>
      <c r="E102" s="380" t="s">
        <v>10328</v>
      </c>
      <c r="F102" s="460" t="s">
        <v>168</v>
      </c>
      <c r="G102" s="460" t="s">
        <v>1174</v>
      </c>
      <c r="H102" s="380" t="s">
        <v>208</v>
      </c>
      <c r="I102" s="459" t="n">
        <v>44358</v>
      </c>
      <c r="J102" s="460" t="n">
        <v>6</v>
      </c>
      <c r="K102" s="460" t="s">
        <v>10012</v>
      </c>
      <c r="L102" s="460" t="s">
        <v>10018</v>
      </c>
      <c r="M102" s="545" t="n">
        <f aca="false">I102-D102</f>
        <v>445</v>
      </c>
      <c r="N102" s="153"/>
      <c r="O102" s="153"/>
      <c r="P102" s="153"/>
      <c r="Q102" s="153"/>
      <c r="R102" s="153"/>
    </row>
    <row r="103" customFormat="false" ht="15" hidden="false" customHeight="true" outlineLevel="0" collapsed="false">
      <c r="A103" s="449" t="s">
        <v>10329</v>
      </c>
      <c r="B103" s="450" t="s">
        <v>10330</v>
      </c>
      <c r="C103" s="450" t="n">
        <v>2016</v>
      </c>
      <c r="D103" s="451" t="n">
        <v>42528</v>
      </c>
      <c r="E103" s="452" t="s">
        <v>10331</v>
      </c>
      <c r="F103" s="452" t="s">
        <v>1097</v>
      </c>
      <c r="G103" s="378" t="s">
        <v>1174</v>
      </c>
      <c r="H103" s="378" t="s">
        <v>633</v>
      </c>
      <c r="I103" s="451" t="n">
        <v>44358</v>
      </c>
      <c r="J103" s="452" t="n">
        <v>6</v>
      </c>
      <c r="K103" s="452" t="s">
        <v>10012</v>
      </c>
      <c r="L103" s="452" t="s">
        <v>10013</v>
      </c>
      <c r="M103" s="546" t="n">
        <f aca="false">I103-D103</f>
        <v>1830</v>
      </c>
      <c r="N103" s="153"/>
      <c r="O103" s="153"/>
      <c r="P103" s="153"/>
      <c r="Q103" s="153"/>
      <c r="R103" s="153"/>
    </row>
    <row r="104" customFormat="false" ht="15" hidden="false" customHeight="true" outlineLevel="0" collapsed="false">
      <c r="A104" s="456" t="s">
        <v>10332</v>
      </c>
      <c r="B104" s="458" t="s">
        <v>10333</v>
      </c>
      <c r="C104" s="458" t="n">
        <v>2017</v>
      </c>
      <c r="D104" s="459" t="n">
        <v>43006</v>
      </c>
      <c r="E104" s="380" t="s">
        <v>10334</v>
      </c>
      <c r="F104" s="460" t="s">
        <v>1097</v>
      </c>
      <c r="G104" s="460" t="s">
        <v>1174</v>
      </c>
      <c r="H104" s="380" t="s">
        <v>513</v>
      </c>
      <c r="I104" s="459" t="n">
        <v>44358</v>
      </c>
      <c r="J104" s="460" t="n">
        <v>6</v>
      </c>
      <c r="K104" s="460" t="s">
        <v>10012</v>
      </c>
      <c r="L104" s="460" t="s">
        <v>10013</v>
      </c>
      <c r="M104" s="545" t="n">
        <f aca="false">I104-D104</f>
        <v>1352</v>
      </c>
      <c r="N104" s="153"/>
      <c r="O104" s="153"/>
      <c r="P104" s="153"/>
      <c r="Q104" s="153"/>
      <c r="R104" s="153"/>
    </row>
    <row r="105" customFormat="false" ht="15" hidden="false" customHeight="true" outlineLevel="0" collapsed="false">
      <c r="A105" s="449" t="s">
        <v>10335</v>
      </c>
      <c r="B105" s="450" t="s">
        <v>10336</v>
      </c>
      <c r="C105" s="450" t="n">
        <v>2020</v>
      </c>
      <c r="D105" s="451" t="n">
        <v>44160</v>
      </c>
      <c r="E105" s="452" t="s">
        <v>10337</v>
      </c>
      <c r="F105" s="452" t="s">
        <v>211</v>
      </c>
      <c r="G105" s="378" t="s">
        <v>1174</v>
      </c>
      <c r="H105" s="378" t="s">
        <v>243</v>
      </c>
      <c r="I105" s="451" t="n">
        <v>44358</v>
      </c>
      <c r="J105" s="452" t="n">
        <v>6</v>
      </c>
      <c r="K105" s="452" t="s">
        <v>10012</v>
      </c>
      <c r="L105" s="452" t="s">
        <v>10018</v>
      </c>
      <c r="M105" s="546" t="n">
        <f aca="false">I105-D105</f>
        <v>198</v>
      </c>
      <c r="N105" s="153"/>
      <c r="O105" s="153"/>
      <c r="P105" s="153"/>
      <c r="Q105" s="153"/>
      <c r="R105" s="153"/>
    </row>
    <row r="106" customFormat="false" ht="15" hidden="false" customHeight="true" outlineLevel="0" collapsed="false">
      <c r="A106" s="456" t="s">
        <v>10338</v>
      </c>
      <c r="B106" s="458" t="s">
        <v>10339</v>
      </c>
      <c r="C106" s="458" t="n">
        <v>2020</v>
      </c>
      <c r="D106" s="459" t="n">
        <v>44155</v>
      </c>
      <c r="E106" s="380" t="s">
        <v>10340</v>
      </c>
      <c r="F106" s="460" t="s">
        <v>113</v>
      </c>
      <c r="G106" s="460" t="s">
        <v>1174</v>
      </c>
      <c r="H106" s="380" t="s">
        <v>243</v>
      </c>
      <c r="I106" s="459" t="n">
        <v>44377</v>
      </c>
      <c r="J106" s="460" t="n">
        <v>6</v>
      </c>
      <c r="K106" s="460" t="s">
        <v>10012</v>
      </c>
      <c r="L106" s="460" t="s">
        <v>10013</v>
      </c>
      <c r="M106" s="545" t="n">
        <f aca="false">I106-D106</f>
        <v>222</v>
      </c>
      <c r="N106" s="153"/>
      <c r="O106" s="153"/>
      <c r="P106" s="153"/>
      <c r="Q106" s="153"/>
      <c r="R106" s="153"/>
    </row>
    <row r="107" customFormat="false" ht="15" hidden="false" customHeight="true" outlineLevel="0" collapsed="false">
      <c r="A107" s="449" t="s">
        <v>10341</v>
      </c>
      <c r="B107" s="450" t="s">
        <v>10342</v>
      </c>
      <c r="C107" s="450" t="n">
        <v>2015</v>
      </c>
      <c r="D107" s="451" t="n">
        <v>42132</v>
      </c>
      <c r="E107" s="452" t="s">
        <v>10343</v>
      </c>
      <c r="F107" s="452" t="s">
        <v>1817</v>
      </c>
      <c r="G107" s="378" t="s">
        <v>1174</v>
      </c>
      <c r="H107" s="378" t="s">
        <v>2677</v>
      </c>
      <c r="I107" s="451" t="n">
        <v>44378</v>
      </c>
      <c r="J107" s="452" t="n">
        <v>7</v>
      </c>
      <c r="K107" s="452" t="s">
        <v>10012</v>
      </c>
      <c r="L107" s="452" t="s">
        <v>10018</v>
      </c>
      <c r="M107" s="546" t="n">
        <f aca="false">I107-D107</f>
        <v>2246</v>
      </c>
      <c r="N107" s="153"/>
      <c r="O107" s="153"/>
      <c r="P107" s="153"/>
      <c r="Q107" s="153"/>
      <c r="R107" s="153"/>
    </row>
    <row r="108" customFormat="false" ht="15" hidden="false" customHeight="true" outlineLevel="0" collapsed="false">
      <c r="A108" s="456" t="s">
        <v>10344</v>
      </c>
      <c r="B108" s="458" t="s">
        <v>10345</v>
      </c>
      <c r="C108" s="458" t="n">
        <v>2014</v>
      </c>
      <c r="D108" s="459" t="n">
        <v>41983</v>
      </c>
      <c r="E108" s="380" t="s">
        <v>10346</v>
      </c>
      <c r="F108" s="460" t="s">
        <v>10347</v>
      </c>
      <c r="G108" s="460" t="s">
        <v>1174</v>
      </c>
      <c r="H108" s="380" t="s">
        <v>267</v>
      </c>
      <c r="I108" s="459" t="n">
        <v>44378</v>
      </c>
      <c r="J108" s="460" t="n">
        <v>7</v>
      </c>
      <c r="K108" s="460" t="s">
        <v>10012</v>
      </c>
      <c r="L108" s="460" t="s">
        <v>10018</v>
      </c>
      <c r="M108" s="545" t="n">
        <f aca="false">I108-D108</f>
        <v>2395</v>
      </c>
      <c r="N108" s="153"/>
      <c r="O108" s="153"/>
      <c r="P108" s="153"/>
      <c r="Q108" s="153"/>
      <c r="R108" s="153"/>
    </row>
    <row r="109" customFormat="false" ht="15" hidden="false" customHeight="true" outlineLevel="0" collapsed="false">
      <c r="A109" s="449" t="s">
        <v>10348</v>
      </c>
      <c r="B109" s="450" t="s">
        <v>10349</v>
      </c>
      <c r="C109" s="450" t="n">
        <v>2017</v>
      </c>
      <c r="D109" s="451" t="n">
        <v>43082</v>
      </c>
      <c r="E109" s="452" t="s">
        <v>10350</v>
      </c>
      <c r="F109" s="452" t="s">
        <v>3428</v>
      </c>
      <c r="G109" s="378" t="s">
        <v>1174</v>
      </c>
      <c r="H109" s="378" t="s">
        <v>350</v>
      </c>
      <c r="I109" s="451" t="n">
        <v>44378</v>
      </c>
      <c r="J109" s="452" t="n">
        <v>7</v>
      </c>
      <c r="K109" s="452" t="s">
        <v>10012</v>
      </c>
      <c r="L109" s="452" t="s">
        <v>10018</v>
      </c>
      <c r="M109" s="546" t="n">
        <f aca="false">I109-D109</f>
        <v>1296</v>
      </c>
      <c r="N109" s="153"/>
      <c r="O109" s="153"/>
      <c r="P109" s="153"/>
      <c r="Q109" s="153"/>
      <c r="R109" s="153"/>
    </row>
    <row r="110" customFormat="false" ht="15" hidden="false" customHeight="true" outlineLevel="0" collapsed="false">
      <c r="A110" s="456" t="s">
        <v>10351</v>
      </c>
      <c r="B110" s="458" t="s">
        <v>10352</v>
      </c>
      <c r="C110" s="458" t="n">
        <v>2018</v>
      </c>
      <c r="D110" s="459" t="n">
        <v>43311</v>
      </c>
      <c r="E110" s="380" t="s">
        <v>10353</v>
      </c>
      <c r="F110" s="460" t="s">
        <v>2151</v>
      </c>
      <c r="G110" s="460" t="s">
        <v>1174</v>
      </c>
      <c r="H110" s="380" t="s">
        <v>1740</v>
      </c>
      <c r="I110" s="459" t="n">
        <v>44378</v>
      </c>
      <c r="J110" s="460" t="n">
        <v>7</v>
      </c>
      <c r="K110" s="460" t="s">
        <v>10012</v>
      </c>
      <c r="L110" s="460" t="s">
        <v>10018</v>
      </c>
      <c r="M110" s="545" t="n">
        <f aca="false">I110-D110</f>
        <v>1067</v>
      </c>
      <c r="N110" s="153"/>
      <c r="O110" s="153"/>
      <c r="P110" s="153"/>
      <c r="Q110" s="153"/>
      <c r="R110" s="153"/>
    </row>
    <row r="111" customFormat="false" ht="15" hidden="false" customHeight="true" outlineLevel="0" collapsed="false">
      <c r="A111" s="449" t="s">
        <v>10354</v>
      </c>
      <c r="B111" s="450" t="s">
        <v>10355</v>
      </c>
      <c r="C111" s="450" t="n">
        <v>2017</v>
      </c>
      <c r="D111" s="451" t="n">
        <v>42860</v>
      </c>
      <c r="E111" s="452" t="s">
        <v>10356</v>
      </c>
      <c r="F111" s="452" t="s">
        <v>123</v>
      </c>
      <c r="G111" s="378" t="s">
        <v>1174</v>
      </c>
      <c r="H111" s="378" t="s">
        <v>1567</v>
      </c>
      <c r="I111" s="451" t="n">
        <v>44378</v>
      </c>
      <c r="J111" s="452" t="n">
        <v>7</v>
      </c>
      <c r="K111" s="452" t="s">
        <v>10012</v>
      </c>
      <c r="L111" s="452" t="s">
        <v>10018</v>
      </c>
      <c r="M111" s="546" t="n">
        <f aca="false">I111-D111</f>
        <v>1518</v>
      </c>
      <c r="N111" s="153"/>
      <c r="O111" s="153"/>
      <c r="P111" s="153"/>
      <c r="Q111" s="153"/>
      <c r="R111" s="153"/>
    </row>
    <row r="112" customFormat="false" ht="15" hidden="false" customHeight="true" outlineLevel="0" collapsed="false">
      <c r="A112" s="456" t="s">
        <v>10357</v>
      </c>
      <c r="B112" s="458" t="s">
        <v>10358</v>
      </c>
      <c r="C112" s="458" t="n">
        <v>2013</v>
      </c>
      <c r="D112" s="459" t="n">
        <v>41484</v>
      </c>
      <c r="E112" s="380" t="s">
        <v>10359</v>
      </c>
      <c r="F112" s="460" t="s">
        <v>3101</v>
      </c>
      <c r="G112" s="460" t="s">
        <v>1174</v>
      </c>
      <c r="H112" s="380" t="s">
        <v>1072</v>
      </c>
      <c r="I112" s="459" t="n">
        <v>44378</v>
      </c>
      <c r="J112" s="460" t="n">
        <v>7</v>
      </c>
      <c r="K112" s="460" t="s">
        <v>10012</v>
      </c>
      <c r="L112" s="460" t="s">
        <v>10018</v>
      </c>
      <c r="M112" s="545" t="n">
        <f aca="false">I112-D112</f>
        <v>2894</v>
      </c>
      <c r="N112" s="153"/>
      <c r="O112" s="153"/>
      <c r="P112" s="153"/>
      <c r="Q112" s="153"/>
      <c r="R112" s="153"/>
    </row>
    <row r="113" customFormat="false" ht="15" hidden="false" customHeight="true" outlineLevel="0" collapsed="false">
      <c r="A113" s="449" t="s">
        <v>10360</v>
      </c>
      <c r="B113" s="450" t="s">
        <v>10361</v>
      </c>
      <c r="C113" s="450" t="n">
        <v>2013</v>
      </c>
      <c r="D113" s="451" t="n">
        <v>41533</v>
      </c>
      <c r="E113" s="452" t="s">
        <v>10362</v>
      </c>
      <c r="F113" s="452" t="s">
        <v>401</v>
      </c>
      <c r="G113" s="378" t="s">
        <v>1174</v>
      </c>
      <c r="H113" s="378" t="s">
        <v>471</v>
      </c>
      <c r="I113" s="451" t="n">
        <v>44378</v>
      </c>
      <c r="J113" s="452" t="n">
        <v>7</v>
      </c>
      <c r="K113" s="452" t="s">
        <v>10012</v>
      </c>
      <c r="L113" s="452" t="s">
        <v>10018</v>
      </c>
      <c r="M113" s="546" t="n">
        <f aca="false">I113-D113</f>
        <v>2845</v>
      </c>
    </row>
    <row r="114" customFormat="false" ht="15" hidden="false" customHeight="true" outlineLevel="0" collapsed="false">
      <c r="A114" s="456" t="s">
        <v>10363</v>
      </c>
      <c r="B114" s="458" t="s">
        <v>10364</v>
      </c>
      <c r="C114" s="458" t="n">
        <v>2014</v>
      </c>
      <c r="D114" s="459" t="n">
        <v>41719</v>
      </c>
      <c r="E114" s="380" t="s">
        <v>10365</v>
      </c>
      <c r="F114" s="460" t="s">
        <v>823</v>
      </c>
      <c r="G114" s="460" t="s">
        <v>1174</v>
      </c>
      <c r="H114" s="380" t="s">
        <v>223</v>
      </c>
      <c r="I114" s="459" t="n">
        <v>44378</v>
      </c>
      <c r="J114" s="460" t="n">
        <v>7</v>
      </c>
      <c r="K114" s="460" t="s">
        <v>10012</v>
      </c>
      <c r="L114" s="460" t="s">
        <v>10018</v>
      </c>
      <c r="M114" s="545" t="n">
        <f aca="false">I114-D114</f>
        <v>2659</v>
      </c>
    </row>
    <row r="115" customFormat="false" ht="15" hidden="false" customHeight="true" outlineLevel="0" collapsed="false">
      <c r="A115" s="449" t="s">
        <v>10366</v>
      </c>
      <c r="B115" s="450" t="s">
        <v>10367</v>
      </c>
      <c r="C115" s="450" t="n">
        <v>2013</v>
      </c>
      <c r="D115" s="451" t="n">
        <v>41547</v>
      </c>
      <c r="E115" s="452" t="s">
        <v>10368</v>
      </c>
      <c r="F115" s="452" t="s">
        <v>3428</v>
      </c>
      <c r="G115" s="378" t="s">
        <v>1174</v>
      </c>
      <c r="H115" s="378" t="s">
        <v>250</v>
      </c>
      <c r="I115" s="451" t="n">
        <v>44378</v>
      </c>
      <c r="J115" s="452" t="n">
        <v>7</v>
      </c>
      <c r="K115" s="452" t="s">
        <v>10012</v>
      </c>
      <c r="L115" s="452" t="s">
        <v>10018</v>
      </c>
      <c r="M115" s="546" t="n">
        <f aca="false">I115-D115</f>
        <v>2831</v>
      </c>
    </row>
    <row r="116" customFormat="false" ht="15" hidden="false" customHeight="true" outlineLevel="0" collapsed="false">
      <c r="A116" s="456" t="s">
        <v>10369</v>
      </c>
      <c r="B116" s="458" t="s">
        <v>10370</v>
      </c>
      <c r="C116" s="458" t="n">
        <v>2015</v>
      </c>
      <c r="D116" s="459" t="n">
        <v>44026</v>
      </c>
      <c r="E116" s="380" t="s">
        <v>10371</v>
      </c>
      <c r="F116" s="460" t="s">
        <v>2151</v>
      </c>
      <c r="G116" s="460" t="s">
        <v>1174</v>
      </c>
      <c r="H116" s="380" t="s">
        <v>243</v>
      </c>
      <c r="I116" s="459" t="n">
        <v>44378</v>
      </c>
      <c r="J116" s="460" t="n">
        <v>7</v>
      </c>
      <c r="K116" s="460" t="s">
        <v>10012</v>
      </c>
      <c r="L116" s="460" t="s">
        <v>10018</v>
      </c>
      <c r="M116" s="545" t="n">
        <f aca="false">I116-D116</f>
        <v>352</v>
      </c>
    </row>
    <row r="117" customFormat="false" ht="15" hidden="false" customHeight="true" outlineLevel="0" collapsed="false">
      <c r="A117" s="449" t="s">
        <v>10372</v>
      </c>
      <c r="B117" s="450" t="s">
        <v>10373</v>
      </c>
      <c r="C117" s="450" t="n">
        <v>2016</v>
      </c>
      <c r="D117" s="451" t="n">
        <v>42398</v>
      </c>
      <c r="E117" s="452" t="s">
        <v>10374</v>
      </c>
      <c r="F117" s="452" t="s">
        <v>3428</v>
      </c>
      <c r="G117" s="378" t="s">
        <v>1174</v>
      </c>
      <c r="H117" s="378" t="s">
        <v>995</v>
      </c>
      <c r="I117" s="451" t="n">
        <v>44378</v>
      </c>
      <c r="J117" s="452" t="n">
        <v>7</v>
      </c>
      <c r="K117" s="452" t="s">
        <v>10012</v>
      </c>
      <c r="L117" s="452" t="s">
        <v>10018</v>
      </c>
      <c r="M117" s="546" t="n">
        <f aca="false">I117-D117</f>
        <v>1980</v>
      </c>
    </row>
    <row r="118" customFormat="false" ht="15" hidden="false" customHeight="true" outlineLevel="0" collapsed="false">
      <c r="A118" s="456" t="s">
        <v>10375</v>
      </c>
      <c r="B118" s="458" t="s">
        <v>10376</v>
      </c>
      <c r="C118" s="458" t="n">
        <v>2018</v>
      </c>
      <c r="D118" s="459" t="n">
        <v>43194</v>
      </c>
      <c r="E118" s="380" t="s">
        <v>10377</v>
      </c>
      <c r="F118" s="460" t="s">
        <v>467</v>
      </c>
      <c r="G118" s="460" t="s">
        <v>1174</v>
      </c>
      <c r="H118" s="380" t="s">
        <v>310</v>
      </c>
      <c r="I118" s="459" t="n">
        <v>44378</v>
      </c>
      <c r="J118" s="460" t="n">
        <v>7</v>
      </c>
      <c r="K118" s="460" t="s">
        <v>10012</v>
      </c>
      <c r="L118" s="460" t="s">
        <v>10013</v>
      </c>
      <c r="M118" s="545" t="n">
        <f aca="false">I118-D118</f>
        <v>1184</v>
      </c>
    </row>
    <row r="119" customFormat="false" ht="15" hidden="false" customHeight="true" outlineLevel="0" collapsed="false">
      <c r="A119" s="449" t="s">
        <v>10378</v>
      </c>
      <c r="B119" s="450" t="s">
        <v>10379</v>
      </c>
      <c r="C119" s="450" t="n">
        <v>2018</v>
      </c>
      <c r="D119" s="451" t="n">
        <v>42433</v>
      </c>
      <c r="E119" s="452" t="s">
        <v>10380</v>
      </c>
      <c r="F119" s="452" t="s">
        <v>467</v>
      </c>
      <c r="G119" s="378" t="s">
        <v>1174</v>
      </c>
      <c r="H119" s="378" t="s">
        <v>192</v>
      </c>
      <c r="I119" s="451" t="n">
        <v>44378</v>
      </c>
      <c r="J119" s="452" t="n">
        <v>7</v>
      </c>
      <c r="K119" s="452" t="s">
        <v>10012</v>
      </c>
      <c r="L119" s="452" t="s">
        <v>10013</v>
      </c>
      <c r="M119" s="546" t="n">
        <f aca="false">I119-D119</f>
        <v>1945</v>
      </c>
    </row>
    <row r="120" customFormat="false" ht="15" hidden="false" customHeight="true" outlineLevel="0" collapsed="false">
      <c r="A120" s="456" t="s">
        <v>10381</v>
      </c>
      <c r="B120" s="458" t="s">
        <v>10382</v>
      </c>
      <c r="C120" s="458" t="n">
        <v>2016</v>
      </c>
      <c r="D120" s="459" t="n">
        <v>42424</v>
      </c>
      <c r="E120" s="380" t="s">
        <v>10383</v>
      </c>
      <c r="F120" s="460" t="s">
        <v>123</v>
      </c>
      <c r="G120" s="460" t="s">
        <v>1174</v>
      </c>
      <c r="H120" s="380" t="s">
        <v>250</v>
      </c>
      <c r="I120" s="459" t="n">
        <v>44378</v>
      </c>
      <c r="J120" s="460" t="n">
        <v>7</v>
      </c>
      <c r="K120" s="460" t="s">
        <v>10012</v>
      </c>
      <c r="L120" s="460" t="s">
        <v>10018</v>
      </c>
      <c r="M120" s="545" t="n">
        <f aca="false">I120-D120</f>
        <v>1954</v>
      </c>
    </row>
    <row r="121" customFormat="false" ht="15" hidden="false" customHeight="true" outlineLevel="0" collapsed="false">
      <c r="A121" s="449" t="s">
        <v>10384</v>
      </c>
      <c r="B121" s="450" t="s">
        <v>10385</v>
      </c>
      <c r="C121" s="450" t="n">
        <v>2018</v>
      </c>
      <c r="D121" s="451" t="n">
        <v>43237</v>
      </c>
      <c r="E121" s="452" t="s">
        <v>10386</v>
      </c>
      <c r="F121" s="452" t="s">
        <v>3428</v>
      </c>
      <c r="G121" s="378" t="s">
        <v>1174</v>
      </c>
      <c r="H121" s="378" t="s">
        <v>192</v>
      </c>
      <c r="I121" s="451" t="n">
        <v>44378</v>
      </c>
      <c r="J121" s="452" t="n">
        <v>7</v>
      </c>
      <c r="K121" s="452" t="s">
        <v>10012</v>
      </c>
      <c r="L121" s="452" t="s">
        <v>10018</v>
      </c>
      <c r="M121" s="546" t="n">
        <f aca="false">I121-D121</f>
        <v>1141</v>
      </c>
    </row>
    <row r="122" customFormat="false" ht="15" hidden="false" customHeight="true" outlineLevel="0" collapsed="false">
      <c r="A122" s="456" t="s">
        <v>10387</v>
      </c>
      <c r="B122" s="458" t="s">
        <v>10388</v>
      </c>
      <c r="C122" s="458" t="n">
        <v>2015</v>
      </c>
      <c r="D122" s="459" t="n">
        <v>42124</v>
      </c>
      <c r="E122" s="380" t="s">
        <v>10389</v>
      </c>
      <c r="F122" s="460" t="s">
        <v>401</v>
      </c>
      <c r="G122" s="460" t="s">
        <v>1174</v>
      </c>
      <c r="H122" s="380" t="s">
        <v>184</v>
      </c>
      <c r="I122" s="459" t="n">
        <v>44378</v>
      </c>
      <c r="J122" s="460" t="n">
        <v>7</v>
      </c>
      <c r="K122" s="460" t="s">
        <v>10012</v>
      </c>
      <c r="L122" s="460" t="s">
        <v>10018</v>
      </c>
      <c r="M122" s="545" t="n">
        <f aca="false">I122-D122</f>
        <v>2254</v>
      </c>
    </row>
    <row r="123" customFormat="false" ht="15" hidden="false" customHeight="true" outlineLevel="0" collapsed="false">
      <c r="A123" s="449" t="s">
        <v>10390</v>
      </c>
      <c r="B123" s="450" t="s">
        <v>10391</v>
      </c>
      <c r="C123" s="450" t="n">
        <v>2018</v>
      </c>
      <c r="D123" s="451" t="n">
        <v>43311</v>
      </c>
      <c r="E123" s="452" t="s">
        <v>10392</v>
      </c>
      <c r="F123" s="452" t="s">
        <v>3428</v>
      </c>
      <c r="G123" s="378" t="s">
        <v>1174</v>
      </c>
      <c r="H123" s="378" t="s">
        <v>409</v>
      </c>
      <c r="I123" s="451" t="n">
        <v>44378</v>
      </c>
      <c r="J123" s="452" t="n">
        <v>7</v>
      </c>
      <c r="K123" s="452" t="s">
        <v>10012</v>
      </c>
      <c r="L123" s="452" t="s">
        <v>10018</v>
      </c>
      <c r="M123" s="546" t="n">
        <f aca="false">I123-D123</f>
        <v>1067</v>
      </c>
    </row>
    <row r="124" customFormat="false" ht="15" hidden="false" customHeight="true" outlineLevel="0" collapsed="false">
      <c r="A124" s="456" t="s">
        <v>10393</v>
      </c>
      <c r="B124" s="458" t="s">
        <v>10394</v>
      </c>
      <c r="C124" s="458" t="n">
        <v>2016</v>
      </c>
      <c r="D124" s="459" t="n">
        <v>42674</v>
      </c>
      <c r="E124" s="380" t="s">
        <v>10395</v>
      </c>
      <c r="F124" s="460" t="s">
        <v>4819</v>
      </c>
      <c r="G124" s="460" t="s">
        <v>1174</v>
      </c>
      <c r="H124" s="380" t="s">
        <v>2654</v>
      </c>
      <c r="I124" s="459" t="n">
        <v>44378</v>
      </c>
      <c r="J124" s="460" t="n">
        <v>7</v>
      </c>
      <c r="K124" s="460" t="s">
        <v>10012</v>
      </c>
      <c r="L124" s="460" t="s">
        <v>10013</v>
      </c>
      <c r="M124" s="545" t="n">
        <f aca="false">I124-D124</f>
        <v>1704</v>
      </c>
    </row>
    <row r="125" customFormat="false" ht="15" hidden="false" customHeight="true" outlineLevel="0" collapsed="false">
      <c r="A125" s="449" t="s">
        <v>10396</v>
      </c>
      <c r="B125" s="450" t="s">
        <v>10397</v>
      </c>
      <c r="C125" s="450" t="n">
        <v>2018</v>
      </c>
      <c r="D125" s="451" t="n">
        <v>43453</v>
      </c>
      <c r="E125" s="452" t="s">
        <v>10398</v>
      </c>
      <c r="F125" s="452" t="s">
        <v>123</v>
      </c>
      <c r="G125" s="378" t="s">
        <v>1174</v>
      </c>
      <c r="H125" s="378" t="s">
        <v>267</v>
      </c>
      <c r="I125" s="451" t="n">
        <v>44378</v>
      </c>
      <c r="J125" s="452" t="n">
        <v>7</v>
      </c>
      <c r="K125" s="452" t="s">
        <v>10012</v>
      </c>
      <c r="L125" s="452" t="s">
        <v>10018</v>
      </c>
      <c r="M125" s="546" t="n">
        <f aca="false">I125-D125</f>
        <v>925</v>
      </c>
    </row>
    <row r="126" customFormat="false" ht="15" hidden="false" customHeight="true" outlineLevel="0" collapsed="false">
      <c r="A126" s="456" t="s">
        <v>10399</v>
      </c>
      <c r="B126" s="458" t="s">
        <v>10400</v>
      </c>
      <c r="C126" s="458" t="n">
        <v>2016</v>
      </c>
      <c r="D126" s="459" t="n">
        <v>42585</v>
      </c>
      <c r="E126" s="380" t="s">
        <v>10401</v>
      </c>
      <c r="F126" s="460" t="s">
        <v>10402</v>
      </c>
      <c r="G126" s="460" t="s">
        <v>1174</v>
      </c>
      <c r="H126" s="380" t="s">
        <v>1266</v>
      </c>
      <c r="I126" s="459" t="n">
        <v>44378</v>
      </c>
      <c r="J126" s="460" t="n">
        <v>7</v>
      </c>
      <c r="K126" s="460" t="s">
        <v>10012</v>
      </c>
      <c r="L126" s="460" t="s">
        <v>10013</v>
      </c>
      <c r="M126" s="545" t="n">
        <f aca="false">I126-D126</f>
        <v>1793</v>
      </c>
    </row>
    <row r="127" customFormat="false" ht="15" hidden="false" customHeight="true" outlineLevel="0" collapsed="false">
      <c r="A127" s="449" t="s">
        <v>10403</v>
      </c>
      <c r="B127" s="450" t="s">
        <v>10404</v>
      </c>
      <c r="C127" s="450" t="n">
        <v>2016</v>
      </c>
      <c r="D127" s="451" t="n">
        <v>42636</v>
      </c>
      <c r="E127" s="452" t="s">
        <v>10405</v>
      </c>
      <c r="F127" s="452" t="s">
        <v>10402</v>
      </c>
      <c r="G127" s="378" t="s">
        <v>1174</v>
      </c>
      <c r="H127" s="378" t="s">
        <v>267</v>
      </c>
      <c r="I127" s="451" t="n">
        <v>44378</v>
      </c>
      <c r="J127" s="452" t="n">
        <v>7</v>
      </c>
      <c r="K127" s="452" t="s">
        <v>10012</v>
      </c>
      <c r="L127" s="452" t="s">
        <v>10013</v>
      </c>
      <c r="M127" s="546" t="n">
        <f aca="false">I127-D127</f>
        <v>1742</v>
      </c>
    </row>
    <row r="128" customFormat="false" ht="15" hidden="false" customHeight="true" outlineLevel="0" collapsed="false">
      <c r="A128" s="456" t="s">
        <v>10406</v>
      </c>
      <c r="B128" s="458" t="s">
        <v>10407</v>
      </c>
      <c r="C128" s="458" t="n">
        <v>2018</v>
      </c>
      <c r="D128" s="459" t="n">
        <v>43154</v>
      </c>
      <c r="E128" s="380" t="s">
        <v>10408</v>
      </c>
      <c r="F128" s="460" t="s">
        <v>10402</v>
      </c>
      <c r="G128" s="460" t="s">
        <v>1174</v>
      </c>
      <c r="H128" s="380" t="s">
        <v>1258</v>
      </c>
      <c r="I128" s="459" t="n">
        <v>44378</v>
      </c>
      <c r="J128" s="460" t="n">
        <v>7</v>
      </c>
      <c r="K128" s="460" t="s">
        <v>10012</v>
      </c>
      <c r="L128" s="460" t="s">
        <v>10013</v>
      </c>
      <c r="M128" s="545" t="n">
        <f aca="false">I128-D128</f>
        <v>1224</v>
      </c>
    </row>
    <row r="129" customFormat="false" ht="15" hidden="false" customHeight="true" outlineLevel="0" collapsed="false">
      <c r="A129" s="449" t="s">
        <v>10409</v>
      </c>
      <c r="B129" s="450" t="s">
        <v>10410</v>
      </c>
      <c r="C129" s="450" t="n">
        <v>2020</v>
      </c>
      <c r="D129" s="451" t="n">
        <v>43924</v>
      </c>
      <c r="E129" s="452" t="s">
        <v>10411</v>
      </c>
      <c r="F129" s="452" t="s">
        <v>10402</v>
      </c>
      <c r="G129" s="378" t="s">
        <v>1174</v>
      </c>
      <c r="H129" s="378" t="s">
        <v>10170</v>
      </c>
      <c r="I129" s="451" t="n">
        <v>44378</v>
      </c>
      <c r="J129" s="452" t="n">
        <v>7</v>
      </c>
      <c r="K129" s="452" t="s">
        <v>10012</v>
      </c>
      <c r="L129" s="452" t="s">
        <v>10013</v>
      </c>
      <c r="M129" s="546" t="n">
        <f aca="false">I129-D129</f>
        <v>454</v>
      </c>
    </row>
    <row r="130" customFormat="false" ht="15" hidden="false" customHeight="true" outlineLevel="0" collapsed="false">
      <c r="A130" s="456" t="s">
        <v>10412</v>
      </c>
      <c r="B130" s="458" t="s">
        <v>10413</v>
      </c>
      <c r="C130" s="458" t="n">
        <v>2014</v>
      </c>
      <c r="D130" s="459" t="n">
        <v>41991</v>
      </c>
      <c r="E130" s="380" t="s">
        <v>10414</v>
      </c>
      <c r="F130" s="460" t="s">
        <v>2151</v>
      </c>
      <c r="G130" s="460" t="s">
        <v>1174</v>
      </c>
      <c r="H130" s="380" t="s">
        <v>350</v>
      </c>
      <c r="I130" s="459" t="n">
        <v>44378</v>
      </c>
      <c r="J130" s="460" t="n">
        <v>7</v>
      </c>
      <c r="K130" s="460" t="s">
        <v>10012</v>
      </c>
      <c r="L130" s="460" t="s">
        <v>10018</v>
      </c>
      <c r="M130" s="545" t="n">
        <f aca="false">I130-D130</f>
        <v>2387</v>
      </c>
    </row>
    <row r="131" customFormat="false" ht="15" hidden="false" customHeight="true" outlineLevel="0" collapsed="false">
      <c r="A131" s="449" t="s">
        <v>10415</v>
      </c>
      <c r="B131" s="450" t="s">
        <v>10416</v>
      </c>
      <c r="C131" s="450" t="n">
        <v>2020</v>
      </c>
      <c r="D131" s="451" t="n">
        <v>43966</v>
      </c>
      <c r="E131" s="452" t="s">
        <v>10417</v>
      </c>
      <c r="F131" s="452" t="s">
        <v>2151</v>
      </c>
      <c r="G131" s="378" t="s">
        <v>1174</v>
      </c>
      <c r="H131" s="378" t="s">
        <v>10170</v>
      </c>
      <c r="I131" s="451" t="n">
        <v>44378</v>
      </c>
      <c r="J131" s="452" t="n">
        <v>7</v>
      </c>
      <c r="K131" s="452" t="s">
        <v>10012</v>
      </c>
      <c r="L131" s="452" t="s">
        <v>10018</v>
      </c>
      <c r="M131" s="546" t="n">
        <f aca="false">I131-D131</f>
        <v>412</v>
      </c>
    </row>
    <row r="132" customFormat="false" ht="15" hidden="false" customHeight="true" outlineLevel="0" collapsed="false">
      <c r="A132" s="456" t="s">
        <v>10418</v>
      </c>
      <c r="B132" s="458" t="s">
        <v>10419</v>
      </c>
      <c r="C132" s="458" t="n">
        <v>2014</v>
      </c>
      <c r="D132" s="459" t="n">
        <v>41971</v>
      </c>
      <c r="E132" s="380" t="s">
        <v>10420</v>
      </c>
      <c r="F132" s="460" t="s">
        <v>2151</v>
      </c>
      <c r="G132" s="460" t="s">
        <v>1174</v>
      </c>
      <c r="H132" s="380" t="s">
        <v>1059</v>
      </c>
      <c r="I132" s="459" t="n">
        <v>44378</v>
      </c>
      <c r="J132" s="460" t="n">
        <v>7</v>
      </c>
      <c r="K132" s="460" t="s">
        <v>10012</v>
      </c>
      <c r="L132" s="460" t="s">
        <v>10018</v>
      </c>
      <c r="M132" s="545" t="n">
        <f aca="false">I132-D132</f>
        <v>2407</v>
      </c>
    </row>
    <row r="133" customFormat="false" ht="15" hidden="false" customHeight="true" outlineLevel="0" collapsed="false">
      <c r="A133" s="449" t="s">
        <v>10421</v>
      </c>
      <c r="B133" s="450" t="s">
        <v>10422</v>
      </c>
      <c r="C133" s="450" t="n">
        <v>2015</v>
      </c>
      <c r="D133" s="451" t="n">
        <v>42356</v>
      </c>
      <c r="E133" s="452" t="s">
        <v>10423</v>
      </c>
      <c r="F133" s="452" t="s">
        <v>10402</v>
      </c>
      <c r="G133" s="378" t="s">
        <v>1174</v>
      </c>
      <c r="H133" s="378" t="s">
        <v>350</v>
      </c>
      <c r="I133" s="451" t="n">
        <v>44378</v>
      </c>
      <c r="J133" s="452" t="n">
        <v>7</v>
      </c>
      <c r="K133" s="452" t="s">
        <v>10012</v>
      </c>
      <c r="L133" s="452" t="s">
        <v>10013</v>
      </c>
      <c r="M133" s="546" t="n">
        <f aca="false">I133-D133</f>
        <v>2022</v>
      </c>
    </row>
    <row r="134" customFormat="false" ht="15" hidden="false" customHeight="true" outlineLevel="0" collapsed="false">
      <c r="A134" s="456" t="s">
        <v>10424</v>
      </c>
      <c r="B134" s="458" t="s">
        <v>10425</v>
      </c>
      <c r="C134" s="458" t="n">
        <v>2014</v>
      </c>
      <c r="D134" s="459" t="n">
        <v>41641</v>
      </c>
      <c r="E134" s="380" t="s">
        <v>10426</v>
      </c>
      <c r="F134" s="460" t="s">
        <v>10402</v>
      </c>
      <c r="G134" s="460" t="s">
        <v>1174</v>
      </c>
      <c r="H134" s="380" t="s">
        <v>192</v>
      </c>
      <c r="I134" s="459" t="n">
        <v>44378</v>
      </c>
      <c r="J134" s="460" t="n">
        <v>7</v>
      </c>
      <c r="K134" s="460" t="s">
        <v>10012</v>
      </c>
      <c r="L134" s="460" t="s">
        <v>10013</v>
      </c>
      <c r="M134" s="545" t="n">
        <f aca="false">I134-D134</f>
        <v>2737</v>
      </c>
    </row>
    <row r="135" customFormat="false" ht="15" hidden="false" customHeight="true" outlineLevel="0" collapsed="false">
      <c r="A135" s="449" t="s">
        <v>10427</v>
      </c>
      <c r="B135" s="450" t="s">
        <v>10428</v>
      </c>
      <c r="C135" s="450" t="n">
        <v>2017</v>
      </c>
      <c r="D135" s="451" t="n">
        <v>42902</v>
      </c>
      <c r="E135" s="452" t="s">
        <v>10429</v>
      </c>
      <c r="F135" s="452" t="s">
        <v>10402</v>
      </c>
      <c r="G135" s="378" t="s">
        <v>1174</v>
      </c>
      <c r="H135" s="378" t="s">
        <v>184</v>
      </c>
      <c r="I135" s="451" t="n">
        <v>44378</v>
      </c>
      <c r="J135" s="452" t="n">
        <v>7</v>
      </c>
      <c r="K135" s="452" t="s">
        <v>10012</v>
      </c>
      <c r="L135" s="452" t="s">
        <v>10013</v>
      </c>
      <c r="M135" s="546" t="n">
        <f aca="false">I135-D135</f>
        <v>1476</v>
      </c>
    </row>
    <row r="136" customFormat="false" ht="15" hidden="false" customHeight="true" outlineLevel="0" collapsed="false">
      <c r="A136" s="456" t="s">
        <v>10430</v>
      </c>
      <c r="B136" s="458" t="s">
        <v>10431</v>
      </c>
      <c r="C136" s="458" t="n">
        <v>2019</v>
      </c>
      <c r="D136" s="459" t="n">
        <v>43700</v>
      </c>
      <c r="E136" s="380" t="s">
        <v>10432</v>
      </c>
      <c r="F136" s="460" t="s">
        <v>689</v>
      </c>
      <c r="G136" s="460" t="s">
        <v>1174</v>
      </c>
      <c r="H136" s="380" t="s">
        <v>1059</v>
      </c>
      <c r="I136" s="459" t="n">
        <v>44378</v>
      </c>
      <c r="J136" s="460" t="n">
        <v>7</v>
      </c>
      <c r="K136" s="460" t="s">
        <v>10012</v>
      </c>
      <c r="L136" s="460" t="s">
        <v>10013</v>
      </c>
      <c r="M136" s="545" t="n">
        <f aca="false">I136-D136</f>
        <v>678</v>
      </c>
    </row>
    <row r="137" customFormat="false" ht="15" hidden="false" customHeight="true" outlineLevel="0" collapsed="false">
      <c r="A137" s="449" t="s">
        <v>10433</v>
      </c>
      <c r="B137" s="450" t="s">
        <v>10434</v>
      </c>
      <c r="C137" s="450" t="n">
        <v>2013</v>
      </c>
      <c r="D137" s="451" t="n">
        <v>41621</v>
      </c>
      <c r="E137" s="452" t="s">
        <v>10435</v>
      </c>
      <c r="F137" s="452" t="s">
        <v>211</v>
      </c>
      <c r="G137" s="378" t="s">
        <v>1174</v>
      </c>
      <c r="H137" s="378" t="s">
        <v>267</v>
      </c>
      <c r="I137" s="451" t="n">
        <v>44378</v>
      </c>
      <c r="J137" s="452" t="n">
        <v>7</v>
      </c>
      <c r="K137" s="452" t="s">
        <v>10012</v>
      </c>
      <c r="L137" s="452" t="s">
        <v>10018</v>
      </c>
      <c r="M137" s="546" t="n">
        <f aca="false">I137-D137</f>
        <v>2757</v>
      </c>
    </row>
    <row r="138" customFormat="false" ht="15" hidden="false" customHeight="true" outlineLevel="0" collapsed="false">
      <c r="A138" s="456" t="s">
        <v>10436</v>
      </c>
      <c r="B138" s="458" t="s">
        <v>10437</v>
      </c>
      <c r="C138" s="458" t="n">
        <v>2016</v>
      </c>
      <c r="D138" s="459" t="n">
        <v>42723</v>
      </c>
      <c r="E138" s="380" t="s">
        <v>10438</v>
      </c>
      <c r="F138" s="460" t="s">
        <v>3855</v>
      </c>
      <c r="G138" s="460" t="s">
        <v>1174</v>
      </c>
      <c r="H138" s="380" t="s">
        <v>2452</v>
      </c>
      <c r="I138" s="459" t="n">
        <v>44399</v>
      </c>
      <c r="J138" s="460" t="n">
        <v>7</v>
      </c>
      <c r="K138" s="460" t="s">
        <v>10012</v>
      </c>
      <c r="L138" s="460" t="s">
        <v>10018</v>
      </c>
      <c r="M138" s="545" t="n">
        <f aca="false">I138-D138</f>
        <v>1676</v>
      </c>
    </row>
    <row r="139" customFormat="false" ht="15" hidden="false" customHeight="true" outlineLevel="0" collapsed="false">
      <c r="A139" s="449" t="s">
        <v>10439</v>
      </c>
      <c r="B139" s="450" t="s">
        <v>10440</v>
      </c>
      <c r="C139" s="450" t="n">
        <v>2017</v>
      </c>
      <c r="D139" s="451" t="n">
        <v>43040</v>
      </c>
      <c r="E139" s="452" t="s">
        <v>10441</v>
      </c>
      <c r="F139" s="452" t="s">
        <v>1211</v>
      </c>
      <c r="G139" s="378" t="s">
        <v>1174</v>
      </c>
      <c r="H139" s="378" t="s">
        <v>263</v>
      </c>
      <c r="I139" s="451" t="n">
        <v>44427</v>
      </c>
      <c r="J139" s="452" t="n">
        <v>8</v>
      </c>
      <c r="K139" s="452" t="s">
        <v>10012</v>
      </c>
      <c r="L139" s="452" t="s">
        <v>10013</v>
      </c>
      <c r="M139" s="546" t="n">
        <f aca="false">I139-D139</f>
        <v>1387</v>
      </c>
    </row>
    <row r="140" customFormat="false" ht="15" hidden="false" customHeight="true" outlineLevel="0" collapsed="false">
      <c r="A140" s="456" t="s">
        <v>10442</v>
      </c>
      <c r="B140" s="458" t="s">
        <v>10443</v>
      </c>
      <c r="C140" s="458" t="n">
        <v>2018</v>
      </c>
      <c r="D140" s="459" t="n">
        <v>43447</v>
      </c>
      <c r="E140" s="380" t="s">
        <v>10444</v>
      </c>
      <c r="F140" s="460" t="s">
        <v>1338</v>
      </c>
      <c r="G140" s="460" t="s">
        <v>1174</v>
      </c>
      <c r="H140" s="380" t="s">
        <v>471</v>
      </c>
      <c r="I140" s="459" t="n">
        <v>44427</v>
      </c>
      <c r="J140" s="460" t="n">
        <v>8</v>
      </c>
      <c r="K140" s="460" t="s">
        <v>10012</v>
      </c>
      <c r="L140" s="460" t="s">
        <v>10445</v>
      </c>
      <c r="M140" s="545" t="n">
        <f aca="false">I140-D140</f>
        <v>980</v>
      </c>
    </row>
    <row r="141" customFormat="false" ht="15" hidden="false" customHeight="true" outlineLevel="0" collapsed="false">
      <c r="A141" s="449" t="s">
        <v>10446</v>
      </c>
      <c r="B141" s="450" t="s">
        <v>10447</v>
      </c>
      <c r="C141" s="450" t="n">
        <v>2016</v>
      </c>
      <c r="D141" s="451" t="n">
        <v>42618</v>
      </c>
      <c r="E141" s="452" t="s">
        <v>10448</v>
      </c>
      <c r="F141" s="452" t="s">
        <v>467</v>
      </c>
      <c r="G141" s="378" t="s">
        <v>1174</v>
      </c>
      <c r="H141" s="378" t="s">
        <v>1501</v>
      </c>
      <c r="I141" s="451" t="n">
        <v>44427</v>
      </c>
      <c r="J141" s="452" t="n">
        <v>8</v>
      </c>
      <c r="K141" s="452" t="s">
        <v>10012</v>
      </c>
      <c r="L141" s="452" t="s">
        <v>10013</v>
      </c>
      <c r="M141" s="546" t="n">
        <f aca="false">I141-D141</f>
        <v>1809</v>
      </c>
    </row>
    <row r="142" customFormat="false" ht="15" hidden="false" customHeight="true" outlineLevel="0" collapsed="false">
      <c r="A142" s="456" t="s">
        <v>10449</v>
      </c>
      <c r="B142" s="458" t="s">
        <v>10450</v>
      </c>
      <c r="C142" s="458" t="n">
        <v>2016</v>
      </c>
      <c r="D142" s="459" t="n">
        <v>42668</v>
      </c>
      <c r="E142" s="380" t="s">
        <v>10451</v>
      </c>
      <c r="F142" s="460" t="s">
        <v>467</v>
      </c>
      <c r="G142" s="460" t="s">
        <v>1174</v>
      </c>
      <c r="H142" s="380" t="s">
        <v>267</v>
      </c>
      <c r="I142" s="459" t="n">
        <v>44427</v>
      </c>
      <c r="J142" s="460" t="n">
        <v>8</v>
      </c>
      <c r="K142" s="460" t="s">
        <v>10012</v>
      </c>
      <c r="L142" s="460" t="s">
        <v>10013</v>
      </c>
      <c r="M142" s="545" t="n">
        <f aca="false">I142-D142</f>
        <v>1759</v>
      </c>
    </row>
    <row r="143" customFormat="false" ht="15" hidden="false" customHeight="true" outlineLevel="0" collapsed="false">
      <c r="A143" s="449" t="s">
        <v>10452</v>
      </c>
      <c r="B143" s="450" t="s">
        <v>10453</v>
      </c>
      <c r="C143" s="450" t="n">
        <v>2016</v>
      </c>
      <c r="D143" s="451" t="n">
        <v>42643</v>
      </c>
      <c r="E143" s="452" t="s">
        <v>10454</v>
      </c>
      <c r="F143" s="452" t="s">
        <v>467</v>
      </c>
      <c r="G143" s="378" t="s">
        <v>1174</v>
      </c>
      <c r="H143" s="378" t="s">
        <v>1501</v>
      </c>
      <c r="I143" s="451" t="n">
        <v>44427</v>
      </c>
      <c r="J143" s="452" t="n">
        <v>8</v>
      </c>
      <c r="K143" s="452" t="s">
        <v>10012</v>
      </c>
      <c r="L143" s="452" t="s">
        <v>10013</v>
      </c>
      <c r="M143" s="546" t="n">
        <f aca="false">I143-D143</f>
        <v>1784</v>
      </c>
    </row>
    <row r="144" customFormat="false" ht="15" hidden="false" customHeight="true" outlineLevel="0" collapsed="false">
      <c r="A144" s="456" t="s">
        <v>10455</v>
      </c>
      <c r="B144" s="458" t="s">
        <v>10456</v>
      </c>
      <c r="C144" s="458" t="n">
        <v>2011</v>
      </c>
      <c r="D144" s="459" t="n">
        <v>40787</v>
      </c>
      <c r="E144" s="380" t="s">
        <v>10457</v>
      </c>
      <c r="F144" s="460" t="s">
        <v>1277</v>
      </c>
      <c r="G144" s="460" t="s">
        <v>1174</v>
      </c>
      <c r="H144" s="380" t="s">
        <v>706</v>
      </c>
      <c r="I144" s="459" t="n">
        <v>44427</v>
      </c>
      <c r="J144" s="460" t="n">
        <v>8</v>
      </c>
      <c r="K144" s="460" t="s">
        <v>10012</v>
      </c>
      <c r="L144" s="460" t="s">
        <v>10018</v>
      </c>
      <c r="M144" s="545" t="n">
        <f aca="false">I144-D144</f>
        <v>3640</v>
      </c>
    </row>
    <row r="145" customFormat="false" ht="15" hidden="false" customHeight="true" outlineLevel="0" collapsed="false">
      <c r="A145" s="449" t="s">
        <v>10458</v>
      </c>
      <c r="B145" s="450" t="s">
        <v>10459</v>
      </c>
      <c r="C145" s="450" t="n">
        <v>2018</v>
      </c>
      <c r="D145" s="451" t="n">
        <v>43290</v>
      </c>
      <c r="E145" s="452" t="s">
        <v>10460</v>
      </c>
      <c r="F145" s="452" t="s">
        <v>780</v>
      </c>
      <c r="G145" s="378" t="s">
        <v>1174</v>
      </c>
      <c r="H145" s="378" t="s">
        <v>995</v>
      </c>
      <c r="I145" s="451" t="n">
        <v>44427</v>
      </c>
      <c r="J145" s="452" t="n">
        <v>8</v>
      </c>
      <c r="K145" s="452" t="s">
        <v>10012</v>
      </c>
      <c r="L145" s="452" t="s">
        <v>10013</v>
      </c>
      <c r="M145" s="546" t="n">
        <f aca="false">I145-D145</f>
        <v>1137</v>
      </c>
    </row>
    <row r="146" customFormat="false" ht="15" hidden="false" customHeight="true" outlineLevel="0" collapsed="false">
      <c r="A146" s="456" t="s">
        <v>10461</v>
      </c>
      <c r="B146" s="458" t="s">
        <v>10462</v>
      </c>
      <c r="C146" s="458" t="n">
        <v>2016</v>
      </c>
      <c r="D146" s="459" t="n">
        <v>42688</v>
      </c>
      <c r="E146" s="380" t="s">
        <v>10463</v>
      </c>
      <c r="F146" s="460" t="s">
        <v>793</v>
      </c>
      <c r="G146" s="460" t="s">
        <v>1174</v>
      </c>
      <c r="H146" s="380" t="s">
        <v>522</v>
      </c>
      <c r="I146" s="459" t="n">
        <v>44427</v>
      </c>
      <c r="J146" s="460" t="n">
        <v>8</v>
      </c>
      <c r="K146" s="460" t="s">
        <v>10012</v>
      </c>
      <c r="L146" s="460" t="s">
        <v>10018</v>
      </c>
      <c r="M146" s="545" t="n">
        <f aca="false">I146-D146</f>
        <v>1739</v>
      </c>
    </row>
    <row r="147" customFormat="false" ht="15" hidden="false" customHeight="true" outlineLevel="0" collapsed="false">
      <c r="A147" s="449" t="s">
        <v>10464</v>
      </c>
      <c r="B147" s="450" t="s">
        <v>10465</v>
      </c>
      <c r="C147" s="450" t="n">
        <v>2019</v>
      </c>
      <c r="D147" s="451" t="n">
        <v>43741</v>
      </c>
      <c r="E147" s="452" t="s">
        <v>10466</v>
      </c>
      <c r="F147" s="452" t="s">
        <v>793</v>
      </c>
      <c r="G147" s="378" t="s">
        <v>1174</v>
      </c>
      <c r="H147" s="378" t="s">
        <v>267</v>
      </c>
      <c r="I147" s="451" t="n">
        <v>44427</v>
      </c>
      <c r="J147" s="452" t="n">
        <v>8</v>
      </c>
      <c r="K147" s="452" t="s">
        <v>10012</v>
      </c>
      <c r="L147" s="452" t="s">
        <v>10018</v>
      </c>
      <c r="M147" s="546" t="n">
        <f aca="false">I147-D147</f>
        <v>686</v>
      </c>
    </row>
    <row r="148" customFormat="false" ht="15" hidden="false" customHeight="true" outlineLevel="0" collapsed="false">
      <c r="A148" s="456" t="s">
        <v>10467</v>
      </c>
      <c r="B148" s="458" t="s">
        <v>10468</v>
      </c>
      <c r="C148" s="458" t="n">
        <v>2019</v>
      </c>
      <c r="D148" s="459" t="n">
        <v>43521</v>
      </c>
      <c r="E148" s="380" t="s">
        <v>10469</v>
      </c>
      <c r="F148" s="460" t="s">
        <v>1150</v>
      </c>
      <c r="G148" s="460" t="s">
        <v>1174</v>
      </c>
      <c r="H148" s="380" t="s">
        <v>1501</v>
      </c>
      <c r="I148" s="459" t="n">
        <v>44427</v>
      </c>
      <c r="J148" s="460" t="n">
        <v>8</v>
      </c>
      <c r="K148" s="460" t="s">
        <v>10012</v>
      </c>
      <c r="L148" s="460" t="s">
        <v>10018</v>
      </c>
      <c r="M148" s="545" t="n">
        <f aca="false">I148-D148</f>
        <v>906</v>
      </c>
    </row>
    <row r="149" customFormat="false" ht="15" hidden="false" customHeight="true" outlineLevel="0" collapsed="false">
      <c r="A149" s="449" t="s">
        <v>10470</v>
      </c>
      <c r="B149" s="450" t="s">
        <v>10471</v>
      </c>
      <c r="C149" s="450" t="n">
        <v>2014</v>
      </c>
      <c r="D149" s="451" t="n">
        <v>41697</v>
      </c>
      <c r="E149" s="452" t="s">
        <v>10472</v>
      </c>
      <c r="F149" s="452" t="s">
        <v>10211</v>
      </c>
      <c r="G149" s="378" t="s">
        <v>1174</v>
      </c>
      <c r="H149" s="378" t="s">
        <v>2677</v>
      </c>
      <c r="I149" s="451" t="n">
        <v>44427</v>
      </c>
      <c r="J149" s="452" t="n">
        <v>8</v>
      </c>
      <c r="K149" s="452" t="s">
        <v>10012</v>
      </c>
      <c r="L149" s="452" t="s">
        <v>10018</v>
      </c>
      <c r="M149" s="546" t="n">
        <f aca="false">I149-D149</f>
        <v>2730</v>
      </c>
    </row>
    <row r="150" customFormat="false" ht="15" hidden="false" customHeight="true" outlineLevel="0" collapsed="false">
      <c r="A150" s="456" t="s">
        <v>10473</v>
      </c>
      <c r="B150" s="458" t="s">
        <v>10474</v>
      </c>
      <c r="C150" s="458" t="n">
        <v>2018</v>
      </c>
      <c r="D150" s="459" t="n">
        <v>43293</v>
      </c>
      <c r="E150" s="380" t="s">
        <v>10475</v>
      </c>
      <c r="F150" s="460" t="s">
        <v>346</v>
      </c>
      <c r="G150" s="460" t="s">
        <v>1174</v>
      </c>
      <c r="H150" s="380" t="s">
        <v>409</v>
      </c>
      <c r="I150" s="459" t="n">
        <v>44427</v>
      </c>
      <c r="J150" s="460" t="n">
        <v>8</v>
      </c>
      <c r="K150" s="460" t="s">
        <v>10012</v>
      </c>
      <c r="L150" s="460" t="s">
        <v>10018</v>
      </c>
      <c r="M150" s="545" t="n">
        <f aca="false">I150-D150</f>
        <v>1134</v>
      </c>
    </row>
    <row r="151" customFormat="false" ht="15" hidden="false" customHeight="true" outlineLevel="0" collapsed="false">
      <c r="A151" s="449" t="s">
        <v>10476</v>
      </c>
      <c r="B151" s="450" t="s">
        <v>10477</v>
      </c>
      <c r="C151" s="450" t="n">
        <v>2015</v>
      </c>
      <c r="D151" s="451" t="n">
        <v>42185</v>
      </c>
      <c r="E151" s="452" t="s">
        <v>10478</v>
      </c>
      <c r="F151" s="452" t="s">
        <v>780</v>
      </c>
      <c r="G151" s="378" t="s">
        <v>1174</v>
      </c>
      <c r="H151" s="378" t="s">
        <v>4499</v>
      </c>
      <c r="I151" s="451" t="n">
        <v>44427</v>
      </c>
      <c r="J151" s="452" t="n">
        <v>8</v>
      </c>
      <c r="K151" s="452" t="s">
        <v>10012</v>
      </c>
      <c r="L151" s="452" t="s">
        <v>10013</v>
      </c>
      <c r="M151" s="546" t="n">
        <f aca="false">I151-D151</f>
        <v>2242</v>
      </c>
    </row>
    <row r="152" customFormat="false" ht="15" hidden="false" customHeight="true" outlineLevel="0" collapsed="false">
      <c r="A152" s="456" t="s">
        <v>10479</v>
      </c>
      <c r="B152" s="458" t="s">
        <v>10480</v>
      </c>
      <c r="C152" s="458" t="n">
        <v>2015</v>
      </c>
      <c r="D152" s="459" t="n">
        <v>42142</v>
      </c>
      <c r="E152" s="380" t="s">
        <v>10481</v>
      </c>
      <c r="F152" s="460" t="s">
        <v>10482</v>
      </c>
      <c r="G152" s="460" t="s">
        <v>1174</v>
      </c>
      <c r="H152" s="380" t="s">
        <v>192</v>
      </c>
      <c r="I152" s="459" t="n">
        <v>44460</v>
      </c>
      <c r="J152" s="460" t="n">
        <v>9</v>
      </c>
      <c r="K152" s="460" t="s">
        <v>10012</v>
      </c>
      <c r="L152" s="460" t="s">
        <v>10018</v>
      </c>
      <c r="M152" s="545" t="n">
        <f aca="false">I152-D152</f>
        <v>2318</v>
      </c>
    </row>
    <row r="153" customFormat="false" ht="15" hidden="false" customHeight="true" outlineLevel="0" collapsed="false">
      <c r="A153" s="449" t="s">
        <v>10483</v>
      </c>
      <c r="B153" s="450" t="s">
        <v>10484</v>
      </c>
      <c r="C153" s="450" t="n">
        <v>2015</v>
      </c>
      <c r="D153" s="451" t="n">
        <v>42303</v>
      </c>
      <c r="E153" s="452" t="s">
        <v>10485</v>
      </c>
      <c r="F153" s="452" t="s">
        <v>1211</v>
      </c>
      <c r="G153" s="378" t="s">
        <v>1174</v>
      </c>
      <c r="H153" s="378" t="s">
        <v>192</v>
      </c>
      <c r="I153" s="451" t="n">
        <v>44460</v>
      </c>
      <c r="J153" s="452" t="n">
        <v>9</v>
      </c>
      <c r="K153" s="452" t="s">
        <v>10012</v>
      </c>
      <c r="L153" s="452" t="s">
        <v>10013</v>
      </c>
      <c r="M153" s="546" t="n">
        <f aca="false">I153-D153</f>
        <v>2157</v>
      </c>
    </row>
    <row r="154" customFormat="false" ht="15" hidden="false" customHeight="true" outlineLevel="0" collapsed="false">
      <c r="A154" s="456" t="s">
        <v>10486</v>
      </c>
      <c r="B154" s="458" t="s">
        <v>10487</v>
      </c>
      <c r="C154" s="458" t="n">
        <v>2014</v>
      </c>
      <c r="D154" s="459" t="n">
        <v>41995</v>
      </c>
      <c r="E154" s="380" t="s">
        <v>10488</v>
      </c>
      <c r="F154" s="460" t="s">
        <v>4956</v>
      </c>
      <c r="G154" s="460" t="s">
        <v>1174</v>
      </c>
      <c r="H154" s="380" t="s">
        <v>350</v>
      </c>
      <c r="I154" s="459" t="n">
        <v>44460</v>
      </c>
      <c r="J154" s="460" t="n">
        <v>9</v>
      </c>
      <c r="K154" s="460" t="s">
        <v>10012</v>
      </c>
      <c r="L154" s="460" t="s">
        <v>10018</v>
      </c>
      <c r="M154" s="545" t="n">
        <f aca="false">I154-D154</f>
        <v>2465</v>
      </c>
    </row>
    <row r="155" customFormat="false" ht="15" hidden="false" customHeight="true" outlineLevel="0" collapsed="false">
      <c r="A155" s="449" t="s">
        <v>10489</v>
      </c>
      <c r="B155" s="450" t="s">
        <v>10490</v>
      </c>
      <c r="C155" s="450" t="n">
        <v>2020</v>
      </c>
      <c r="D155" s="451" t="n">
        <v>43963</v>
      </c>
      <c r="E155" s="452" t="s">
        <v>10491</v>
      </c>
      <c r="F155" s="452" t="s">
        <v>4956</v>
      </c>
      <c r="G155" s="378" t="s">
        <v>1174</v>
      </c>
      <c r="H155" s="378" t="s">
        <v>522</v>
      </c>
      <c r="I155" s="451" t="n">
        <v>44460</v>
      </c>
      <c r="J155" s="452" t="n">
        <v>9</v>
      </c>
      <c r="K155" s="452" t="s">
        <v>10012</v>
      </c>
      <c r="L155" s="452" t="s">
        <v>10018</v>
      </c>
      <c r="M155" s="546" t="n">
        <f aca="false">I155-D155</f>
        <v>497</v>
      </c>
    </row>
    <row r="156" customFormat="false" ht="15" hidden="false" customHeight="true" outlineLevel="0" collapsed="false">
      <c r="A156" s="456" t="s">
        <v>10492</v>
      </c>
      <c r="B156" s="458" t="s">
        <v>10493</v>
      </c>
      <c r="C156" s="458" t="n">
        <v>2015</v>
      </c>
      <c r="D156" s="459" t="n">
        <v>42031</v>
      </c>
      <c r="E156" s="380" t="s">
        <v>10494</v>
      </c>
      <c r="F156" s="460" t="s">
        <v>4956</v>
      </c>
      <c r="G156" s="460" t="s">
        <v>1174</v>
      </c>
      <c r="H156" s="380" t="s">
        <v>192</v>
      </c>
      <c r="I156" s="459" t="n">
        <v>44460</v>
      </c>
      <c r="J156" s="460" t="n">
        <v>9</v>
      </c>
      <c r="K156" s="460" t="s">
        <v>10012</v>
      </c>
      <c r="L156" s="460" t="s">
        <v>10018</v>
      </c>
      <c r="M156" s="545" t="n">
        <f aca="false">I156-D156</f>
        <v>2429</v>
      </c>
    </row>
    <row r="157" customFormat="false" ht="15" hidden="false" customHeight="true" outlineLevel="0" collapsed="false">
      <c r="A157" s="449" t="s">
        <v>10495</v>
      </c>
      <c r="B157" s="450" t="s">
        <v>10496</v>
      </c>
      <c r="C157" s="450" t="n">
        <v>2017</v>
      </c>
      <c r="D157" s="451" t="n">
        <v>42740</v>
      </c>
      <c r="E157" s="452" t="s">
        <v>10497</v>
      </c>
      <c r="F157" s="452" t="s">
        <v>1817</v>
      </c>
      <c r="G157" s="378" t="s">
        <v>1174</v>
      </c>
      <c r="H157" s="378" t="s">
        <v>267</v>
      </c>
      <c r="I157" s="451" t="n">
        <v>44460</v>
      </c>
      <c r="J157" s="452" t="n">
        <v>9</v>
      </c>
      <c r="K157" s="452" t="s">
        <v>10012</v>
      </c>
      <c r="L157" s="452" t="s">
        <v>10018</v>
      </c>
      <c r="M157" s="546" t="n">
        <f aca="false">I157-D157</f>
        <v>1720</v>
      </c>
    </row>
    <row r="158" customFormat="false" ht="15" hidden="false" customHeight="true" outlineLevel="0" collapsed="false">
      <c r="A158" s="456" t="s">
        <v>10498</v>
      </c>
      <c r="B158" s="458" t="s">
        <v>10499</v>
      </c>
      <c r="C158" s="458" t="n">
        <v>2015</v>
      </c>
      <c r="D158" s="459" t="n">
        <v>42349</v>
      </c>
      <c r="E158" s="380" t="s">
        <v>10500</v>
      </c>
      <c r="F158" s="460" t="s">
        <v>4956</v>
      </c>
      <c r="G158" s="460" t="s">
        <v>1174</v>
      </c>
      <c r="H158" s="380" t="s">
        <v>310</v>
      </c>
      <c r="I158" s="459" t="n">
        <v>44460</v>
      </c>
      <c r="J158" s="460" t="n">
        <v>9</v>
      </c>
      <c r="K158" s="460" t="s">
        <v>10012</v>
      </c>
      <c r="L158" s="460" t="s">
        <v>10018</v>
      </c>
      <c r="M158" s="545" t="n">
        <f aca="false">I158-D158</f>
        <v>2111</v>
      </c>
    </row>
    <row r="159" customFormat="false" ht="15" hidden="false" customHeight="true" outlineLevel="0" collapsed="false">
      <c r="A159" s="449" t="s">
        <v>10501</v>
      </c>
      <c r="B159" s="450" t="s">
        <v>10502</v>
      </c>
      <c r="C159" s="450" t="n">
        <v>2017</v>
      </c>
      <c r="D159" s="451" t="n">
        <v>43080</v>
      </c>
      <c r="E159" s="452" t="s">
        <v>10503</v>
      </c>
      <c r="F159" s="452" t="s">
        <v>4956</v>
      </c>
      <c r="G159" s="378" t="s">
        <v>1174</v>
      </c>
      <c r="H159" s="378" t="s">
        <v>267</v>
      </c>
      <c r="I159" s="451" t="n">
        <v>44460</v>
      </c>
      <c r="J159" s="452" t="n">
        <v>9</v>
      </c>
      <c r="K159" s="452" t="s">
        <v>10012</v>
      </c>
      <c r="L159" s="452" t="s">
        <v>10018</v>
      </c>
      <c r="M159" s="546" t="n">
        <f aca="false">I159-D159</f>
        <v>1380</v>
      </c>
    </row>
    <row r="160" customFormat="false" ht="15" hidden="false" customHeight="true" outlineLevel="0" collapsed="false">
      <c r="A160" s="456" t="s">
        <v>10504</v>
      </c>
      <c r="B160" s="458" t="s">
        <v>10505</v>
      </c>
      <c r="C160" s="458" t="n">
        <v>2020</v>
      </c>
      <c r="D160" s="459" t="n">
        <v>44011</v>
      </c>
      <c r="E160" s="380" t="s">
        <v>10506</v>
      </c>
      <c r="F160" s="460" t="s">
        <v>180</v>
      </c>
      <c r="G160" s="460" t="s">
        <v>1174</v>
      </c>
      <c r="H160" s="380" t="s">
        <v>522</v>
      </c>
      <c r="I160" s="459" t="n">
        <v>44460</v>
      </c>
      <c r="J160" s="460" t="n">
        <v>9</v>
      </c>
      <c r="K160" s="460" t="s">
        <v>10012</v>
      </c>
      <c r="L160" s="460" t="s">
        <v>10018</v>
      </c>
      <c r="M160" s="545" t="n">
        <f aca="false">I160-D160</f>
        <v>449</v>
      </c>
    </row>
    <row r="161" customFormat="false" ht="15" hidden="false" customHeight="true" outlineLevel="0" collapsed="false">
      <c r="A161" s="449" t="s">
        <v>10507</v>
      </c>
      <c r="B161" s="450" t="s">
        <v>10508</v>
      </c>
      <c r="C161" s="450" t="n">
        <v>2020</v>
      </c>
      <c r="D161" s="451" t="n">
        <v>43980</v>
      </c>
      <c r="E161" s="452" t="s">
        <v>10509</v>
      </c>
      <c r="F161" s="452" t="s">
        <v>1817</v>
      </c>
      <c r="G161" s="378" t="s">
        <v>1174</v>
      </c>
      <c r="H161" s="378" t="s">
        <v>522</v>
      </c>
      <c r="I161" s="451" t="n">
        <v>44460</v>
      </c>
      <c r="J161" s="452" t="n">
        <v>9</v>
      </c>
      <c r="K161" s="452" t="s">
        <v>10012</v>
      </c>
      <c r="L161" s="452" t="s">
        <v>2848</v>
      </c>
      <c r="M161" s="546" t="n">
        <f aca="false">I161-D161</f>
        <v>480</v>
      </c>
    </row>
    <row r="162" customFormat="false" ht="15" hidden="false" customHeight="true" outlineLevel="0" collapsed="false">
      <c r="A162" s="456" t="s">
        <v>10510</v>
      </c>
      <c r="B162" s="458" t="s">
        <v>10511</v>
      </c>
      <c r="C162" s="458" t="n">
        <v>2020</v>
      </c>
      <c r="D162" s="459" t="n">
        <v>43910</v>
      </c>
      <c r="E162" s="380" t="s">
        <v>10512</v>
      </c>
      <c r="F162" s="460" t="s">
        <v>1639</v>
      </c>
      <c r="G162" s="460" t="s">
        <v>1174</v>
      </c>
      <c r="H162" s="380" t="s">
        <v>522</v>
      </c>
      <c r="I162" s="459" t="n">
        <v>44460</v>
      </c>
      <c r="J162" s="460" t="n">
        <v>9</v>
      </c>
      <c r="K162" s="460" t="s">
        <v>10012</v>
      </c>
      <c r="L162" s="460" t="s">
        <v>10013</v>
      </c>
      <c r="M162" s="545" t="n">
        <f aca="false">I162-D162</f>
        <v>550</v>
      </c>
    </row>
    <row r="163" customFormat="false" ht="15" hidden="false" customHeight="true" outlineLevel="0" collapsed="false">
      <c r="A163" s="449" t="s">
        <v>10513</v>
      </c>
      <c r="B163" s="450" t="s">
        <v>10514</v>
      </c>
      <c r="C163" s="450" t="n">
        <v>2019</v>
      </c>
      <c r="D163" s="451" t="n">
        <v>43580</v>
      </c>
      <c r="E163" s="452" t="s">
        <v>10515</v>
      </c>
      <c r="F163" s="452" t="s">
        <v>902</v>
      </c>
      <c r="G163" s="378" t="s">
        <v>1174</v>
      </c>
      <c r="H163" s="378" t="s">
        <v>10170</v>
      </c>
      <c r="I163" s="451" t="n">
        <v>44460</v>
      </c>
      <c r="J163" s="452" t="n">
        <v>9</v>
      </c>
      <c r="K163" s="452" t="s">
        <v>10012</v>
      </c>
      <c r="L163" s="452" t="s">
        <v>10018</v>
      </c>
      <c r="M163" s="546" t="n">
        <f aca="false">I163-D163</f>
        <v>880</v>
      </c>
    </row>
    <row r="164" customFormat="false" ht="15" hidden="false" customHeight="true" outlineLevel="0" collapsed="false">
      <c r="A164" s="456" t="s">
        <v>10516</v>
      </c>
      <c r="B164" s="458" t="s">
        <v>10517</v>
      </c>
      <c r="C164" s="458" t="n">
        <v>2019</v>
      </c>
      <c r="D164" s="459" t="n">
        <v>43538</v>
      </c>
      <c r="E164" s="380" t="s">
        <v>10518</v>
      </c>
      <c r="F164" s="460" t="s">
        <v>467</v>
      </c>
      <c r="G164" s="460" t="s">
        <v>1174</v>
      </c>
      <c r="H164" s="380" t="s">
        <v>471</v>
      </c>
      <c r="I164" s="459" t="n">
        <v>44505</v>
      </c>
      <c r="J164" s="460" t="n">
        <v>11</v>
      </c>
      <c r="K164" s="460" t="s">
        <v>10012</v>
      </c>
      <c r="L164" s="460" t="s">
        <v>10013</v>
      </c>
      <c r="M164" s="545" t="n">
        <f aca="false">I164-D164</f>
        <v>967</v>
      </c>
    </row>
    <row r="165" customFormat="false" ht="15" hidden="false" customHeight="true" outlineLevel="0" collapsed="false">
      <c r="A165" s="449" t="s">
        <v>10519</v>
      </c>
      <c r="B165" s="450" t="s">
        <v>10520</v>
      </c>
      <c r="C165" s="450" t="n">
        <v>2021</v>
      </c>
      <c r="D165" s="451" t="n">
        <v>44280</v>
      </c>
      <c r="E165" s="452" t="s">
        <v>10521</v>
      </c>
      <c r="F165" s="452" t="s">
        <v>509</v>
      </c>
      <c r="G165" s="378" t="s">
        <v>1174</v>
      </c>
      <c r="H165" s="378" t="s">
        <v>1258</v>
      </c>
      <c r="I165" s="451" t="n">
        <v>44505</v>
      </c>
      <c r="J165" s="452" t="n">
        <v>11</v>
      </c>
      <c r="K165" s="452" t="s">
        <v>10012</v>
      </c>
      <c r="L165" s="452" t="s">
        <v>10018</v>
      </c>
      <c r="M165" s="546" t="n">
        <f aca="false">I165-D165</f>
        <v>225</v>
      </c>
    </row>
    <row r="166" customFormat="false" ht="15" hidden="false" customHeight="true" outlineLevel="0" collapsed="false">
      <c r="A166" s="456" t="s">
        <v>10522</v>
      </c>
      <c r="B166" s="458" t="s">
        <v>10523</v>
      </c>
      <c r="C166" s="458" t="n">
        <v>2015</v>
      </c>
      <c r="D166" s="459" t="n">
        <v>42039</v>
      </c>
      <c r="E166" s="380" t="s">
        <v>10524</v>
      </c>
      <c r="F166" s="460" t="s">
        <v>379</v>
      </c>
      <c r="G166" s="460" t="s">
        <v>1174</v>
      </c>
      <c r="H166" s="380" t="s">
        <v>1258</v>
      </c>
      <c r="I166" s="459" t="n">
        <v>44505</v>
      </c>
      <c r="J166" s="460" t="n">
        <v>11</v>
      </c>
      <c r="K166" s="460" t="s">
        <v>10012</v>
      </c>
      <c r="L166" s="460" t="s">
        <v>10018</v>
      </c>
      <c r="M166" s="545" t="n">
        <f aca="false">I166-D166</f>
        <v>2466</v>
      </c>
    </row>
    <row r="167" customFormat="false" ht="15" hidden="false" customHeight="true" outlineLevel="0" collapsed="false">
      <c r="A167" s="449" t="s">
        <v>10525</v>
      </c>
      <c r="B167" s="450" t="s">
        <v>10526</v>
      </c>
      <c r="C167" s="450" t="n">
        <v>2019</v>
      </c>
      <c r="D167" s="451" t="n">
        <v>43607</v>
      </c>
      <c r="E167" s="452" t="s">
        <v>10527</v>
      </c>
      <c r="F167" s="452" t="s">
        <v>902</v>
      </c>
      <c r="G167" s="378" t="s">
        <v>1174</v>
      </c>
      <c r="H167" s="378" t="s">
        <v>409</v>
      </c>
      <c r="I167" s="451" t="n">
        <v>44505</v>
      </c>
      <c r="J167" s="452" t="n">
        <v>11</v>
      </c>
      <c r="K167" s="452" t="s">
        <v>10012</v>
      </c>
      <c r="L167" s="452" t="s">
        <v>10018</v>
      </c>
      <c r="M167" s="546" t="n">
        <f aca="false">I167-D167</f>
        <v>898</v>
      </c>
    </row>
    <row r="168" customFormat="false" ht="15" hidden="false" customHeight="true" outlineLevel="0" collapsed="false">
      <c r="A168" s="456" t="s">
        <v>10528</v>
      </c>
      <c r="B168" s="458" t="s">
        <v>10529</v>
      </c>
      <c r="C168" s="458" t="n">
        <v>2015</v>
      </c>
      <c r="D168" s="459" t="n">
        <v>42338</v>
      </c>
      <c r="E168" s="380" t="s">
        <v>10530</v>
      </c>
      <c r="F168" s="460" t="s">
        <v>1987</v>
      </c>
      <c r="G168" s="460" t="s">
        <v>1174</v>
      </c>
      <c r="H168" s="380" t="s">
        <v>192</v>
      </c>
      <c r="I168" s="459" t="n">
        <v>44505</v>
      </c>
      <c r="J168" s="460" t="n">
        <v>11</v>
      </c>
      <c r="K168" s="460" t="s">
        <v>10012</v>
      </c>
      <c r="L168" s="460" t="s">
        <v>10018</v>
      </c>
      <c r="M168" s="545" t="n">
        <f aca="false">I168-D168</f>
        <v>2167</v>
      </c>
    </row>
    <row r="169" customFormat="false" ht="15" hidden="false" customHeight="true" outlineLevel="0" collapsed="false">
      <c r="A169" s="449" t="s">
        <v>10531</v>
      </c>
      <c r="B169" s="450" t="s">
        <v>10532</v>
      </c>
      <c r="C169" s="450" t="n">
        <v>2014</v>
      </c>
      <c r="D169" s="451" t="n">
        <v>41873</v>
      </c>
      <c r="E169" s="452" t="s">
        <v>10533</v>
      </c>
      <c r="F169" s="452" t="s">
        <v>509</v>
      </c>
      <c r="G169" s="378" t="s">
        <v>1174</v>
      </c>
      <c r="H169" s="378" t="s">
        <v>1059</v>
      </c>
      <c r="I169" s="451" t="n">
        <v>44505</v>
      </c>
      <c r="J169" s="452" t="n">
        <v>11</v>
      </c>
      <c r="K169" s="452" t="s">
        <v>10012</v>
      </c>
      <c r="L169" s="452" t="s">
        <v>10018</v>
      </c>
      <c r="M169" s="546" t="n">
        <f aca="false">I169-D169</f>
        <v>2632</v>
      </c>
    </row>
    <row r="170" customFormat="false" ht="15" hidden="false" customHeight="true" outlineLevel="0" collapsed="false">
      <c r="A170" s="456" t="s">
        <v>10534</v>
      </c>
      <c r="B170" s="458" t="s">
        <v>10535</v>
      </c>
      <c r="C170" s="458" t="n">
        <v>2017</v>
      </c>
      <c r="D170" s="459" t="n">
        <v>42964</v>
      </c>
      <c r="E170" s="380" t="s">
        <v>10536</v>
      </c>
      <c r="F170" s="460" t="s">
        <v>467</v>
      </c>
      <c r="G170" s="460" t="s">
        <v>1174</v>
      </c>
      <c r="H170" s="380" t="s">
        <v>223</v>
      </c>
      <c r="I170" s="459" t="n">
        <v>44505</v>
      </c>
      <c r="J170" s="460" t="n">
        <v>11</v>
      </c>
      <c r="K170" s="460" t="s">
        <v>10012</v>
      </c>
      <c r="L170" s="460" t="s">
        <v>10013</v>
      </c>
      <c r="M170" s="545" t="n">
        <f aca="false">I170-D170</f>
        <v>1541</v>
      </c>
    </row>
    <row r="171" customFormat="false" ht="15" hidden="false" customHeight="true" outlineLevel="0" collapsed="false">
      <c r="A171" s="449" t="s">
        <v>10537</v>
      </c>
      <c r="B171" s="450" t="s">
        <v>10538</v>
      </c>
      <c r="C171" s="450" t="n">
        <v>2020</v>
      </c>
      <c r="D171" s="451" t="n">
        <v>43957</v>
      </c>
      <c r="E171" s="452" t="s">
        <v>10539</v>
      </c>
      <c r="F171" s="452" t="s">
        <v>902</v>
      </c>
      <c r="G171" s="378" t="s">
        <v>1174</v>
      </c>
      <c r="H171" s="378" t="s">
        <v>10170</v>
      </c>
      <c r="I171" s="451" t="n">
        <v>44505</v>
      </c>
      <c r="J171" s="452" t="n">
        <v>11</v>
      </c>
      <c r="K171" s="452" t="s">
        <v>10012</v>
      </c>
      <c r="L171" s="452" t="s">
        <v>10018</v>
      </c>
      <c r="M171" s="546" t="n">
        <f aca="false">I171-D171</f>
        <v>548</v>
      </c>
    </row>
    <row r="172" customFormat="false" ht="15" hidden="true" customHeight="true" outlineLevel="0" collapsed="false">
      <c r="A172" s="456" t="s">
        <v>10540</v>
      </c>
      <c r="B172" s="458" t="s">
        <v>10541</v>
      </c>
      <c r="C172" s="458" t="n">
        <v>2017</v>
      </c>
      <c r="D172" s="459" t="n">
        <v>43035</v>
      </c>
      <c r="E172" s="380" t="s">
        <v>10542</v>
      </c>
      <c r="F172" s="460" t="s">
        <v>4524</v>
      </c>
      <c r="G172" s="460" t="s">
        <v>1188</v>
      </c>
      <c r="H172" s="380" t="s">
        <v>254</v>
      </c>
      <c r="I172" s="459" t="n">
        <v>44505</v>
      </c>
      <c r="J172" s="460" t="n">
        <v>11</v>
      </c>
      <c r="K172" s="547" t="s">
        <v>51</v>
      </c>
      <c r="L172" s="460" t="s">
        <v>10018</v>
      </c>
      <c r="M172" s="545" t="n">
        <f aca="false">I172-D172</f>
        <v>1470</v>
      </c>
    </row>
    <row r="173" customFormat="false" ht="12.75" hidden="false" customHeight="true" outlineLevel="0" collapsed="false">
      <c r="A173" s="449" t="s">
        <v>10543</v>
      </c>
      <c r="B173" s="450" t="s">
        <v>10544</v>
      </c>
      <c r="C173" s="450" t="n">
        <v>2014</v>
      </c>
      <c r="D173" s="451" t="n">
        <v>41929</v>
      </c>
      <c r="E173" s="452" t="s">
        <v>10545</v>
      </c>
      <c r="F173" s="452" t="s">
        <v>509</v>
      </c>
      <c r="G173" s="378" t="s">
        <v>1174</v>
      </c>
      <c r="H173" s="378" t="s">
        <v>267</v>
      </c>
      <c r="I173" s="451" t="n">
        <v>44505</v>
      </c>
      <c r="J173" s="452" t="n">
        <v>11</v>
      </c>
      <c r="K173" s="452" t="s">
        <v>10012</v>
      </c>
      <c r="L173" s="452" t="s">
        <v>10018</v>
      </c>
      <c r="M173" s="546" t="n">
        <f aca="false">I173-D173</f>
        <v>2576</v>
      </c>
    </row>
    <row r="174" customFormat="false" ht="12.75" hidden="false" customHeight="true" outlineLevel="0" collapsed="false">
      <c r="A174" s="456" t="s">
        <v>10546</v>
      </c>
      <c r="B174" s="458" t="s">
        <v>10547</v>
      </c>
      <c r="C174" s="458" t="n">
        <v>2016</v>
      </c>
      <c r="D174" s="459" t="n">
        <v>42513</v>
      </c>
      <c r="E174" s="380" t="s">
        <v>10548</v>
      </c>
      <c r="F174" s="460" t="s">
        <v>509</v>
      </c>
      <c r="G174" s="460" t="s">
        <v>1174</v>
      </c>
      <c r="H174" s="380" t="s">
        <v>267</v>
      </c>
      <c r="I174" s="459" t="n">
        <v>44505</v>
      </c>
      <c r="J174" s="460" t="n">
        <v>11</v>
      </c>
      <c r="K174" s="460" t="s">
        <v>10012</v>
      </c>
      <c r="L174" s="460" t="s">
        <v>10018</v>
      </c>
      <c r="M174" s="545" t="n">
        <f aca="false">I174-D174</f>
        <v>1992</v>
      </c>
    </row>
    <row r="175" customFormat="false" ht="12.75" hidden="false" customHeight="true" outlineLevel="0" collapsed="false">
      <c r="A175" s="449" t="s">
        <v>10549</v>
      </c>
      <c r="B175" s="450" t="s">
        <v>10550</v>
      </c>
      <c r="C175" s="450" t="n">
        <v>2018</v>
      </c>
      <c r="D175" s="451" t="n">
        <v>43384</v>
      </c>
      <c r="E175" s="452" t="s">
        <v>10551</v>
      </c>
      <c r="F175" s="452" t="s">
        <v>467</v>
      </c>
      <c r="G175" s="378" t="s">
        <v>1174</v>
      </c>
      <c r="H175" s="378" t="s">
        <v>223</v>
      </c>
      <c r="I175" s="451" t="n">
        <v>44505</v>
      </c>
      <c r="J175" s="452" t="n">
        <v>11</v>
      </c>
      <c r="K175" s="452" t="s">
        <v>10012</v>
      </c>
      <c r="L175" s="452" t="s">
        <v>10013</v>
      </c>
      <c r="M175" s="546" t="n">
        <f aca="false">I175-D175</f>
        <v>1121</v>
      </c>
    </row>
    <row r="176" customFormat="false" ht="12.75" hidden="false" customHeight="true" outlineLevel="0" collapsed="false">
      <c r="A176" s="456" t="s">
        <v>10552</v>
      </c>
      <c r="B176" s="458" t="s">
        <v>10553</v>
      </c>
      <c r="C176" s="458" t="n">
        <v>2018</v>
      </c>
      <c r="D176" s="459" t="n">
        <v>43293</v>
      </c>
      <c r="E176" s="380" t="s">
        <v>10554</v>
      </c>
      <c r="F176" s="460" t="s">
        <v>3924</v>
      </c>
      <c r="G176" s="460" t="s">
        <v>1174</v>
      </c>
      <c r="H176" s="380" t="s">
        <v>192</v>
      </c>
      <c r="I176" s="459" t="n">
        <v>44505</v>
      </c>
      <c r="J176" s="460" t="n">
        <v>11</v>
      </c>
      <c r="K176" s="460" t="s">
        <v>10012</v>
      </c>
      <c r="L176" s="460" t="s">
        <v>10013</v>
      </c>
      <c r="M176" s="545" t="n">
        <f aca="false">I176-D176</f>
        <v>1212</v>
      </c>
    </row>
    <row r="177" customFormat="false" ht="12.75" hidden="false" customHeight="true" outlineLevel="0" collapsed="false">
      <c r="A177" s="449" t="s">
        <v>10555</v>
      </c>
      <c r="B177" s="450" t="s">
        <v>10556</v>
      </c>
      <c r="C177" s="450" t="n">
        <v>2018</v>
      </c>
      <c r="D177" s="451" t="n">
        <v>43115</v>
      </c>
      <c r="E177" s="452" t="s">
        <v>10557</v>
      </c>
      <c r="F177" s="452" t="s">
        <v>509</v>
      </c>
      <c r="G177" s="378" t="s">
        <v>1174</v>
      </c>
      <c r="H177" s="378" t="s">
        <v>192</v>
      </c>
      <c r="I177" s="451" t="n">
        <v>44505</v>
      </c>
      <c r="J177" s="452" t="n">
        <v>11</v>
      </c>
      <c r="K177" s="452" t="s">
        <v>10012</v>
      </c>
      <c r="L177" s="452" t="s">
        <v>10018</v>
      </c>
      <c r="M177" s="546" t="n">
        <f aca="false">I177-D177</f>
        <v>1390</v>
      </c>
    </row>
    <row r="178" customFormat="false" ht="15" hidden="false" customHeight="true" outlineLevel="0" collapsed="false">
      <c r="A178" s="456" t="s">
        <v>10558</v>
      </c>
      <c r="B178" s="458" t="s">
        <v>10559</v>
      </c>
      <c r="C178" s="458" t="n">
        <v>2017</v>
      </c>
      <c r="D178" s="459" t="n">
        <v>42921</v>
      </c>
      <c r="E178" s="380" t="s">
        <v>10560</v>
      </c>
      <c r="F178" s="460" t="s">
        <v>467</v>
      </c>
      <c r="G178" s="460" t="s">
        <v>1174</v>
      </c>
      <c r="H178" s="380" t="s">
        <v>192</v>
      </c>
      <c r="I178" s="459" t="n">
        <v>44505</v>
      </c>
      <c r="J178" s="460" t="n">
        <v>11</v>
      </c>
      <c r="K178" s="460" t="s">
        <v>10012</v>
      </c>
      <c r="L178" s="460" t="s">
        <v>10013</v>
      </c>
      <c r="M178" s="545" t="n">
        <f aca="false">I178-D178</f>
        <v>1584</v>
      </c>
    </row>
    <row r="179" customFormat="false" ht="15" hidden="false" customHeight="true" outlineLevel="0" collapsed="false">
      <c r="A179" s="449" t="s">
        <v>10561</v>
      </c>
      <c r="B179" s="450" t="s">
        <v>10562</v>
      </c>
      <c r="C179" s="450" t="n">
        <v>2018</v>
      </c>
      <c r="D179" s="451" t="n">
        <v>43290</v>
      </c>
      <c r="E179" s="452" t="s">
        <v>10563</v>
      </c>
      <c r="F179" s="452" t="s">
        <v>346</v>
      </c>
      <c r="G179" s="378" t="s">
        <v>1174</v>
      </c>
      <c r="H179" s="378" t="s">
        <v>192</v>
      </c>
      <c r="I179" s="451" t="n">
        <v>44505</v>
      </c>
      <c r="J179" s="452" t="n">
        <v>11</v>
      </c>
      <c r="K179" s="452" t="s">
        <v>10012</v>
      </c>
      <c r="L179" s="452" t="s">
        <v>10018</v>
      </c>
      <c r="M179" s="546" t="n">
        <f aca="false">I179-D179</f>
        <v>1215</v>
      </c>
    </row>
    <row r="180" customFormat="false" ht="12.75" hidden="false" customHeight="true" outlineLevel="0" collapsed="false">
      <c r="A180" s="456" t="s">
        <v>10564</v>
      </c>
      <c r="B180" s="458" t="s">
        <v>10565</v>
      </c>
      <c r="C180" s="458" t="n">
        <v>2014</v>
      </c>
      <c r="D180" s="459" t="n">
        <v>41836</v>
      </c>
      <c r="E180" s="380" t="s">
        <v>10566</v>
      </c>
      <c r="F180" s="460" t="s">
        <v>123</v>
      </c>
      <c r="G180" s="460" t="s">
        <v>1174</v>
      </c>
      <c r="H180" s="380" t="s">
        <v>192</v>
      </c>
      <c r="I180" s="459" t="n">
        <v>44505</v>
      </c>
      <c r="J180" s="460" t="n">
        <v>11</v>
      </c>
      <c r="K180" s="460" t="s">
        <v>10012</v>
      </c>
      <c r="L180" s="460" t="s">
        <v>10018</v>
      </c>
      <c r="M180" s="545" t="n">
        <f aca="false">I180-D180</f>
        <v>2669</v>
      </c>
    </row>
    <row r="181" customFormat="false" ht="12.75" hidden="false" customHeight="true" outlineLevel="0" collapsed="false">
      <c r="A181" s="449" t="s">
        <v>10567</v>
      </c>
      <c r="B181" s="450" t="s">
        <v>10568</v>
      </c>
      <c r="C181" s="450" t="n">
        <v>2018</v>
      </c>
      <c r="D181" s="451" t="n">
        <v>43206</v>
      </c>
      <c r="E181" s="452" t="s">
        <v>10569</v>
      </c>
      <c r="F181" s="452" t="s">
        <v>1987</v>
      </c>
      <c r="G181" s="378" t="s">
        <v>1174</v>
      </c>
      <c r="H181" s="378" t="s">
        <v>6610</v>
      </c>
      <c r="I181" s="451" t="n">
        <v>44539</v>
      </c>
      <c r="J181" s="452" t="n">
        <v>12</v>
      </c>
      <c r="K181" s="452" t="s">
        <v>10012</v>
      </c>
      <c r="L181" s="452" t="s">
        <v>10018</v>
      </c>
      <c r="M181" s="546" t="n">
        <f aca="false">I181-D181</f>
        <v>1333</v>
      </c>
    </row>
    <row r="182" customFormat="false" ht="12.75" hidden="false" customHeight="true" outlineLevel="0" collapsed="false">
      <c r="A182" s="456" t="s">
        <v>10570</v>
      </c>
      <c r="B182" s="458" t="s">
        <v>10571</v>
      </c>
      <c r="C182" s="458" t="n">
        <v>2015</v>
      </c>
      <c r="D182" s="459" t="n">
        <v>42090</v>
      </c>
      <c r="E182" s="380" t="s">
        <v>10572</v>
      </c>
      <c r="F182" s="460" t="s">
        <v>8219</v>
      </c>
      <c r="G182" s="460" t="s">
        <v>1174</v>
      </c>
      <c r="H182" s="380" t="s">
        <v>184</v>
      </c>
      <c r="I182" s="459" t="n">
        <v>44539</v>
      </c>
      <c r="J182" s="460" t="n">
        <v>12</v>
      </c>
      <c r="K182" s="460" t="s">
        <v>10012</v>
      </c>
      <c r="L182" s="460" t="s">
        <v>10013</v>
      </c>
      <c r="M182" s="545" t="n">
        <f aca="false">I182-D182</f>
        <v>2449</v>
      </c>
    </row>
    <row r="183" customFormat="false" ht="12.75" hidden="false" customHeight="true" outlineLevel="0" collapsed="false">
      <c r="A183" s="449" t="s">
        <v>10573</v>
      </c>
      <c r="B183" s="450" t="s">
        <v>10574</v>
      </c>
      <c r="C183" s="450" t="n">
        <v>2012</v>
      </c>
      <c r="D183" s="451" t="n">
        <v>41170</v>
      </c>
      <c r="E183" s="452" t="s">
        <v>10575</v>
      </c>
      <c r="F183" s="452" t="s">
        <v>401</v>
      </c>
      <c r="G183" s="378" t="s">
        <v>1174</v>
      </c>
      <c r="H183" s="378" t="s">
        <v>1567</v>
      </c>
      <c r="I183" s="451" t="n">
        <v>44539</v>
      </c>
      <c r="J183" s="452" t="n">
        <v>12</v>
      </c>
      <c r="K183" s="452" t="s">
        <v>10012</v>
      </c>
      <c r="L183" s="452" t="s">
        <v>10018</v>
      </c>
      <c r="M183" s="546" t="n">
        <f aca="false">I183-D183</f>
        <v>3369</v>
      </c>
    </row>
    <row r="184" customFormat="false" ht="12.75" hidden="false" customHeight="true" outlineLevel="0" collapsed="false">
      <c r="A184" s="456" t="s">
        <v>10576</v>
      </c>
      <c r="B184" s="458" t="s">
        <v>10577</v>
      </c>
      <c r="C184" s="458" t="n">
        <v>2021</v>
      </c>
      <c r="D184" s="459" t="n">
        <v>44258</v>
      </c>
      <c r="E184" s="380" t="s">
        <v>10578</v>
      </c>
      <c r="F184" s="460" t="s">
        <v>1254</v>
      </c>
      <c r="G184" s="460" t="s">
        <v>1174</v>
      </c>
      <c r="H184" s="380" t="s">
        <v>243</v>
      </c>
      <c r="I184" s="459" t="n">
        <v>44539</v>
      </c>
      <c r="J184" s="460" t="n">
        <v>12</v>
      </c>
      <c r="K184" s="460" t="s">
        <v>10012</v>
      </c>
      <c r="L184" s="460" t="s">
        <v>10013</v>
      </c>
      <c r="M184" s="545" t="n">
        <f aca="false">I184-D184</f>
        <v>281</v>
      </c>
    </row>
    <row r="185" customFormat="false" ht="12.75" hidden="false" customHeight="true" outlineLevel="0" collapsed="false">
      <c r="A185" s="449" t="s">
        <v>10579</v>
      </c>
      <c r="B185" s="450" t="s">
        <v>10580</v>
      </c>
      <c r="C185" s="450" t="n">
        <v>2015</v>
      </c>
      <c r="D185" s="451" t="n">
        <v>42234</v>
      </c>
      <c r="E185" s="452" t="s">
        <v>10581</v>
      </c>
      <c r="F185" s="452" t="s">
        <v>8232</v>
      </c>
      <c r="G185" s="378" t="s">
        <v>1174</v>
      </c>
      <c r="H185" s="378" t="s">
        <v>2677</v>
      </c>
      <c r="I185" s="451" t="n">
        <v>44539</v>
      </c>
      <c r="J185" s="452" t="n">
        <v>12</v>
      </c>
      <c r="K185" s="452" t="s">
        <v>10012</v>
      </c>
      <c r="L185" s="452" t="s">
        <v>10013</v>
      </c>
      <c r="M185" s="546" t="n">
        <f aca="false">I185-D185</f>
        <v>2305</v>
      </c>
    </row>
    <row r="186" customFormat="false" ht="15.75" hidden="false" customHeight="true" outlineLevel="0" collapsed="false">
      <c r="A186" s="456" t="s">
        <v>10582</v>
      </c>
      <c r="B186" s="458" t="s">
        <v>10583</v>
      </c>
      <c r="C186" s="458" t="n">
        <v>2021</v>
      </c>
      <c r="D186" s="459" t="n">
        <v>44270</v>
      </c>
      <c r="E186" s="380" t="s">
        <v>10584</v>
      </c>
      <c r="F186" s="460" t="s">
        <v>1254</v>
      </c>
      <c r="G186" s="460" t="s">
        <v>1174</v>
      </c>
      <c r="H186" s="380" t="s">
        <v>2677</v>
      </c>
      <c r="I186" s="459" t="n">
        <v>44539</v>
      </c>
      <c r="J186" s="460" t="n">
        <v>12</v>
      </c>
      <c r="K186" s="460" t="s">
        <v>10012</v>
      </c>
      <c r="L186" s="460" t="s">
        <v>10013</v>
      </c>
      <c r="M186" s="545" t="n">
        <f aca="false">I186-D186</f>
        <v>269</v>
      </c>
    </row>
    <row r="187" customFormat="false" ht="12.75" hidden="false" customHeight="true" outlineLevel="0" collapsed="false">
      <c r="A187" s="449" t="s">
        <v>10585</v>
      </c>
      <c r="B187" s="450" t="s">
        <v>10586</v>
      </c>
      <c r="C187" s="450" t="n">
        <v>2014</v>
      </c>
      <c r="D187" s="451" t="n">
        <v>41897</v>
      </c>
      <c r="E187" s="452" t="s">
        <v>10587</v>
      </c>
      <c r="F187" s="452" t="s">
        <v>10588</v>
      </c>
      <c r="G187" s="378" t="s">
        <v>1174</v>
      </c>
      <c r="H187" s="378" t="s">
        <v>243</v>
      </c>
      <c r="I187" s="451" t="n">
        <v>44539</v>
      </c>
      <c r="J187" s="452" t="n">
        <v>12</v>
      </c>
      <c r="K187" s="452" t="s">
        <v>10012</v>
      </c>
      <c r="L187" s="452" t="s">
        <v>10013</v>
      </c>
      <c r="M187" s="546" t="n">
        <f aca="false">I187-D187</f>
        <v>2642</v>
      </c>
    </row>
    <row r="188" customFormat="false" ht="12.75" hidden="false" customHeight="true" outlineLevel="0" collapsed="false">
      <c r="A188" s="456" t="s">
        <v>10589</v>
      </c>
      <c r="B188" s="458" t="s">
        <v>10590</v>
      </c>
      <c r="C188" s="458" t="n">
        <v>2017</v>
      </c>
      <c r="D188" s="459" t="n">
        <v>42790</v>
      </c>
      <c r="E188" s="380" t="s">
        <v>10591</v>
      </c>
      <c r="F188" s="460" t="s">
        <v>382</v>
      </c>
      <c r="G188" s="460" t="s">
        <v>1174</v>
      </c>
      <c r="H188" s="380" t="s">
        <v>223</v>
      </c>
      <c r="I188" s="459" t="n">
        <v>44539</v>
      </c>
      <c r="J188" s="460" t="n">
        <v>12</v>
      </c>
      <c r="K188" s="460" t="s">
        <v>10012</v>
      </c>
      <c r="L188" s="460" t="s">
        <v>10013</v>
      </c>
      <c r="M188" s="545" t="n">
        <f aca="false">I188-D188</f>
        <v>1749</v>
      </c>
    </row>
    <row r="189" customFormat="false" ht="12.75" hidden="false" customHeight="true" outlineLevel="0" collapsed="false">
      <c r="A189" s="449" t="s">
        <v>10592</v>
      </c>
      <c r="B189" s="450" t="s">
        <v>10593</v>
      </c>
      <c r="C189" s="450" t="n">
        <v>2019</v>
      </c>
      <c r="D189" s="451" t="n">
        <v>43602</v>
      </c>
      <c r="E189" s="452" t="s">
        <v>10594</v>
      </c>
      <c r="F189" s="452" t="s">
        <v>1150</v>
      </c>
      <c r="G189" s="378" t="s">
        <v>1174</v>
      </c>
      <c r="H189" s="378" t="s">
        <v>354</v>
      </c>
      <c r="I189" s="451" t="n">
        <v>44539</v>
      </c>
      <c r="J189" s="452" t="n">
        <v>12</v>
      </c>
      <c r="K189" s="452" t="s">
        <v>10012</v>
      </c>
      <c r="L189" s="452" t="s">
        <v>10018</v>
      </c>
      <c r="M189" s="546" t="n">
        <f aca="false">I189-D189</f>
        <v>937</v>
      </c>
    </row>
    <row r="190" customFormat="false" ht="12.75" hidden="false" customHeight="true" outlineLevel="0" collapsed="false">
      <c r="A190" s="456" t="s">
        <v>10595</v>
      </c>
      <c r="B190" s="458" t="s">
        <v>10596</v>
      </c>
      <c r="C190" s="458" t="n">
        <v>2017</v>
      </c>
      <c r="D190" s="459" t="n">
        <v>43040</v>
      </c>
      <c r="E190" s="380" t="s">
        <v>10597</v>
      </c>
      <c r="F190" s="460" t="s">
        <v>113</v>
      </c>
      <c r="G190" s="460" t="s">
        <v>1174</v>
      </c>
      <c r="H190" s="380" t="s">
        <v>10598</v>
      </c>
      <c r="I190" s="459" t="n">
        <v>44539</v>
      </c>
      <c r="J190" s="460" t="n">
        <v>12</v>
      </c>
      <c r="K190" s="460" t="s">
        <v>10012</v>
      </c>
      <c r="L190" s="460" t="s">
        <v>10013</v>
      </c>
      <c r="M190" s="545" t="n">
        <f aca="false">I190-D190</f>
        <v>1499</v>
      </c>
    </row>
    <row r="191" customFormat="false" ht="12.75" hidden="true" customHeight="true" outlineLevel="0" collapsed="false">
      <c r="A191" s="449" t="s">
        <v>10599</v>
      </c>
      <c r="B191" s="450" t="s">
        <v>10600</v>
      </c>
      <c r="C191" s="450" t="n">
        <v>2016</v>
      </c>
      <c r="D191" s="451" t="n">
        <v>42725</v>
      </c>
      <c r="E191" s="452" t="s">
        <v>10601</v>
      </c>
      <c r="F191" s="452" t="s">
        <v>7633</v>
      </c>
      <c r="G191" s="378" t="s">
        <v>1188</v>
      </c>
      <c r="H191" s="378" t="s">
        <v>1791</v>
      </c>
      <c r="I191" s="451" t="n">
        <v>44539</v>
      </c>
      <c r="J191" s="452" t="n">
        <v>12</v>
      </c>
      <c r="K191" s="452" t="s">
        <v>51</v>
      </c>
      <c r="L191" s="452" t="s">
        <v>10018</v>
      </c>
      <c r="M191" s="546" t="n">
        <f aca="false">I191-D191</f>
        <v>1814</v>
      </c>
    </row>
    <row r="192" customFormat="false" ht="15" hidden="false" customHeight="true" outlineLevel="0" collapsed="false">
      <c r="A192" s="456" t="s">
        <v>10602</v>
      </c>
      <c r="B192" s="458" t="s">
        <v>10603</v>
      </c>
      <c r="C192" s="458" t="n">
        <v>2014</v>
      </c>
      <c r="D192" s="459" t="n">
        <v>41925</v>
      </c>
      <c r="E192" s="380" t="s">
        <v>10604</v>
      </c>
      <c r="F192" s="460" t="s">
        <v>8219</v>
      </c>
      <c r="G192" s="460" t="s">
        <v>1174</v>
      </c>
      <c r="H192" s="380" t="s">
        <v>192</v>
      </c>
      <c r="I192" s="459" t="n">
        <v>44539</v>
      </c>
      <c r="J192" s="460" t="n">
        <v>12</v>
      </c>
      <c r="K192" s="460" t="s">
        <v>10012</v>
      </c>
      <c r="L192" s="460" t="s">
        <v>10013</v>
      </c>
      <c r="M192" s="545" t="n">
        <f aca="false">I192-D192</f>
        <v>2614</v>
      </c>
    </row>
    <row r="193" customFormat="false" ht="12.75" hidden="true" customHeight="true" outlineLevel="0" collapsed="false">
      <c r="A193" s="449" t="n">
        <v>121</v>
      </c>
      <c r="B193" s="450" t="s">
        <v>10605</v>
      </c>
      <c r="C193" s="450" t="n">
        <v>2016</v>
      </c>
      <c r="D193" s="451" t="n">
        <v>42426</v>
      </c>
      <c r="E193" s="452" t="s">
        <v>10606</v>
      </c>
      <c r="F193" s="452" t="s">
        <v>537</v>
      </c>
      <c r="G193" s="378" t="s">
        <v>441</v>
      </c>
      <c r="H193" s="378" t="s">
        <v>354</v>
      </c>
      <c r="I193" s="451" t="n">
        <v>44200</v>
      </c>
      <c r="J193" s="452" t="n">
        <v>1</v>
      </c>
      <c r="K193" s="548" t="s">
        <v>49</v>
      </c>
      <c r="L193" s="452" t="s">
        <v>10018</v>
      </c>
      <c r="M193" s="546" t="n">
        <f aca="false">I193-D193</f>
        <v>1774</v>
      </c>
    </row>
    <row r="194" customFormat="false" ht="12.75" hidden="true" customHeight="true" outlineLevel="0" collapsed="false">
      <c r="A194" s="456" t="n">
        <v>221</v>
      </c>
      <c r="B194" s="458" t="s">
        <v>10607</v>
      </c>
      <c r="C194" s="458" t="n">
        <v>2011</v>
      </c>
      <c r="D194" s="459" t="n">
        <v>40808</v>
      </c>
      <c r="E194" s="380" t="s">
        <v>10608</v>
      </c>
      <c r="F194" s="460" t="s">
        <v>379</v>
      </c>
      <c r="G194" s="460" t="s">
        <v>441</v>
      </c>
      <c r="H194" s="380" t="s">
        <v>706</v>
      </c>
      <c r="I194" s="459" t="n">
        <v>44200</v>
      </c>
      <c r="J194" s="460" t="n">
        <v>1</v>
      </c>
      <c r="K194" s="548" t="s">
        <v>49</v>
      </c>
      <c r="L194" s="460" t="s">
        <v>10013</v>
      </c>
      <c r="M194" s="545" t="n">
        <f aca="false">I194-D194</f>
        <v>3392</v>
      </c>
    </row>
    <row r="195" customFormat="false" ht="12.75" hidden="true" customHeight="true" outlineLevel="0" collapsed="false">
      <c r="A195" s="449" t="n">
        <v>321</v>
      </c>
      <c r="B195" s="450" t="s">
        <v>10609</v>
      </c>
      <c r="C195" s="450" t="n">
        <v>2017</v>
      </c>
      <c r="D195" s="451" t="n">
        <v>42944</v>
      </c>
      <c r="E195" s="452" t="s">
        <v>10610</v>
      </c>
      <c r="F195" s="452" t="s">
        <v>9647</v>
      </c>
      <c r="G195" s="378" t="s">
        <v>441</v>
      </c>
      <c r="H195" s="378" t="s">
        <v>1231</v>
      </c>
      <c r="I195" s="451" t="n">
        <v>44200</v>
      </c>
      <c r="J195" s="452" t="n">
        <v>1</v>
      </c>
      <c r="K195" s="548" t="s">
        <v>47</v>
      </c>
      <c r="L195" s="452" t="s">
        <v>10013</v>
      </c>
      <c r="M195" s="546" t="n">
        <f aca="false">I195-D195</f>
        <v>1256</v>
      </c>
    </row>
    <row r="196" customFormat="false" ht="12.75" hidden="true" customHeight="true" outlineLevel="0" collapsed="false">
      <c r="A196" s="456" t="n">
        <v>421</v>
      </c>
      <c r="B196" s="458" t="s">
        <v>10611</v>
      </c>
      <c r="C196" s="458" t="n">
        <v>2014</v>
      </c>
      <c r="D196" s="459" t="n">
        <v>41960</v>
      </c>
      <c r="E196" s="380" t="s">
        <v>10612</v>
      </c>
      <c r="F196" s="460" t="s">
        <v>10613</v>
      </c>
      <c r="G196" s="460" t="s">
        <v>115</v>
      </c>
      <c r="H196" s="380" t="s">
        <v>10614</v>
      </c>
      <c r="I196" s="459" t="n">
        <v>44200</v>
      </c>
      <c r="J196" s="460" t="n">
        <v>1</v>
      </c>
      <c r="K196" s="547" t="s">
        <v>51</v>
      </c>
      <c r="L196" s="460" t="s">
        <v>10018</v>
      </c>
      <c r="M196" s="545" t="n">
        <f aca="false">I196-D196</f>
        <v>2240</v>
      </c>
    </row>
    <row r="197" customFormat="false" ht="12.75" hidden="true" customHeight="true" outlineLevel="0" collapsed="false">
      <c r="A197" s="449" t="n">
        <v>521</v>
      </c>
      <c r="B197" s="450" t="s">
        <v>10615</v>
      </c>
      <c r="C197" s="450" t="n">
        <v>2014</v>
      </c>
      <c r="D197" s="451" t="n">
        <v>41827</v>
      </c>
      <c r="E197" s="452" t="s">
        <v>10616</v>
      </c>
      <c r="F197" s="452" t="s">
        <v>10617</v>
      </c>
      <c r="G197" s="378" t="s">
        <v>441</v>
      </c>
      <c r="H197" s="378" t="s">
        <v>354</v>
      </c>
      <c r="I197" s="451" t="n">
        <v>44201</v>
      </c>
      <c r="J197" s="452" t="n">
        <v>1</v>
      </c>
      <c r="K197" s="548" t="s">
        <v>49</v>
      </c>
      <c r="L197" s="452" t="s">
        <v>10013</v>
      </c>
      <c r="M197" s="546" t="n">
        <f aca="false">I197-D197</f>
        <v>2374</v>
      </c>
    </row>
    <row r="198" customFormat="false" ht="15.75" hidden="true" customHeight="true" outlineLevel="0" collapsed="false">
      <c r="A198" s="456" t="n">
        <v>621</v>
      </c>
      <c r="B198" s="458" t="s">
        <v>10618</v>
      </c>
      <c r="C198" s="458" t="n">
        <v>2018</v>
      </c>
      <c r="D198" s="459" t="n">
        <v>43256</v>
      </c>
      <c r="E198" s="380" t="s">
        <v>10619</v>
      </c>
      <c r="F198" s="460" t="s">
        <v>168</v>
      </c>
      <c r="G198" s="460" t="s">
        <v>441</v>
      </c>
      <c r="H198" s="380" t="s">
        <v>192</v>
      </c>
      <c r="I198" s="459" t="n">
        <v>44201</v>
      </c>
      <c r="J198" s="460" t="n">
        <v>1</v>
      </c>
      <c r="K198" s="549" t="s">
        <v>46</v>
      </c>
      <c r="L198" s="460" t="s">
        <v>10013</v>
      </c>
      <c r="M198" s="545" t="n">
        <f aca="false">I198-D198</f>
        <v>945</v>
      </c>
    </row>
    <row r="199" customFormat="false" ht="12.75" hidden="true" customHeight="true" outlineLevel="0" collapsed="false">
      <c r="A199" s="449" t="n">
        <v>721</v>
      </c>
      <c r="B199" s="450" t="s">
        <v>10620</v>
      </c>
      <c r="C199" s="450" t="n">
        <v>2010</v>
      </c>
      <c r="D199" s="451" t="n">
        <v>42982</v>
      </c>
      <c r="E199" s="452" t="s">
        <v>10621</v>
      </c>
      <c r="F199" s="452" t="s">
        <v>10622</v>
      </c>
      <c r="G199" s="378" t="s">
        <v>144</v>
      </c>
      <c r="H199" s="378" t="s">
        <v>639</v>
      </c>
      <c r="I199" s="451" t="n">
        <v>44208</v>
      </c>
      <c r="J199" s="452" t="n">
        <v>1</v>
      </c>
      <c r="K199" s="548" t="s">
        <v>48</v>
      </c>
      <c r="L199" s="452" t="s">
        <v>10013</v>
      </c>
      <c r="M199" s="546" t="n">
        <f aca="false">I199-D199</f>
        <v>1226</v>
      </c>
    </row>
    <row r="200" customFormat="false" ht="15.75" hidden="true" customHeight="true" outlineLevel="0" collapsed="false">
      <c r="A200" s="456" t="n">
        <v>821</v>
      </c>
      <c r="B200" s="458" t="s">
        <v>10623</v>
      </c>
      <c r="C200" s="458" t="n">
        <v>2018</v>
      </c>
      <c r="D200" s="459" t="n">
        <v>43139</v>
      </c>
      <c r="E200" s="380" t="s">
        <v>10624</v>
      </c>
      <c r="F200" s="460" t="s">
        <v>3243</v>
      </c>
      <c r="G200" s="460" t="s">
        <v>441</v>
      </c>
      <c r="H200" s="380" t="s">
        <v>1740</v>
      </c>
      <c r="I200" s="459" t="n">
        <v>44211</v>
      </c>
      <c r="J200" s="460" t="n">
        <v>1</v>
      </c>
      <c r="K200" s="550" t="s">
        <v>44</v>
      </c>
      <c r="L200" s="460" t="s">
        <v>10013</v>
      </c>
      <c r="M200" s="545" t="n">
        <f aca="false">I200-D200</f>
        <v>1072</v>
      </c>
    </row>
    <row r="201" customFormat="false" ht="12.75" hidden="true" customHeight="true" outlineLevel="0" collapsed="false">
      <c r="A201" s="449" t="n">
        <v>921</v>
      </c>
      <c r="B201" s="450" t="s">
        <v>10625</v>
      </c>
      <c r="C201" s="450" t="n">
        <v>2018</v>
      </c>
      <c r="D201" s="451" t="n">
        <v>43447</v>
      </c>
      <c r="E201" s="452" t="s">
        <v>10626</v>
      </c>
      <c r="F201" s="452" t="s">
        <v>3190</v>
      </c>
      <c r="G201" s="378" t="s">
        <v>441</v>
      </c>
      <c r="H201" s="378" t="s">
        <v>409</v>
      </c>
      <c r="I201" s="451" t="n">
        <v>44215</v>
      </c>
      <c r="J201" s="452" t="n">
        <v>1</v>
      </c>
      <c r="K201" s="548" t="s">
        <v>49</v>
      </c>
      <c r="L201" s="452" t="s">
        <v>10013</v>
      </c>
      <c r="M201" s="546" t="n">
        <f aca="false">I201-D201</f>
        <v>768</v>
      </c>
    </row>
    <row r="202" customFormat="false" ht="14.25" hidden="true" customHeight="true" outlineLevel="0" collapsed="false">
      <c r="A202" s="456" t="n">
        <v>1021</v>
      </c>
      <c r="B202" s="458" t="s">
        <v>10627</v>
      </c>
      <c r="C202" s="458" t="n">
        <v>2014</v>
      </c>
      <c r="D202" s="459" t="n">
        <v>41677</v>
      </c>
      <c r="E202" s="380" t="s">
        <v>10628</v>
      </c>
      <c r="F202" s="460" t="s">
        <v>10629</v>
      </c>
      <c r="G202" s="460" t="s">
        <v>441</v>
      </c>
      <c r="H202" s="380" t="s">
        <v>243</v>
      </c>
      <c r="I202" s="459" t="n">
        <v>44221</v>
      </c>
      <c r="J202" s="460" t="n">
        <v>1</v>
      </c>
      <c r="K202" s="550" t="s">
        <v>44</v>
      </c>
      <c r="L202" s="460" t="s">
        <v>10018</v>
      </c>
      <c r="M202" s="545" t="n">
        <f aca="false">I202-D202</f>
        <v>2544</v>
      </c>
    </row>
    <row r="203" customFormat="false" ht="12.75" hidden="true" customHeight="true" outlineLevel="0" collapsed="false">
      <c r="A203" s="449" t="n">
        <v>1121</v>
      </c>
      <c r="B203" s="450" t="s">
        <v>10630</v>
      </c>
      <c r="C203" s="450" t="n">
        <v>2014</v>
      </c>
      <c r="D203" s="451" t="n">
        <v>41683</v>
      </c>
      <c r="E203" s="452" t="s">
        <v>10631</v>
      </c>
      <c r="F203" s="452" t="s">
        <v>10632</v>
      </c>
      <c r="G203" s="378" t="s">
        <v>441</v>
      </c>
      <c r="H203" s="378" t="s">
        <v>192</v>
      </c>
      <c r="I203" s="451" t="n">
        <v>44221</v>
      </c>
      <c r="J203" s="452" t="n">
        <v>1</v>
      </c>
      <c r="K203" s="548" t="s">
        <v>49</v>
      </c>
      <c r="L203" s="452" t="s">
        <v>10018</v>
      </c>
      <c r="M203" s="546" t="n">
        <f aca="false">I203-D203</f>
        <v>2538</v>
      </c>
    </row>
    <row r="204" customFormat="false" ht="12.75" hidden="true" customHeight="true" outlineLevel="0" collapsed="false">
      <c r="A204" s="456" t="n">
        <v>1221</v>
      </c>
      <c r="B204" s="458" t="s">
        <v>10633</v>
      </c>
      <c r="C204" s="458" t="n">
        <v>2014</v>
      </c>
      <c r="D204" s="459" t="n">
        <v>41729</v>
      </c>
      <c r="E204" s="380" t="s">
        <v>10634</v>
      </c>
      <c r="F204" s="460" t="s">
        <v>180</v>
      </c>
      <c r="G204" s="460" t="s">
        <v>441</v>
      </c>
      <c r="H204" s="380" t="s">
        <v>243</v>
      </c>
      <c r="I204" s="459" t="n">
        <v>44221</v>
      </c>
      <c r="J204" s="460" t="n">
        <v>1</v>
      </c>
      <c r="K204" s="548" t="s">
        <v>48</v>
      </c>
      <c r="L204" s="460" t="s">
        <v>10018</v>
      </c>
      <c r="M204" s="545" t="n">
        <f aca="false">I204-D204</f>
        <v>2492</v>
      </c>
    </row>
    <row r="205" customFormat="false" ht="12.75" hidden="true" customHeight="true" outlineLevel="0" collapsed="false">
      <c r="A205" s="449" t="n">
        <v>1321</v>
      </c>
      <c r="B205" s="450" t="s">
        <v>10635</v>
      </c>
      <c r="C205" s="450" t="n">
        <v>2013</v>
      </c>
      <c r="D205" s="451" t="n">
        <v>41414</v>
      </c>
      <c r="E205" s="452" t="s">
        <v>10636</v>
      </c>
      <c r="F205" s="452" t="s">
        <v>10637</v>
      </c>
      <c r="G205" s="378" t="s">
        <v>441</v>
      </c>
      <c r="H205" s="378" t="s">
        <v>471</v>
      </c>
      <c r="I205" s="451" t="n">
        <v>44221</v>
      </c>
      <c r="J205" s="452" t="n">
        <v>1</v>
      </c>
      <c r="K205" s="548" t="s">
        <v>49</v>
      </c>
      <c r="L205" s="452" t="s">
        <v>10018</v>
      </c>
      <c r="M205" s="546" t="n">
        <f aca="false">I205-D205</f>
        <v>2807</v>
      </c>
    </row>
    <row r="206" customFormat="false" ht="12.75" hidden="true" customHeight="true" outlineLevel="0" collapsed="false">
      <c r="A206" s="456" t="n">
        <v>1421</v>
      </c>
      <c r="B206" s="458" t="s">
        <v>10638</v>
      </c>
      <c r="C206" s="458" t="n">
        <v>2013</v>
      </c>
      <c r="D206" s="459" t="n">
        <v>41443</v>
      </c>
      <c r="E206" s="380" t="s">
        <v>10639</v>
      </c>
      <c r="F206" s="460" t="s">
        <v>5401</v>
      </c>
      <c r="G206" s="460" t="s">
        <v>441</v>
      </c>
      <c r="H206" s="380" t="s">
        <v>10614</v>
      </c>
      <c r="I206" s="459" t="n">
        <v>44221</v>
      </c>
      <c r="J206" s="460" t="n">
        <v>1</v>
      </c>
      <c r="K206" s="547" t="s">
        <v>51</v>
      </c>
      <c r="L206" s="460" t="s">
        <v>10013</v>
      </c>
      <c r="M206" s="545" t="n">
        <f aca="false">I206-D206</f>
        <v>2778</v>
      </c>
    </row>
    <row r="207" customFormat="false" ht="12.75" hidden="true" customHeight="true" outlineLevel="0" collapsed="false">
      <c r="A207" s="449" t="n">
        <v>1521</v>
      </c>
      <c r="B207" s="450" t="s">
        <v>10640</v>
      </c>
      <c r="C207" s="450" t="n">
        <v>2013</v>
      </c>
      <c r="D207" s="451" t="n">
        <v>41536</v>
      </c>
      <c r="E207" s="452" t="s">
        <v>10641</v>
      </c>
      <c r="F207" s="452" t="s">
        <v>2920</v>
      </c>
      <c r="G207" s="378" t="s">
        <v>441</v>
      </c>
      <c r="H207" s="378" t="s">
        <v>2147</v>
      </c>
      <c r="I207" s="451" t="n">
        <v>44221</v>
      </c>
      <c r="J207" s="452" t="n">
        <v>1</v>
      </c>
      <c r="K207" s="548" t="s">
        <v>49</v>
      </c>
      <c r="L207" s="452" t="s">
        <v>10013</v>
      </c>
      <c r="M207" s="546" t="n">
        <f aca="false">I207-D207</f>
        <v>2685</v>
      </c>
    </row>
    <row r="208" customFormat="false" ht="12.75" hidden="true" customHeight="true" outlineLevel="0" collapsed="false">
      <c r="A208" s="456" t="n">
        <v>1621</v>
      </c>
      <c r="B208" s="458" t="s">
        <v>10642</v>
      </c>
      <c r="C208" s="458" t="n">
        <v>2013</v>
      </c>
      <c r="D208" s="459" t="n">
        <v>41577</v>
      </c>
      <c r="E208" s="380" t="s">
        <v>10643</v>
      </c>
      <c r="F208" s="460" t="s">
        <v>1277</v>
      </c>
      <c r="G208" s="460" t="s">
        <v>441</v>
      </c>
      <c r="H208" s="380" t="s">
        <v>267</v>
      </c>
      <c r="I208" s="459" t="n">
        <v>44221</v>
      </c>
      <c r="J208" s="460" t="n">
        <v>1</v>
      </c>
      <c r="K208" s="549" t="s">
        <v>46</v>
      </c>
      <c r="L208" s="460" t="s">
        <v>10018</v>
      </c>
      <c r="M208" s="545" t="n">
        <f aca="false">I208-D208</f>
        <v>2644</v>
      </c>
    </row>
    <row r="209" customFormat="false" ht="12.75" hidden="true" customHeight="true" outlineLevel="0" collapsed="false">
      <c r="A209" s="449" t="n">
        <v>1721</v>
      </c>
      <c r="B209" s="450" t="s">
        <v>10644</v>
      </c>
      <c r="C209" s="450" t="n">
        <v>2013</v>
      </c>
      <c r="D209" s="451" t="n">
        <v>41606</v>
      </c>
      <c r="E209" s="452" t="s">
        <v>10645</v>
      </c>
      <c r="F209" s="452" t="s">
        <v>9066</v>
      </c>
      <c r="G209" s="378" t="s">
        <v>441</v>
      </c>
      <c r="H209" s="378" t="s">
        <v>267</v>
      </c>
      <c r="I209" s="451" t="n">
        <v>44221</v>
      </c>
      <c r="J209" s="452" t="n">
        <v>1</v>
      </c>
      <c r="K209" s="548" t="s">
        <v>49</v>
      </c>
      <c r="L209" s="452" t="s">
        <v>10013</v>
      </c>
      <c r="M209" s="546" t="n">
        <f aca="false">I209-D209</f>
        <v>2615</v>
      </c>
    </row>
    <row r="210" customFormat="false" ht="12.75" hidden="true" customHeight="true" outlineLevel="0" collapsed="false">
      <c r="A210" s="456" t="n">
        <v>1821</v>
      </c>
      <c r="B210" s="458" t="s">
        <v>10646</v>
      </c>
      <c r="C210" s="458" t="n">
        <v>2013</v>
      </c>
      <c r="D210" s="459" t="n">
        <v>41627</v>
      </c>
      <c r="E210" s="380" t="s">
        <v>10647</v>
      </c>
      <c r="F210" s="460" t="s">
        <v>207</v>
      </c>
      <c r="G210" s="460" t="s">
        <v>441</v>
      </c>
      <c r="H210" s="380" t="s">
        <v>267</v>
      </c>
      <c r="I210" s="459" t="n">
        <v>44221</v>
      </c>
      <c r="J210" s="460" t="n">
        <v>1</v>
      </c>
      <c r="K210" s="548" t="s">
        <v>49</v>
      </c>
      <c r="L210" s="460" t="s">
        <v>10018</v>
      </c>
      <c r="M210" s="545" t="n">
        <f aca="false">I210-D210</f>
        <v>2594</v>
      </c>
    </row>
    <row r="211" customFormat="false" ht="12.75" hidden="true" customHeight="true" outlineLevel="0" collapsed="false">
      <c r="A211" s="449" t="n">
        <v>1921</v>
      </c>
      <c r="B211" s="450" t="s">
        <v>10648</v>
      </c>
      <c r="C211" s="450" t="n">
        <v>2016</v>
      </c>
      <c r="D211" s="451" t="n">
        <v>42457</v>
      </c>
      <c r="E211" s="452" t="s">
        <v>10649</v>
      </c>
      <c r="F211" s="452" t="s">
        <v>446</v>
      </c>
      <c r="G211" s="378" t="s">
        <v>441</v>
      </c>
      <c r="H211" s="378" t="s">
        <v>4045</v>
      </c>
      <c r="I211" s="451" t="n">
        <v>44221</v>
      </c>
      <c r="J211" s="452" t="n">
        <v>1</v>
      </c>
      <c r="K211" s="548" t="s">
        <v>49</v>
      </c>
      <c r="L211" s="452" t="s">
        <v>10013</v>
      </c>
      <c r="M211" s="546" t="n">
        <f aca="false">I211-D211</f>
        <v>1764</v>
      </c>
    </row>
    <row r="212" customFormat="false" ht="12.75" hidden="true" customHeight="true" outlineLevel="0" collapsed="false">
      <c r="A212" s="456" t="n">
        <v>2021</v>
      </c>
      <c r="B212" s="458" t="s">
        <v>10650</v>
      </c>
      <c r="C212" s="458" t="n">
        <v>2019</v>
      </c>
      <c r="D212" s="459" t="n">
        <v>43552</v>
      </c>
      <c r="E212" s="380" t="s">
        <v>10651</v>
      </c>
      <c r="F212" s="460" t="s">
        <v>10652</v>
      </c>
      <c r="G212" s="460" t="s">
        <v>130</v>
      </c>
      <c r="H212" s="380" t="s">
        <v>10653</v>
      </c>
      <c r="I212" s="459" t="n">
        <v>44221</v>
      </c>
      <c r="J212" s="460" t="n">
        <v>1</v>
      </c>
      <c r="K212" s="547" t="s">
        <v>51</v>
      </c>
      <c r="L212" s="460" t="s">
        <v>61</v>
      </c>
      <c r="M212" s="545" t="n">
        <f aca="false">I212-D212</f>
        <v>669</v>
      </c>
    </row>
    <row r="213" customFormat="false" ht="12.75" hidden="true" customHeight="true" outlineLevel="0" collapsed="false">
      <c r="A213" s="449" t="n">
        <v>2121</v>
      </c>
      <c r="B213" s="450" t="s">
        <v>10654</v>
      </c>
      <c r="C213" s="450" t="n">
        <v>2019</v>
      </c>
      <c r="D213" s="451" t="n">
        <v>43556</v>
      </c>
      <c r="E213" s="452" t="s">
        <v>10655</v>
      </c>
      <c r="F213" s="452" t="s">
        <v>138</v>
      </c>
      <c r="G213" s="378" t="s">
        <v>441</v>
      </c>
      <c r="H213" s="378" t="s">
        <v>192</v>
      </c>
      <c r="I213" s="451" t="n">
        <v>44221</v>
      </c>
      <c r="J213" s="452" t="n">
        <v>1</v>
      </c>
      <c r="K213" s="548" t="s">
        <v>49</v>
      </c>
      <c r="L213" s="452" t="s">
        <v>10013</v>
      </c>
      <c r="M213" s="546" t="n">
        <f aca="false">I213-D213</f>
        <v>665</v>
      </c>
    </row>
    <row r="214" customFormat="false" ht="12.75" hidden="true" customHeight="true" outlineLevel="0" collapsed="false">
      <c r="A214" s="456" t="n">
        <v>2221</v>
      </c>
      <c r="B214" s="458" t="s">
        <v>10656</v>
      </c>
      <c r="C214" s="458" t="n">
        <v>2018</v>
      </c>
      <c r="D214" s="459" t="n">
        <v>43371</v>
      </c>
      <c r="E214" s="380" t="s">
        <v>10657</v>
      </c>
      <c r="F214" s="460" t="s">
        <v>4270</v>
      </c>
      <c r="G214" s="460" t="s">
        <v>441</v>
      </c>
      <c r="H214" s="380" t="s">
        <v>1740</v>
      </c>
      <c r="I214" s="459" t="n">
        <v>44221</v>
      </c>
      <c r="J214" s="460" t="n">
        <v>1</v>
      </c>
      <c r="K214" s="549" t="s">
        <v>46</v>
      </c>
      <c r="L214" s="460" t="s">
        <v>10018</v>
      </c>
      <c r="M214" s="545" t="n">
        <f aca="false">I214-D214</f>
        <v>850</v>
      </c>
    </row>
    <row r="215" customFormat="false" ht="12.75" hidden="true" customHeight="true" outlineLevel="0" collapsed="false">
      <c r="A215" s="449" t="n">
        <v>2321</v>
      </c>
      <c r="B215" s="450" t="s">
        <v>10658</v>
      </c>
      <c r="C215" s="450" t="n">
        <v>2018</v>
      </c>
      <c r="D215" s="451" t="n">
        <v>43376</v>
      </c>
      <c r="E215" s="452" t="s">
        <v>10659</v>
      </c>
      <c r="F215" s="452" t="s">
        <v>537</v>
      </c>
      <c r="G215" s="378" t="s">
        <v>441</v>
      </c>
      <c r="H215" s="378" t="s">
        <v>1740</v>
      </c>
      <c r="I215" s="451" t="n">
        <v>44221</v>
      </c>
      <c r="J215" s="452" t="n">
        <v>1</v>
      </c>
      <c r="K215" s="548" t="s">
        <v>49</v>
      </c>
      <c r="L215" s="452" t="s">
        <v>10018</v>
      </c>
      <c r="M215" s="546" t="n">
        <f aca="false">I215-D215</f>
        <v>845</v>
      </c>
    </row>
    <row r="216" customFormat="false" ht="12.75" hidden="true" customHeight="true" outlineLevel="0" collapsed="false">
      <c r="A216" s="456" t="n">
        <v>2421</v>
      </c>
      <c r="B216" s="458" t="s">
        <v>10660</v>
      </c>
      <c r="C216" s="458" t="n">
        <v>2018</v>
      </c>
      <c r="D216" s="459" t="n">
        <v>43391</v>
      </c>
      <c r="E216" s="380" t="s">
        <v>10661</v>
      </c>
      <c r="F216" s="460" t="s">
        <v>10662</v>
      </c>
      <c r="G216" s="460" t="s">
        <v>144</v>
      </c>
      <c r="H216" s="380" t="s">
        <v>10663</v>
      </c>
      <c r="I216" s="459" t="n">
        <v>44221</v>
      </c>
      <c r="J216" s="460" t="n">
        <v>1</v>
      </c>
      <c r="K216" s="548" t="s">
        <v>48</v>
      </c>
      <c r="L216" s="460" t="s">
        <v>10018</v>
      </c>
      <c r="M216" s="545" t="n">
        <f aca="false">I216-D216</f>
        <v>830</v>
      </c>
    </row>
    <row r="217" customFormat="false" ht="12.75" hidden="true" customHeight="true" outlineLevel="0" collapsed="false">
      <c r="A217" s="449" t="n">
        <v>2521</v>
      </c>
      <c r="B217" s="450" t="s">
        <v>10664</v>
      </c>
      <c r="C217" s="450" t="n">
        <v>2019</v>
      </c>
      <c r="D217" s="451" t="n">
        <v>43647</v>
      </c>
      <c r="E217" s="452" t="s">
        <v>10665</v>
      </c>
      <c r="F217" s="452" t="s">
        <v>650</v>
      </c>
      <c r="G217" s="378" t="s">
        <v>441</v>
      </c>
      <c r="H217" s="378" t="s">
        <v>184</v>
      </c>
      <c r="I217" s="451" t="n">
        <v>44221</v>
      </c>
      <c r="J217" s="452" t="n">
        <v>1</v>
      </c>
      <c r="K217" s="548" t="s">
        <v>48</v>
      </c>
      <c r="L217" s="452" t="s">
        <v>10018</v>
      </c>
      <c r="M217" s="546" t="n">
        <f aca="false">I217-D217</f>
        <v>574</v>
      </c>
    </row>
    <row r="218" customFormat="false" ht="12.75" hidden="true" customHeight="true" outlineLevel="0" collapsed="false">
      <c r="A218" s="456" t="n">
        <v>2621</v>
      </c>
      <c r="B218" s="458" t="s">
        <v>10666</v>
      </c>
      <c r="C218" s="458" t="n">
        <v>2014</v>
      </c>
      <c r="D218" s="459" t="n">
        <v>41724</v>
      </c>
      <c r="E218" s="380" t="s">
        <v>10667</v>
      </c>
      <c r="F218" s="460" t="s">
        <v>823</v>
      </c>
      <c r="G218" s="460" t="s">
        <v>441</v>
      </c>
      <c r="H218" s="380" t="s">
        <v>10668</v>
      </c>
      <c r="I218" s="459" t="n">
        <v>44222</v>
      </c>
      <c r="J218" s="460" t="n">
        <v>1</v>
      </c>
      <c r="K218" s="548" t="s">
        <v>48</v>
      </c>
      <c r="L218" s="460" t="s">
        <v>10018</v>
      </c>
      <c r="M218" s="545" t="n">
        <f aca="false">I218-D218</f>
        <v>2498</v>
      </c>
    </row>
    <row r="219" customFormat="false" ht="12.75" hidden="true" customHeight="true" outlineLevel="0" collapsed="false">
      <c r="A219" s="449" t="n">
        <v>2721</v>
      </c>
      <c r="B219" s="450" t="s">
        <v>10669</v>
      </c>
      <c r="C219" s="450" t="n">
        <v>2016</v>
      </c>
      <c r="D219" s="451" t="n">
        <v>42438</v>
      </c>
      <c r="E219" s="452" t="s">
        <v>10670</v>
      </c>
      <c r="F219" s="452" t="s">
        <v>138</v>
      </c>
      <c r="G219" s="378" t="s">
        <v>441</v>
      </c>
      <c r="H219" s="378" t="s">
        <v>1501</v>
      </c>
      <c r="I219" s="451" t="n">
        <v>44222</v>
      </c>
      <c r="J219" s="452" t="n">
        <v>1</v>
      </c>
      <c r="K219" s="548" t="s">
        <v>49</v>
      </c>
      <c r="L219" s="452" t="s">
        <v>10013</v>
      </c>
      <c r="M219" s="546" t="n">
        <f aca="false">I219-D219</f>
        <v>1784</v>
      </c>
    </row>
    <row r="220" customFormat="false" ht="12.75" hidden="true" customHeight="true" outlineLevel="0" collapsed="false">
      <c r="A220" s="456" t="n">
        <v>2821</v>
      </c>
      <c r="B220" s="458" t="s">
        <v>10671</v>
      </c>
      <c r="C220" s="458" t="n">
        <v>2020</v>
      </c>
      <c r="D220" s="459" t="n">
        <v>44006</v>
      </c>
      <c r="E220" s="380" t="s">
        <v>10672</v>
      </c>
      <c r="F220" s="460" t="s">
        <v>6361</v>
      </c>
      <c r="G220" s="460" t="s">
        <v>130</v>
      </c>
      <c r="H220" s="380" t="s">
        <v>10673</v>
      </c>
      <c r="I220" s="459" t="n">
        <v>44222</v>
      </c>
      <c r="J220" s="460" t="n">
        <v>1</v>
      </c>
      <c r="K220" s="548" t="s">
        <v>49</v>
      </c>
      <c r="L220" s="460" t="s">
        <v>61</v>
      </c>
      <c r="M220" s="545" t="n">
        <f aca="false">I220-D220</f>
        <v>216</v>
      </c>
    </row>
    <row r="221" customFormat="false" ht="12.75" hidden="true" customHeight="true" outlineLevel="0" collapsed="false">
      <c r="A221" s="449" t="n">
        <v>2921</v>
      </c>
      <c r="B221" s="450" t="s">
        <v>10674</v>
      </c>
      <c r="C221" s="450" t="n">
        <v>2018</v>
      </c>
      <c r="D221" s="451" t="n">
        <v>43165</v>
      </c>
      <c r="E221" s="452" t="s">
        <v>10675</v>
      </c>
      <c r="F221" s="452" t="s">
        <v>3190</v>
      </c>
      <c r="G221" s="378" t="s">
        <v>441</v>
      </c>
      <c r="H221" s="378" t="s">
        <v>350</v>
      </c>
      <c r="I221" s="451" t="n">
        <v>44222</v>
      </c>
      <c r="J221" s="452" t="n">
        <v>1</v>
      </c>
      <c r="K221" s="548" t="s">
        <v>48</v>
      </c>
      <c r="L221" s="452" t="s">
        <v>10013</v>
      </c>
      <c r="M221" s="546" t="n">
        <f aca="false">I221-D221</f>
        <v>1057</v>
      </c>
    </row>
    <row r="222" customFormat="false" ht="15" hidden="true" customHeight="true" outlineLevel="0" collapsed="false">
      <c r="A222" s="456" t="n">
        <v>3021</v>
      </c>
      <c r="B222" s="458" t="s">
        <v>10676</v>
      </c>
      <c r="C222" s="458" t="n">
        <v>2020</v>
      </c>
      <c r="D222" s="459" t="n">
        <v>44025</v>
      </c>
      <c r="E222" s="380" t="s">
        <v>10677</v>
      </c>
      <c r="F222" s="460" t="s">
        <v>6303</v>
      </c>
      <c r="G222" s="460" t="s">
        <v>130</v>
      </c>
      <c r="H222" s="380" t="s">
        <v>10678</v>
      </c>
      <c r="I222" s="459" t="n">
        <v>44222</v>
      </c>
      <c r="J222" s="460" t="n">
        <v>1</v>
      </c>
      <c r="K222" s="548" t="s">
        <v>49</v>
      </c>
      <c r="L222" s="460" t="s">
        <v>61</v>
      </c>
      <c r="M222" s="545" t="n">
        <f aca="false">I222-D222</f>
        <v>197</v>
      </c>
    </row>
    <row r="223" customFormat="false" ht="15" hidden="true" customHeight="true" outlineLevel="0" collapsed="false">
      <c r="A223" s="449" t="n">
        <v>3121</v>
      </c>
      <c r="B223" s="450" t="s">
        <v>10679</v>
      </c>
      <c r="C223" s="450" t="n">
        <v>2020</v>
      </c>
      <c r="D223" s="451" t="n">
        <v>44040</v>
      </c>
      <c r="E223" s="452" t="s">
        <v>10680</v>
      </c>
      <c r="F223" s="551" t="s">
        <v>6309</v>
      </c>
      <c r="G223" s="452" t="s">
        <v>125</v>
      </c>
      <c r="H223" s="378" t="s">
        <v>7263</v>
      </c>
      <c r="I223" s="451" t="n">
        <v>44222</v>
      </c>
      <c r="J223" s="452" t="n">
        <v>1</v>
      </c>
      <c r="K223" s="548" t="s">
        <v>49</v>
      </c>
      <c r="L223" s="452" t="s">
        <v>61</v>
      </c>
      <c r="M223" s="546" t="n">
        <f aca="false">I223-D223</f>
        <v>182</v>
      </c>
    </row>
    <row r="224" customFormat="false" ht="12.75" hidden="true" customHeight="true" outlineLevel="0" collapsed="false">
      <c r="A224" s="456" t="n">
        <v>3221</v>
      </c>
      <c r="B224" s="458" t="s">
        <v>10681</v>
      </c>
      <c r="C224" s="458" t="n">
        <v>2020</v>
      </c>
      <c r="D224" s="459" t="n">
        <v>44042</v>
      </c>
      <c r="E224" s="460" t="s">
        <v>10682</v>
      </c>
      <c r="F224" s="551" t="s">
        <v>6309</v>
      </c>
      <c r="G224" s="460" t="s">
        <v>125</v>
      </c>
      <c r="H224" s="380" t="s">
        <v>7263</v>
      </c>
      <c r="I224" s="459" t="n">
        <v>44222</v>
      </c>
      <c r="J224" s="460" t="n">
        <v>1</v>
      </c>
      <c r="K224" s="548" t="s">
        <v>49</v>
      </c>
      <c r="L224" s="460" t="s">
        <v>61</v>
      </c>
      <c r="M224" s="545" t="n">
        <f aca="false">I224-D224</f>
        <v>180</v>
      </c>
    </row>
    <row r="225" customFormat="false" ht="12.75" hidden="true" customHeight="true" outlineLevel="0" collapsed="false">
      <c r="A225" s="449" t="n">
        <v>3321</v>
      </c>
      <c r="B225" s="450" t="s">
        <v>10683</v>
      </c>
      <c r="C225" s="450" t="n">
        <v>2020</v>
      </c>
      <c r="D225" s="451" t="n">
        <v>44043</v>
      </c>
      <c r="E225" s="452" t="s">
        <v>10684</v>
      </c>
      <c r="F225" s="452" t="s">
        <v>10685</v>
      </c>
      <c r="G225" s="378" t="s">
        <v>130</v>
      </c>
      <c r="H225" s="378" t="s">
        <v>10686</v>
      </c>
      <c r="I225" s="451" t="n">
        <v>44222</v>
      </c>
      <c r="J225" s="452" t="n">
        <v>1</v>
      </c>
      <c r="K225" s="548" t="s">
        <v>49</v>
      </c>
      <c r="L225" s="452" t="s">
        <v>61</v>
      </c>
      <c r="M225" s="546" t="n">
        <f aca="false">I225-D225</f>
        <v>179</v>
      </c>
    </row>
    <row r="226" customFormat="false" ht="12.75" hidden="true" customHeight="true" outlineLevel="0" collapsed="false">
      <c r="A226" s="456" t="n">
        <v>3421</v>
      </c>
      <c r="B226" s="458" t="s">
        <v>10687</v>
      </c>
      <c r="C226" s="458" t="n">
        <v>2019</v>
      </c>
      <c r="D226" s="459" t="n">
        <v>43761</v>
      </c>
      <c r="E226" s="380" t="s">
        <v>10688</v>
      </c>
      <c r="F226" s="460" t="s">
        <v>6303</v>
      </c>
      <c r="G226" s="460" t="s">
        <v>130</v>
      </c>
      <c r="H226" s="380" t="s">
        <v>3553</v>
      </c>
      <c r="I226" s="459" t="n">
        <v>44222</v>
      </c>
      <c r="J226" s="460" t="n">
        <v>1</v>
      </c>
      <c r="K226" s="548" t="s">
        <v>49</v>
      </c>
      <c r="L226" s="460" t="s">
        <v>61</v>
      </c>
      <c r="M226" s="545" t="n">
        <f aca="false">I226-D226</f>
        <v>461</v>
      </c>
    </row>
    <row r="227" customFormat="false" ht="12.75" hidden="true" customHeight="true" outlineLevel="0" collapsed="false">
      <c r="A227" s="449" t="n">
        <v>3521</v>
      </c>
      <c r="B227" s="450" t="s">
        <v>10689</v>
      </c>
      <c r="C227" s="450" t="n">
        <v>2011</v>
      </c>
      <c r="D227" s="451" t="n">
        <v>40575</v>
      </c>
      <c r="E227" s="452" t="s">
        <v>10690</v>
      </c>
      <c r="F227" s="452" t="s">
        <v>1693</v>
      </c>
      <c r="G227" s="378" t="s">
        <v>441</v>
      </c>
      <c r="H227" s="378" t="s">
        <v>208</v>
      </c>
      <c r="I227" s="451" t="n">
        <v>44222</v>
      </c>
      <c r="J227" s="452" t="n">
        <v>1</v>
      </c>
      <c r="K227" s="548" t="s">
        <v>48</v>
      </c>
      <c r="L227" s="452" t="s">
        <v>10018</v>
      </c>
      <c r="M227" s="546" t="n">
        <f aca="false">I227-D227</f>
        <v>3647</v>
      </c>
    </row>
    <row r="228" customFormat="false" ht="12.75" hidden="true" customHeight="true" outlineLevel="0" collapsed="false">
      <c r="A228" s="456" t="n">
        <v>3621</v>
      </c>
      <c r="B228" s="458" t="s">
        <v>10691</v>
      </c>
      <c r="C228" s="458" t="n">
        <v>2019</v>
      </c>
      <c r="D228" s="459" t="n">
        <v>43496</v>
      </c>
      <c r="E228" s="380" t="s">
        <v>10692</v>
      </c>
      <c r="F228" s="460" t="s">
        <v>3362</v>
      </c>
      <c r="G228" s="460" t="s">
        <v>441</v>
      </c>
      <c r="H228" s="380" t="s">
        <v>208</v>
      </c>
      <c r="I228" s="459" t="n">
        <v>44222</v>
      </c>
      <c r="J228" s="460" t="n">
        <v>1</v>
      </c>
      <c r="K228" s="548" t="s">
        <v>49</v>
      </c>
      <c r="L228" s="460" t="s">
        <v>10013</v>
      </c>
      <c r="M228" s="545" t="n">
        <f aca="false">I228-D228</f>
        <v>726</v>
      </c>
    </row>
    <row r="229" customFormat="false" ht="15" hidden="true" customHeight="true" outlineLevel="0" collapsed="false">
      <c r="A229" s="449" t="n">
        <v>3721</v>
      </c>
      <c r="B229" s="450" t="s">
        <v>10693</v>
      </c>
      <c r="C229" s="450" t="n">
        <v>2010</v>
      </c>
      <c r="D229" s="451" t="n">
        <v>40193</v>
      </c>
      <c r="E229" s="452" t="s">
        <v>10694</v>
      </c>
      <c r="F229" s="452" t="s">
        <v>180</v>
      </c>
      <c r="G229" s="378" t="s">
        <v>441</v>
      </c>
      <c r="H229" s="378" t="s">
        <v>310</v>
      </c>
      <c r="I229" s="451" t="n">
        <v>44222</v>
      </c>
      <c r="J229" s="452" t="n">
        <v>1</v>
      </c>
      <c r="K229" s="548" t="s">
        <v>49</v>
      </c>
      <c r="L229" s="452" t="s">
        <v>10018</v>
      </c>
      <c r="M229" s="546" t="n">
        <f aca="false">I229-D229</f>
        <v>4029</v>
      </c>
    </row>
    <row r="230" customFormat="false" ht="12.75" hidden="true" customHeight="true" outlineLevel="0" collapsed="false">
      <c r="A230" s="456" t="n">
        <v>3821</v>
      </c>
      <c r="B230" s="458" t="s">
        <v>10695</v>
      </c>
      <c r="C230" s="458" t="n">
        <v>2018</v>
      </c>
      <c r="D230" s="459" t="n">
        <v>43165</v>
      </c>
      <c r="E230" s="380" t="s">
        <v>10696</v>
      </c>
      <c r="F230" s="460" t="s">
        <v>5463</v>
      </c>
      <c r="G230" s="460" t="s">
        <v>441</v>
      </c>
      <c r="H230" s="380" t="s">
        <v>350</v>
      </c>
      <c r="I230" s="459" t="n">
        <v>44222</v>
      </c>
      <c r="J230" s="460" t="n">
        <v>1</v>
      </c>
      <c r="K230" s="548" t="s">
        <v>48</v>
      </c>
      <c r="L230" s="460" t="s">
        <v>10013</v>
      </c>
      <c r="M230" s="545" t="n">
        <f aca="false">I230-D230</f>
        <v>1057</v>
      </c>
    </row>
    <row r="231" customFormat="false" ht="12.75" hidden="true" customHeight="true" outlineLevel="0" collapsed="false">
      <c r="A231" s="449" t="n">
        <v>3921</v>
      </c>
      <c r="B231" s="450" t="s">
        <v>10697</v>
      </c>
      <c r="C231" s="450" t="n">
        <v>2018</v>
      </c>
      <c r="D231" s="451" t="n">
        <v>43217</v>
      </c>
      <c r="E231" s="452" t="s">
        <v>10698</v>
      </c>
      <c r="F231" s="452" t="s">
        <v>477</v>
      </c>
      <c r="G231" s="378" t="s">
        <v>441</v>
      </c>
      <c r="H231" s="378" t="s">
        <v>208</v>
      </c>
      <c r="I231" s="451" t="n">
        <v>44222</v>
      </c>
      <c r="J231" s="452" t="n">
        <v>1</v>
      </c>
      <c r="K231" s="548" t="s">
        <v>47</v>
      </c>
      <c r="L231" s="452" t="s">
        <v>10018</v>
      </c>
      <c r="M231" s="546" t="n">
        <f aca="false">I231-D231</f>
        <v>1005</v>
      </c>
    </row>
    <row r="232" customFormat="false" ht="12.75" hidden="true" customHeight="true" outlineLevel="0" collapsed="false">
      <c r="A232" s="456" t="n">
        <v>4021</v>
      </c>
      <c r="B232" s="458" t="s">
        <v>10699</v>
      </c>
      <c r="C232" s="458" t="n">
        <v>2019</v>
      </c>
      <c r="D232" s="459" t="n">
        <v>43551</v>
      </c>
      <c r="E232" s="380" t="s">
        <v>10700</v>
      </c>
      <c r="F232" s="460" t="s">
        <v>4270</v>
      </c>
      <c r="G232" s="460" t="s">
        <v>144</v>
      </c>
      <c r="H232" s="380" t="s">
        <v>119</v>
      </c>
      <c r="I232" s="459" t="n">
        <v>44222</v>
      </c>
      <c r="J232" s="460" t="n">
        <v>1</v>
      </c>
      <c r="K232" s="550" t="s">
        <v>42</v>
      </c>
      <c r="L232" s="460" t="s">
        <v>10018</v>
      </c>
      <c r="M232" s="545" t="n">
        <f aca="false">I232-D232</f>
        <v>671</v>
      </c>
    </row>
    <row r="233" customFormat="false" ht="12.75" hidden="true" customHeight="true" outlineLevel="0" collapsed="false">
      <c r="A233" s="449" t="n">
        <v>4121</v>
      </c>
      <c r="B233" s="450" t="s">
        <v>10701</v>
      </c>
      <c r="C233" s="450" t="n">
        <v>2018</v>
      </c>
      <c r="D233" s="451" t="n">
        <v>43250</v>
      </c>
      <c r="E233" s="452" t="s">
        <v>10702</v>
      </c>
      <c r="F233" s="452" t="s">
        <v>477</v>
      </c>
      <c r="G233" s="378" t="s">
        <v>441</v>
      </c>
      <c r="H233" s="378" t="s">
        <v>208</v>
      </c>
      <c r="I233" s="451" t="n">
        <v>44222</v>
      </c>
      <c r="J233" s="452" t="n">
        <v>1</v>
      </c>
      <c r="K233" s="548" t="s">
        <v>47</v>
      </c>
      <c r="L233" s="452" t="s">
        <v>10018</v>
      </c>
      <c r="M233" s="546" t="n">
        <f aca="false">I233-D233</f>
        <v>972</v>
      </c>
    </row>
    <row r="234" customFormat="false" ht="12.75" hidden="true" customHeight="true" outlineLevel="0" collapsed="false">
      <c r="A234" s="456" t="n">
        <v>4221</v>
      </c>
      <c r="B234" s="458" t="s">
        <v>10703</v>
      </c>
      <c r="C234" s="458" t="n">
        <v>2018</v>
      </c>
      <c r="D234" s="459" t="n">
        <v>43250</v>
      </c>
      <c r="E234" s="380" t="s">
        <v>10704</v>
      </c>
      <c r="F234" s="460" t="s">
        <v>10705</v>
      </c>
      <c r="G234" s="460" t="s">
        <v>441</v>
      </c>
      <c r="H234" s="380" t="s">
        <v>208</v>
      </c>
      <c r="I234" s="459" t="n">
        <v>44222</v>
      </c>
      <c r="J234" s="460" t="n">
        <v>1</v>
      </c>
      <c r="K234" s="550" t="s">
        <v>42</v>
      </c>
      <c r="L234" s="460" t="s">
        <v>10013</v>
      </c>
      <c r="M234" s="545" t="n">
        <f aca="false">I234-D234</f>
        <v>972</v>
      </c>
    </row>
    <row r="235" customFormat="false" ht="12.75" hidden="true" customHeight="true" outlineLevel="0" collapsed="false">
      <c r="A235" s="449" t="n">
        <v>4321</v>
      </c>
      <c r="B235" s="450" t="s">
        <v>10706</v>
      </c>
      <c r="C235" s="450" t="n">
        <v>2018</v>
      </c>
      <c r="D235" s="451" t="n">
        <v>43371</v>
      </c>
      <c r="E235" s="452" t="s">
        <v>10707</v>
      </c>
      <c r="F235" s="452" t="s">
        <v>1916</v>
      </c>
      <c r="G235" s="378" t="s">
        <v>441</v>
      </c>
      <c r="H235" s="378" t="s">
        <v>1740</v>
      </c>
      <c r="I235" s="451" t="n">
        <v>44222</v>
      </c>
      <c r="J235" s="452" t="n">
        <v>1</v>
      </c>
      <c r="K235" s="548" t="s">
        <v>48</v>
      </c>
      <c r="L235" s="452" t="s">
        <v>10018</v>
      </c>
      <c r="M235" s="546" t="n">
        <f aca="false">I235-D235</f>
        <v>851</v>
      </c>
    </row>
    <row r="236" customFormat="false" ht="12.75" hidden="true" customHeight="true" outlineLevel="0" collapsed="false">
      <c r="A236" s="456" t="n">
        <v>4421</v>
      </c>
      <c r="B236" s="458" t="s">
        <v>10708</v>
      </c>
      <c r="C236" s="458" t="n">
        <v>2018</v>
      </c>
      <c r="D236" s="459" t="n">
        <v>43402</v>
      </c>
      <c r="E236" s="380" t="s">
        <v>10709</v>
      </c>
      <c r="F236" s="460" t="s">
        <v>138</v>
      </c>
      <c r="G236" s="460" t="s">
        <v>441</v>
      </c>
      <c r="H236" s="380" t="s">
        <v>538</v>
      </c>
      <c r="I236" s="459" t="n">
        <v>44222</v>
      </c>
      <c r="J236" s="460" t="n">
        <v>1</v>
      </c>
      <c r="K236" s="548" t="s">
        <v>49</v>
      </c>
      <c r="L236" s="460" t="s">
        <v>10013</v>
      </c>
      <c r="M236" s="545" t="n">
        <f aca="false">I236-D236</f>
        <v>820</v>
      </c>
    </row>
    <row r="237" customFormat="false" ht="12.75" hidden="true" customHeight="true" outlineLevel="0" collapsed="false">
      <c r="A237" s="449" t="n">
        <v>4521</v>
      </c>
      <c r="B237" s="450" t="s">
        <v>10710</v>
      </c>
      <c r="C237" s="450" t="n">
        <v>2018</v>
      </c>
      <c r="D237" s="451" t="n">
        <v>43437</v>
      </c>
      <c r="E237" s="452" t="s">
        <v>10711</v>
      </c>
      <c r="F237" s="452" t="s">
        <v>10712</v>
      </c>
      <c r="G237" s="378" t="s">
        <v>144</v>
      </c>
      <c r="H237" s="378" t="s">
        <v>254</v>
      </c>
      <c r="I237" s="451" t="n">
        <v>44222</v>
      </c>
      <c r="J237" s="452" t="n">
        <v>1</v>
      </c>
      <c r="K237" s="549" t="s">
        <v>46</v>
      </c>
      <c r="L237" s="452" t="s">
        <v>10018</v>
      </c>
      <c r="M237" s="546" t="n">
        <f aca="false">I237-D237</f>
        <v>785</v>
      </c>
    </row>
    <row r="238" customFormat="false" ht="12.75" hidden="true" customHeight="true" outlineLevel="0" collapsed="false">
      <c r="A238" s="456" t="n">
        <v>4621</v>
      </c>
      <c r="B238" s="458" t="s">
        <v>10713</v>
      </c>
      <c r="C238" s="458" t="n">
        <v>2020</v>
      </c>
      <c r="D238" s="459" t="n">
        <v>44055</v>
      </c>
      <c r="E238" s="380" t="s">
        <v>10714</v>
      </c>
      <c r="F238" s="460" t="s">
        <v>10715</v>
      </c>
      <c r="G238" s="460" t="s">
        <v>125</v>
      </c>
      <c r="H238" s="380" t="s">
        <v>7263</v>
      </c>
      <c r="I238" s="459" t="n">
        <v>44222</v>
      </c>
      <c r="J238" s="460" t="n">
        <v>1</v>
      </c>
      <c r="K238" s="548" t="s">
        <v>49</v>
      </c>
      <c r="L238" s="460" t="s">
        <v>61</v>
      </c>
      <c r="M238" s="545" t="n">
        <f aca="false">I238-D238</f>
        <v>167</v>
      </c>
    </row>
    <row r="239" customFormat="false" ht="12.75" hidden="true" customHeight="true" outlineLevel="0" collapsed="false">
      <c r="A239" s="449" t="n">
        <v>4721</v>
      </c>
      <c r="B239" s="450" t="s">
        <v>10716</v>
      </c>
      <c r="C239" s="450" t="n">
        <v>2020</v>
      </c>
      <c r="D239" s="451" t="n">
        <v>44060</v>
      </c>
      <c r="E239" s="452" t="s">
        <v>10717</v>
      </c>
      <c r="F239" s="452" t="s">
        <v>10715</v>
      </c>
      <c r="G239" s="378" t="s">
        <v>125</v>
      </c>
      <c r="H239" s="378" t="s">
        <v>7263</v>
      </c>
      <c r="I239" s="451" t="n">
        <v>44222</v>
      </c>
      <c r="J239" s="452" t="n">
        <v>1</v>
      </c>
      <c r="K239" s="548" t="s">
        <v>49</v>
      </c>
      <c r="L239" s="452" t="s">
        <v>61</v>
      </c>
      <c r="M239" s="546" t="n">
        <f aca="false">I239-D239</f>
        <v>162</v>
      </c>
    </row>
    <row r="240" customFormat="false" ht="12.75" hidden="true" customHeight="true" outlineLevel="0" collapsed="false">
      <c r="A240" s="456" t="n">
        <v>4821</v>
      </c>
      <c r="B240" s="458" t="s">
        <v>10718</v>
      </c>
      <c r="C240" s="458" t="n">
        <v>2018</v>
      </c>
      <c r="D240" s="459" t="n">
        <v>43455</v>
      </c>
      <c r="E240" s="380" t="s">
        <v>10719</v>
      </c>
      <c r="F240" s="460" t="s">
        <v>566</v>
      </c>
      <c r="G240" s="460" t="s">
        <v>144</v>
      </c>
      <c r="H240" s="380" t="s">
        <v>453</v>
      </c>
      <c r="I240" s="459" t="n">
        <v>44222</v>
      </c>
      <c r="J240" s="460" t="n">
        <v>1</v>
      </c>
      <c r="K240" s="550" t="s">
        <v>42</v>
      </c>
      <c r="L240" s="460" t="s">
        <v>10013</v>
      </c>
      <c r="M240" s="545" t="n">
        <f aca="false">I240-D240</f>
        <v>767</v>
      </c>
    </row>
    <row r="241" customFormat="false" ht="12.75" hidden="true" customHeight="true" outlineLevel="0" collapsed="false">
      <c r="A241" s="449" t="n">
        <v>4921</v>
      </c>
      <c r="B241" s="450" t="s">
        <v>10720</v>
      </c>
      <c r="C241" s="450" t="n">
        <v>2020</v>
      </c>
      <c r="D241" s="451" t="n">
        <v>44099</v>
      </c>
      <c r="E241" s="452" t="s">
        <v>10721</v>
      </c>
      <c r="F241" s="452" t="s">
        <v>7867</v>
      </c>
      <c r="G241" s="378" t="s">
        <v>130</v>
      </c>
      <c r="H241" s="378" t="s">
        <v>9130</v>
      </c>
      <c r="I241" s="451" t="n">
        <v>44222</v>
      </c>
      <c r="J241" s="452" t="n">
        <v>1</v>
      </c>
      <c r="K241" s="547" t="s">
        <v>51</v>
      </c>
      <c r="L241" s="452" t="s">
        <v>61</v>
      </c>
      <c r="M241" s="546" t="n">
        <f aca="false">I241-D241</f>
        <v>123</v>
      </c>
    </row>
    <row r="242" customFormat="false" ht="12.75" hidden="true" customHeight="true" outlineLevel="0" collapsed="false">
      <c r="A242" s="456" t="n">
        <v>5021</v>
      </c>
      <c r="B242" s="458" t="s">
        <v>10722</v>
      </c>
      <c r="C242" s="458" t="n">
        <v>2008</v>
      </c>
      <c r="D242" s="459" t="n">
        <v>39798</v>
      </c>
      <c r="E242" s="380" t="s">
        <v>10723</v>
      </c>
      <c r="F242" s="460" t="s">
        <v>10724</v>
      </c>
      <c r="G242" s="460" t="s">
        <v>144</v>
      </c>
      <c r="H242" s="380" t="s">
        <v>119</v>
      </c>
      <c r="I242" s="459" t="n">
        <v>44230</v>
      </c>
      <c r="J242" s="460" t="n">
        <v>2</v>
      </c>
      <c r="K242" s="548" t="s">
        <v>49</v>
      </c>
      <c r="L242" s="460" t="s">
        <v>10018</v>
      </c>
      <c r="M242" s="545" t="n">
        <f aca="false">I242-D242</f>
        <v>4432</v>
      </c>
    </row>
    <row r="243" customFormat="false" ht="12.75" hidden="true" customHeight="true" outlineLevel="0" collapsed="false">
      <c r="A243" s="449" t="n">
        <v>5121</v>
      </c>
      <c r="B243" s="450" t="s">
        <v>10725</v>
      </c>
      <c r="C243" s="450" t="n">
        <v>2012</v>
      </c>
      <c r="D243" s="451" t="n">
        <v>40987</v>
      </c>
      <c r="E243" s="452" t="s">
        <v>10726</v>
      </c>
      <c r="F243" s="452" t="s">
        <v>10727</v>
      </c>
      <c r="G243" s="378" t="s">
        <v>144</v>
      </c>
      <c r="H243" s="378" t="s">
        <v>254</v>
      </c>
      <c r="I243" s="451" t="n">
        <v>44235</v>
      </c>
      <c r="J243" s="452" t="n">
        <v>2</v>
      </c>
      <c r="K243" s="548" t="s">
        <v>48</v>
      </c>
      <c r="L243" s="452" t="s">
        <v>10018</v>
      </c>
      <c r="M243" s="546" t="n">
        <f aca="false">I243-D243</f>
        <v>3248</v>
      </c>
    </row>
    <row r="244" customFormat="false" ht="12.75" hidden="true" customHeight="true" outlineLevel="0" collapsed="false">
      <c r="A244" s="456" t="n">
        <v>5221</v>
      </c>
      <c r="B244" s="458" t="s">
        <v>10728</v>
      </c>
      <c r="C244" s="458" t="n">
        <v>2015</v>
      </c>
      <c r="D244" s="459" t="n">
        <v>42143</v>
      </c>
      <c r="E244" s="380" t="s">
        <v>10729</v>
      </c>
      <c r="F244" s="460" t="s">
        <v>9403</v>
      </c>
      <c r="G244" s="460" t="s">
        <v>441</v>
      </c>
      <c r="H244" s="380" t="s">
        <v>1231</v>
      </c>
      <c r="I244" s="459" t="n">
        <v>44235</v>
      </c>
      <c r="J244" s="460" t="n">
        <v>2</v>
      </c>
      <c r="K244" s="549" t="s">
        <v>46</v>
      </c>
      <c r="L244" s="460" t="s">
        <v>10018</v>
      </c>
      <c r="M244" s="545" t="n">
        <f aca="false">I244-D244</f>
        <v>2092</v>
      </c>
    </row>
    <row r="245" customFormat="false" ht="12.75" hidden="true" customHeight="true" outlineLevel="0" collapsed="false">
      <c r="A245" s="449" t="n">
        <v>5321</v>
      </c>
      <c r="B245" s="450" t="s">
        <v>10730</v>
      </c>
      <c r="C245" s="450" t="n">
        <v>2013</v>
      </c>
      <c r="D245" s="451" t="n">
        <v>41453</v>
      </c>
      <c r="E245" s="452" t="s">
        <v>10731</v>
      </c>
      <c r="F245" s="452" t="s">
        <v>207</v>
      </c>
      <c r="G245" s="378" t="s">
        <v>441</v>
      </c>
      <c r="H245" s="378" t="s">
        <v>706</v>
      </c>
      <c r="I245" s="451" t="n">
        <v>44235</v>
      </c>
      <c r="J245" s="452" t="n">
        <v>2</v>
      </c>
      <c r="K245" s="548" t="s">
        <v>49</v>
      </c>
      <c r="L245" s="452" t="s">
        <v>10018</v>
      </c>
      <c r="M245" s="546" t="n">
        <f aca="false">I245-D245</f>
        <v>2782</v>
      </c>
    </row>
    <row r="246" customFormat="false" ht="12.75" hidden="true" customHeight="true" outlineLevel="0" collapsed="false">
      <c r="A246" s="456" t="n">
        <v>5421</v>
      </c>
      <c r="B246" s="458" t="s">
        <v>10732</v>
      </c>
      <c r="C246" s="458" t="n">
        <v>2018</v>
      </c>
      <c r="D246" s="459" t="n">
        <v>43154</v>
      </c>
      <c r="E246" s="380" t="s">
        <v>10733</v>
      </c>
      <c r="F246" s="460" t="s">
        <v>10734</v>
      </c>
      <c r="G246" s="460" t="s">
        <v>441</v>
      </c>
      <c r="H246" s="380" t="s">
        <v>10735</v>
      </c>
      <c r="I246" s="459" t="n">
        <v>44246</v>
      </c>
      <c r="J246" s="460" t="n">
        <v>2</v>
      </c>
      <c r="K246" s="548" t="s">
        <v>49</v>
      </c>
      <c r="L246" s="460" t="s">
        <v>10018</v>
      </c>
      <c r="M246" s="545" t="n">
        <f aca="false">I246-D246</f>
        <v>1092</v>
      </c>
    </row>
    <row r="247" customFormat="false" ht="12.75" hidden="true" customHeight="true" outlineLevel="0" collapsed="false">
      <c r="A247" s="449" t="n">
        <v>5521</v>
      </c>
      <c r="B247" s="450" t="s">
        <v>10736</v>
      </c>
      <c r="C247" s="450" t="n">
        <v>2013</v>
      </c>
      <c r="D247" s="451" t="n">
        <v>41543</v>
      </c>
      <c r="E247" s="452" t="s">
        <v>10737</v>
      </c>
      <c r="F247" s="452" t="s">
        <v>780</v>
      </c>
      <c r="G247" s="378" t="s">
        <v>441</v>
      </c>
      <c r="H247" s="378" t="s">
        <v>5504</v>
      </c>
      <c r="I247" s="451" t="n">
        <v>44246</v>
      </c>
      <c r="J247" s="452" t="n">
        <v>2</v>
      </c>
      <c r="K247" s="548" t="s">
        <v>48</v>
      </c>
      <c r="L247" s="452" t="s">
        <v>10013</v>
      </c>
      <c r="M247" s="546" t="n">
        <f aca="false">I247-D247</f>
        <v>2703</v>
      </c>
    </row>
    <row r="248" customFormat="false" ht="12.75" hidden="true" customHeight="true" outlineLevel="0" collapsed="false">
      <c r="A248" s="456" t="n">
        <v>5621</v>
      </c>
      <c r="B248" s="458" t="s">
        <v>10738</v>
      </c>
      <c r="C248" s="458" t="n">
        <v>2016</v>
      </c>
      <c r="D248" s="459" t="n">
        <v>42489</v>
      </c>
      <c r="E248" s="380" t="s">
        <v>10739</v>
      </c>
      <c r="F248" s="460" t="s">
        <v>242</v>
      </c>
      <c r="G248" s="460" t="s">
        <v>144</v>
      </c>
      <c r="H248" s="380" t="s">
        <v>134</v>
      </c>
      <c r="I248" s="459" t="n">
        <v>44246</v>
      </c>
      <c r="J248" s="460" t="n">
        <v>2</v>
      </c>
      <c r="K248" s="548" t="s">
        <v>48</v>
      </c>
      <c r="L248" s="460" t="s">
        <v>10018</v>
      </c>
      <c r="M248" s="545" t="n">
        <f aca="false">I248-D248</f>
        <v>1757</v>
      </c>
    </row>
    <row r="249" customFormat="false" ht="12.75" hidden="true" customHeight="true" outlineLevel="0" collapsed="false">
      <c r="A249" s="449" t="n">
        <v>5721</v>
      </c>
      <c r="B249" s="450" t="s">
        <v>10740</v>
      </c>
      <c r="C249" s="450" t="n">
        <v>2016</v>
      </c>
      <c r="D249" s="451" t="n">
        <v>42489</v>
      </c>
      <c r="E249" s="452" t="s">
        <v>10741</v>
      </c>
      <c r="F249" s="452" t="s">
        <v>242</v>
      </c>
      <c r="G249" s="378" t="s">
        <v>144</v>
      </c>
      <c r="H249" s="378" t="s">
        <v>134</v>
      </c>
      <c r="I249" s="451" t="n">
        <v>44246</v>
      </c>
      <c r="J249" s="452" t="n">
        <v>2</v>
      </c>
      <c r="K249" s="548" t="s">
        <v>48</v>
      </c>
      <c r="L249" s="452" t="s">
        <v>10018</v>
      </c>
      <c r="M249" s="546" t="n">
        <f aca="false">I249-D249</f>
        <v>1757</v>
      </c>
    </row>
    <row r="250" customFormat="false" ht="12.75" hidden="true" customHeight="true" outlineLevel="0" collapsed="false">
      <c r="A250" s="456" t="n">
        <v>5821</v>
      </c>
      <c r="B250" s="458" t="s">
        <v>10742</v>
      </c>
      <c r="C250" s="458" t="n">
        <v>2016</v>
      </c>
      <c r="D250" s="459" t="n">
        <v>42522</v>
      </c>
      <c r="E250" s="380" t="s">
        <v>10743</v>
      </c>
      <c r="F250" s="460" t="s">
        <v>1200</v>
      </c>
      <c r="G250" s="460" t="s">
        <v>441</v>
      </c>
      <c r="H250" s="380" t="s">
        <v>192</v>
      </c>
      <c r="I250" s="459" t="n">
        <v>44246</v>
      </c>
      <c r="J250" s="460" t="n">
        <v>2</v>
      </c>
      <c r="K250" s="548" t="s">
        <v>48</v>
      </c>
      <c r="L250" s="460" t="s">
        <v>10018</v>
      </c>
      <c r="M250" s="545" t="n">
        <f aca="false">I250-D250</f>
        <v>1724</v>
      </c>
    </row>
    <row r="251" customFormat="false" ht="12.75" hidden="true" customHeight="true" outlineLevel="0" collapsed="false">
      <c r="A251" s="449" t="n">
        <v>5921</v>
      </c>
      <c r="B251" s="450" t="s">
        <v>10744</v>
      </c>
      <c r="C251" s="450" t="n">
        <v>2016</v>
      </c>
      <c r="D251" s="451" t="n">
        <v>42580</v>
      </c>
      <c r="E251" s="452" t="s">
        <v>10745</v>
      </c>
      <c r="F251" s="452" t="s">
        <v>10746</v>
      </c>
      <c r="G251" s="378" t="s">
        <v>441</v>
      </c>
      <c r="H251" s="378" t="s">
        <v>460</v>
      </c>
      <c r="I251" s="451" t="n">
        <v>44246</v>
      </c>
      <c r="J251" s="452" t="n">
        <v>2</v>
      </c>
      <c r="K251" s="548" t="s">
        <v>49</v>
      </c>
      <c r="L251" s="452" t="s">
        <v>10013</v>
      </c>
      <c r="M251" s="546" t="n">
        <f aca="false">I251-D251</f>
        <v>1666</v>
      </c>
    </row>
    <row r="252" customFormat="false" ht="12.75" hidden="true" customHeight="true" outlineLevel="0" collapsed="false">
      <c r="A252" s="456" t="n">
        <v>6021</v>
      </c>
      <c r="B252" s="458" t="s">
        <v>10747</v>
      </c>
      <c r="C252" s="458" t="n">
        <v>2020</v>
      </c>
      <c r="D252" s="459" t="n">
        <v>44120</v>
      </c>
      <c r="E252" s="380" t="s">
        <v>10748</v>
      </c>
      <c r="F252" s="460" t="s">
        <v>10749</v>
      </c>
      <c r="G252" s="460" t="s">
        <v>125</v>
      </c>
      <c r="H252" s="380" t="s">
        <v>10750</v>
      </c>
      <c r="I252" s="459" t="n">
        <v>44246</v>
      </c>
      <c r="J252" s="460" t="n">
        <v>2</v>
      </c>
      <c r="K252" s="547" t="s">
        <v>51</v>
      </c>
      <c r="L252" s="460" t="s">
        <v>61</v>
      </c>
      <c r="M252" s="545" t="n">
        <f aca="false">I252-D252</f>
        <v>126</v>
      </c>
    </row>
    <row r="253" customFormat="false" ht="12.75" hidden="true" customHeight="true" outlineLevel="0" collapsed="false">
      <c r="A253" s="449" t="n">
        <v>6121</v>
      </c>
      <c r="B253" s="450" t="s">
        <v>10751</v>
      </c>
      <c r="C253" s="450" t="n">
        <v>2014</v>
      </c>
      <c r="D253" s="451" t="n">
        <v>41718</v>
      </c>
      <c r="E253" s="452" t="s">
        <v>10752</v>
      </c>
      <c r="F253" s="452" t="s">
        <v>823</v>
      </c>
      <c r="G253" s="378" t="s">
        <v>441</v>
      </c>
      <c r="H253" s="378" t="s">
        <v>184</v>
      </c>
      <c r="I253" s="451" t="n">
        <v>44246</v>
      </c>
      <c r="J253" s="452" t="n">
        <v>2</v>
      </c>
      <c r="K253" s="548" t="s">
        <v>49</v>
      </c>
      <c r="L253" s="452" t="s">
        <v>10013</v>
      </c>
      <c r="M253" s="546" t="n">
        <f aca="false">I253-D253</f>
        <v>2528</v>
      </c>
    </row>
    <row r="254" customFormat="false" ht="12.75" hidden="true" customHeight="true" outlineLevel="0" collapsed="false">
      <c r="A254" s="456" t="n">
        <v>6221</v>
      </c>
      <c r="B254" s="458" t="s">
        <v>10753</v>
      </c>
      <c r="C254" s="458" t="n">
        <v>2018</v>
      </c>
      <c r="D254" s="459" t="n">
        <v>43152</v>
      </c>
      <c r="E254" s="380" t="s">
        <v>10754</v>
      </c>
      <c r="F254" s="460" t="s">
        <v>7339</v>
      </c>
      <c r="G254" s="460" t="s">
        <v>144</v>
      </c>
      <c r="H254" s="380" t="s">
        <v>119</v>
      </c>
      <c r="I254" s="459" t="n">
        <v>44246</v>
      </c>
      <c r="J254" s="460" t="n">
        <v>2</v>
      </c>
      <c r="K254" s="548" t="s">
        <v>48</v>
      </c>
      <c r="L254" s="460" t="s">
        <v>10018</v>
      </c>
      <c r="M254" s="545" t="n">
        <f aca="false">I254-D254</f>
        <v>1094</v>
      </c>
    </row>
    <row r="255" customFormat="false" ht="12.75" hidden="true" customHeight="true" outlineLevel="0" collapsed="false">
      <c r="A255" s="449" t="n">
        <v>6321</v>
      </c>
      <c r="B255" s="450" t="s">
        <v>10755</v>
      </c>
      <c r="C255" s="450" t="n">
        <v>2018</v>
      </c>
      <c r="D255" s="451" t="n">
        <v>43376</v>
      </c>
      <c r="E255" s="452" t="s">
        <v>10756</v>
      </c>
      <c r="F255" s="452" t="s">
        <v>576</v>
      </c>
      <c r="G255" s="378" t="s">
        <v>144</v>
      </c>
      <c r="H255" s="378" t="s">
        <v>267</v>
      </c>
      <c r="I255" s="451" t="n">
        <v>44246</v>
      </c>
      <c r="J255" s="452" t="n">
        <v>2</v>
      </c>
      <c r="K255" s="550" t="s">
        <v>42</v>
      </c>
      <c r="L255" s="452" t="s">
        <v>10018</v>
      </c>
      <c r="M255" s="546" t="n">
        <f aca="false">I255-D255</f>
        <v>870</v>
      </c>
    </row>
    <row r="256" customFormat="false" ht="12.75" hidden="true" customHeight="true" outlineLevel="0" collapsed="false">
      <c r="A256" s="456" t="n">
        <v>6421</v>
      </c>
      <c r="B256" s="458" t="s">
        <v>10757</v>
      </c>
      <c r="C256" s="458" t="n">
        <v>2018</v>
      </c>
      <c r="D256" s="459" t="n">
        <v>43103</v>
      </c>
      <c r="E256" s="380" t="s">
        <v>10758</v>
      </c>
      <c r="F256" s="460" t="s">
        <v>908</v>
      </c>
      <c r="G256" s="460" t="s">
        <v>441</v>
      </c>
      <c r="H256" s="380" t="s">
        <v>471</v>
      </c>
      <c r="I256" s="459" t="n">
        <v>44246</v>
      </c>
      <c r="J256" s="460" t="n">
        <v>2</v>
      </c>
      <c r="K256" s="548" t="s">
        <v>48</v>
      </c>
      <c r="L256" s="460" t="s">
        <v>10018</v>
      </c>
      <c r="M256" s="545" t="n">
        <f aca="false">I256-D256</f>
        <v>1143</v>
      </c>
    </row>
    <row r="257" customFormat="false" ht="12.75" hidden="true" customHeight="true" outlineLevel="0" collapsed="false">
      <c r="A257" s="449" t="n">
        <v>6521</v>
      </c>
      <c r="B257" s="450" t="s">
        <v>10759</v>
      </c>
      <c r="C257" s="450" t="n">
        <v>2017</v>
      </c>
      <c r="D257" s="451" t="n">
        <v>42919</v>
      </c>
      <c r="E257" s="452" t="s">
        <v>10760</v>
      </c>
      <c r="F257" s="452" t="s">
        <v>10761</v>
      </c>
      <c r="G257" s="378" t="s">
        <v>441</v>
      </c>
      <c r="H257" s="378" t="s">
        <v>10762</v>
      </c>
      <c r="I257" s="451" t="n">
        <v>44246</v>
      </c>
      <c r="J257" s="452" t="n">
        <v>2</v>
      </c>
      <c r="K257" s="548" t="s">
        <v>49</v>
      </c>
      <c r="L257" s="452" t="s">
        <v>10018</v>
      </c>
      <c r="M257" s="546" t="n">
        <f aca="false">I257-D257</f>
        <v>1327</v>
      </c>
    </row>
    <row r="258" customFormat="false" ht="12.75" hidden="true" customHeight="true" outlineLevel="0" collapsed="false">
      <c r="A258" s="456" t="n">
        <v>6621</v>
      </c>
      <c r="B258" s="458" t="s">
        <v>10763</v>
      </c>
      <c r="C258" s="458" t="n">
        <v>2020</v>
      </c>
      <c r="D258" s="459" t="n">
        <v>44124</v>
      </c>
      <c r="E258" s="380" t="s">
        <v>10764</v>
      </c>
      <c r="F258" s="460" t="s">
        <v>10765</v>
      </c>
      <c r="G258" s="460" t="s">
        <v>130</v>
      </c>
      <c r="H258" s="380" t="s">
        <v>9581</v>
      </c>
      <c r="I258" s="459" t="n">
        <v>44246</v>
      </c>
      <c r="J258" s="460" t="n">
        <v>2</v>
      </c>
      <c r="K258" s="547" t="s">
        <v>51</v>
      </c>
      <c r="L258" s="460" t="s">
        <v>61</v>
      </c>
      <c r="M258" s="545" t="n">
        <f aca="false">I258-D258</f>
        <v>122</v>
      </c>
    </row>
    <row r="259" customFormat="false" ht="12.75" hidden="true" customHeight="true" outlineLevel="0" collapsed="false">
      <c r="A259" s="449" t="n">
        <v>6721</v>
      </c>
      <c r="B259" s="450" t="s">
        <v>10766</v>
      </c>
      <c r="C259" s="450" t="n">
        <v>2020</v>
      </c>
      <c r="D259" s="451" t="n">
        <v>44162</v>
      </c>
      <c r="E259" s="452" t="s">
        <v>10767</v>
      </c>
      <c r="F259" s="452" t="s">
        <v>10768</v>
      </c>
      <c r="G259" s="378" t="s">
        <v>130</v>
      </c>
      <c r="H259" s="378" t="s">
        <v>9693</v>
      </c>
      <c r="I259" s="451" t="n">
        <v>44246</v>
      </c>
      <c r="J259" s="452" t="n">
        <v>2</v>
      </c>
      <c r="K259" s="548" t="s">
        <v>49</v>
      </c>
      <c r="L259" s="452" t="s">
        <v>61</v>
      </c>
      <c r="M259" s="546" t="n">
        <f aca="false">I259-D259</f>
        <v>84</v>
      </c>
    </row>
    <row r="260" customFormat="false" ht="12.75" hidden="true" customHeight="true" outlineLevel="0" collapsed="false">
      <c r="A260" s="456" t="n">
        <v>6821</v>
      </c>
      <c r="B260" s="458" t="s">
        <v>10769</v>
      </c>
      <c r="C260" s="458" t="n">
        <v>2013</v>
      </c>
      <c r="D260" s="459" t="n">
        <v>41320</v>
      </c>
      <c r="E260" s="380" t="s">
        <v>10770</v>
      </c>
      <c r="F260" s="460" t="s">
        <v>10771</v>
      </c>
      <c r="G260" s="460" t="s">
        <v>441</v>
      </c>
      <c r="H260" s="380" t="s">
        <v>706</v>
      </c>
      <c r="I260" s="459" t="n">
        <v>44267</v>
      </c>
      <c r="J260" s="460" t="n">
        <v>3</v>
      </c>
      <c r="K260" s="549" t="s">
        <v>46</v>
      </c>
      <c r="L260" s="460" t="s">
        <v>10018</v>
      </c>
      <c r="M260" s="545" t="n">
        <f aca="false">I260-D260</f>
        <v>2947</v>
      </c>
    </row>
    <row r="261" customFormat="false" ht="12.75" hidden="true" customHeight="true" outlineLevel="0" collapsed="false">
      <c r="A261" s="449" t="n">
        <v>6921</v>
      </c>
      <c r="B261" s="450" t="s">
        <v>10772</v>
      </c>
      <c r="C261" s="450" t="n">
        <v>2016</v>
      </c>
      <c r="D261" s="451" t="n">
        <v>42424</v>
      </c>
      <c r="E261" s="452" t="s">
        <v>10773</v>
      </c>
      <c r="F261" s="452" t="s">
        <v>537</v>
      </c>
      <c r="G261" s="378" t="s">
        <v>441</v>
      </c>
      <c r="H261" s="378" t="s">
        <v>208</v>
      </c>
      <c r="I261" s="451" t="n">
        <v>44267</v>
      </c>
      <c r="J261" s="452" t="n">
        <v>3</v>
      </c>
      <c r="K261" s="548" t="s">
        <v>49</v>
      </c>
      <c r="L261" s="452" t="s">
        <v>10018</v>
      </c>
      <c r="M261" s="546" t="n">
        <f aca="false">I261-D261</f>
        <v>1843</v>
      </c>
    </row>
    <row r="262" customFormat="false" ht="12.75" hidden="true" customHeight="true" outlineLevel="0" collapsed="false">
      <c r="A262" s="456" t="n">
        <v>7021</v>
      </c>
      <c r="B262" s="458" t="s">
        <v>10774</v>
      </c>
      <c r="C262" s="458" t="n">
        <v>2012</v>
      </c>
      <c r="D262" s="459" t="n">
        <v>41255</v>
      </c>
      <c r="E262" s="380" t="s">
        <v>10775</v>
      </c>
      <c r="F262" s="460" t="s">
        <v>8456</v>
      </c>
      <c r="G262" s="460" t="s">
        <v>441</v>
      </c>
      <c r="H262" s="380" t="s">
        <v>354</v>
      </c>
      <c r="I262" s="459" t="n">
        <v>44267</v>
      </c>
      <c r="J262" s="460" t="n">
        <v>3</v>
      </c>
      <c r="K262" s="548" t="s">
        <v>49</v>
      </c>
      <c r="L262" s="460" t="s">
        <v>10013</v>
      </c>
      <c r="M262" s="545" t="n">
        <f aca="false">I262-D262</f>
        <v>3012</v>
      </c>
    </row>
    <row r="263" customFormat="false" ht="12.75" hidden="true" customHeight="true" outlineLevel="0" collapsed="false">
      <c r="A263" s="449" t="n">
        <v>7121</v>
      </c>
      <c r="B263" s="450" t="s">
        <v>10776</v>
      </c>
      <c r="C263" s="450" t="n">
        <v>2013</v>
      </c>
      <c r="D263" s="451" t="n">
        <v>41631</v>
      </c>
      <c r="E263" s="452" t="s">
        <v>10777</v>
      </c>
      <c r="F263" s="452" t="s">
        <v>705</v>
      </c>
      <c r="G263" s="378" t="s">
        <v>441</v>
      </c>
      <c r="H263" s="378" t="s">
        <v>706</v>
      </c>
      <c r="I263" s="451" t="n">
        <v>44267</v>
      </c>
      <c r="J263" s="452" t="n">
        <v>3</v>
      </c>
      <c r="K263" s="548" t="s">
        <v>48</v>
      </c>
      <c r="L263" s="452" t="s">
        <v>10018</v>
      </c>
      <c r="M263" s="546" t="n">
        <f aca="false">I263-D263</f>
        <v>2636</v>
      </c>
    </row>
    <row r="264" customFormat="false" ht="12.75" hidden="true" customHeight="true" outlineLevel="0" collapsed="false">
      <c r="A264" s="456" t="n">
        <v>7221</v>
      </c>
      <c r="B264" s="458" t="s">
        <v>10778</v>
      </c>
      <c r="C264" s="458" t="n">
        <v>2020</v>
      </c>
      <c r="D264" s="459" t="n">
        <v>43928</v>
      </c>
      <c r="E264" s="380" t="s">
        <v>10779</v>
      </c>
      <c r="F264" s="460" t="s">
        <v>10780</v>
      </c>
      <c r="G264" s="460" t="s">
        <v>125</v>
      </c>
      <c r="H264" s="380" t="s">
        <v>254</v>
      </c>
      <c r="I264" s="459" t="n">
        <v>44267</v>
      </c>
      <c r="J264" s="460" t="n">
        <v>3</v>
      </c>
      <c r="K264" s="547" t="s">
        <v>51</v>
      </c>
      <c r="L264" s="460" t="s">
        <v>61</v>
      </c>
      <c r="M264" s="545" t="n">
        <f aca="false">I264-D264</f>
        <v>339</v>
      </c>
    </row>
    <row r="265" customFormat="false" ht="12.75" hidden="true" customHeight="true" outlineLevel="0" collapsed="false">
      <c r="A265" s="449" t="n">
        <v>7321</v>
      </c>
      <c r="B265" s="450" t="s">
        <v>10781</v>
      </c>
      <c r="C265" s="450" t="n">
        <v>2020</v>
      </c>
      <c r="D265" s="451" t="n">
        <v>44120</v>
      </c>
      <c r="E265" s="452" t="s">
        <v>10782</v>
      </c>
      <c r="F265" s="452" t="s">
        <v>10749</v>
      </c>
      <c r="G265" s="378" t="s">
        <v>125</v>
      </c>
      <c r="H265" s="378" t="s">
        <v>6480</v>
      </c>
      <c r="I265" s="451" t="n">
        <v>44270</v>
      </c>
      <c r="J265" s="452" t="n">
        <v>3</v>
      </c>
      <c r="K265" s="547" t="s">
        <v>51</v>
      </c>
      <c r="L265" s="452" t="s">
        <v>61</v>
      </c>
      <c r="M265" s="546" t="n">
        <f aca="false">I265-D265</f>
        <v>150</v>
      </c>
    </row>
    <row r="266" customFormat="false" ht="12.75" hidden="true" customHeight="true" outlineLevel="0" collapsed="false">
      <c r="A266" s="456" t="n">
        <v>7421</v>
      </c>
      <c r="B266" s="458" t="s">
        <v>10783</v>
      </c>
      <c r="C266" s="458" t="n">
        <v>2020</v>
      </c>
      <c r="D266" s="459" t="n">
        <v>44119</v>
      </c>
      <c r="E266" s="380" t="s">
        <v>10784</v>
      </c>
      <c r="F266" s="460" t="s">
        <v>10785</v>
      </c>
      <c r="G266" s="460" t="s">
        <v>130</v>
      </c>
      <c r="H266" s="380" t="s">
        <v>5376</v>
      </c>
      <c r="I266" s="459" t="n">
        <v>44270</v>
      </c>
      <c r="J266" s="460" t="n">
        <v>3</v>
      </c>
      <c r="K266" s="547" t="s">
        <v>51</v>
      </c>
      <c r="L266" s="460" t="s">
        <v>61</v>
      </c>
      <c r="M266" s="545" t="n">
        <f aca="false">I266-D266</f>
        <v>151</v>
      </c>
    </row>
    <row r="267" customFormat="false" ht="12.75" hidden="true" customHeight="true" outlineLevel="0" collapsed="false">
      <c r="A267" s="449" t="n">
        <v>7521</v>
      </c>
      <c r="B267" s="450" t="s">
        <v>10786</v>
      </c>
      <c r="C267" s="450" t="n">
        <v>2019</v>
      </c>
      <c r="D267" s="451" t="n">
        <v>43738</v>
      </c>
      <c r="E267" s="452" t="s">
        <v>10787</v>
      </c>
      <c r="F267" s="452" t="s">
        <v>10788</v>
      </c>
      <c r="G267" s="378" t="s">
        <v>144</v>
      </c>
      <c r="H267" s="378" t="s">
        <v>119</v>
      </c>
      <c r="I267" s="451" t="n">
        <v>44270</v>
      </c>
      <c r="J267" s="452" t="n">
        <v>3</v>
      </c>
      <c r="K267" s="548" t="s">
        <v>48</v>
      </c>
      <c r="L267" s="452" t="s">
        <v>10018</v>
      </c>
      <c r="M267" s="546" t="n">
        <f aca="false">I267-D267</f>
        <v>532</v>
      </c>
    </row>
    <row r="268" customFormat="false" ht="12.75" hidden="true" customHeight="true" outlineLevel="0" collapsed="false">
      <c r="A268" s="449" t="n">
        <v>7621</v>
      </c>
      <c r="B268" s="450" t="s">
        <v>10789</v>
      </c>
      <c r="C268" s="450" t="n">
        <v>2019</v>
      </c>
      <c r="D268" s="451" t="n">
        <v>43731</v>
      </c>
      <c r="E268" s="452" t="s">
        <v>10790</v>
      </c>
      <c r="F268" s="452" t="s">
        <v>10791</v>
      </c>
      <c r="G268" s="378" t="s">
        <v>144</v>
      </c>
      <c r="H268" s="378" t="s">
        <v>119</v>
      </c>
      <c r="I268" s="451" t="n">
        <v>44270</v>
      </c>
      <c r="J268" s="452" t="n">
        <v>3</v>
      </c>
      <c r="K268" s="548" t="s">
        <v>49</v>
      </c>
      <c r="L268" s="460" t="s">
        <v>10018</v>
      </c>
      <c r="M268" s="545" t="n">
        <f aca="false">I268-D268</f>
        <v>539</v>
      </c>
    </row>
    <row r="269" customFormat="false" ht="15" hidden="true" customHeight="true" outlineLevel="0" collapsed="false">
      <c r="A269" s="456" t="n">
        <v>7721</v>
      </c>
      <c r="B269" s="458" t="s">
        <v>10792</v>
      </c>
      <c r="C269" s="458" t="n">
        <v>2020</v>
      </c>
      <c r="D269" s="459" t="n">
        <v>44105</v>
      </c>
      <c r="E269" s="380" t="s">
        <v>10793</v>
      </c>
      <c r="F269" s="460" t="s">
        <v>10794</v>
      </c>
      <c r="G269" s="460" t="s">
        <v>125</v>
      </c>
      <c r="H269" s="380" t="s">
        <v>263</v>
      </c>
      <c r="I269" s="459" t="n">
        <v>44270</v>
      </c>
      <c r="J269" s="460" t="n">
        <v>3</v>
      </c>
      <c r="K269" s="548" t="s">
        <v>49</v>
      </c>
      <c r="L269" s="452" t="s">
        <v>61</v>
      </c>
      <c r="M269" s="546" t="n">
        <f aca="false">I269-D269</f>
        <v>165</v>
      </c>
    </row>
    <row r="270" customFormat="false" ht="12.75" hidden="true" customHeight="true" outlineLevel="0" collapsed="false">
      <c r="A270" s="456" t="n">
        <v>7821</v>
      </c>
      <c r="B270" s="458" t="s">
        <v>10795</v>
      </c>
      <c r="C270" s="458" t="n">
        <v>2020</v>
      </c>
      <c r="D270" s="459" t="n">
        <v>44085</v>
      </c>
      <c r="E270" s="380" t="s">
        <v>10796</v>
      </c>
      <c r="F270" s="460" t="s">
        <v>10652</v>
      </c>
      <c r="G270" s="460" t="s">
        <v>125</v>
      </c>
      <c r="H270" s="380" t="s">
        <v>3506</v>
      </c>
      <c r="I270" s="459" t="n">
        <v>44270</v>
      </c>
      <c r="J270" s="460" t="n">
        <v>3</v>
      </c>
      <c r="K270" s="547" t="s">
        <v>51</v>
      </c>
      <c r="L270" s="460" t="s">
        <v>61</v>
      </c>
      <c r="M270" s="545" t="n">
        <f aca="false">I270-D270</f>
        <v>185</v>
      </c>
    </row>
    <row r="271" customFormat="false" ht="12.75" hidden="true" customHeight="true" outlineLevel="0" collapsed="false">
      <c r="A271" s="449" t="n">
        <v>7921</v>
      </c>
      <c r="B271" s="450" t="s">
        <v>10797</v>
      </c>
      <c r="C271" s="450" t="n">
        <v>2020</v>
      </c>
      <c r="D271" s="451" t="n">
        <v>44041</v>
      </c>
      <c r="E271" s="452" t="s">
        <v>10798</v>
      </c>
      <c r="F271" s="452" t="s">
        <v>10799</v>
      </c>
      <c r="G271" s="378" t="s">
        <v>130</v>
      </c>
      <c r="H271" s="378" t="s">
        <v>10800</v>
      </c>
      <c r="I271" s="451" t="n">
        <v>44270</v>
      </c>
      <c r="J271" s="452" t="n">
        <v>3</v>
      </c>
      <c r="K271" s="547" t="s">
        <v>51</v>
      </c>
      <c r="L271" s="452" t="s">
        <v>61</v>
      </c>
      <c r="M271" s="546" t="n">
        <f aca="false">I271-D271</f>
        <v>229</v>
      </c>
    </row>
    <row r="272" customFormat="false" ht="12.75" hidden="true" customHeight="true" outlineLevel="0" collapsed="false">
      <c r="A272" s="456" t="n">
        <v>8021</v>
      </c>
      <c r="B272" s="458" t="s">
        <v>10801</v>
      </c>
      <c r="C272" s="458" t="n">
        <v>2018</v>
      </c>
      <c r="D272" s="459" t="n">
        <v>43455</v>
      </c>
      <c r="E272" s="380" t="s">
        <v>10802</v>
      </c>
      <c r="F272" s="460" t="s">
        <v>4956</v>
      </c>
      <c r="G272" s="460" t="s">
        <v>441</v>
      </c>
      <c r="H272" s="380" t="s">
        <v>513</v>
      </c>
      <c r="I272" s="459" t="n">
        <v>44270</v>
      </c>
      <c r="J272" s="460" t="n">
        <v>3</v>
      </c>
      <c r="K272" s="548" t="s">
        <v>49</v>
      </c>
      <c r="L272" s="460" t="s">
        <v>10018</v>
      </c>
      <c r="M272" s="545" t="n">
        <f aca="false">I272-D272</f>
        <v>815</v>
      </c>
    </row>
    <row r="273" customFormat="false" ht="12.75" hidden="true" customHeight="true" outlineLevel="0" collapsed="false">
      <c r="A273" s="449" t="n">
        <v>8121</v>
      </c>
      <c r="B273" s="450" t="s">
        <v>10803</v>
      </c>
      <c r="C273" s="450" t="n">
        <v>2020</v>
      </c>
      <c r="D273" s="451" t="n">
        <v>43980</v>
      </c>
      <c r="E273" s="452" t="s">
        <v>10804</v>
      </c>
      <c r="F273" s="551" t="s">
        <v>10805</v>
      </c>
      <c r="G273" s="452" t="s">
        <v>125</v>
      </c>
      <c r="H273" s="378" t="s">
        <v>373</v>
      </c>
      <c r="I273" s="451" t="n">
        <v>44270</v>
      </c>
      <c r="J273" s="452" t="n">
        <v>3</v>
      </c>
      <c r="K273" s="548" t="s">
        <v>49</v>
      </c>
      <c r="L273" s="452" t="s">
        <v>61</v>
      </c>
      <c r="M273" s="546" t="n">
        <f aca="false">I273-D273</f>
        <v>290</v>
      </c>
    </row>
    <row r="274" customFormat="false" ht="12.75" hidden="true" customHeight="true" outlineLevel="0" collapsed="false">
      <c r="A274" s="449" t="n">
        <v>8221</v>
      </c>
      <c r="B274" s="450" t="s">
        <v>10806</v>
      </c>
      <c r="C274" s="450" t="n">
        <v>2019</v>
      </c>
      <c r="D274" s="451" t="n">
        <v>43606</v>
      </c>
      <c r="E274" s="452" t="s">
        <v>10807</v>
      </c>
      <c r="F274" s="452" t="s">
        <v>10808</v>
      </c>
      <c r="G274" s="378" t="s">
        <v>125</v>
      </c>
      <c r="H274" s="378" t="s">
        <v>10809</v>
      </c>
      <c r="I274" s="451" t="n">
        <v>44270</v>
      </c>
      <c r="J274" s="452" t="n">
        <v>3</v>
      </c>
      <c r="K274" s="547" t="s">
        <v>51</v>
      </c>
      <c r="L274" s="460" t="s">
        <v>61</v>
      </c>
      <c r="M274" s="545" t="n">
        <f aca="false">I274-D274</f>
        <v>664</v>
      </c>
    </row>
    <row r="275" customFormat="false" ht="15" hidden="true" customHeight="true" outlineLevel="0" collapsed="false">
      <c r="A275" s="456" t="n">
        <v>8321</v>
      </c>
      <c r="B275" s="458" t="s">
        <v>10810</v>
      </c>
      <c r="C275" s="458" t="n">
        <v>2018</v>
      </c>
      <c r="D275" s="459" t="n">
        <v>43206</v>
      </c>
      <c r="E275" s="380" t="s">
        <v>10811</v>
      </c>
      <c r="F275" s="460" t="s">
        <v>180</v>
      </c>
      <c r="G275" s="460" t="s">
        <v>441</v>
      </c>
      <c r="H275" s="380" t="s">
        <v>354</v>
      </c>
      <c r="I275" s="459" t="n">
        <v>44270</v>
      </c>
      <c r="J275" s="460" t="n">
        <v>3</v>
      </c>
      <c r="K275" s="548" t="s">
        <v>48</v>
      </c>
      <c r="L275" s="452" t="s">
        <v>10018</v>
      </c>
      <c r="M275" s="546" t="n">
        <f aca="false">I275-D275</f>
        <v>1064</v>
      </c>
    </row>
    <row r="276" customFormat="false" ht="12.75" hidden="true" customHeight="true" outlineLevel="0" collapsed="false">
      <c r="A276" s="449" t="n">
        <v>8421</v>
      </c>
      <c r="B276" s="450" t="s">
        <v>10812</v>
      </c>
      <c r="C276" s="450" t="n">
        <v>2011</v>
      </c>
      <c r="D276" s="451" t="n">
        <v>40834</v>
      </c>
      <c r="E276" s="452" t="s">
        <v>10813</v>
      </c>
      <c r="F276" s="452" t="s">
        <v>10814</v>
      </c>
      <c r="G276" s="378" t="s">
        <v>144</v>
      </c>
      <c r="H276" s="378" t="s">
        <v>6149</v>
      </c>
      <c r="I276" s="451" t="n">
        <v>44270</v>
      </c>
      <c r="J276" s="452" t="n">
        <v>3</v>
      </c>
      <c r="K276" s="548" t="s">
        <v>49</v>
      </c>
      <c r="L276" s="460" t="s">
        <v>10013</v>
      </c>
      <c r="M276" s="545" t="n">
        <f aca="false">I276-D276</f>
        <v>3436</v>
      </c>
    </row>
    <row r="277" customFormat="false" ht="12.75" hidden="true" customHeight="true" outlineLevel="0" collapsed="false">
      <c r="A277" s="456" t="n">
        <v>8521</v>
      </c>
      <c r="B277" s="458" t="s">
        <v>10815</v>
      </c>
      <c r="C277" s="458" t="n">
        <v>2014</v>
      </c>
      <c r="D277" s="459" t="n">
        <v>41893</v>
      </c>
      <c r="E277" s="380" t="s">
        <v>10816</v>
      </c>
      <c r="F277" s="460" t="s">
        <v>4258</v>
      </c>
      <c r="G277" s="460" t="s">
        <v>144</v>
      </c>
      <c r="H277" s="380" t="s">
        <v>1791</v>
      </c>
      <c r="I277" s="459" t="n">
        <v>44270</v>
      </c>
      <c r="J277" s="460" t="n">
        <v>3</v>
      </c>
      <c r="K277" s="548" t="s">
        <v>49</v>
      </c>
      <c r="L277" s="452" t="s">
        <v>10013</v>
      </c>
      <c r="M277" s="546" t="n">
        <f aca="false">I277-D277</f>
        <v>2377</v>
      </c>
    </row>
    <row r="278" customFormat="false" ht="12.75" hidden="true" customHeight="true" outlineLevel="0" collapsed="false">
      <c r="A278" s="449" t="n">
        <v>8621</v>
      </c>
      <c r="B278" s="450" t="s">
        <v>10817</v>
      </c>
      <c r="C278" s="450" t="n">
        <v>2020</v>
      </c>
      <c r="D278" s="451" t="n">
        <v>43959</v>
      </c>
      <c r="E278" s="452" t="s">
        <v>10818</v>
      </c>
      <c r="F278" s="452" t="s">
        <v>10819</v>
      </c>
      <c r="G278" s="378" t="s">
        <v>130</v>
      </c>
      <c r="H278" s="378" t="s">
        <v>3234</v>
      </c>
      <c r="I278" s="451" t="n">
        <v>44272</v>
      </c>
      <c r="J278" s="452" t="n">
        <v>3</v>
      </c>
      <c r="K278" s="548" t="s">
        <v>49</v>
      </c>
      <c r="L278" s="460" t="s">
        <v>61</v>
      </c>
      <c r="M278" s="545" t="n">
        <f aca="false">I278-D278</f>
        <v>313</v>
      </c>
    </row>
    <row r="279" customFormat="false" ht="12.75" hidden="true" customHeight="true" outlineLevel="0" collapsed="false">
      <c r="A279" s="456" t="n">
        <v>8721</v>
      </c>
      <c r="B279" s="458" t="s">
        <v>10820</v>
      </c>
      <c r="C279" s="458" t="n">
        <v>2015</v>
      </c>
      <c r="D279" s="459" t="n">
        <v>42356</v>
      </c>
      <c r="E279" s="380" t="s">
        <v>10821</v>
      </c>
      <c r="F279" s="460" t="s">
        <v>10822</v>
      </c>
      <c r="G279" s="460" t="s">
        <v>441</v>
      </c>
      <c r="H279" s="380" t="s">
        <v>1231</v>
      </c>
      <c r="I279" s="459" t="n">
        <v>44272</v>
      </c>
      <c r="J279" s="460" t="n">
        <v>3</v>
      </c>
      <c r="K279" s="548" t="s">
        <v>49</v>
      </c>
      <c r="L279" s="452" t="s">
        <v>10013</v>
      </c>
      <c r="M279" s="546" t="n">
        <f aca="false">I279-D279</f>
        <v>1916</v>
      </c>
    </row>
    <row r="280" customFormat="false" ht="12.75" hidden="true" customHeight="true" outlineLevel="0" collapsed="false">
      <c r="A280" s="449" t="n">
        <v>8821</v>
      </c>
      <c r="B280" s="450" t="s">
        <v>10823</v>
      </c>
      <c r="C280" s="450" t="n">
        <v>2019</v>
      </c>
      <c r="D280" s="451" t="n">
        <v>43601</v>
      </c>
      <c r="E280" s="452" t="s">
        <v>10824</v>
      </c>
      <c r="F280" s="452" t="s">
        <v>446</v>
      </c>
      <c r="G280" s="378" t="s">
        <v>441</v>
      </c>
      <c r="H280" s="378" t="s">
        <v>995</v>
      </c>
      <c r="I280" s="451" t="n">
        <v>44272</v>
      </c>
      <c r="J280" s="452" t="n">
        <v>3</v>
      </c>
      <c r="K280" s="550" t="s">
        <v>42</v>
      </c>
      <c r="L280" s="460" t="s">
        <v>10013</v>
      </c>
      <c r="M280" s="545" t="n">
        <f aca="false">I280-D280</f>
        <v>671</v>
      </c>
    </row>
    <row r="281" customFormat="false" ht="12.75" hidden="true" customHeight="true" outlineLevel="0" collapsed="false">
      <c r="A281" s="456" t="n">
        <v>8921</v>
      </c>
      <c r="B281" s="458" t="s">
        <v>10825</v>
      </c>
      <c r="C281" s="458" t="n">
        <v>2014</v>
      </c>
      <c r="D281" s="459" t="n">
        <v>41680</v>
      </c>
      <c r="E281" s="380" t="s">
        <v>10826</v>
      </c>
      <c r="F281" s="460" t="s">
        <v>10827</v>
      </c>
      <c r="G281" s="460" t="s">
        <v>144</v>
      </c>
      <c r="H281" s="380" t="s">
        <v>223</v>
      </c>
      <c r="I281" s="459" t="n">
        <v>44280</v>
      </c>
      <c r="J281" s="460" t="n">
        <v>3</v>
      </c>
      <c r="K281" s="548" t="s">
        <v>49</v>
      </c>
      <c r="L281" s="452" t="s">
        <v>10018</v>
      </c>
      <c r="M281" s="546" t="n">
        <f aca="false">I281-D281</f>
        <v>2600</v>
      </c>
    </row>
    <row r="282" customFormat="false" ht="12.75" hidden="true" customHeight="true" outlineLevel="0" collapsed="false">
      <c r="A282" s="449" t="n">
        <v>9021</v>
      </c>
      <c r="B282" s="450" t="s">
        <v>10828</v>
      </c>
      <c r="C282" s="450" t="n">
        <v>2015</v>
      </c>
      <c r="D282" s="451" t="n">
        <v>42193</v>
      </c>
      <c r="E282" s="452" t="s">
        <v>10829</v>
      </c>
      <c r="F282" s="452" t="s">
        <v>773</v>
      </c>
      <c r="G282" s="378" t="s">
        <v>441</v>
      </c>
      <c r="H282" s="378" t="s">
        <v>5983</v>
      </c>
      <c r="I282" s="451" t="n">
        <v>44280</v>
      </c>
      <c r="J282" s="452" t="n">
        <v>3</v>
      </c>
      <c r="K282" s="548" t="s">
        <v>49</v>
      </c>
      <c r="L282" s="460" t="s">
        <v>10013</v>
      </c>
      <c r="M282" s="545" t="n">
        <f aca="false">I282-D282</f>
        <v>2087</v>
      </c>
    </row>
    <row r="283" customFormat="false" ht="12.75" hidden="true" customHeight="true" outlineLevel="0" collapsed="false">
      <c r="A283" s="456" t="n">
        <v>9121</v>
      </c>
      <c r="B283" s="458" t="s">
        <v>10830</v>
      </c>
      <c r="C283" s="458" t="n">
        <v>2020</v>
      </c>
      <c r="D283" s="459" t="n">
        <v>44064</v>
      </c>
      <c r="E283" s="380" t="s">
        <v>10831</v>
      </c>
      <c r="F283" s="460" t="s">
        <v>6361</v>
      </c>
      <c r="G283" s="460" t="s">
        <v>130</v>
      </c>
      <c r="H283" s="380" t="s">
        <v>10832</v>
      </c>
      <c r="I283" s="459" t="n">
        <v>44280</v>
      </c>
      <c r="J283" s="460" t="n">
        <v>3</v>
      </c>
      <c r="K283" s="548" t="s">
        <v>49</v>
      </c>
      <c r="L283" s="452" t="s">
        <v>61</v>
      </c>
      <c r="M283" s="546" t="n">
        <f aca="false">I283-D283</f>
        <v>216</v>
      </c>
    </row>
    <row r="284" customFormat="false" ht="12.75" hidden="true" customHeight="true" outlineLevel="0" collapsed="false">
      <c r="A284" s="449" t="n">
        <v>9221</v>
      </c>
      <c r="B284" s="450" t="s">
        <v>10833</v>
      </c>
      <c r="C284" s="450" t="n">
        <v>2020</v>
      </c>
      <c r="D284" s="451" t="n">
        <v>44155</v>
      </c>
      <c r="E284" s="452" t="s">
        <v>10834</v>
      </c>
      <c r="F284" s="452" t="s">
        <v>10835</v>
      </c>
      <c r="G284" s="378" t="s">
        <v>125</v>
      </c>
      <c r="H284" s="378" t="s">
        <v>995</v>
      </c>
      <c r="I284" s="451" t="n">
        <v>44280</v>
      </c>
      <c r="J284" s="452" t="n">
        <v>3</v>
      </c>
      <c r="K284" s="547" t="s">
        <v>51</v>
      </c>
      <c r="L284" s="460" t="s">
        <v>61</v>
      </c>
      <c r="M284" s="545" t="n">
        <f aca="false">I284-D284</f>
        <v>125</v>
      </c>
    </row>
    <row r="285" customFormat="false" ht="12.75" hidden="true" customHeight="true" outlineLevel="0" collapsed="false">
      <c r="A285" s="456" t="n">
        <v>9321</v>
      </c>
      <c r="B285" s="458" t="s">
        <v>10836</v>
      </c>
      <c r="C285" s="458" t="n">
        <v>2020</v>
      </c>
      <c r="D285" s="459" t="n">
        <v>44160</v>
      </c>
      <c r="E285" s="380" t="s">
        <v>10837</v>
      </c>
      <c r="F285" s="460" t="s">
        <v>10835</v>
      </c>
      <c r="G285" s="460" t="s">
        <v>125</v>
      </c>
      <c r="H285" s="380" t="s">
        <v>995</v>
      </c>
      <c r="I285" s="459" t="n">
        <v>44280</v>
      </c>
      <c r="J285" s="460" t="n">
        <v>3</v>
      </c>
      <c r="K285" s="547" t="s">
        <v>51</v>
      </c>
      <c r="L285" s="452" t="s">
        <v>61</v>
      </c>
      <c r="M285" s="546" t="n">
        <f aca="false">I285-D285</f>
        <v>120</v>
      </c>
    </row>
    <row r="286" customFormat="false" ht="12.75" hidden="true" customHeight="true" outlineLevel="0" collapsed="false">
      <c r="A286" s="449" t="n">
        <v>9421</v>
      </c>
      <c r="B286" s="450" t="s">
        <v>10838</v>
      </c>
      <c r="C286" s="450" t="n">
        <v>2020</v>
      </c>
      <c r="D286" s="451" t="n">
        <v>44089</v>
      </c>
      <c r="E286" s="452" t="s">
        <v>10839</v>
      </c>
      <c r="F286" s="452" t="s">
        <v>10840</v>
      </c>
      <c r="G286" s="378" t="s">
        <v>125</v>
      </c>
      <c r="H286" s="378" t="s">
        <v>10841</v>
      </c>
      <c r="I286" s="451" t="n">
        <v>44292</v>
      </c>
      <c r="J286" s="452" t="n">
        <v>4</v>
      </c>
      <c r="K286" s="548" t="s">
        <v>49</v>
      </c>
      <c r="L286" s="460" t="s">
        <v>61</v>
      </c>
      <c r="M286" s="545" t="n">
        <f aca="false">I286-D286</f>
        <v>203</v>
      </c>
    </row>
    <row r="287" customFormat="false" ht="12.75" hidden="true" customHeight="true" outlineLevel="0" collapsed="false">
      <c r="A287" s="456" t="n">
        <v>9521</v>
      </c>
      <c r="B287" s="458" t="s">
        <v>10842</v>
      </c>
      <c r="C287" s="458" t="n">
        <v>2016</v>
      </c>
      <c r="D287" s="459" t="n">
        <v>42643</v>
      </c>
      <c r="E287" s="380" t="s">
        <v>10843</v>
      </c>
      <c r="F287" s="460" t="s">
        <v>346</v>
      </c>
      <c r="G287" s="460" t="s">
        <v>441</v>
      </c>
      <c r="H287" s="380" t="s">
        <v>208</v>
      </c>
      <c r="I287" s="459" t="n">
        <v>44292</v>
      </c>
      <c r="J287" s="460" t="n">
        <v>4</v>
      </c>
      <c r="K287" s="548" t="s">
        <v>49</v>
      </c>
      <c r="L287" s="452" t="s">
        <v>10018</v>
      </c>
      <c r="M287" s="546" t="n">
        <f aca="false">I287-D287</f>
        <v>1649</v>
      </c>
    </row>
    <row r="288" customFormat="false" ht="12.75" hidden="true" customHeight="true" outlineLevel="0" collapsed="false">
      <c r="A288" s="449" t="n">
        <v>9621</v>
      </c>
      <c r="B288" s="450" t="s">
        <v>10844</v>
      </c>
      <c r="C288" s="450" t="n">
        <v>2020</v>
      </c>
      <c r="D288" s="451" t="n">
        <v>43882</v>
      </c>
      <c r="E288" s="452" t="s">
        <v>10845</v>
      </c>
      <c r="F288" s="452" t="s">
        <v>699</v>
      </c>
      <c r="G288" s="378" t="s">
        <v>441</v>
      </c>
      <c r="H288" s="378" t="s">
        <v>243</v>
      </c>
      <c r="I288" s="451" t="n">
        <v>44292</v>
      </c>
      <c r="J288" s="452" t="n">
        <v>4</v>
      </c>
      <c r="K288" s="548" t="s">
        <v>49</v>
      </c>
      <c r="L288" s="460" t="s">
        <v>10013</v>
      </c>
      <c r="M288" s="545" t="n">
        <f aca="false">I288-D288</f>
        <v>410</v>
      </c>
    </row>
    <row r="289" customFormat="false" ht="12.75" hidden="true" customHeight="true" outlineLevel="0" collapsed="false">
      <c r="A289" s="456" t="n">
        <v>9721</v>
      </c>
      <c r="B289" s="458" t="s">
        <v>10846</v>
      </c>
      <c r="C289" s="458" t="n">
        <v>2012</v>
      </c>
      <c r="D289" s="459" t="n">
        <v>41278</v>
      </c>
      <c r="E289" s="380" t="s">
        <v>10847</v>
      </c>
      <c r="F289" s="460" t="s">
        <v>10848</v>
      </c>
      <c r="G289" s="460" t="s">
        <v>441</v>
      </c>
      <c r="H289" s="380" t="s">
        <v>354</v>
      </c>
      <c r="I289" s="459" t="n">
        <v>44292</v>
      </c>
      <c r="J289" s="460" t="n">
        <v>4</v>
      </c>
      <c r="K289" s="548" t="s">
        <v>49</v>
      </c>
      <c r="L289" s="452" t="s">
        <v>10018</v>
      </c>
      <c r="M289" s="546" t="n">
        <f aca="false">I289-D289</f>
        <v>3014</v>
      </c>
    </row>
    <row r="290" customFormat="false" ht="12.75" hidden="true" customHeight="true" outlineLevel="0" collapsed="false">
      <c r="A290" s="449" t="n">
        <v>9821</v>
      </c>
      <c r="B290" s="450" t="s">
        <v>10849</v>
      </c>
      <c r="C290" s="450" t="n">
        <v>2014</v>
      </c>
      <c r="D290" s="451" t="n">
        <v>41934</v>
      </c>
      <c r="E290" s="452" t="s">
        <v>10850</v>
      </c>
      <c r="F290" s="452" t="s">
        <v>10851</v>
      </c>
      <c r="G290" s="378" t="s">
        <v>441</v>
      </c>
      <c r="H290" s="378" t="s">
        <v>10851</v>
      </c>
      <c r="I290" s="451" t="n">
        <v>44292</v>
      </c>
      <c r="J290" s="452" t="n">
        <v>4</v>
      </c>
      <c r="K290" s="548" t="s">
        <v>49</v>
      </c>
      <c r="L290" s="460" t="s">
        <v>10013</v>
      </c>
      <c r="M290" s="545" t="n">
        <f aca="false">I290-D290</f>
        <v>2358</v>
      </c>
    </row>
    <row r="291" customFormat="false" ht="12.75" hidden="true" customHeight="true" outlineLevel="0" collapsed="false">
      <c r="A291" s="456" t="n">
        <v>9921</v>
      </c>
      <c r="B291" s="458" t="s">
        <v>10852</v>
      </c>
      <c r="C291" s="458" t="n">
        <v>2020</v>
      </c>
      <c r="D291" s="459" t="n">
        <v>44182</v>
      </c>
      <c r="E291" s="380" t="s">
        <v>10853</v>
      </c>
      <c r="F291" s="460" t="s">
        <v>6315</v>
      </c>
      <c r="G291" s="460" t="s">
        <v>125</v>
      </c>
      <c r="H291" s="380" t="s">
        <v>980</v>
      </c>
      <c r="I291" s="459" t="n">
        <v>44292</v>
      </c>
      <c r="J291" s="460" t="n">
        <v>4</v>
      </c>
      <c r="K291" s="548" t="s">
        <v>49</v>
      </c>
      <c r="L291" s="452" t="s">
        <v>61</v>
      </c>
      <c r="M291" s="546" t="n">
        <f aca="false">I291-D291</f>
        <v>110</v>
      </c>
    </row>
    <row r="292" customFormat="false" ht="12.75" hidden="true" customHeight="true" outlineLevel="0" collapsed="false">
      <c r="A292" s="449" t="n">
        <v>10021</v>
      </c>
      <c r="B292" s="450" t="s">
        <v>10854</v>
      </c>
      <c r="C292" s="450" t="n">
        <v>2018</v>
      </c>
      <c r="D292" s="451" t="n">
        <v>43354</v>
      </c>
      <c r="E292" s="452" t="s">
        <v>10855</v>
      </c>
      <c r="F292" s="452" t="s">
        <v>10856</v>
      </c>
      <c r="G292" s="378" t="s">
        <v>441</v>
      </c>
      <c r="H292" s="378" t="s">
        <v>124</v>
      </c>
      <c r="I292" s="451" t="n">
        <v>44292</v>
      </c>
      <c r="J292" s="452" t="n">
        <v>4</v>
      </c>
      <c r="K292" s="550" t="s">
        <v>42</v>
      </c>
      <c r="L292" s="460" t="s">
        <v>10013</v>
      </c>
      <c r="M292" s="545" t="n">
        <f aca="false">I292-D292</f>
        <v>938</v>
      </c>
    </row>
    <row r="293" customFormat="false" ht="12.75" hidden="true" customHeight="true" outlineLevel="0" collapsed="false">
      <c r="A293" s="456" t="n">
        <v>10121</v>
      </c>
      <c r="B293" s="458" t="s">
        <v>10857</v>
      </c>
      <c r="C293" s="458" t="n">
        <v>2018</v>
      </c>
      <c r="D293" s="459" t="n">
        <v>43354</v>
      </c>
      <c r="E293" s="380" t="s">
        <v>10858</v>
      </c>
      <c r="F293" s="460" t="s">
        <v>10856</v>
      </c>
      <c r="G293" s="460" t="s">
        <v>441</v>
      </c>
      <c r="H293" s="380" t="s">
        <v>124</v>
      </c>
      <c r="I293" s="459" t="n">
        <v>44292</v>
      </c>
      <c r="J293" s="460" t="n">
        <v>4</v>
      </c>
      <c r="K293" s="552" t="s">
        <v>42</v>
      </c>
      <c r="L293" s="452" t="s">
        <v>10013</v>
      </c>
      <c r="M293" s="546" t="n">
        <f aca="false">I293-D293</f>
        <v>938</v>
      </c>
    </row>
    <row r="294" customFormat="false" ht="12.75" hidden="true" customHeight="true" outlineLevel="0" collapsed="false">
      <c r="A294" s="449" t="n">
        <v>10221</v>
      </c>
      <c r="B294" s="450" t="s">
        <v>10859</v>
      </c>
      <c r="C294" s="450" t="n">
        <v>2018</v>
      </c>
      <c r="D294" s="451" t="n">
        <v>43312</v>
      </c>
      <c r="E294" s="452" t="s">
        <v>10860</v>
      </c>
      <c r="F294" s="452" t="s">
        <v>10861</v>
      </c>
      <c r="G294" s="378" t="s">
        <v>441</v>
      </c>
      <c r="H294" s="378" t="s">
        <v>354</v>
      </c>
      <c r="I294" s="451" t="n">
        <v>44292</v>
      </c>
      <c r="J294" s="452" t="n">
        <v>4</v>
      </c>
      <c r="K294" s="548" t="s">
        <v>49</v>
      </c>
      <c r="L294" s="460" t="s">
        <v>10018</v>
      </c>
      <c r="M294" s="545" t="n">
        <f aca="false">I294-D294</f>
        <v>980</v>
      </c>
    </row>
    <row r="295" customFormat="false" ht="12.75" hidden="true" customHeight="true" outlineLevel="0" collapsed="false">
      <c r="A295" s="456" t="n">
        <v>10321</v>
      </c>
      <c r="B295" s="458" t="s">
        <v>10862</v>
      </c>
      <c r="C295" s="458" t="n">
        <v>2016</v>
      </c>
      <c r="D295" s="459" t="n">
        <v>42508</v>
      </c>
      <c r="E295" s="380" t="s">
        <v>10863</v>
      </c>
      <c r="F295" s="460" t="s">
        <v>10864</v>
      </c>
      <c r="G295" s="460" t="s">
        <v>144</v>
      </c>
      <c r="H295" s="380" t="s">
        <v>6149</v>
      </c>
      <c r="I295" s="459" t="n">
        <v>44292</v>
      </c>
      <c r="J295" s="460" t="n">
        <v>4</v>
      </c>
      <c r="K295" s="548" t="s">
        <v>48</v>
      </c>
      <c r="L295" s="452" t="s">
        <v>10013</v>
      </c>
      <c r="M295" s="546" t="n">
        <f aca="false">I295-D295</f>
        <v>1784</v>
      </c>
    </row>
    <row r="296" customFormat="false" ht="12.75" hidden="true" customHeight="true" outlineLevel="0" collapsed="false">
      <c r="A296" s="449" t="n">
        <v>10421</v>
      </c>
      <c r="B296" s="450" t="s">
        <v>10865</v>
      </c>
      <c r="C296" s="450" t="n">
        <v>2015</v>
      </c>
      <c r="D296" s="451" t="n">
        <v>42339</v>
      </c>
      <c r="E296" s="452" t="s">
        <v>10866</v>
      </c>
      <c r="F296" s="452" t="s">
        <v>1277</v>
      </c>
      <c r="G296" s="378" t="s">
        <v>441</v>
      </c>
      <c r="H296" s="378" t="s">
        <v>460</v>
      </c>
      <c r="I296" s="451" t="n">
        <v>44292</v>
      </c>
      <c r="J296" s="452" t="n">
        <v>4</v>
      </c>
      <c r="K296" s="550" t="s">
        <v>44</v>
      </c>
      <c r="L296" s="460" t="s">
        <v>10018</v>
      </c>
      <c r="M296" s="545" t="n">
        <f aca="false">I296-D296</f>
        <v>1953</v>
      </c>
    </row>
    <row r="297" customFormat="false" ht="12.75" hidden="true" customHeight="true" outlineLevel="0" collapsed="false">
      <c r="A297" s="456" t="n">
        <v>10521</v>
      </c>
      <c r="B297" s="458" t="s">
        <v>10867</v>
      </c>
      <c r="C297" s="458" t="n">
        <v>2014</v>
      </c>
      <c r="D297" s="459" t="n">
        <v>41862</v>
      </c>
      <c r="E297" s="380" t="s">
        <v>10868</v>
      </c>
      <c r="F297" s="460" t="s">
        <v>10869</v>
      </c>
      <c r="G297" s="460" t="s">
        <v>441</v>
      </c>
      <c r="H297" s="380" t="s">
        <v>9635</v>
      </c>
      <c r="I297" s="459" t="n">
        <v>44292</v>
      </c>
      <c r="J297" s="460" t="n">
        <v>4</v>
      </c>
      <c r="K297" s="548" t="s">
        <v>48</v>
      </c>
      <c r="L297" s="452" t="s">
        <v>10013</v>
      </c>
      <c r="M297" s="546" t="n">
        <f aca="false">I297-D297</f>
        <v>2430</v>
      </c>
    </row>
    <row r="298" customFormat="false" ht="12.75" hidden="true" customHeight="true" outlineLevel="0" collapsed="false">
      <c r="A298" s="449" t="n">
        <v>10621</v>
      </c>
      <c r="B298" s="450" t="s">
        <v>10870</v>
      </c>
      <c r="C298" s="450" t="n">
        <v>2013</v>
      </c>
      <c r="D298" s="451" t="n">
        <v>41331</v>
      </c>
      <c r="E298" s="452" t="s">
        <v>10871</v>
      </c>
      <c r="F298" s="452" t="s">
        <v>1277</v>
      </c>
      <c r="G298" s="378" t="s">
        <v>441</v>
      </c>
      <c r="H298" s="378" t="s">
        <v>10872</v>
      </c>
      <c r="I298" s="451" t="n">
        <v>44292</v>
      </c>
      <c r="J298" s="452" t="n">
        <v>4</v>
      </c>
      <c r="K298" s="549" t="s">
        <v>46</v>
      </c>
      <c r="L298" s="460" t="s">
        <v>10018</v>
      </c>
      <c r="M298" s="545" t="n">
        <f aca="false">I298-D298</f>
        <v>2961</v>
      </c>
    </row>
    <row r="299" customFormat="false" ht="12.75" hidden="true" customHeight="true" outlineLevel="0" collapsed="false">
      <c r="A299" s="456" t="n">
        <v>10721</v>
      </c>
      <c r="B299" s="458" t="s">
        <v>10873</v>
      </c>
      <c r="C299" s="458" t="n">
        <v>2020</v>
      </c>
      <c r="D299" s="459" t="n">
        <v>44183</v>
      </c>
      <c r="E299" s="380" t="s">
        <v>10874</v>
      </c>
      <c r="F299" s="460" t="s">
        <v>10875</v>
      </c>
      <c r="G299" s="460" t="s">
        <v>125</v>
      </c>
      <c r="H299" s="380" t="s">
        <v>10876</v>
      </c>
      <c r="I299" s="459" t="n">
        <v>44312</v>
      </c>
      <c r="J299" s="460" t="n">
        <v>4</v>
      </c>
      <c r="K299" s="547" t="s">
        <v>51</v>
      </c>
      <c r="L299" s="452" t="s">
        <v>61</v>
      </c>
      <c r="M299" s="546" t="n">
        <f aca="false">I299-D299</f>
        <v>129</v>
      </c>
    </row>
    <row r="300" customFormat="false" ht="15" hidden="true" customHeight="true" outlineLevel="0" collapsed="false">
      <c r="A300" s="449" t="n">
        <v>10821</v>
      </c>
      <c r="B300" s="450" t="s">
        <v>10877</v>
      </c>
      <c r="C300" s="450" t="n">
        <v>2014</v>
      </c>
      <c r="D300" s="451" t="n">
        <v>41941</v>
      </c>
      <c r="E300" s="452" t="s">
        <v>10878</v>
      </c>
      <c r="F300" s="452" t="s">
        <v>823</v>
      </c>
      <c r="G300" s="378" t="s">
        <v>441</v>
      </c>
      <c r="H300" s="378" t="s">
        <v>243</v>
      </c>
      <c r="I300" s="451" t="n">
        <v>44312</v>
      </c>
      <c r="J300" s="452" t="n">
        <v>4</v>
      </c>
      <c r="K300" s="548" t="s">
        <v>48</v>
      </c>
      <c r="L300" s="460" t="s">
        <v>10018</v>
      </c>
      <c r="M300" s="545" t="n">
        <f aca="false">I300-D300</f>
        <v>2371</v>
      </c>
    </row>
    <row r="301" customFormat="false" ht="12.75" hidden="true" customHeight="true" outlineLevel="0" collapsed="false">
      <c r="A301" s="456" t="n">
        <v>10921</v>
      </c>
      <c r="B301" s="458" t="s">
        <v>10879</v>
      </c>
      <c r="C301" s="458" t="n">
        <v>2015</v>
      </c>
      <c r="D301" s="459" t="n">
        <v>42199</v>
      </c>
      <c r="E301" s="380" t="s">
        <v>10880</v>
      </c>
      <c r="F301" s="460" t="s">
        <v>10864</v>
      </c>
      <c r="G301" s="460" t="s">
        <v>144</v>
      </c>
      <c r="H301" s="380" t="s">
        <v>6149</v>
      </c>
      <c r="I301" s="459" t="n">
        <v>44312</v>
      </c>
      <c r="J301" s="460" t="n">
        <v>4</v>
      </c>
      <c r="K301" s="548" t="s">
        <v>48</v>
      </c>
      <c r="L301" s="452" t="s">
        <v>10013</v>
      </c>
      <c r="M301" s="546" t="n">
        <f aca="false">I301-D301</f>
        <v>2113</v>
      </c>
    </row>
    <row r="302" customFormat="false" ht="12.75" hidden="true" customHeight="true" outlineLevel="0" collapsed="false">
      <c r="A302" s="449" t="n">
        <v>11021</v>
      </c>
      <c r="B302" s="450" t="s">
        <v>10881</v>
      </c>
      <c r="C302" s="450" t="n">
        <v>2015</v>
      </c>
      <c r="D302" s="451" t="n">
        <v>42023</v>
      </c>
      <c r="E302" s="452" t="s">
        <v>10882</v>
      </c>
      <c r="F302" s="452" t="s">
        <v>1277</v>
      </c>
      <c r="G302" s="378" t="s">
        <v>441</v>
      </c>
      <c r="H302" s="378" t="s">
        <v>192</v>
      </c>
      <c r="I302" s="451" t="n">
        <v>44312</v>
      </c>
      <c r="J302" s="452" t="n">
        <v>4</v>
      </c>
      <c r="K302" s="549" t="s">
        <v>46</v>
      </c>
      <c r="L302" s="460" t="s">
        <v>10018</v>
      </c>
      <c r="M302" s="545" t="n">
        <f aca="false">I302-D302</f>
        <v>2289</v>
      </c>
    </row>
    <row r="303" customFormat="false" ht="12.75" hidden="true" customHeight="true" outlineLevel="0" collapsed="false">
      <c r="A303" s="456" t="n">
        <v>11121</v>
      </c>
      <c r="B303" s="458" t="s">
        <v>10883</v>
      </c>
      <c r="C303" s="458" t="n">
        <v>2015</v>
      </c>
      <c r="D303" s="459" t="n">
        <v>42037</v>
      </c>
      <c r="E303" s="380" t="s">
        <v>10884</v>
      </c>
      <c r="F303" s="460" t="s">
        <v>10869</v>
      </c>
      <c r="G303" s="460" t="s">
        <v>441</v>
      </c>
      <c r="H303" s="380" t="s">
        <v>1501</v>
      </c>
      <c r="I303" s="459" t="n">
        <v>44312</v>
      </c>
      <c r="J303" s="460" t="n">
        <v>4</v>
      </c>
      <c r="K303" s="548" t="s">
        <v>48</v>
      </c>
      <c r="L303" s="452" t="s">
        <v>10018</v>
      </c>
      <c r="M303" s="546" t="n">
        <f aca="false">I303-D303</f>
        <v>2275</v>
      </c>
    </row>
    <row r="304" customFormat="false" ht="12.75" hidden="true" customHeight="true" outlineLevel="0" collapsed="false">
      <c r="A304" s="449" t="n">
        <v>11221</v>
      </c>
      <c r="B304" s="450" t="s">
        <v>10885</v>
      </c>
      <c r="C304" s="450" t="n">
        <v>2014</v>
      </c>
      <c r="D304" s="451" t="n">
        <v>41743</v>
      </c>
      <c r="E304" s="452" t="s">
        <v>10886</v>
      </c>
      <c r="F304" s="452" t="s">
        <v>10887</v>
      </c>
      <c r="G304" s="378" t="s">
        <v>144</v>
      </c>
      <c r="H304" s="378" t="s">
        <v>1791</v>
      </c>
      <c r="I304" s="451" t="n">
        <v>44314</v>
      </c>
      <c r="J304" s="452" t="n">
        <v>4</v>
      </c>
      <c r="K304" s="548" t="s">
        <v>48</v>
      </c>
      <c r="L304" s="460" t="s">
        <v>10018</v>
      </c>
      <c r="M304" s="545" t="n">
        <f aca="false">I304-D304</f>
        <v>2571</v>
      </c>
    </row>
    <row r="305" customFormat="false" ht="12.75" hidden="true" customHeight="true" outlineLevel="0" collapsed="false">
      <c r="A305" s="456" t="n">
        <v>11321</v>
      </c>
      <c r="B305" s="458" t="s">
        <v>10888</v>
      </c>
      <c r="C305" s="458" t="n">
        <v>2013</v>
      </c>
      <c r="D305" s="459" t="n">
        <v>41492</v>
      </c>
      <c r="E305" s="380" t="s">
        <v>10889</v>
      </c>
      <c r="F305" s="460" t="s">
        <v>10890</v>
      </c>
      <c r="G305" s="460" t="s">
        <v>441</v>
      </c>
      <c r="H305" s="380" t="s">
        <v>5504</v>
      </c>
      <c r="I305" s="459" t="n">
        <v>44314</v>
      </c>
      <c r="J305" s="460" t="n">
        <v>4</v>
      </c>
      <c r="K305" s="548" t="s">
        <v>49</v>
      </c>
      <c r="L305" s="452" t="s">
        <v>10013</v>
      </c>
      <c r="M305" s="546" t="n">
        <f aca="false">I305-D305</f>
        <v>2822</v>
      </c>
    </row>
    <row r="306" customFormat="false" ht="12.75" hidden="true" customHeight="true" outlineLevel="0" collapsed="false">
      <c r="A306" s="449" t="n">
        <v>11421</v>
      </c>
      <c r="B306" s="450" t="s">
        <v>10891</v>
      </c>
      <c r="C306" s="450" t="n">
        <v>2012</v>
      </c>
      <c r="D306" s="451" t="n">
        <v>41264</v>
      </c>
      <c r="E306" s="452" t="s">
        <v>10892</v>
      </c>
      <c r="F306" s="452" t="s">
        <v>10893</v>
      </c>
      <c r="G306" s="378" t="s">
        <v>441</v>
      </c>
      <c r="H306" s="378" t="s">
        <v>208</v>
      </c>
      <c r="I306" s="451" t="n">
        <v>44314</v>
      </c>
      <c r="J306" s="452" t="n">
        <v>4</v>
      </c>
      <c r="K306" s="548" t="s">
        <v>49</v>
      </c>
      <c r="L306" s="460" t="s">
        <v>10018</v>
      </c>
      <c r="M306" s="545" t="n">
        <f aca="false">I306-D306</f>
        <v>3050</v>
      </c>
    </row>
    <row r="307" customFormat="false" ht="12.75" hidden="true" customHeight="true" outlineLevel="0" collapsed="false">
      <c r="A307" s="456" t="n">
        <v>11521</v>
      </c>
      <c r="B307" s="458" t="s">
        <v>10894</v>
      </c>
      <c r="C307" s="458" t="n">
        <v>2018</v>
      </c>
      <c r="D307" s="459" t="n">
        <v>43319</v>
      </c>
      <c r="E307" s="380" t="s">
        <v>10895</v>
      </c>
      <c r="F307" s="460" t="s">
        <v>446</v>
      </c>
      <c r="G307" s="460" t="s">
        <v>441</v>
      </c>
      <c r="H307" s="380" t="s">
        <v>362</v>
      </c>
      <c r="I307" s="459" t="n">
        <v>44314</v>
      </c>
      <c r="J307" s="460" t="n">
        <v>4</v>
      </c>
      <c r="K307" s="548" t="s">
        <v>47</v>
      </c>
      <c r="L307" s="452" t="s">
        <v>10013</v>
      </c>
      <c r="M307" s="546" t="n">
        <f aca="false">I307-D307</f>
        <v>995</v>
      </c>
    </row>
    <row r="308" customFormat="false" ht="12.75" hidden="true" customHeight="true" outlineLevel="0" collapsed="false">
      <c r="A308" s="449" t="n">
        <v>11621</v>
      </c>
      <c r="B308" s="450" t="s">
        <v>10896</v>
      </c>
      <c r="C308" s="450" t="n">
        <v>2016</v>
      </c>
      <c r="D308" s="451" t="n">
        <v>42486</v>
      </c>
      <c r="E308" s="452" t="s">
        <v>10897</v>
      </c>
      <c r="F308" s="452" t="s">
        <v>2003</v>
      </c>
      <c r="G308" s="378" t="s">
        <v>441</v>
      </c>
      <c r="H308" s="378" t="s">
        <v>208</v>
      </c>
      <c r="I308" s="451" t="n">
        <v>44314</v>
      </c>
      <c r="J308" s="452" t="n">
        <v>4</v>
      </c>
      <c r="K308" s="548" t="s">
        <v>48</v>
      </c>
      <c r="L308" s="460" t="s">
        <v>10013</v>
      </c>
      <c r="M308" s="545" t="n">
        <f aca="false">I308-D308</f>
        <v>1828</v>
      </c>
    </row>
    <row r="309" customFormat="false" ht="12.75" hidden="true" customHeight="true" outlineLevel="0" collapsed="false">
      <c r="A309" s="456" t="n">
        <v>11721</v>
      </c>
      <c r="B309" s="458" t="s">
        <v>10898</v>
      </c>
      <c r="C309" s="458" t="n">
        <v>2011</v>
      </c>
      <c r="D309" s="459" t="n">
        <v>40571</v>
      </c>
      <c r="E309" s="380" t="s">
        <v>10899</v>
      </c>
      <c r="F309" s="460" t="s">
        <v>10900</v>
      </c>
      <c r="G309" s="460" t="s">
        <v>144</v>
      </c>
      <c r="H309" s="380" t="s">
        <v>10901</v>
      </c>
      <c r="I309" s="459" t="n">
        <v>44314</v>
      </c>
      <c r="J309" s="460" t="n">
        <v>4</v>
      </c>
      <c r="K309" s="548" t="s">
        <v>49</v>
      </c>
      <c r="L309" s="452" t="s">
        <v>10013</v>
      </c>
      <c r="M309" s="546" t="n">
        <f aca="false">I309-D309</f>
        <v>3743</v>
      </c>
    </row>
    <row r="310" customFormat="false" ht="12.75" hidden="true" customHeight="true" outlineLevel="0" collapsed="false">
      <c r="A310" s="449" t="n">
        <v>11821</v>
      </c>
      <c r="B310" s="450" t="s">
        <v>10902</v>
      </c>
      <c r="C310" s="450" t="n">
        <v>2013</v>
      </c>
      <c r="D310" s="451" t="n">
        <v>41390</v>
      </c>
      <c r="E310" s="452" t="s">
        <v>10903</v>
      </c>
      <c r="F310" s="452" t="s">
        <v>1277</v>
      </c>
      <c r="G310" s="378" t="s">
        <v>441</v>
      </c>
      <c r="H310" s="378" t="s">
        <v>706</v>
      </c>
      <c r="I310" s="451" t="n">
        <v>44315</v>
      </c>
      <c r="J310" s="452" t="n">
        <v>4</v>
      </c>
      <c r="K310" s="549" t="s">
        <v>46</v>
      </c>
      <c r="L310" s="460" t="s">
        <v>10018</v>
      </c>
      <c r="M310" s="545" t="n">
        <f aca="false">I310-D310</f>
        <v>2925</v>
      </c>
    </row>
    <row r="311" customFormat="false" ht="12.75" hidden="true" customHeight="true" outlineLevel="0" collapsed="false">
      <c r="A311" s="456" t="n">
        <v>11921</v>
      </c>
      <c r="B311" s="458" t="s">
        <v>10904</v>
      </c>
      <c r="C311" s="458" t="n">
        <v>2013</v>
      </c>
      <c r="D311" s="459" t="n">
        <v>41323</v>
      </c>
      <c r="E311" s="380" t="s">
        <v>10905</v>
      </c>
      <c r="F311" s="460" t="s">
        <v>1277</v>
      </c>
      <c r="G311" s="460" t="s">
        <v>441</v>
      </c>
      <c r="H311" s="380" t="s">
        <v>706</v>
      </c>
      <c r="I311" s="459" t="n">
        <v>44315</v>
      </c>
      <c r="J311" s="460" t="n">
        <v>4</v>
      </c>
      <c r="K311" s="549" t="s">
        <v>46</v>
      </c>
      <c r="L311" s="452" t="s">
        <v>10018</v>
      </c>
      <c r="M311" s="546" t="n">
        <f aca="false">I311-D311</f>
        <v>2992</v>
      </c>
    </row>
    <row r="312" customFormat="false" ht="12.75" hidden="true" customHeight="true" outlineLevel="0" collapsed="false">
      <c r="A312" s="449" t="n">
        <v>12021</v>
      </c>
      <c r="B312" s="450" t="s">
        <v>10906</v>
      </c>
      <c r="C312" s="450" t="n">
        <v>2013</v>
      </c>
      <c r="D312" s="451" t="n">
        <v>41374</v>
      </c>
      <c r="E312" s="452" t="s">
        <v>10907</v>
      </c>
      <c r="F312" s="452" t="s">
        <v>1277</v>
      </c>
      <c r="G312" s="378" t="s">
        <v>441</v>
      </c>
      <c r="H312" s="378" t="s">
        <v>706</v>
      </c>
      <c r="I312" s="451" t="n">
        <v>44315</v>
      </c>
      <c r="J312" s="452" t="n">
        <v>4</v>
      </c>
      <c r="K312" s="549" t="s">
        <v>46</v>
      </c>
      <c r="L312" s="460" t="s">
        <v>10018</v>
      </c>
      <c r="M312" s="545" t="n">
        <f aca="false">I312-D312</f>
        <v>2941</v>
      </c>
    </row>
    <row r="313" customFormat="false" ht="12.75" hidden="true" customHeight="true" outlineLevel="0" collapsed="false">
      <c r="A313" s="456" t="n">
        <v>12121</v>
      </c>
      <c r="B313" s="458" t="s">
        <v>10908</v>
      </c>
      <c r="C313" s="458" t="n">
        <v>2020</v>
      </c>
      <c r="D313" s="459" t="n">
        <v>44109</v>
      </c>
      <c r="E313" s="380" t="s">
        <v>10909</v>
      </c>
      <c r="F313" s="460" t="s">
        <v>10910</v>
      </c>
      <c r="G313" s="460" t="s">
        <v>125</v>
      </c>
      <c r="H313" s="380" t="s">
        <v>10663</v>
      </c>
      <c r="I313" s="459" t="n">
        <v>44322</v>
      </c>
      <c r="J313" s="460" t="n">
        <v>5</v>
      </c>
      <c r="K313" s="548" t="s">
        <v>49</v>
      </c>
      <c r="L313" s="452" t="s">
        <v>61</v>
      </c>
      <c r="M313" s="546" t="n">
        <f aca="false">I313-D313</f>
        <v>213</v>
      </c>
    </row>
    <row r="314" customFormat="false" ht="12.75" hidden="true" customHeight="true" outlineLevel="0" collapsed="false">
      <c r="A314" s="449" t="n">
        <v>12221</v>
      </c>
      <c r="B314" s="450" t="s">
        <v>10911</v>
      </c>
      <c r="C314" s="450" t="n">
        <v>2018</v>
      </c>
      <c r="D314" s="451" t="n">
        <v>43235</v>
      </c>
      <c r="E314" s="452" t="s">
        <v>10912</v>
      </c>
      <c r="F314" s="452" t="s">
        <v>6361</v>
      </c>
      <c r="G314" s="378" t="s">
        <v>125</v>
      </c>
      <c r="H314" s="378" t="s">
        <v>10913</v>
      </c>
      <c r="I314" s="451" t="n">
        <v>44322</v>
      </c>
      <c r="J314" s="452" t="n">
        <v>5</v>
      </c>
      <c r="K314" s="547" t="s">
        <v>50</v>
      </c>
      <c r="L314" s="460" t="s">
        <v>61</v>
      </c>
      <c r="M314" s="545" t="n">
        <f aca="false">I314-D314</f>
        <v>1087</v>
      </c>
    </row>
    <row r="315" customFormat="false" ht="12.75" hidden="true" customHeight="true" outlineLevel="0" collapsed="false">
      <c r="A315" s="456" t="n">
        <v>12321</v>
      </c>
      <c r="B315" s="458" t="s">
        <v>10914</v>
      </c>
      <c r="C315" s="458" t="n">
        <v>2012</v>
      </c>
      <c r="D315" s="459" t="n">
        <v>41270</v>
      </c>
      <c r="E315" s="380" t="s">
        <v>10915</v>
      </c>
      <c r="F315" s="460" t="s">
        <v>699</v>
      </c>
      <c r="G315" s="460" t="s">
        <v>441</v>
      </c>
      <c r="H315" s="380" t="s">
        <v>192</v>
      </c>
      <c r="I315" s="459" t="n">
        <v>44322</v>
      </c>
      <c r="J315" s="460" t="n">
        <v>5</v>
      </c>
      <c r="K315" s="548" t="s">
        <v>49</v>
      </c>
      <c r="L315" s="452" t="s">
        <v>10013</v>
      </c>
      <c r="M315" s="546" t="n">
        <f aca="false">I315-D315</f>
        <v>3052</v>
      </c>
    </row>
    <row r="316" customFormat="false" ht="15" hidden="true" customHeight="true" outlineLevel="0" collapsed="false">
      <c r="A316" s="449" t="n">
        <v>12421</v>
      </c>
      <c r="B316" s="450" t="s">
        <v>10916</v>
      </c>
      <c r="C316" s="450" t="n">
        <v>2021</v>
      </c>
      <c r="D316" s="451" t="n">
        <v>44229</v>
      </c>
      <c r="E316" s="452" t="s">
        <v>10917</v>
      </c>
      <c r="F316" s="452" t="s">
        <v>10785</v>
      </c>
      <c r="G316" s="378" t="s">
        <v>130</v>
      </c>
      <c r="H316" s="378" t="s">
        <v>3553</v>
      </c>
      <c r="I316" s="451" t="n">
        <v>44322</v>
      </c>
      <c r="J316" s="452" t="n">
        <v>5</v>
      </c>
      <c r="K316" s="547" t="s">
        <v>51</v>
      </c>
      <c r="L316" s="460" t="s">
        <v>61</v>
      </c>
      <c r="M316" s="545" t="n">
        <f aca="false">I316-D316</f>
        <v>93</v>
      </c>
    </row>
    <row r="317" customFormat="false" ht="12.75" hidden="true" customHeight="true" outlineLevel="0" collapsed="false">
      <c r="A317" s="456" t="n">
        <v>12521</v>
      </c>
      <c r="B317" s="458" t="s">
        <v>10918</v>
      </c>
      <c r="C317" s="458" t="n">
        <v>2013</v>
      </c>
      <c r="D317" s="459" t="n">
        <v>41502</v>
      </c>
      <c r="E317" s="380" t="s">
        <v>10919</v>
      </c>
      <c r="F317" s="460" t="s">
        <v>10920</v>
      </c>
      <c r="G317" s="460" t="s">
        <v>441</v>
      </c>
      <c r="H317" s="380" t="s">
        <v>354</v>
      </c>
      <c r="I317" s="459" t="n">
        <v>44322</v>
      </c>
      <c r="J317" s="460" t="n">
        <v>5</v>
      </c>
      <c r="K317" s="548" t="s">
        <v>48</v>
      </c>
      <c r="L317" s="452" t="s">
        <v>10018</v>
      </c>
      <c r="M317" s="546" t="n">
        <f aca="false">I317-D317</f>
        <v>2820</v>
      </c>
    </row>
    <row r="318" customFormat="false" ht="12.75" hidden="true" customHeight="true" outlineLevel="0" collapsed="false">
      <c r="A318" s="449" t="n">
        <v>12621</v>
      </c>
      <c r="B318" s="450" t="s">
        <v>10921</v>
      </c>
      <c r="C318" s="450" t="n">
        <v>2014</v>
      </c>
      <c r="D318" s="451" t="n">
        <v>41887</v>
      </c>
      <c r="E318" s="452" t="s">
        <v>10922</v>
      </c>
      <c r="F318" s="452" t="s">
        <v>5241</v>
      </c>
      <c r="G318" s="378" t="s">
        <v>441</v>
      </c>
      <c r="H318" s="378" t="s">
        <v>10923</v>
      </c>
      <c r="I318" s="451" t="n">
        <v>44322</v>
      </c>
      <c r="J318" s="452" t="n">
        <v>5</v>
      </c>
      <c r="K318" s="548" t="s">
        <v>49</v>
      </c>
      <c r="L318" s="460" t="s">
        <v>10018</v>
      </c>
      <c r="M318" s="545" t="n">
        <f aca="false">I318-D318</f>
        <v>2435</v>
      </c>
    </row>
    <row r="319" customFormat="false" ht="12.75" hidden="true" customHeight="true" outlineLevel="0" collapsed="false">
      <c r="A319" s="456" t="n">
        <v>12721</v>
      </c>
      <c r="B319" s="458" t="s">
        <v>10924</v>
      </c>
      <c r="C319" s="458" t="n">
        <v>2011</v>
      </c>
      <c r="D319" s="459" t="n">
        <v>40659</v>
      </c>
      <c r="E319" s="380" t="s">
        <v>10925</v>
      </c>
      <c r="F319" s="460" t="s">
        <v>10926</v>
      </c>
      <c r="G319" s="460" t="s">
        <v>441</v>
      </c>
      <c r="H319" s="380" t="s">
        <v>1059</v>
      </c>
      <c r="I319" s="459" t="n">
        <v>44322</v>
      </c>
      <c r="J319" s="460" t="n">
        <v>5</v>
      </c>
      <c r="K319" s="548" t="s">
        <v>49</v>
      </c>
      <c r="L319" s="452" t="s">
        <v>10013</v>
      </c>
      <c r="M319" s="546" t="n">
        <f aca="false">I319-D319</f>
        <v>3663</v>
      </c>
    </row>
    <row r="320" customFormat="false" ht="12.75" hidden="true" customHeight="true" outlineLevel="0" collapsed="false">
      <c r="A320" s="449" t="n">
        <v>12821</v>
      </c>
      <c r="B320" s="450" t="s">
        <v>10927</v>
      </c>
      <c r="C320" s="450" t="n">
        <v>2014</v>
      </c>
      <c r="D320" s="451" t="n">
        <v>41694</v>
      </c>
      <c r="E320" s="452" t="s">
        <v>10928</v>
      </c>
      <c r="F320" s="452" t="s">
        <v>10929</v>
      </c>
      <c r="G320" s="378" t="s">
        <v>144</v>
      </c>
      <c r="H320" s="378" t="s">
        <v>1791</v>
      </c>
      <c r="I320" s="451" t="n">
        <v>44322</v>
      </c>
      <c r="J320" s="452" t="n">
        <v>5</v>
      </c>
      <c r="K320" s="548" t="s">
        <v>48</v>
      </c>
      <c r="L320" s="460" t="s">
        <v>10018</v>
      </c>
      <c r="M320" s="545" t="n">
        <f aca="false">I320-D320</f>
        <v>2628</v>
      </c>
    </row>
    <row r="321" customFormat="false" ht="15" hidden="true" customHeight="true" outlineLevel="0" collapsed="false">
      <c r="A321" s="456" t="n">
        <v>12921</v>
      </c>
      <c r="B321" s="458" t="s">
        <v>10930</v>
      </c>
      <c r="C321" s="458" t="n">
        <v>2021</v>
      </c>
      <c r="D321" s="459" t="n">
        <v>44209</v>
      </c>
      <c r="E321" s="380" t="s">
        <v>10931</v>
      </c>
      <c r="F321" s="460" t="s">
        <v>10932</v>
      </c>
      <c r="G321" s="460" t="s">
        <v>130</v>
      </c>
      <c r="H321" s="380" t="s">
        <v>9351</v>
      </c>
      <c r="I321" s="459" t="n">
        <v>44322</v>
      </c>
      <c r="J321" s="460" t="n">
        <v>5</v>
      </c>
      <c r="K321" s="548" t="s">
        <v>49</v>
      </c>
      <c r="L321" s="452" t="s">
        <v>61</v>
      </c>
      <c r="M321" s="546" t="n">
        <f aca="false">I321-D321</f>
        <v>113</v>
      </c>
    </row>
    <row r="322" customFormat="false" ht="12.75" hidden="true" customHeight="true" outlineLevel="0" collapsed="false">
      <c r="A322" s="449" t="n">
        <v>13021</v>
      </c>
      <c r="B322" s="450" t="s">
        <v>10933</v>
      </c>
      <c r="C322" s="450" t="n">
        <v>2020</v>
      </c>
      <c r="D322" s="451" t="n">
        <v>44186</v>
      </c>
      <c r="E322" s="452" t="s">
        <v>10934</v>
      </c>
      <c r="F322" s="452" t="s">
        <v>10935</v>
      </c>
      <c r="G322" s="378" t="s">
        <v>130</v>
      </c>
      <c r="H322" s="378" t="s">
        <v>3506</v>
      </c>
      <c r="I322" s="451" t="n">
        <v>44326</v>
      </c>
      <c r="J322" s="452" t="n">
        <v>5</v>
      </c>
      <c r="K322" s="547" t="s">
        <v>51</v>
      </c>
      <c r="L322" s="460" t="s">
        <v>61</v>
      </c>
      <c r="M322" s="545" t="n">
        <f aca="false">I322-D322</f>
        <v>140</v>
      </c>
    </row>
    <row r="323" customFormat="false" ht="12.75" hidden="true" customHeight="true" outlineLevel="0" collapsed="false">
      <c r="A323" s="456" t="n">
        <v>13121</v>
      </c>
      <c r="B323" s="458" t="s">
        <v>10936</v>
      </c>
      <c r="C323" s="458" t="n">
        <v>2018</v>
      </c>
      <c r="D323" s="459" t="n">
        <v>43231</v>
      </c>
      <c r="E323" s="380" t="s">
        <v>10937</v>
      </c>
      <c r="F323" s="460" t="s">
        <v>793</v>
      </c>
      <c r="G323" s="460" t="s">
        <v>441</v>
      </c>
      <c r="H323" s="380" t="s">
        <v>1567</v>
      </c>
      <c r="I323" s="459" t="n">
        <v>44326</v>
      </c>
      <c r="J323" s="460" t="n">
        <v>5</v>
      </c>
      <c r="K323" s="548" t="s">
        <v>49</v>
      </c>
      <c r="L323" s="452" t="s">
        <v>10013</v>
      </c>
      <c r="M323" s="546" t="n">
        <f aca="false">I323-D323</f>
        <v>1095</v>
      </c>
    </row>
    <row r="324" customFormat="false" ht="12.75" hidden="true" customHeight="true" outlineLevel="0" collapsed="false">
      <c r="A324" s="449" t="n">
        <v>13221</v>
      </c>
      <c r="B324" s="450" t="s">
        <v>10938</v>
      </c>
      <c r="C324" s="450" t="n">
        <v>2019</v>
      </c>
      <c r="D324" s="451" t="n">
        <v>43543</v>
      </c>
      <c r="E324" s="452" t="s">
        <v>10939</v>
      </c>
      <c r="F324" s="452" t="s">
        <v>3190</v>
      </c>
      <c r="G324" s="378" t="s">
        <v>441</v>
      </c>
      <c r="H324" s="378" t="s">
        <v>749</v>
      </c>
      <c r="I324" s="451" t="n">
        <v>44326</v>
      </c>
      <c r="J324" s="452" t="n">
        <v>5</v>
      </c>
      <c r="K324" s="548" t="s">
        <v>49</v>
      </c>
      <c r="L324" s="460" t="s">
        <v>10013</v>
      </c>
      <c r="M324" s="545" t="n">
        <f aca="false">I324-D324</f>
        <v>783</v>
      </c>
    </row>
    <row r="325" customFormat="false" ht="12.75" hidden="true" customHeight="true" outlineLevel="0" collapsed="false">
      <c r="A325" s="456" t="n">
        <v>13321</v>
      </c>
      <c r="B325" s="458" t="s">
        <v>10940</v>
      </c>
      <c r="C325" s="458" t="n">
        <v>2016</v>
      </c>
      <c r="D325" s="459" t="n">
        <v>42460</v>
      </c>
      <c r="E325" s="380" t="s">
        <v>10941</v>
      </c>
      <c r="F325" s="460" t="s">
        <v>891</v>
      </c>
      <c r="G325" s="460" t="s">
        <v>441</v>
      </c>
      <c r="H325" s="380" t="s">
        <v>450</v>
      </c>
      <c r="I325" s="459" t="n">
        <v>44326</v>
      </c>
      <c r="J325" s="460" t="n">
        <v>5</v>
      </c>
      <c r="K325" s="548" t="s">
        <v>49</v>
      </c>
      <c r="L325" s="452" t="s">
        <v>10013</v>
      </c>
      <c r="M325" s="546" t="n">
        <f aca="false">I325-D325</f>
        <v>1866</v>
      </c>
    </row>
    <row r="326" customFormat="false" ht="12.75" hidden="true" customHeight="true" outlineLevel="0" collapsed="false">
      <c r="A326" s="449" t="n">
        <v>13421</v>
      </c>
      <c r="B326" s="450" t="s">
        <v>10942</v>
      </c>
      <c r="C326" s="450" t="n">
        <v>2015</v>
      </c>
      <c r="D326" s="451" t="n">
        <v>42253</v>
      </c>
      <c r="E326" s="452" t="s">
        <v>10943</v>
      </c>
      <c r="F326" s="452" t="s">
        <v>1609</v>
      </c>
      <c r="G326" s="378" t="s">
        <v>441</v>
      </c>
      <c r="H326" s="378" t="s">
        <v>383</v>
      </c>
      <c r="I326" s="451" t="n">
        <v>44326</v>
      </c>
      <c r="J326" s="452" t="n">
        <v>5</v>
      </c>
      <c r="K326" s="548" t="s">
        <v>48</v>
      </c>
      <c r="L326" s="460" t="s">
        <v>10018</v>
      </c>
      <c r="M326" s="545" t="n">
        <f aca="false">I326-D326</f>
        <v>2073</v>
      </c>
    </row>
    <row r="327" customFormat="false" ht="12.75" hidden="true" customHeight="true" outlineLevel="0" collapsed="false">
      <c r="A327" s="456" t="n">
        <v>13521</v>
      </c>
      <c r="B327" s="458" t="s">
        <v>10944</v>
      </c>
      <c r="C327" s="458" t="n">
        <v>2013</v>
      </c>
      <c r="D327" s="459" t="n">
        <v>41382</v>
      </c>
      <c r="E327" s="380" t="s">
        <v>10945</v>
      </c>
      <c r="F327" s="460" t="s">
        <v>9294</v>
      </c>
      <c r="G327" s="460" t="s">
        <v>441</v>
      </c>
      <c r="H327" s="380" t="s">
        <v>706</v>
      </c>
      <c r="I327" s="459" t="n">
        <v>44326</v>
      </c>
      <c r="J327" s="460" t="n">
        <v>5</v>
      </c>
      <c r="K327" s="549" t="s">
        <v>46</v>
      </c>
      <c r="L327" s="452" t="s">
        <v>10018</v>
      </c>
      <c r="M327" s="546" t="n">
        <f aca="false">I327-D327</f>
        <v>2944</v>
      </c>
    </row>
    <row r="328" customFormat="false" ht="12.75" hidden="true" customHeight="true" outlineLevel="0" collapsed="false">
      <c r="A328" s="449" t="n">
        <v>13621</v>
      </c>
      <c r="B328" s="450" t="s">
        <v>10946</v>
      </c>
      <c r="C328" s="450" t="n">
        <v>2015</v>
      </c>
      <c r="D328" s="451" t="n">
        <v>43158</v>
      </c>
      <c r="E328" s="452" t="s">
        <v>10947</v>
      </c>
      <c r="F328" s="452" t="s">
        <v>3190</v>
      </c>
      <c r="G328" s="378" t="s">
        <v>441</v>
      </c>
      <c r="H328" s="378" t="s">
        <v>243</v>
      </c>
      <c r="I328" s="451" t="n">
        <v>44326</v>
      </c>
      <c r="J328" s="452" t="n">
        <v>5</v>
      </c>
      <c r="K328" s="548" t="s">
        <v>49</v>
      </c>
      <c r="L328" s="460" t="s">
        <v>10013</v>
      </c>
      <c r="M328" s="545" t="n">
        <f aca="false">I328-D328</f>
        <v>1168</v>
      </c>
    </row>
    <row r="329" customFormat="false" ht="12.75" hidden="true" customHeight="true" outlineLevel="0" collapsed="false">
      <c r="A329" s="456" t="n">
        <v>13721</v>
      </c>
      <c r="B329" s="458" t="s">
        <v>10948</v>
      </c>
      <c r="C329" s="458" t="n">
        <v>2014</v>
      </c>
      <c r="D329" s="459" t="n">
        <v>41696</v>
      </c>
      <c r="E329" s="380" t="s">
        <v>10949</v>
      </c>
      <c r="F329" s="460" t="s">
        <v>699</v>
      </c>
      <c r="G329" s="460" t="s">
        <v>441</v>
      </c>
      <c r="H329" s="380" t="s">
        <v>538</v>
      </c>
      <c r="I329" s="459" t="n">
        <v>44326</v>
      </c>
      <c r="J329" s="460" t="n">
        <v>5</v>
      </c>
      <c r="K329" s="548" t="s">
        <v>48</v>
      </c>
      <c r="L329" s="452" t="s">
        <v>10013</v>
      </c>
      <c r="M329" s="546" t="n">
        <f aca="false">I329-D329</f>
        <v>2630</v>
      </c>
    </row>
    <row r="330" customFormat="false" ht="12.75" hidden="true" customHeight="true" outlineLevel="0" collapsed="false">
      <c r="A330" s="449" t="n">
        <v>13821</v>
      </c>
      <c r="B330" s="450" t="s">
        <v>10950</v>
      </c>
      <c r="C330" s="450" t="n">
        <v>2014</v>
      </c>
      <c r="D330" s="451" t="n">
        <v>41674</v>
      </c>
      <c r="E330" s="452" t="s">
        <v>10951</v>
      </c>
      <c r="F330" s="452" t="s">
        <v>793</v>
      </c>
      <c r="G330" s="378" t="s">
        <v>441</v>
      </c>
      <c r="H330" s="378" t="s">
        <v>1567</v>
      </c>
      <c r="I330" s="451" t="n">
        <v>44326</v>
      </c>
      <c r="J330" s="452" t="n">
        <v>5</v>
      </c>
      <c r="K330" s="548" t="s">
        <v>49</v>
      </c>
      <c r="L330" s="460" t="s">
        <v>10013</v>
      </c>
      <c r="M330" s="545" t="n">
        <f aca="false">I330-D330</f>
        <v>2652</v>
      </c>
    </row>
    <row r="331" customFormat="false" ht="12.75" hidden="true" customHeight="true" outlineLevel="0" collapsed="false">
      <c r="A331" s="456" t="n">
        <v>13921</v>
      </c>
      <c r="B331" s="458" t="s">
        <v>10952</v>
      </c>
      <c r="C331" s="458" t="n">
        <v>2014</v>
      </c>
      <c r="D331" s="459" t="n">
        <v>41649</v>
      </c>
      <c r="E331" s="380" t="s">
        <v>10953</v>
      </c>
      <c r="F331" s="460" t="s">
        <v>10954</v>
      </c>
      <c r="G331" s="460" t="s">
        <v>441</v>
      </c>
      <c r="H331" s="380" t="s">
        <v>471</v>
      </c>
      <c r="I331" s="459" t="n">
        <v>44326</v>
      </c>
      <c r="J331" s="460" t="n">
        <v>5</v>
      </c>
      <c r="K331" s="548" t="s">
        <v>49</v>
      </c>
      <c r="L331" s="452" t="s">
        <v>10013</v>
      </c>
      <c r="M331" s="546" t="n">
        <f aca="false">I331-D331</f>
        <v>2677</v>
      </c>
    </row>
    <row r="332" customFormat="false" ht="12.75" hidden="true" customHeight="true" outlineLevel="0" collapsed="false">
      <c r="A332" s="449" t="n">
        <v>14021</v>
      </c>
      <c r="B332" s="450" t="s">
        <v>10955</v>
      </c>
      <c r="C332" s="450" t="n">
        <v>2018</v>
      </c>
      <c r="D332" s="451" t="n">
        <v>43371</v>
      </c>
      <c r="E332" s="452" t="s">
        <v>10956</v>
      </c>
      <c r="F332" s="452" t="s">
        <v>10957</v>
      </c>
      <c r="G332" s="378" t="s">
        <v>441</v>
      </c>
      <c r="H332" s="378" t="s">
        <v>10958</v>
      </c>
      <c r="I332" s="451" t="n">
        <v>44328</v>
      </c>
      <c r="J332" s="452" t="n">
        <v>5</v>
      </c>
      <c r="K332" s="548" t="s">
        <v>49</v>
      </c>
      <c r="L332" s="460" t="s">
        <v>10013</v>
      </c>
      <c r="M332" s="545" t="n">
        <f aca="false">I332-D332</f>
        <v>957</v>
      </c>
    </row>
    <row r="333" customFormat="false" ht="12.75" hidden="true" customHeight="true" outlineLevel="0" collapsed="false">
      <c r="A333" s="456" t="n">
        <v>14121</v>
      </c>
      <c r="B333" s="458" t="s">
        <v>10959</v>
      </c>
      <c r="C333" s="458" t="n">
        <v>2014</v>
      </c>
      <c r="D333" s="459" t="n">
        <v>41743</v>
      </c>
      <c r="E333" s="380" t="s">
        <v>10960</v>
      </c>
      <c r="F333" s="460" t="s">
        <v>10961</v>
      </c>
      <c r="G333" s="460" t="s">
        <v>144</v>
      </c>
      <c r="H333" s="380" t="s">
        <v>1791</v>
      </c>
      <c r="I333" s="459" t="n">
        <v>44334</v>
      </c>
      <c r="J333" s="460" t="n">
        <v>5</v>
      </c>
      <c r="K333" s="548" t="s">
        <v>48</v>
      </c>
      <c r="L333" s="452" t="s">
        <v>10018</v>
      </c>
      <c r="M333" s="546" t="n">
        <f aca="false">I333-D333</f>
        <v>2591</v>
      </c>
    </row>
    <row r="334" customFormat="false" ht="12.75" hidden="true" customHeight="true" outlineLevel="0" collapsed="false">
      <c r="A334" s="449" t="n">
        <v>14221</v>
      </c>
      <c r="B334" s="450" t="s">
        <v>10962</v>
      </c>
      <c r="C334" s="450" t="n">
        <v>2014</v>
      </c>
      <c r="D334" s="451" t="n">
        <v>41892</v>
      </c>
      <c r="E334" s="452" t="s">
        <v>10963</v>
      </c>
      <c r="F334" s="452" t="s">
        <v>512</v>
      </c>
      <c r="G334" s="378" t="s">
        <v>441</v>
      </c>
      <c r="H334" s="378" t="s">
        <v>267</v>
      </c>
      <c r="I334" s="451" t="n">
        <v>44334</v>
      </c>
      <c r="J334" s="452" t="n">
        <v>5</v>
      </c>
      <c r="K334" s="548" t="s">
        <v>49</v>
      </c>
      <c r="L334" s="460" t="s">
        <v>10013</v>
      </c>
      <c r="M334" s="545" t="n">
        <f aca="false">I334-D334</f>
        <v>2442</v>
      </c>
    </row>
    <row r="335" customFormat="false" ht="12.75" hidden="true" customHeight="true" outlineLevel="0" collapsed="false">
      <c r="A335" s="456" t="n">
        <v>14321</v>
      </c>
      <c r="B335" s="458" t="s">
        <v>10964</v>
      </c>
      <c r="C335" s="458" t="n">
        <v>2014</v>
      </c>
      <c r="D335" s="459" t="n">
        <v>41900</v>
      </c>
      <c r="E335" s="380" t="s">
        <v>10965</v>
      </c>
      <c r="F335" s="460" t="s">
        <v>1277</v>
      </c>
      <c r="G335" s="460" t="s">
        <v>441</v>
      </c>
      <c r="H335" s="380" t="s">
        <v>706</v>
      </c>
      <c r="I335" s="459" t="n">
        <v>44334</v>
      </c>
      <c r="J335" s="460" t="n">
        <v>5</v>
      </c>
      <c r="K335" s="549" t="s">
        <v>46</v>
      </c>
      <c r="L335" s="452" t="s">
        <v>10018</v>
      </c>
      <c r="M335" s="546" t="n">
        <f aca="false">I335-D335</f>
        <v>2434</v>
      </c>
    </row>
    <row r="336" customFormat="false" ht="12.75" hidden="true" customHeight="true" outlineLevel="0" collapsed="false">
      <c r="A336" s="449" t="n">
        <v>14421</v>
      </c>
      <c r="B336" s="450" t="s">
        <v>10966</v>
      </c>
      <c r="C336" s="450" t="n">
        <v>2014</v>
      </c>
      <c r="D336" s="451" t="n">
        <v>41905</v>
      </c>
      <c r="E336" s="452" t="s">
        <v>10967</v>
      </c>
      <c r="F336" s="452" t="s">
        <v>1277</v>
      </c>
      <c r="G336" s="378" t="s">
        <v>441</v>
      </c>
      <c r="H336" s="378" t="s">
        <v>706</v>
      </c>
      <c r="I336" s="451" t="n">
        <v>44334</v>
      </c>
      <c r="J336" s="452" t="n">
        <v>5</v>
      </c>
      <c r="K336" s="549" t="s">
        <v>46</v>
      </c>
      <c r="L336" s="460" t="s">
        <v>10018</v>
      </c>
      <c r="M336" s="545" t="n">
        <f aca="false">I336-D336</f>
        <v>2429</v>
      </c>
    </row>
    <row r="337" customFormat="false" ht="12.75" hidden="true" customHeight="true" outlineLevel="0" collapsed="false">
      <c r="A337" s="456" t="n">
        <v>14521</v>
      </c>
      <c r="B337" s="458" t="s">
        <v>10968</v>
      </c>
      <c r="C337" s="458" t="n">
        <v>2014</v>
      </c>
      <c r="D337" s="459" t="n">
        <v>41978</v>
      </c>
      <c r="E337" s="380" t="s">
        <v>10969</v>
      </c>
      <c r="F337" s="460" t="s">
        <v>449</v>
      </c>
      <c r="G337" s="460" t="s">
        <v>144</v>
      </c>
      <c r="H337" s="380" t="s">
        <v>1109</v>
      </c>
      <c r="I337" s="459" t="n">
        <v>44334</v>
      </c>
      <c r="J337" s="460" t="n">
        <v>5</v>
      </c>
      <c r="K337" s="549" t="s">
        <v>46</v>
      </c>
      <c r="L337" s="452" t="s">
        <v>10018</v>
      </c>
      <c r="M337" s="546" t="n">
        <f aca="false">I337-D337</f>
        <v>2356</v>
      </c>
    </row>
    <row r="338" customFormat="false" ht="12.75" hidden="true" customHeight="true" outlineLevel="0" collapsed="false">
      <c r="A338" s="449" t="n">
        <v>14621</v>
      </c>
      <c r="B338" s="450" t="s">
        <v>10970</v>
      </c>
      <c r="C338" s="450" t="n">
        <v>2013</v>
      </c>
      <c r="D338" s="451" t="n">
        <v>41315</v>
      </c>
      <c r="E338" s="452" t="s">
        <v>10971</v>
      </c>
      <c r="F338" s="452" t="s">
        <v>537</v>
      </c>
      <c r="G338" s="378" t="s">
        <v>441</v>
      </c>
      <c r="H338" s="378" t="s">
        <v>1072</v>
      </c>
      <c r="I338" s="451" t="n">
        <v>44334</v>
      </c>
      <c r="J338" s="452" t="n">
        <v>5</v>
      </c>
      <c r="K338" s="548" t="s">
        <v>49</v>
      </c>
      <c r="L338" s="460" t="s">
        <v>10018</v>
      </c>
      <c r="M338" s="545" t="n">
        <f aca="false">I338-D338</f>
        <v>3019</v>
      </c>
    </row>
    <row r="339" customFormat="false" ht="15" hidden="true" customHeight="true" outlineLevel="0" collapsed="false">
      <c r="A339" s="456" t="n">
        <v>14721</v>
      </c>
      <c r="B339" s="458" t="s">
        <v>10972</v>
      </c>
      <c r="C339" s="458" t="n">
        <v>2018</v>
      </c>
      <c r="D339" s="459" t="n">
        <v>43231</v>
      </c>
      <c r="E339" s="380" t="s">
        <v>10973</v>
      </c>
      <c r="F339" s="460" t="s">
        <v>6504</v>
      </c>
      <c r="G339" s="460" t="s">
        <v>441</v>
      </c>
      <c r="H339" s="380" t="s">
        <v>1567</v>
      </c>
      <c r="I339" s="459" t="n">
        <v>44334</v>
      </c>
      <c r="J339" s="460" t="n">
        <v>5</v>
      </c>
      <c r="K339" s="548" t="s">
        <v>49</v>
      </c>
      <c r="L339" s="452" t="s">
        <v>10013</v>
      </c>
      <c r="M339" s="546" t="n">
        <f aca="false">I339-D339</f>
        <v>1103</v>
      </c>
    </row>
    <row r="340" customFormat="false" ht="12.75" hidden="true" customHeight="true" outlineLevel="0" collapsed="false">
      <c r="A340" s="449" t="n">
        <v>14821</v>
      </c>
      <c r="B340" s="450" t="s">
        <v>10974</v>
      </c>
      <c r="C340" s="450" t="n">
        <v>2017</v>
      </c>
      <c r="D340" s="451" t="n">
        <v>42912</v>
      </c>
      <c r="E340" s="452" t="s">
        <v>10975</v>
      </c>
      <c r="F340" s="452" t="s">
        <v>4956</v>
      </c>
      <c r="G340" s="378" t="s">
        <v>441</v>
      </c>
      <c r="H340" s="378" t="s">
        <v>124</v>
      </c>
      <c r="I340" s="451" t="n">
        <v>44334</v>
      </c>
      <c r="J340" s="452" t="n">
        <v>5</v>
      </c>
      <c r="K340" s="548" t="s">
        <v>49</v>
      </c>
      <c r="L340" s="460" t="s">
        <v>10018</v>
      </c>
      <c r="M340" s="545" t="n">
        <f aca="false">I340-D340</f>
        <v>1422</v>
      </c>
    </row>
    <row r="341" customFormat="false" ht="12.75" hidden="true" customHeight="true" outlineLevel="0" collapsed="false">
      <c r="A341" s="456" t="n">
        <v>14921</v>
      </c>
      <c r="B341" s="458" t="s">
        <v>10976</v>
      </c>
      <c r="C341" s="458" t="n">
        <v>2017</v>
      </c>
      <c r="D341" s="459" t="n">
        <v>42912</v>
      </c>
      <c r="E341" s="380" t="s">
        <v>10977</v>
      </c>
      <c r="F341" s="460" t="s">
        <v>4956</v>
      </c>
      <c r="G341" s="460" t="s">
        <v>441</v>
      </c>
      <c r="H341" s="380" t="s">
        <v>124</v>
      </c>
      <c r="I341" s="459" t="n">
        <v>44334</v>
      </c>
      <c r="J341" s="460" t="n">
        <v>5</v>
      </c>
      <c r="K341" s="548" t="s">
        <v>49</v>
      </c>
      <c r="L341" s="452" t="s">
        <v>10018</v>
      </c>
      <c r="M341" s="546" t="n">
        <f aca="false">I341-D341</f>
        <v>1422</v>
      </c>
    </row>
    <row r="342" customFormat="false" ht="12.75" hidden="true" customHeight="true" outlineLevel="0" collapsed="false">
      <c r="A342" s="449" t="n">
        <v>15021</v>
      </c>
      <c r="B342" s="450" t="s">
        <v>10978</v>
      </c>
      <c r="C342" s="450" t="n">
        <v>2017</v>
      </c>
      <c r="D342" s="451" t="n">
        <v>42912</v>
      </c>
      <c r="E342" s="452" t="s">
        <v>10979</v>
      </c>
      <c r="F342" s="452" t="s">
        <v>4956</v>
      </c>
      <c r="G342" s="378" t="s">
        <v>441</v>
      </c>
      <c r="H342" s="378" t="s">
        <v>124</v>
      </c>
      <c r="I342" s="451" t="n">
        <v>44334</v>
      </c>
      <c r="J342" s="452" t="n">
        <v>5</v>
      </c>
      <c r="K342" s="548" t="s">
        <v>49</v>
      </c>
      <c r="L342" s="460" t="s">
        <v>10018</v>
      </c>
      <c r="M342" s="545" t="n">
        <f aca="false">I342-D342</f>
        <v>1422</v>
      </c>
    </row>
    <row r="343" customFormat="false" ht="12.75" hidden="true" customHeight="true" outlineLevel="0" collapsed="false">
      <c r="A343" s="456" t="n">
        <v>15121</v>
      </c>
      <c r="B343" s="458" t="s">
        <v>10980</v>
      </c>
      <c r="C343" s="458" t="n">
        <v>2017</v>
      </c>
      <c r="D343" s="459" t="n">
        <v>42912</v>
      </c>
      <c r="E343" s="380" t="s">
        <v>10981</v>
      </c>
      <c r="F343" s="460" t="s">
        <v>4956</v>
      </c>
      <c r="G343" s="460" t="s">
        <v>441</v>
      </c>
      <c r="H343" s="380" t="s">
        <v>124</v>
      </c>
      <c r="I343" s="459" t="n">
        <v>44334</v>
      </c>
      <c r="J343" s="460" t="n">
        <v>5</v>
      </c>
      <c r="K343" s="548" t="s">
        <v>49</v>
      </c>
      <c r="L343" s="452" t="s">
        <v>10018</v>
      </c>
      <c r="M343" s="546" t="n">
        <f aca="false">I343-D343</f>
        <v>1422</v>
      </c>
    </row>
    <row r="344" customFormat="false" ht="12.75" hidden="true" customHeight="true" outlineLevel="0" collapsed="false">
      <c r="A344" s="449" t="n">
        <v>15221</v>
      </c>
      <c r="B344" s="450" t="s">
        <v>10982</v>
      </c>
      <c r="C344" s="450" t="n">
        <v>2018</v>
      </c>
      <c r="D344" s="451" t="n">
        <v>43354</v>
      </c>
      <c r="E344" s="452" t="s">
        <v>10983</v>
      </c>
      <c r="F344" s="452" t="s">
        <v>10856</v>
      </c>
      <c r="G344" s="378" t="s">
        <v>441</v>
      </c>
      <c r="H344" s="378" t="s">
        <v>124</v>
      </c>
      <c r="I344" s="451" t="n">
        <v>44334</v>
      </c>
      <c r="J344" s="452" t="n">
        <v>5</v>
      </c>
      <c r="K344" s="550" t="s">
        <v>42</v>
      </c>
      <c r="L344" s="460" t="s">
        <v>10013</v>
      </c>
      <c r="M344" s="545" t="n">
        <f aca="false">I344-D344</f>
        <v>980</v>
      </c>
    </row>
    <row r="345" customFormat="false" ht="15" hidden="true" customHeight="true" outlineLevel="0" collapsed="false">
      <c r="A345" s="456" t="n">
        <v>15321</v>
      </c>
      <c r="B345" s="458" t="s">
        <v>10984</v>
      </c>
      <c r="C345" s="458" t="n">
        <v>2017</v>
      </c>
      <c r="D345" s="459" t="n">
        <v>43095</v>
      </c>
      <c r="E345" s="380" t="s">
        <v>10985</v>
      </c>
      <c r="F345" s="460" t="s">
        <v>10986</v>
      </c>
      <c r="G345" s="460" t="s">
        <v>441</v>
      </c>
      <c r="H345" s="380" t="s">
        <v>10987</v>
      </c>
      <c r="I345" s="459" t="n">
        <v>44337</v>
      </c>
      <c r="J345" s="460" t="n">
        <v>5</v>
      </c>
      <c r="K345" s="548" t="s">
        <v>49</v>
      </c>
      <c r="L345" s="452" t="s">
        <v>10018</v>
      </c>
      <c r="M345" s="546" t="n">
        <f aca="false">I345-D345</f>
        <v>1242</v>
      </c>
    </row>
    <row r="346" customFormat="false" ht="15" hidden="true" customHeight="true" outlineLevel="0" collapsed="false">
      <c r="A346" s="449" t="n">
        <v>15421</v>
      </c>
      <c r="B346" s="450" t="s">
        <v>10988</v>
      </c>
      <c r="C346" s="450" t="n">
        <v>2013</v>
      </c>
      <c r="D346" s="451" t="n">
        <v>41418</v>
      </c>
      <c r="E346" s="452" t="s">
        <v>10989</v>
      </c>
      <c r="F346" s="452" t="s">
        <v>10990</v>
      </c>
      <c r="G346" s="378" t="s">
        <v>441</v>
      </c>
      <c r="H346" s="378" t="s">
        <v>9017</v>
      </c>
      <c r="I346" s="451" t="n">
        <v>44337</v>
      </c>
      <c r="J346" s="452" t="n">
        <v>5</v>
      </c>
      <c r="K346" s="548" t="s">
        <v>49</v>
      </c>
      <c r="L346" s="460" t="s">
        <v>10013</v>
      </c>
      <c r="M346" s="545" t="n">
        <f aca="false">I346-D346</f>
        <v>2919</v>
      </c>
    </row>
    <row r="347" customFormat="false" ht="15" hidden="true" customHeight="true" outlineLevel="0" collapsed="false">
      <c r="A347" s="456" t="n">
        <v>15521</v>
      </c>
      <c r="B347" s="458" t="s">
        <v>10991</v>
      </c>
      <c r="C347" s="458" t="n">
        <v>2017</v>
      </c>
      <c r="D347" s="459" t="n">
        <v>42895</v>
      </c>
      <c r="E347" s="380" t="s">
        <v>10992</v>
      </c>
      <c r="F347" s="460" t="s">
        <v>180</v>
      </c>
      <c r="G347" s="460" t="s">
        <v>441</v>
      </c>
      <c r="H347" s="380" t="s">
        <v>124</v>
      </c>
      <c r="I347" s="459" t="n">
        <v>44337</v>
      </c>
      <c r="J347" s="460" t="n">
        <v>5</v>
      </c>
      <c r="K347" s="548" t="s">
        <v>49</v>
      </c>
      <c r="L347" s="452" t="s">
        <v>10018</v>
      </c>
      <c r="M347" s="546" t="n">
        <f aca="false">I347-D347</f>
        <v>1442</v>
      </c>
    </row>
    <row r="348" customFormat="false" ht="15" hidden="true" customHeight="true" outlineLevel="0" collapsed="false">
      <c r="A348" s="449" t="n">
        <v>15621</v>
      </c>
      <c r="B348" s="450" t="s">
        <v>10993</v>
      </c>
      <c r="C348" s="450" t="n">
        <v>2013</v>
      </c>
      <c r="D348" s="451" t="n">
        <v>41456</v>
      </c>
      <c r="E348" s="452" t="s">
        <v>10994</v>
      </c>
      <c r="F348" s="452" t="s">
        <v>10995</v>
      </c>
      <c r="G348" s="378" t="s">
        <v>441</v>
      </c>
      <c r="H348" s="378" t="s">
        <v>995</v>
      </c>
      <c r="I348" s="451" t="n">
        <v>44342</v>
      </c>
      <c r="J348" s="452" t="n">
        <v>5</v>
      </c>
      <c r="K348" s="548" t="s">
        <v>48</v>
      </c>
      <c r="L348" s="460" t="s">
        <v>10013</v>
      </c>
      <c r="M348" s="545" t="s">
        <v>10996</v>
      </c>
    </row>
    <row r="349" customFormat="false" ht="12.75" hidden="true" customHeight="true" outlineLevel="0" collapsed="false">
      <c r="A349" s="456" t="n">
        <v>15721</v>
      </c>
      <c r="B349" s="458" t="s">
        <v>10997</v>
      </c>
      <c r="C349" s="458" t="n">
        <v>2020</v>
      </c>
      <c r="D349" s="459" t="n">
        <v>44173</v>
      </c>
      <c r="E349" s="380" t="s">
        <v>10998</v>
      </c>
      <c r="F349" s="460" t="s">
        <v>9785</v>
      </c>
      <c r="G349" s="460" t="s">
        <v>130</v>
      </c>
      <c r="H349" s="380" t="s">
        <v>10999</v>
      </c>
      <c r="I349" s="459" t="n">
        <v>44342</v>
      </c>
      <c r="J349" s="460" t="n">
        <v>5</v>
      </c>
      <c r="K349" s="548" t="s">
        <v>49</v>
      </c>
      <c r="L349" s="452" t="s">
        <v>61</v>
      </c>
      <c r="M349" s="546" t="n">
        <f aca="false">I349-D349</f>
        <v>169</v>
      </c>
    </row>
    <row r="350" customFormat="false" ht="12.75" hidden="true" customHeight="true" outlineLevel="0" collapsed="false">
      <c r="A350" s="449" t="n">
        <v>15821</v>
      </c>
      <c r="B350" s="450" t="s">
        <v>11000</v>
      </c>
      <c r="C350" s="450" t="n">
        <v>2020</v>
      </c>
      <c r="D350" s="451" t="n">
        <v>43954</v>
      </c>
      <c r="E350" s="452" t="s">
        <v>11001</v>
      </c>
      <c r="F350" s="553" t="s">
        <v>11002</v>
      </c>
      <c r="G350" s="378" t="s">
        <v>125</v>
      </c>
      <c r="H350" s="378" t="s">
        <v>10913</v>
      </c>
      <c r="I350" s="451" t="n">
        <v>44342</v>
      </c>
      <c r="J350" s="452" t="n">
        <v>5</v>
      </c>
      <c r="K350" s="548" t="s">
        <v>49</v>
      </c>
      <c r="L350" s="460" t="s">
        <v>61</v>
      </c>
      <c r="M350" s="545" t="n">
        <f aca="false">I350-D350</f>
        <v>388</v>
      </c>
    </row>
    <row r="351" customFormat="false" ht="12.75" hidden="true" customHeight="true" outlineLevel="0" collapsed="false">
      <c r="A351" s="456" t="n">
        <v>15921</v>
      </c>
      <c r="B351" s="458" t="s">
        <v>11003</v>
      </c>
      <c r="C351" s="458" t="n">
        <v>2020</v>
      </c>
      <c r="D351" s="459" t="n">
        <v>43953</v>
      </c>
      <c r="E351" s="380" t="s">
        <v>11004</v>
      </c>
      <c r="F351" s="554" t="s">
        <v>11002</v>
      </c>
      <c r="G351" s="460" t="s">
        <v>125</v>
      </c>
      <c r="H351" s="380" t="s">
        <v>10913</v>
      </c>
      <c r="I351" s="459" t="n">
        <v>44342</v>
      </c>
      <c r="J351" s="460" t="n">
        <v>5</v>
      </c>
      <c r="K351" s="548" t="s">
        <v>49</v>
      </c>
      <c r="L351" s="452" t="s">
        <v>61</v>
      </c>
      <c r="M351" s="546" t="n">
        <f aca="false">I351-D351</f>
        <v>389</v>
      </c>
    </row>
    <row r="352" customFormat="false" ht="12.75" hidden="true" customHeight="true" outlineLevel="0" collapsed="false">
      <c r="A352" s="449" t="n">
        <v>16021</v>
      </c>
      <c r="B352" s="450" t="s">
        <v>11005</v>
      </c>
      <c r="C352" s="450" t="n">
        <v>2021</v>
      </c>
      <c r="D352" s="451" t="n">
        <v>44244</v>
      </c>
      <c r="E352" s="452" t="s">
        <v>11006</v>
      </c>
      <c r="F352" s="553" t="s">
        <v>11002</v>
      </c>
      <c r="G352" s="378" t="s">
        <v>130</v>
      </c>
      <c r="H352" s="378" t="s">
        <v>9693</v>
      </c>
      <c r="I352" s="451" t="n">
        <v>44342</v>
      </c>
      <c r="J352" s="452" t="n">
        <v>5</v>
      </c>
      <c r="K352" s="548" t="s">
        <v>49</v>
      </c>
      <c r="L352" s="460" t="s">
        <v>61</v>
      </c>
      <c r="M352" s="545" t="n">
        <f aca="false">I352-D352</f>
        <v>98</v>
      </c>
    </row>
    <row r="353" customFormat="false" ht="12.75" hidden="true" customHeight="true" outlineLevel="0" collapsed="false">
      <c r="A353" s="456" t="n">
        <v>16121</v>
      </c>
      <c r="B353" s="458" t="s">
        <v>11007</v>
      </c>
      <c r="C353" s="458" t="n">
        <v>2021</v>
      </c>
      <c r="D353" s="459" t="n">
        <v>44200</v>
      </c>
      <c r="E353" s="380" t="s">
        <v>11008</v>
      </c>
      <c r="F353" s="554" t="s">
        <v>11009</v>
      </c>
      <c r="G353" s="460" t="s">
        <v>130</v>
      </c>
      <c r="H353" s="380" t="s">
        <v>11010</v>
      </c>
      <c r="I353" s="459" t="n">
        <v>44342</v>
      </c>
      <c r="J353" s="460" t="n">
        <v>5</v>
      </c>
      <c r="K353" s="548" t="s">
        <v>49</v>
      </c>
      <c r="L353" s="452" t="s">
        <v>61</v>
      </c>
      <c r="M353" s="546" t="n">
        <f aca="false">I353-D353</f>
        <v>142</v>
      </c>
    </row>
    <row r="354" customFormat="false" ht="12.75" hidden="true" customHeight="true" outlineLevel="0" collapsed="false">
      <c r="A354" s="449" t="n">
        <v>16221</v>
      </c>
      <c r="B354" s="450" t="s">
        <v>11011</v>
      </c>
      <c r="C354" s="450" t="n">
        <v>2019</v>
      </c>
      <c r="D354" s="451" t="n">
        <v>43494</v>
      </c>
      <c r="E354" s="452" t="s">
        <v>11012</v>
      </c>
      <c r="F354" s="452" t="s">
        <v>11013</v>
      </c>
      <c r="G354" s="378" t="s">
        <v>144</v>
      </c>
      <c r="H354" s="378" t="s">
        <v>6149</v>
      </c>
      <c r="I354" s="451" t="n">
        <v>44342</v>
      </c>
      <c r="J354" s="452" t="n">
        <v>5</v>
      </c>
      <c r="K354" s="548" t="s">
        <v>49</v>
      </c>
      <c r="L354" s="460" t="s">
        <v>10013</v>
      </c>
      <c r="M354" s="545" t="n">
        <f aca="false">I354-D354</f>
        <v>848</v>
      </c>
    </row>
    <row r="355" customFormat="false" ht="12.75" hidden="true" customHeight="true" outlineLevel="0" collapsed="false">
      <c r="A355" s="456" t="n">
        <v>16321</v>
      </c>
      <c r="B355" s="458" t="s">
        <v>11014</v>
      </c>
      <c r="C355" s="458" t="n">
        <v>2012</v>
      </c>
      <c r="D355" s="459" t="n">
        <v>41107</v>
      </c>
      <c r="E355" s="380" t="s">
        <v>11015</v>
      </c>
      <c r="F355" s="460" t="s">
        <v>3844</v>
      </c>
      <c r="G355" s="460" t="s">
        <v>441</v>
      </c>
      <c r="H355" s="380" t="s">
        <v>471</v>
      </c>
      <c r="I355" s="459" t="n">
        <v>44342</v>
      </c>
      <c r="J355" s="460" t="n">
        <v>5</v>
      </c>
      <c r="K355" s="548" t="s">
        <v>49</v>
      </c>
      <c r="L355" s="452" t="s">
        <v>10018</v>
      </c>
      <c r="M355" s="546" t="n">
        <f aca="false">I355-D355</f>
        <v>3235</v>
      </c>
    </row>
    <row r="356" customFormat="false" ht="12.75" hidden="true" customHeight="true" outlineLevel="0" collapsed="false">
      <c r="A356" s="449" t="n">
        <v>16421</v>
      </c>
      <c r="B356" s="450" t="s">
        <v>11016</v>
      </c>
      <c r="C356" s="450" t="n">
        <v>2012</v>
      </c>
      <c r="D356" s="451" t="n">
        <v>41107</v>
      </c>
      <c r="E356" s="452" t="s">
        <v>11017</v>
      </c>
      <c r="F356" s="452" t="s">
        <v>3844</v>
      </c>
      <c r="G356" s="378" t="s">
        <v>441</v>
      </c>
      <c r="H356" s="378" t="s">
        <v>471</v>
      </c>
      <c r="I356" s="451" t="n">
        <v>44342</v>
      </c>
      <c r="J356" s="452" t="n">
        <v>5</v>
      </c>
      <c r="K356" s="548" t="s">
        <v>49</v>
      </c>
      <c r="L356" s="460" t="s">
        <v>10018</v>
      </c>
      <c r="M356" s="545" t="n">
        <f aca="false">I356-D356</f>
        <v>3235</v>
      </c>
    </row>
    <row r="357" customFormat="false" ht="15" hidden="true" customHeight="true" outlineLevel="0" collapsed="false">
      <c r="A357" s="456" t="n">
        <v>16521</v>
      </c>
      <c r="B357" s="458" t="s">
        <v>11018</v>
      </c>
      <c r="C357" s="458" t="n">
        <v>2014</v>
      </c>
      <c r="D357" s="459" t="n">
        <v>41970</v>
      </c>
      <c r="E357" s="380" t="s">
        <v>11019</v>
      </c>
      <c r="F357" s="460" t="s">
        <v>11020</v>
      </c>
      <c r="G357" s="460" t="s">
        <v>144</v>
      </c>
      <c r="H357" s="380" t="s">
        <v>5589</v>
      </c>
      <c r="I357" s="459" t="n">
        <v>44342</v>
      </c>
      <c r="J357" s="460" t="n">
        <v>5</v>
      </c>
      <c r="K357" s="548" t="s">
        <v>48</v>
      </c>
      <c r="L357" s="452" t="s">
        <v>10018</v>
      </c>
      <c r="M357" s="546" t="n">
        <f aca="false">I357-D357</f>
        <v>2372</v>
      </c>
    </row>
    <row r="358" customFormat="false" ht="12.75" hidden="true" customHeight="true" outlineLevel="0" collapsed="false">
      <c r="A358" s="449" t="n">
        <v>16621</v>
      </c>
      <c r="B358" s="450" t="s">
        <v>11021</v>
      </c>
      <c r="C358" s="450" t="n">
        <v>2021</v>
      </c>
      <c r="D358" s="451" t="n">
        <v>44245</v>
      </c>
      <c r="E358" s="452" t="s">
        <v>11022</v>
      </c>
      <c r="F358" s="452" t="s">
        <v>6303</v>
      </c>
      <c r="G358" s="378" t="s">
        <v>130</v>
      </c>
      <c r="H358" s="378" t="s">
        <v>9693</v>
      </c>
      <c r="I358" s="451" t="n">
        <v>44342</v>
      </c>
      <c r="J358" s="452" t="n">
        <v>5</v>
      </c>
      <c r="K358" s="548" t="s">
        <v>49</v>
      </c>
      <c r="L358" s="460" t="s">
        <v>61</v>
      </c>
      <c r="M358" s="545" t="n">
        <f aca="false">I358-D358</f>
        <v>97</v>
      </c>
    </row>
    <row r="359" customFormat="false" ht="12.75" hidden="true" customHeight="true" outlineLevel="0" collapsed="false">
      <c r="A359" s="456" t="n">
        <v>16721</v>
      </c>
      <c r="B359" s="458" t="s">
        <v>11023</v>
      </c>
      <c r="C359" s="458" t="n">
        <v>2014</v>
      </c>
      <c r="D359" s="459" t="n">
        <v>41991</v>
      </c>
      <c r="E359" s="380" t="s">
        <v>11024</v>
      </c>
      <c r="F359" s="460" t="s">
        <v>11025</v>
      </c>
      <c r="G359" s="460" t="s">
        <v>441</v>
      </c>
      <c r="H359" s="380" t="s">
        <v>223</v>
      </c>
      <c r="I359" s="459" t="n">
        <v>44342</v>
      </c>
      <c r="J359" s="460" t="n">
        <v>5</v>
      </c>
      <c r="K359" s="548" t="s">
        <v>49</v>
      </c>
      <c r="L359" s="452" t="s">
        <v>10013</v>
      </c>
      <c r="M359" s="546" t="n">
        <f aca="false">I359-D359</f>
        <v>2351</v>
      </c>
    </row>
    <row r="360" customFormat="false" ht="12.75" hidden="true" customHeight="true" outlineLevel="0" collapsed="false">
      <c r="A360" s="449" t="n">
        <v>16821</v>
      </c>
      <c r="B360" s="450" t="s">
        <v>11026</v>
      </c>
      <c r="C360" s="450" t="n">
        <v>2014</v>
      </c>
      <c r="D360" s="451" t="n">
        <v>41726</v>
      </c>
      <c r="E360" s="452" t="s">
        <v>11027</v>
      </c>
      <c r="F360" s="452" t="s">
        <v>787</v>
      </c>
      <c r="G360" s="378" t="s">
        <v>441</v>
      </c>
      <c r="H360" s="378" t="s">
        <v>184</v>
      </c>
      <c r="I360" s="451" t="n">
        <v>44344</v>
      </c>
      <c r="J360" s="452" t="n">
        <v>5</v>
      </c>
      <c r="K360" s="548" t="s">
        <v>48</v>
      </c>
      <c r="L360" s="460" t="s">
        <v>10013</v>
      </c>
      <c r="M360" s="545" t="n">
        <f aca="false">I360-D360</f>
        <v>2618</v>
      </c>
    </row>
    <row r="361" customFormat="false" ht="15" hidden="true" customHeight="true" outlineLevel="0" collapsed="false">
      <c r="A361" s="456" t="n">
        <v>16921</v>
      </c>
      <c r="B361" s="458" t="s">
        <v>11028</v>
      </c>
      <c r="C361" s="458" t="n">
        <v>2013</v>
      </c>
      <c r="D361" s="459" t="n">
        <v>41549</v>
      </c>
      <c r="E361" s="380" t="s">
        <v>11029</v>
      </c>
      <c r="F361" s="460" t="s">
        <v>1277</v>
      </c>
      <c r="G361" s="460" t="s">
        <v>441</v>
      </c>
      <c r="H361" s="380" t="s">
        <v>1059</v>
      </c>
      <c r="I361" s="459" t="n">
        <v>44344</v>
      </c>
      <c r="J361" s="460" t="n">
        <v>5</v>
      </c>
      <c r="K361" s="549" t="s">
        <v>46</v>
      </c>
      <c r="L361" s="452" t="s">
        <v>10018</v>
      </c>
      <c r="M361" s="546" t="n">
        <f aca="false">I361-D361</f>
        <v>2795</v>
      </c>
    </row>
    <row r="362" customFormat="false" ht="12.75" hidden="true" customHeight="true" outlineLevel="0" collapsed="false">
      <c r="A362" s="449" t="n">
        <v>17021</v>
      </c>
      <c r="B362" s="450" t="s">
        <v>11030</v>
      </c>
      <c r="C362" s="450" t="n">
        <v>2013</v>
      </c>
      <c r="D362" s="451" t="n">
        <v>41361</v>
      </c>
      <c r="E362" s="452" t="s">
        <v>11031</v>
      </c>
      <c r="F362" s="452" t="s">
        <v>11032</v>
      </c>
      <c r="G362" s="378" t="s">
        <v>115</v>
      </c>
      <c r="H362" s="378" t="s">
        <v>11033</v>
      </c>
      <c r="I362" s="451" t="n">
        <v>44347</v>
      </c>
      <c r="J362" s="452" t="n">
        <v>5</v>
      </c>
      <c r="K362" s="548" t="s">
        <v>49</v>
      </c>
      <c r="L362" s="460" t="s">
        <v>10018</v>
      </c>
      <c r="M362" s="545" t="n">
        <f aca="false">I362-D362</f>
        <v>2986</v>
      </c>
    </row>
    <row r="363" customFormat="false" ht="12.75" hidden="true" customHeight="true" outlineLevel="0" collapsed="false">
      <c r="A363" s="456" t="n">
        <v>17121</v>
      </c>
      <c r="B363" s="458" t="s">
        <v>11034</v>
      </c>
      <c r="C363" s="458" t="n">
        <v>2014</v>
      </c>
      <c r="D363" s="459" t="n">
        <v>41880</v>
      </c>
      <c r="E363" s="380" t="s">
        <v>11035</v>
      </c>
      <c r="F363" s="460" t="s">
        <v>11036</v>
      </c>
      <c r="G363" s="460" t="s">
        <v>115</v>
      </c>
      <c r="H363" s="380" t="s">
        <v>6476</v>
      </c>
      <c r="I363" s="459" t="n">
        <v>44358</v>
      </c>
      <c r="J363" s="460" t="n">
        <v>6</v>
      </c>
      <c r="K363" s="547" t="s">
        <v>51</v>
      </c>
      <c r="L363" s="452" t="s">
        <v>10018</v>
      </c>
      <c r="M363" s="546" t="n">
        <f aca="false">I363-D363</f>
        <v>2478</v>
      </c>
    </row>
    <row r="364" customFormat="false" ht="12.75" hidden="true" customHeight="true" outlineLevel="0" collapsed="false">
      <c r="A364" s="449" t="n">
        <v>17221</v>
      </c>
      <c r="B364" s="450" t="s">
        <v>11037</v>
      </c>
      <c r="C364" s="450" t="n">
        <v>2017</v>
      </c>
      <c r="D364" s="451" t="n">
        <v>42928</v>
      </c>
      <c r="E364" s="378" t="s">
        <v>11038</v>
      </c>
      <c r="F364" s="452" t="s">
        <v>1025</v>
      </c>
      <c r="G364" s="378" t="s">
        <v>441</v>
      </c>
      <c r="H364" s="378" t="s">
        <v>1231</v>
      </c>
      <c r="I364" s="451" t="n">
        <v>44358</v>
      </c>
      <c r="J364" s="452" t="n">
        <v>6</v>
      </c>
      <c r="K364" s="548" t="s">
        <v>49</v>
      </c>
      <c r="L364" s="460" t="s">
        <v>10018</v>
      </c>
      <c r="M364" s="545" t="n">
        <f aca="false">I364-D364</f>
        <v>1430</v>
      </c>
    </row>
    <row r="365" customFormat="false" ht="12.75" hidden="true" customHeight="true" outlineLevel="0" collapsed="false">
      <c r="A365" s="456" t="n">
        <v>17321</v>
      </c>
      <c r="B365" s="458" t="s">
        <v>11039</v>
      </c>
      <c r="C365" s="458" t="n">
        <v>2014</v>
      </c>
      <c r="D365" s="459" t="n">
        <v>41806</v>
      </c>
      <c r="E365" s="380" t="s">
        <v>11040</v>
      </c>
      <c r="F365" s="460" t="s">
        <v>3844</v>
      </c>
      <c r="G365" s="460" t="s">
        <v>441</v>
      </c>
      <c r="H365" s="380" t="s">
        <v>354</v>
      </c>
      <c r="I365" s="459" t="n">
        <v>44358</v>
      </c>
      <c r="J365" s="460" t="n">
        <v>6</v>
      </c>
      <c r="K365" s="548" t="s">
        <v>49</v>
      </c>
      <c r="L365" s="452" t="s">
        <v>10018</v>
      </c>
      <c r="M365" s="546" t="n">
        <f aca="false">I365-D365</f>
        <v>2552</v>
      </c>
    </row>
    <row r="366" customFormat="false" ht="12.75" hidden="true" customHeight="true" outlineLevel="0" collapsed="false">
      <c r="A366" s="449" t="n">
        <v>17421</v>
      </c>
      <c r="B366" s="450" t="s">
        <v>11041</v>
      </c>
      <c r="C366" s="450" t="n">
        <v>2015</v>
      </c>
      <c r="D366" s="451" t="n">
        <v>42146</v>
      </c>
      <c r="E366" s="452" t="s">
        <v>11042</v>
      </c>
      <c r="F366" s="452" t="s">
        <v>11043</v>
      </c>
      <c r="G366" s="378" t="s">
        <v>441</v>
      </c>
      <c r="H366" s="378" t="s">
        <v>1072</v>
      </c>
      <c r="I366" s="451" t="n">
        <v>44358</v>
      </c>
      <c r="J366" s="452" t="n">
        <v>6</v>
      </c>
      <c r="K366" s="548" t="s">
        <v>49</v>
      </c>
      <c r="L366" s="460" t="s">
        <v>10018</v>
      </c>
      <c r="M366" s="545" t="n">
        <f aca="false">I366-D366</f>
        <v>2212</v>
      </c>
    </row>
    <row r="367" customFormat="false" ht="12.75" hidden="true" customHeight="true" outlineLevel="0" collapsed="false">
      <c r="A367" s="456" t="n">
        <v>17521</v>
      </c>
      <c r="B367" s="458" t="s">
        <v>11044</v>
      </c>
      <c r="C367" s="458" t="n">
        <v>2011</v>
      </c>
      <c r="D367" s="459" t="n">
        <v>40584</v>
      </c>
      <c r="E367" s="380" t="s">
        <v>11045</v>
      </c>
      <c r="F367" s="460" t="s">
        <v>1693</v>
      </c>
      <c r="G367" s="460" t="s">
        <v>441</v>
      </c>
      <c r="H367" s="380" t="s">
        <v>354</v>
      </c>
      <c r="I367" s="459" t="n">
        <v>44362</v>
      </c>
      <c r="J367" s="460" t="n">
        <v>6</v>
      </c>
      <c r="K367" s="548" t="s">
        <v>48</v>
      </c>
      <c r="L367" s="452" t="s">
        <v>10018</v>
      </c>
      <c r="M367" s="546" t="n">
        <f aca="false">I367-D367</f>
        <v>3778</v>
      </c>
    </row>
    <row r="368" customFormat="false" ht="12.75" hidden="true" customHeight="true" outlineLevel="0" collapsed="false">
      <c r="A368" s="449" t="n">
        <v>17621</v>
      </c>
      <c r="B368" s="450" t="s">
        <v>11046</v>
      </c>
      <c r="C368" s="450" t="n">
        <v>2015</v>
      </c>
      <c r="D368" s="451" t="n">
        <v>42041</v>
      </c>
      <c r="E368" s="452" t="s">
        <v>11047</v>
      </c>
      <c r="F368" s="452" t="s">
        <v>11048</v>
      </c>
      <c r="G368" s="378" t="s">
        <v>144</v>
      </c>
      <c r="H368" s="378" t="s">
        <v>119</v>
      </c>
      <c r="I368" s="451" t="n">
        <v>44371</v>
      </c>
      <c r="J368" s="452" t="n">
        <v>6</v>
      </c>
      <c r="K368" s="548" t="s">
        <v>49</v>
      </c>
      <c r="L368" s="460" t="s">
        <v>10013</v>
      </c>
      <c r="M368" s="545" t="n">
        <f aca="false">I368-D368</f>
        <v>2330</v>
      </c>
    </row>
    <row r="369" customFormat="false" ht="12.75" hidden="true" customHeight="true" outlineLevel="0" collapsed="false">
      <c r="A369" s="456" t="n">
        <v>17721</v>
      </c>
      <c r="B369" s="458" t="s">
        <v>11049</v>
      </c>
      <c r="C369" s="458" t="n">
        <v>2020</v>
      </c>
      <c r="D369" s="459" t="n">
        <v>44188</v>
      </c>
      <c r="E369" s="460" t="s">
        <v>11050</v>
      </c>
      <c r="F369" s="551" t="s">
        <v>11051</v>
      </c>
      <c r="G369" s="460" t="s">
        <v>130</v>
      </c>
      <c r="H369" s="380" t="s">
        <v>398</v>
      </c>
      <c r="I369" s="459" t="n">
        <v>44371</v>
      </c>
      <c r="J369" s="460" t="n">
        <v>6</v>
      </c>
      <c r="K369" s="547" t="s">
        <v>51</v>
      </c>
      <c r="L369" s="452" t="s">
        <v>61</v>
      </c>
      <c r="M369" s="546" t="n">
        <f aca="false">I369-D369</f>
        <v>183</v>
      </c>
    </row>
    <row r="370" customFormat="false" ht="12.75" hidden="true" customHeight="true" outlineLevel="0" collapsed="false">
      <c r="A370" s="449" t="n">
        <v>17821</v>
      </c>
      <c r="B370" s="450" t="s">
        <v>11052</v>
      </c>
      <c r="C370" s="450" t="n">
        <v>2014</v>
      </c>
      <c r="D370" s="451" t="n">
        <v>41708</v>
      </c>
      <c r="E370" s="452" t="s">
        <v>11053</v>
      </c>
      <c r="F370" s="378" t="s">
        <v>1357</v>
      </c>
      <c r="G370" s="452" t="s">
        <v>441</v>
      </c>
      <c r="H370" s="378" t="s">
        <v>11054</v>
      </c>
      <c r="I370" s="451" t="n">
        <v>44371</v>
      </c>
      <c r="J370" s="452" t="n">
        <v>6</v>
      </c>
      <c r="K370" s="548" t="s">
        <v>48</v>
      </c>
      <c r="L370" s="460" t="s">
        <v>10018</v>
      </c>
      <c r="M370" s="545" t="n">
        <f aca="false">I370-D370</f>
        <v>2663</v>
      </c>
    </row>
    <row r="371" customFormat="false" ht="12.75" hidden="true" customHeight="true" outlineLevel="0" collapsed="false">
      <c r="A371" s="456" t="n">
        <v>17921</v>
      </c>
      <c r="B371" s="458" t="s">
        <v>11055</v>
      </c>
      <c r="C371" s="458" t="n">
        <v>2014</v>
      </c>
      <c r="D371" s="459" t="n">
        <v>41807</v>
      </c>
      <c r="E371" s="460" t="s">
        <v>11056</v>
      </c>
      <c r="F371" s="380" t="s">
        <v>9647</v>
      </c>
      <c r="G371" s="460" t="s">
        <v>441</v>
      </c>
      <c r="H371" s="380" t="s">
        <v>1501</v>
      </c>
      <c r="I371" s="459" t="n">
        <v>44371</v>
      </c>
      <c r="J371" s="460" t="n">
        <v>6</v>
      </c>
      <c r="K371" s="548" t="s">
        <v>48</v>
      </c>
      <c r="L371" s="452" t="s">
        <v>10013</v>
      </c>
      <c r="M371" s="546" t="n">
        <f aca="false">I371-D371</f>
        <v>2564</v>
      </c>
    </row>
    <row r="372" customFormat="false" ht="12.75" hidden="true" customHeight="true" outlineLevel="0" collapsed="false">
      <c r="A372" s="449" t="n">
        <v>18021</v>
      </c>
      <c r="B372" s="450" t="s">
        <v>11057</v>
      </c>
      <c r="C372" s="450" t="n">
        <v>2014</v>
      </c>
      <c r="D372" s="451" t="n">
        <v>41977</v>
      </c>
      <c r="E372" s="452" t="s">
        <v>11058</v>
      </c>
      <c r="F372" s="378" t="s">
        <v>8232</v>
      </c>
      <c r="G372" s="452" t="s">
        <v>441</v>
      </c>
      <c r="H372" s="378" t="s">
        <v>706</v>
      </c>
      <c r="I372" s="451" t="n">
        <v>44371</v>
      </c>
      <c r="J372" s="452" t="n">
        <v>6</v>
      </c>
      <c r="K372" s="548" t="s">
        <v>49</v>
      </c>
      <c r="L372" s="460" t="s">
        <v>10013</v>
      </c>
      <c r="M372" s="545" t="n">
        <f aca="false">I372-D372</f>
        <v>2394</v>
      </c>
    </row>
    <row r="373" customFormat="false" ht="15" hidden="true" customHeight="true" outlineLevel="0" collapsed="false">
      <c r="A373" s="456" t="n">
        <v>18121</v>
      </c>
      <c r="B373" s="458" t="s">
        <v>11059</v>
      </c>
      <c r="C373" s="458" t="n">
        <v>2015</v>
      </c>
      <c r="D373" s="459" t="n">
        <v>42359</v>
      </c>
      <c r="E373" s="460" t="s">
        <v>11060</v>
      </c>
      <c r="F373" s="380" t="s">
        <v>3190</v>
      </c>
      <c r="G373" s="460" t="s">
        <v>441</v>
      </c>
      <c r="H373" s="380" t="s">
        <v>10987</v>
      </c>
      <c r="I373" s="459" t="n">
        <v>44371</v>
      </c>
      <c r="J373" s="460" t="n">
        <v>6</v>
      </c>
      <c r="K373" s="548" t="s">
        <v>48</v>
      </c>
      <c r="L373" s="452" t="s">
        <v>10013</v>
      </c>
      <c r="M373" s="546" t="n">
        <f aca="false">I373-D373</f>
        <v>2012</v>
      </c>
    </row>
    <row r="374" customFormat="false" ht="12.75" hidden="true" customHeight="true" outlineLevel="0" collapsed="false">
      <c r="A374" s="449" t="n">
        <v>18221</v>
      </c>
      <c r="B374" s="450" t="s">
        <v>11061</v>
      </c>
      <c r="C374" s="450" t="n">
        <v>2013</v>
      </c>
      <c r="D374" s="451" t="n">
        <v>41604</v>
      </c>
      <c r="E374" s="452" t="s">
        <v>11062</v>
      </c>
      <c r="F374" s="378" t="s">
        <v>1156</v>
      </c>
      <c r="G374" s="452" t="s">
        <v>441</v>
      </c>
      <c r="H374" s="378" t="s">
        <v>2452</v>
      </c>
      <c r="I374" s="451" t="n">
        <v>44371</v>
      </c>
      <c r="J374" s="452" t="n">
        <v>6</v>
      </c>
      <c r="K374" s="549" t="s">
        <v>46</v>
      </c>
      <c r="L374" s="460" t="s">
        <v>10018</v>
      </c>
      <c r="M374" s="545" t="n">
        <f aca="false">I374-D374</f>
        <v>2767</v>
      </c>
    </row>
    <row r="375" customFormat="false" ht="12.75" hidden="true" customHeight="true" outlineLevel="0" collapsed="false">
      <c r="A375" s="456" t="n">
        <v>18321</v>
      </c>
      <c r="B375" s="458" t="s">
        <v>11063</v>
      </c>
      <c r="C375" s="458" t="n">
        <v>2011</v>
      </c>
      <c r="D375" s="459" t="n">
        <v>40798</v>
      </c>
      <c r="E375" s="460" t="s">
        <v>11064</v>
      </c>
      <c r="F375" s="380" t="s">
        <v>11065</v>
      </c>
      <c r="G375" s="460" t="s">
        <v>144</v>
      </c>
      <c r="H375" s="380" t="s">
        <v>11066</v>
      </c>
      <c r="I375" s="459" t="n">
        <v>44371</v>
      </c>
      <c r="J375" s="460" t="n">
        <v>6</v>
      </c>
      <c r="K375" s="548" t="s">
        <v>48</v>
      </c>
      <c r="L375" s="452" t="s">
        <v>10018</v>
      </c>
      <c r="M375" s="546" t="n">
        <f aca="false">I375-D375</f>
        <v>3573</v>
      </c>
    </row>
    <row r="376" customFormat="false" ht="12.75" hidden="true" customHeight="true" outlineLevel="0" collapsed="false">
      <c r="A376" s="449" t="n">
        <v>18421</v>
      </c>
      <c r="B376" s="450" t="s">
        <v>11067</v>
      </c>
      <c r="C376" s="450" t="n">
        <v>2016</v>
      </c>
      <c r="D376" s="451" t="n">
        <v>42576</v>
      </c>
      <c r="E376" s="452" t="s">
        <v>11068</v>
      </c>
      <c r="F376" s="378" t="s">
        <v>11069</v>
      </c>
      <c r="G376" s="452" t="s">
        <v>441</v>
      </c>
      <c r="H376" s="378" t="s">
        <v>402</v>
      </c>
      <c r="I376" s="451" t="n">
        <v>44371</v>
      </c>
      <c r="J376" s="452" t="n">
        <v>6</v>
      </c>
      <c r="K376" s="548" t="s">
        <v>49</v>
      </c>
      <c r="L376" s="460" t="s">
        <v>10013</v>
      </c>
      <c r="M376" s="545" t="n">
        <f aca="false">I376-D376</f>
        <v>1795</v>
      </c>
    </row>
    <row r="377" customFormat="false" ht="12.75" hidden="true" customHeight="true" outlineLevel="0" collapsed="false">
      <c r="A377" s="456" t="n">
        <v>18521</v>
      </c>
      <c r="B377" s="458" t="s">
        <v>11070</v>
      </c>
      <c r="C377" s="458" t="n">
        <v>2018</v>
      </c>
      <c r="D377" s="459" t="n">
        <v>43409</v>
      </c>
      <c r="E377" s="460" t="s">
        <v>11071</v>
      </c>
      <c r="F377" s="380" t="s">
        <v>902</v>
      </c>
      <c r="G377" s="460" t="s">
        <v>441</v>
      </c>
      <c r="H377" s="380" t="s">
        <v>4205</v>
      </c>
      <c r="I377" s="459" t="n">
        <v>44371</v>
      </c>
      <c r="J377" s="460" t="n">
        <v>6</v>
      </c>
      <c r="K377" s="550" t="s">
        <v>42</v>
      </c>
      <c r="L377" s="452" t="s">
        <v>10018</v>
      </c>
      <c r="M377" s="546" t="n">
        <f aca="false">I377-D377</f>
        <v>962</v>
      </c>
    </row>
    <row r="378" customFormat="false" ht="12.75" hidden="true" customHeight="true" outlineLevel="0" collapsed="false">
      <c r="A378" s="449" t="n">
        <v>18621</v>
      </c>
      <c r="B378" s="450" t="s">
        <v>11072</v>
      </c>
      <c r="C378" s="450" t="n">
        <v>2014</v>
      </c>
      <c r="D378" s="451" t="n">
        <v>41901</v>
      </c>
      <c r="E378" s="452" t="s">
        <v>11073</v>
      </c>
      <c r="F378" s="378" t="s">
        <v>191</v>
      </c>
      <c r="G378" s="452" t="s">
        <v>144</v>
      </c>
      <c r="H378" s="378" t="s">
        <v>5589</v>
      </c>
      <c r="I378" s="451" t="n">
        <v>44371</v>
      </c>
      <c r="J378" s="452" t="n">
        <v>6</v>
      </c>
      <c r="K378" s="547" t="s">
        <v>51</v>
      </c>
      <c r="L378" s="460" t="s">
        <v>10018</v>
      </c>
      <c r="M378" s="545" t="n">
        <f aca="false">I378-D378</f>
        <v>2470</v>
      </c>
    </row>
    <row r="379" customFormat="false" ht="12.75" hidden="true" customHeight="true" outlineLevel="0" collapsed="false">
      <c r="A379" s="456" t="n">
        <v>18721</v>
      </c>
      <c r="B379" s="458" t="s">
        <v>11074</v>
      </c>
      <c r="C379" s="458" t="n">
        <v>2014</v>
      </c>
      <c r="D379" s="459" t="n">
        <v>41901</v>
      </c>
      <c r="E379" s="460" t="s">
        <v>11075</v>
      </c>
      <c r="F379" s="380" t="s">
        <v>191</v>
      </c>
      <c r="G379" s="460" t="s">
        <v>144</v>
      </c>
      <c r="H379" s="380" t="s">
        <v>5589</v>
      </c>
      <c r="I379" s="459" t="n">
        <v>44371</v>
      </c>
      <c r="J379" s="460" t="n">
        <v>6</v>
      </c>
      <c r="K379" s="547" t="s">
        <v>51</v>
      </c>
      <c r="L379" s="452" t="s">
        <v>10018</v>
      </c>
      <c r="M379" s="546" t="n">
        <f aca="false">I379-D379</f>
        <v>2470</v>
      </c>
    </row>
    <row r="380" customFormat="false" ht="12.75" hidden="true" customHeight="true" outlineLevel="0" collapsed="false">
      <c r="A380" s="449" t="n">
        <v>18821</v>
      </c>
      <c r="B380" s="450" t="s">
        <v>11076</v>
      </c>
      <c r="C380" s="450" t="n">
        <v>2020</v>
      </c>
      <c r="D380" s="451" t="n">
        <v>44050</v>
      </c>
      <c r="E380" s="452" t="s">
        <v>11077</v>
      </c>
      <c r="F380" s="537" t="s">
        <v>3207</v>
      </c>
      <c r="G380" s="452" t="s">
        <v>130</v>
      </c>
      <c r="H380" s="378" t="s">
        <v>11078</v>
      </c>
      <c r="I380" s="451" t="n">
        <v>44386</v>
      </c>
      <c r="J380" s="452" t="n">
        <v>7</v>
      </c>
      <c r="K380" s="547" t="s">
        <v>51</v>
      </c>
      <c r="L380" s="460" t="s">
        <v>61</v>
      </c>
      <c r="M380" s="545" t="n">
        <f aca="false">I380-D380</f>
        <v>336</v>
      </c>
    </row>
    <row r="381" customFormat="false" ht="12.75" hidden="true" customHeight="true" outlineLevel="0" collapsed="false">
      <c r="A381" s="456" t="n">
        <v>18921</v>
      </c>
      <c r="B381" s="458" t="s">
        <v>11079</v>
      </c>
      <c r="C381" s="458" t="n">
        <v>2020</v>
      </c>
      <c r="D381" s="459" t="n">
        <v>44188</v>
      </c>
      <c r="E381" s="460" t="s">
        <v>11080</v>
      </c>
      <c r="F381" s="551" t="s">
        <v>11081</v>
      </c>
      <c r="G381" s="460" t="s">
        <v>130</v>
      </c>
      <c r="H381" s="380" t="s">
        <v>11082</v>
      </c>
      <c r="I381" s="459" t="n">
        <v>44386</v>
      </c>
      <c r="J381" s="460" t="n">
        <v>7</v>
      </c>
      <c r="K381" s="547" t="s">
        <v>51</v>
      </c>
      <c r="L381" s="452" t="s">
        <v>61</v>
      </c>
      <c r="M381" s="546" t="n">
        <f aca="false">I381-D381</f>
        <v>198</v>
      </c>
    </row>
    <row r="382" customFormat="false" ht="12.75" hidden="true" customHeight="true" outlineLevel="0" collapsed="false">
      <c r="A382" s="449" t="n">
        <v>19021</v>
      </c>
      <c r="B382" s="450" t="s">
        <v>11083</v>
      </c>
      <c r="C382" s="450" t="n">
        <v>2021</v>
      </c>
      <c r="D382" s="451" t="n">
        <v>44292</v>
      </c>
      <c r="E382" s="452" t="s">
        <v>11084</v>
      </c>
      <c r="F382" s="378" t="s">
        <v>10932</v>
      </c>
      <c r="G382" s="452" t="s">
        <v>130</v>
      </c>
      <c r="H382" s="378" t="s">
        <v>10832</v>
      </c>
      <c r="I382" s="451" t="n">
        <v>44386</v>
      </c>
      <c r="J382" s="452" t="n">
        <v>7</v>
      </c>
      <c r="K382" s="548" t="s">
        <v>49</v>
      </c>
      <c r="L382" s="460" t="s">
        <v>61</v>
      </c>
      <c r="M382" s="545" t="n">
        <f aca="false">I382-D382</f>
        <v>94</v>
      </c>
    </row>
    <row r="383" customFormat="false" ht="12.75" hidden="true" customHeight="true" outlineLevel="0" collapsed="false">
      <c r="A383" s="456" t="n">
        <v>19121</v>
      </c>
      <c r="B383" s="458" t="s">
        <v>11085</v>
      </c>
      <c r="C383" s="458" t="n">
        <v>2019</v>
      </c>
      <c r="D383" s="459" t="n">
        <v>43775</v>
      </c>
      <c r="E383" s="460" t="s">
        <v>11086</v>
      </c>
      <c r="F383" s="536" t="s">
        <v>10840</v>
      </c>
      <c r="G383" s="460" t="s">
        <v>125</v>
      </c>
      <c r="H383" s="380" t="s">
        <v>513</v>
      </c>
      <c r="I383" s="459" t="n">
        <v>44386</v>
      </c>
      <c r="J383" s="460" t="n">
        <v>7</v>
      </c>
      <c r="K383" s="547" t="s">
        <v>51</v>
      </c>
      <c r="L383" s="452" t="s">
        <v>61</v>
      </c>
      <c r="M383" s="546" t="n">
        <f aca="false">I383-D383</f>
        <v>611</v>
      </c>
    </row>
    <row r="384" customFormat="false" ht="12.75" hidden="true" customHeight="true" outlineLevel="0" collapsed="false">
      <c r="A384" s="449" t="n">
        <v>19221</v>
      </c>
      <c r="B384" s="450" t="s">
        <v>11087</v>
      </c>
      <c r="C384" s="450" t="n">
        <v>2021</v>
      </c>
      <c r="D384" s="451" t="n">
        <v>44258</v>
      </c>
      <c r="E384" s="452" t="s">
        <v>11088</v>
      </c>
      <c r="F384" s="537" t="s">
        <v>6315</v>
      </c>
      <c r="G384" s="452" t="s">
        <v>130</v>
      </c>
      <c r="H384" s="378" t="s">
        <v>10832</v>
      </c>
      <c r="I384" s="451" t="n">
        <v>44386</v>
      </c>
      <c r="J384" s="452" t="n">
        <v>7</v>
      </c>
      <c r="K384" s="548" t="s">
        <v>49</v>
      </c>
      <c r="L384" s="460" t="s">
        <v>61</v>
      </c>
      <c r="M384" s="545" t="n">
        <f aca="false">I384-D384</f>
        <v>128</v>
      </c>
    </row>
    <row r="385" customFormat="false" ht="15" hidden="true" customHeight="true" outlineLevel="0" collapsed="false">
      <c r="A385" s="456" t="n">
        <v>19321</v>
      </c>
      <c r="B385" s="458" t="s">
        <v>11089</v>
      </c>
      <c r="C385" s="458" t="n">
        <v>2014</v>
      </c>
      <c r="D385" s="459" t="n">
        <v>41745</v>
      </c>
      <c r="E385" s="460" t="s">
        <v>11090</v>
      </c>
      <c r="F385" s="380" t="s">
        <v>11091</v>
      </c>
      <c r="G385" s="460" t="s">
        <v>441</v>
      </c>
      <c r="H385" s="380" t="s">
        <v>471</v>
      </c>
      <c r="I385" s="459" t="n">
        <v>44386</v>
      </c>
      <c r="J385" s="460" t="n">
        <v>7</v>
      </c>
      <c r="K385" s="548" t="s">
        <v>49</v>
      </c>
      <c r="L385" s="452" t="s">
        <v>10013</v>
      </c>
      <c r="M385" s="546" t="n">
        <f aca="false">I385-D385</f>
        <v>2641</v>
      </c>
    </row>
    <row r="386" customFormat="false" ht="15" hidden="true" customHeight="true" outlineLevel="0" collapsed="false">
      <c r="A386" s="449" t="n">
        <v>19421</v>
      </c>
      <c r="B386" s="450" t="s">
        <v>11092</v>
      </c>
      <c r="C386" s="450" t="n">
        <v>2014</v>
      </c>
      <c r="D386" s="451" t="n">
        <v>41752</v>
      </c>
      <c r="E386" s="452" t="s">
        <v>11093</v>
      </c>
      <c r="F386" s="378" t="s">
        <v>11094</v>
      </c>
      <c r="G386" s="452" t="s">
        <v>144</v>
      </c>
      <c r="H386" s="378" t="s">
        <v>119</v>
      </c>
      <c r="I386" s="451" t="n">
        <v>44386</v>
      </c>
      <c r="J386" s="452" t="n">
        <v>7</v>
      </c>
      <c r="K386" s="549" t="s">
        <v>46</v>
      </c>
      <c r="L386" s="460" t="s">
        <v>10018</v>
      </c>
      <c r="M386" s="545" t="n">
        <f aca="false">I386-D386</f>
        <v>2634</v>
      </c>
    </row>
    <row r="387" customFormat="false" ht="12.75" hidden="true" customHeight="true" outlineLevel="0" collapsed="false">
      <c r="A387" s="456" t="n">
        <v>19521</v>
      </c>
      <c r="B387" s="458" t="s">
        <v>11095</v>
      </c>
      <c r="C387" s="458" t="n">
        <v>2021</v>
      </c>
      <c r="D387" s="459" t="n">
        <v>44210</v>
      </c>
      <c r="E387" s="460" t="s">
        <v>11096</v>
      </c>
      <c r="F387" s="380" t="s">
        <v>3946</v>
      </c>
      <c r="G387" s="460" t="s">
        <v>125</v>
      </c>
      <c r="H387" s="380" t="s">
        <v>11097</v>
      </c>
      <c r="I387" s="459" t="n">
        <v>44386</v>
      </c>
      <c r="J387" s="460" t="n">
        <v>7</v>
      </c>
      <c r="K387" s="547" t="s">
        <v>51</v>
      </c>
      <c r="L387" s="452" t="s">
        <v>61</v>
      </c>
      <c r="M387" s="546" t="n">
        <f aca="false">I387-D387</f>
        <v>176</v>
      </c>
    </row>
    <row r="388" customFormat="false" ht="12.75" hidden="true" customHeight="true" outlineLevel="0" collapsed="false">
      <c r="A388" s="449" t="n">
        <v>19621</v>
      </c>
      <c r="B388" s="450" t="s">
        <v>11098</v>
      </c>
      <c r="C388" s="450" t="n">
        <v>2014</v>
      </c>
      <c r="D388" s="451" t="n">
        <v>41919</v>
      </c>
      <c r="E388" s="452" t="s">
        <v>11099</v>
      </c>
      <c r="F388" s="378" t="s">
        <v>1987</v>
      </c>
      <c r="G388" s="452" t="s">
        <v>144</v>
      </c>
      <c r="H388" s="378" t="s">
        <v>1791</v>
      </c>
      <c r="I388" s="451" t="n">
        <v>44386</v>
      </c>
      <c r="J388" s="452" t="n">
        <v>7</v>
      </c>
      <c r="K388" s="548" t="s">
        <v>48</v>
      </c>
      <c r="L388" s="460" t="s">
        <v>10018</v>
      </c>
      <c r="M388" s="545" t="n">
        <f aca="false">I388-D388</f>
        <v>2467</v>
      </c>
    </row>
    <row r="389" customFormat="false" ht="12.75" hidden="true" customHeight="true" outlineLevel="0" collapsed="false">
      <c r="A389" s="456" t="n">
        <v>19721</v>
      </c>
      <c r="B389" s="458" t="s">
        <v>11100</v>
      </c>
      <c r="C389" s="458" t="n">
        <v>2021</v>
      </c>
      <c r="D389" s="459" t="n">
        <v>44251</v>
      </c>
      <c r="E389" s="460" t="s">
        <v>11101</v>
      </c>
      <c r="F389" s="536" t="s">
        <v>6361</v>
      </c>
      <c r="G389" s="460" t="s">
        <v>130</v>
      </c>
      <c r="H389" s="380" t="s">
        <v>10832</v>
      </c>
      <c r="I389" s="459" t="n">
        <v>44386</v>
      </c>
      <c r="J389" s="460" t="n">
        <v>7</v>
      </c>
      <c r="K389" s="548" t="s">
        <v>49</v>
      </c>
      <c r="L389" s="452" t="s">
        <v>61</v>
      </c>
      <c r="M389" s="546" t="n">
        <f aca="false">I389-D389</f>
        <v>135</v>
      </c>
    </row>
    <row r="390" customFormat="false" ht="12.75" hidden="true" customHeight="true" outlineLevel="0" collapsed="false">
      <c r="A390" s="449" t="n">
        <v>19821</v>
      </c>
      <c r="B390" s="450" t="s">
        <v>11102</v>
      </c>
      <c r="C390" s="450" t="n">
        <v>2021</v>
      </c>
      <c r="D390" s="451" t="n">
        <v>44312</v>
      </c>
      <c r="E390" s="452" t="s">
        <v>11103</v>
      </c>
      <c r="F390" s="537" t="s">
        <v>10932</v>
      </c>
      <c r="G390" s="452" t="s">
        <v>130</v>
      </c>
      <c r="H390" s="378" t="s">
        <v>10832</v>
      </c>
      <c r="I390" s="451" t="n">
        <v>44386</v>
      </c>
      <c r="J390" s="452" t="n">
        <v>7</v>
      </c>
      <c r="K390" s="548" t="s">
        <v>49</v>
      </c>
      <c r="L390" s="460" t="s">
        <v>61</v>
      </c>
      <c r="M390" s="545" t="n">
        <f aca="false">I390-D390</f>
        <v>74</v>
      </c>
    </row>
    <row r="391" customFormat="false" ht="12.75" hidden="true" customHeight="true" outlineLevel="0" collapsed="false">
      <c r="A391" s="456" t="n">
        <v>19921</v>
      </c>
      <c r="B391" s="458" t="s">
        <v>11104</v>
      </c>
      <c r="C391" s="458" t="n">
        <v>2021</v>
      </c>
      <c r="D391" s="459" t="n">
        <v>44229</v>
      </c>
      <c r="E391" s="460" t="s">
        <v>11105</v>
      </c>
      <c r="F391" s="536" t="s">
        <v>11106</v>
      </c>
      <c r="G391" s="460" t="s">
        <v>130</v>
      </c>
      <c r="H391" s="380" t="s">
        <v>3553</v>
      </c>
      <c r="I391" s="459" t="n">
        <v>44386</v>
      </c>
      <c r="J391" s="460" t="n">
        <v>7</v>
      </c>
      <c r="K391" s="547" t="s">
        <v>51</v>
      </c>
      <c r="L391" s="452" t="s">
        <v>61</v>
      </c>
      <c r="M391" s="546" t="n">
        <f aca="false">I391-D391</f>
        <v>157</v>
      </c>
    </row>
    <row r="392" customFormat="false" ht="12.75" hidden="true" customHeight="true" outlineLevel="0" collapsed="false">
      <c r="A392" s="449" t="n">
        <v>20021</v>
      </c>
      <c r="B392" s="450" t="s">
        <v>11107</v>
      </c>
      <c r="C392" s="450" t="n">
        <v>2014</v>
      </c>
      <c r="D392" s="451" t="n">
        <v>41745</v>
      </c>
      <c r="E392" s="452" t="s">
        <v>11108</v>
      </c>
      <c r="F392" s="378" t="s">
        <v>11091</v>
      </c>
      <c r="G392" s="452" t="s">
        <v>441</v>
      </c>
      <c r="H392" s="378" t="s">
        <v>471</v>
      </c>
      <c r="I392" s="451" t="n">
        <v>44386</v>
      </c>
      <c r="J392" s="452" t="n">
        <v>7</v>
      </c>
      <c r="K392" s="548" t="s">
        <v>49</v>
      </c>
      <c r="L392" s="460" t="s">
        <v>10013</v>
      </c>
      <c r="M392" s="545" t="n">
        <f aca="false">I392-D392</f>
        <v>2641</v>
      </c>
    </row>
    <row r="393" customFormat="false" ht="12.75" hidden="true" customHeight="true" outlineLevel="0" collapsed="false">
      <c r="A393" s="456" t="n">
        <v>20121</v>
      </c>
      <c r="B393" s="458" t="s">
        <v>11109</v>
      </c>
      <c r="C393" s="458" t="n">
        <v>2014</v>
      </c>
      <c r="D393" s="459" t="n">
        <v>41736</v>
      </c>
      <c r="E393" s="460" t="s">
        <v>11110</v>
      </c>
      <c r="F393" s="380" t="s">
        <v>11094</v>
      </c>
      <c r="G393" s="460" t="s">
        <v>144</v>
      </c>
      <c r="H393" s="380" t="s">
        <v>119</v>
      </c>
      <c r="I393" s="459" t="n">
        <v>44386</v>
      </c>
      <c r="J393" s="460" t="n">
        <v>7</v>
      </c>
      <c r="K393" s="549" t="s">
        <v>46</v>
      </c>
      <c r="L393" s="452" t="s">
        <v>10018</v>
      </c>
      <c r="M393" s="546" t="n">
        <f aca="false">I393-D393</f>
        <v>2650</v>
      </c>
    </row>
    <row r="394" customFormat="false" ht="12.75" hidden="true" customHeight="true" outlineLevel="0" collapsed="false">
      <c r="A394" s="449" t="n">
        <v>20221</v>
      </c>
      <c r="B394" s="450" t="s">
        <v>11111</v>
      </c>
      <c r="C394" s="450" t="n">
        <v>2020</v>
      </c>
      <c r="D394" s="451" t="n">
        <v>43951</v>
      </c>
      <c r="E394" s="452" t="s">
        <v>11112</v>
      </c>
      <c r="F394" s="378" t="s">
        <v>793</v>
      </c>
      <c r="G394" s="452" t="s">
        <v>441</v>
      </c>
      <c r="H394" s="378" t="s">
        <v>243</v>
      </c>
      <c r="I394" s="451" t="n">
        <v>44386</v>
      </c>
      <c r="J394" s="452" t="n">
        <v>7</v>
      </c>
      <c r="K394" s="548" t="s">
        <v>49</v>
      </c>
      <c r="L394" s="460" t="s">
        <v>10018</v>
      </c>
      <c r="M394" s="545" t="n">
        <f aca="false">I394-D394</f>
        <v>435</v>
      </c>
    </row>
    <row r="395" customFormat="false" ht="12.75" hidden="true" customHeight="true" outlineLevel="0" collapsed="false">
      <c r="A395" s="456" t="n">
        <v>20321</v>
      </c>
      <c r="B395" s="458" t="s">
        <v>11113</v>
      </c>
      <c r="C395" s="458" t="n">
        <v>2021</v>
      </c>
      <c r="D395" s="459" t="n">
        <v>44252</v>
      </c>
      <c r="E395" s="460" t="s">
        <v>11114</v>
      </c>
      <c r="F395" s="536" t="s">
        <v>8040</v>
      </c>
      <c r="G395" s="460" t="s">
        <v>130</v>
      </c>
      <c r="H395" s="380" t="s">
        <v>10653</v>
      </c>
      <c r="I395" s="459" t="n">
        <v>44386</v>
      </c>
      <c r="J395" s="460" t="n">
        <v>7</v>
      </c>
      <c r="K395" s="547" t="s">
        <v>51</v>
      </c>
      <c r="L395" s="452" t="s">
        <v>61</v>
      </c>
      <c r="M395" s="546" t="n">
        <f aca="false">I395-D395</f>
        <v>134</v>
      </c>
    </row>
    <row r="396" customFormat="false" ht="12.75" hidden="true" customHeight="true" outlineLevel="0" collapsed="false">
      <c r="A396" s="449" t="n">
        <v>20421</v>
      </c>
      <c r="B396" s="450" t="s">
        <v>11115</v>
      </c>
      <c r="C396" s="450" t="n">
        <v>2020</v>
      </c>
      <c r="D396" s="451" t="n">
        <v>44182</v>
      </c>
      <c r="E396" s="452" t="s">
        <v>11116</v>
      </c>
      <c r="F396" s="537" t="s">
        <v>11117</v>
      </c>
      <c r="G396" s="452" t="s">
        <v>125</v>
      </c>
      <c r="H396" s="378" t="s">
        <v>980</v>
      </c>
      <c r="I396" s="451" t="n">
        <v>44389</v>
      </c>
      <c r="J396" s="452" t="n">
        <v>7</v>
      </c>
      <c r="K396" s="548" t="s">
        <v>49</v>
      </c>
      <c r="L396" s="460" t="s">
        <v>61</v>
      </c>
      <c r="M396" s="545" t="n">
        <f aca="false">I396-D396</f>
        <v>207</v>
      </c>
    </row>
    <row r="397" customFormat="false" ht="12.75" hidden="true" customHeight="true" outlineLevel="0" collapsed="false">
      <c r="A397" s="456" t="n">
        <v>20521</v>
      </c>
      <c r="B397" s="458" t="s">
        <v>11118</v>
      </c>
      <c r="C397" s="458" t="n">
        <v>2013</v>
      </c>
      <c r="D397" s="459" t="n">
        <v>41397</v>
      </c>
      <c r="E397" s="460" t="s">
        <v>11119</v>
      </c>
      <c r="F397" s="380" t="s">
        <v>537</v>
      </c>
      <c r="G397" s="460" t="s">
        <v>144</v>
      </c>
      <c r="H397" s="380" t="s">
        <v>373</v>
      </c>
      <c r="I397" s="459" t="n">
        <v>44389</v>
      </c>
      <c r="J397" s="460" t="n">
        <v>7</v>
      </c>
      <c r="K397" s="548" t="s">
        <v>49</v>
      </c>
      <c r="L397" s="452" t="s">
        <v>10013</v>
      </c>
      <c r="M397" s="546" t="n">
        <f aca="false">I397-D397</f>
        <v>2992</v>
      </c>
    </row>
    <row r="398" customFormat="false" ht="12.75" hidden="true" customHeight="true" outlineLevel="0" collapsed="false">
      <c r="A398" s="449" t="n">
        <v>20621</v>
      </c>
      <c r="B398" s="450" t="s">
        <v>11120</v>
      </c>
      <c r="C398" s="450" t="n">
        <v>2013</v>
      </c>
      <c r="D398" s="451" t="n">
        <v>41620</v>
      </c>
      <c r="E398" s="452" t="s">
        <v>11121</v>
      </c>
      <c r="F398" s="378" t="s">
        <v>180</v>
      </c>
      <c r="G398" s="452" t="s">
        <v>441</v>
      </c>
      <c r="H398" s="378" t="s">
        <v>243</v>
      </c>
      <c r="I398" s="451" t="n">
        <v>44389</v>
      </c>
      <c r="J398" s="452" t="n">
        <v>7</v>
      </c>
      <c r="K398" s="548" t="s">
        <v>49</v>
      </c>
      <c r="L398" s="460" t="s">
        <v>10013</v>
      </c>
      <c r="M398" s="545" t="n">
        <f aca="false">I398-D398</f>
        <v>2769</v>
      </c>
    </row>
    <row r="399" customFormat="false" ht="12.75" hidden="true" customHeight="true" outlineLevel="0" collapsed="false">
      <c r="A399" s="456" t="n">
        <v>20721</v>
      </c>
      <c r="B399" s="458" t="s">
        <v>11122</v>
      </c>
      <c r="C399" s="458" t="n">
        <v>2013</v>
      </c>
      <c r="D399" s="459" t="n">
        <v>41620</v>
      </c>
      <c r="E399" s="460" t="s">
        <v>11123</v>
      </c>
      <c r="F399" s="380" t="s">
        <v>3243</v>
      </c>
      <c r="G399" s="460" t="s">
        <v>441</v>
      </c>
      <c r="H399" s="380" t="s">
        <v>243</v>
      </c>
      <c r="I399" s="459" t="n">
        <v>44389</v>
      </c>
      <c r="J399" s="460" t="n">
        <v>7</v>
      </c>
      <c r="K399" s="548" t="s">
        <v>48</v>
      </c>
      <c r="L399" s="452" t="s">
        <v>10013</v>
      </c>
      <c r="M399" s="546" t="n">
        <f aca="false">I399-D399</f>
        <v>2769</v>
      </c>
    </row>
    <row r="400" customFormat="false" ht="12.75" hidden="true" customHeight="true" outlineLevel="0" collapsed="false">
      <c r="A400" s="449" t="n">
        <v>20821</v>
      </c>
      <c r="B400" s="450" t="s">
        <v>11124</v>
      </c>
      <c r="C400" s="450" t="n">
        <v>2017</v>
      </c>
      <c r="D400" s="451" t="n">
        <v>43091</v>
      </c>
      <c r="E400" s="452" t="s">
        <v>11125</v>
      </c>
      <c r="F400" s="378" t="s">
        <v>11126</v>
      </c>
      <c r="G400" s="452" t="s">
        <v>441</v>
      </c>
      <c r="H400" s="378" t="s">
        <v>2677</v>
      </c>
      <c r="I400" s="451" t="n">
        <v>44389</v>
      </c>
      <c r="J400" s="452" t="n">
        <v>7</v>
      </c>
      <c r="K400" s="549" t="s">
        <v>46</v>
      </c>
      <c r="L400" s="460" t="s">
        <v>10018</v>
      </c>
      <c r="M400" s="545" t="n">
        <f aca="false">I400-D400</f>
        <v>1298</v>
      </c>
    </row>
    <row r="401" customFormat="false" ht="12.75" hidden="true" customHeight="true" outlineLevel="0" collapsed="false">
      <c r="A401" s="456" t="n">
        <v>20921</v>
      </c>
      <c r="B401" s="458" t="s">
        <v>11127</v>
      </c>
      <c r="C401" s="458" t="n">
        <v>2015</v>
      </c>
      <c r="D401" s="459" t="n">
        <v>42041</v>
      </c>
      <c r="E401" s="460" t="s">
        <v>11128</v>
      </c>
      <c r="F401" s="380" t="s">
        <v>549</v>
      </c>
      <c r="G401" s="460" t="s">
        <v>441</v>
      </c>
      <c r="H401" s="380" t="s">
        <v>1072</v>
      </c>
      <c r="I401" s="459" t="n">
        <v>44389</v>
      </c>
      <c r="J401" s="460" t="n">
        <v>7</v>
      </c>
      <c r="K401" s="548" t="s">
        <v>48</v>
      </c>
      <c r="L401" s="452" t="s">
        <v>10018</v>
      </c>
      <c r="M401" s="546" t="n">
        <f aca="false">I401-D401</f>
        <v>2348</v>
      </c>
    </row>
    <row r="402" customFormat="false" ht="12.75" hidden="true" customHeight="true" outlineLevel="0" collapsed="false">
      <c r="A402" s="449" t="n">
        <v>21021</v>
      </c>
      <c r="B402" s="450" t="s">
        <v>11129</v>
      </c>
      <c r="C402" s="450" t="n">
        <v>2021</v>
      </c>
      <c r="D402" s="451" t="n">
        <v>44263</v>
      </c>
      <c r="E402" s="452" t="s">
        <v>11130</v>
      </c>
      <c r="F402" s="537" t="s">
        <v>10768</v>
      </c>
      <c r="G402" s="452" t="s">
        <v>130</v>
      </c>
      <c r="H402" s="378" t="s">
        <v>3234</v>
      </c>
      <c r="I402" s="451" t="n">
        <v>44389</v>
      </c>
      <c r="J402" s="452" t="n">
        <v>7</v>
      </c>
      <c r="K402" s="548" t="s">
        <v>49</v>
      </c>
      <c r="L402" s="460" t="s">
        <v>61</v>
      </c>
      <c r="M402" s="545" t="n">
        <f aca="false">I402-D402</f>
        <v>126</v>
      </c>
    </row>
    <row r="403" customFormat="false" ht="12.75" hidden="true" customHeight="true" outlineLevel="0" collapsed="false">
      <c r="A403" s="456" t="n">
        <v>21121</v>
      </c>
      <c r="B403" s="458" t="s">
        <v>11131</v>
      </c>
      <c r="C403" s="458" t="n">
        <v>2017</v>
      </c>
      <c r="D403" s="459" t="n">
        <v>42944</v>
      </c>
      <c r="E403" s="460" t="s">
        <v>11132</v>
      </c>
      <c r="F403" s="380" t="s">
        <v>1527</v>
      </c>
      <c r="G403" s="460" t="s">
        <v>441</v>
      </c>
      <c r="H403" s="380" t="s">
        <v>1231</v>
      </c>
      <c r="I403" s="459" t="n">
        <v>44389</v>
      </c>
      <c r="J403" s="460" t="n">
        <v>7</v>
      </c>
      <c r="K403" s="548" t="s">
        <v>49</v>
      </c>
      <c r="L403" s="452" t="s">
        <v>10018</v>
      </c>
      <c r="M403" s="546" t="n">
        <f aca="false">I403-D403</f>
        <v>1445</v>
      </c>
    </row>
    <row r="404" customFormat="false" ht="12.75" hidden="true" customHeight="true" outlineLevel="0" collapsed="false">
      <c r="A404" s="449" t="n">
        <v>21221</v>
      </c>
      <c r="B404" s="450" t="s">
        <v>11133</v>
      </c>
      <c r="C404" s="450" t="n">
        <v>2014</v>
      </c>
      <c r="D404" s="451" t="n">
        <v>41880</v>
      </c>
      <c r="E404" s="452" t="s">
        <v>11134</v>
      </c>
      <c r="F404" s="378" t="s">
        <v>10230</v>
      </c>
      <c r="G404" s="452" t="s">
        <v>115</v>
      </c>
      <c r="H404" s="378" t="s">
        <v>7995</v>
      </c>
      <c r="I404" s="451" t="n">
        <v>44389</v>
      </c>
      <c r="J404" s="452" t="n">
        <v>7</v>
      </c>
      <c r="K404" s="547" t="s">
        <v>51</v>
      </c>
      <c r="L404" s="460" t="s">
        <v>10018</v>
      </c>
      <c r="M404" s="545" t="n">
        <f aca="false">I404-D404</f>
        <v>2509</v>
      </c>
    </row>
    <row r="405" customFormat="false" ht="12.75" hidden="true" customHeight="true" outlineLevel="0" collapsed="false">
      <c r="A405" s="456" t="n">
        <v>21321</v>
      </c>
      <c r="B405" s="458" t="s">
        <v>11135</v>
      </c>
      <c r="C405" s="458" t="n">
        <v>2020</v>
      </c>
      <c r="D405" s="459" t="n">
        <v>44187</v>
      </c>
      <c r="E405" s="460" t="s">
        <v>11136</v>
      </c>
      <c r="F405" s="536" t="s">
        <v>11137</v>
      </c>
      <c r="G405" s="460" t="s">
        <v>125</v>
      </c>
      <c r="H405" s="380" t="s">
        <v>980</v>
      </c>
      <c r="I405" s="459" t="n">
        <v>44389</v>
      </c>
      <c r="J405" s="460" t="n">
        <v>7</v>
      </c>
      <c r="K405" s="548" t="s">
        <v>49</v>
      </c>
      <c r="L405" s="452" t="s">
        <v>61</v>
      </c>
      <c r="M405" s="546" t="n">
        <f aca="false">I405-D405</f>
        <v>202</v>
      </c>
    </row>
    <row r="406" customFormat="false" ht="15" hidden="true" customHeight="true" outlineLevel="0" collapsed="false">
      <c r="A406" s="449" t="n">
        <v>21421</v>
      </c>
      <c r="B406" s="450" t="s">
        <v>11138</v>
      </c>
      <c r="C406" s="450" t="n">
        <v>2013</v>
      </c>
      <c r="D406" s="451" t="n">
        <v>41609</v>
      </c>
      <c r="E406" s="452" t="s">
        <v>11139</v>
      </c>
      <c r="F406" s="378" t="s">
        <v>180</v>
      </c>
      <c r="G406" s="452" t="s">
        <v>441</v>
      </c>
      <c r="H406" s="378" t="s">
        <v>243</v>
      </c>
      <c r="I406" s="451" t="n">
        <v>44389</v>
      </c>
      <c r="J406" s="452" t="n">
        <v>7</v>
      </c>
      <c r="K406" s="548" t="s">
        <v>49</v>
      </c>
      <c r="L406" s="460" t="s">
        <v>10013</v>
      </c>
      <c r="M406" s="545" t="n">
        <f aca="false">I406-D406</f>
        <v>2780</v>
      </c>
    </row>
    <row r="407" customFormat="false" ht="15" hidden="true" customHeight="true" outlineLevel="0" collapsed="false">
      <c r="A407" s="456" t="n">
        <v>21521</v>
      </c>
      <c r="B407" s="458" t="s">
        <v>11140</v>
      </c>
      <c r="C407" s="458" t="n">
        <v>2021</v>
      </c>
      <c r="D407" s="459" t="n">
        <v>44252</v>
      </c>
      <c r="E407" s="460" t="s">
        <v>11141</v>
      </c>
      <c r="F407" s="536" t="s">
        <v>11142</v>
      </c>
      <c r="G407" s="460" t="s">
        <v>125</v>
      </c>
      <c r="H407" s="380" t="s">
        <v>10832</v>
      </c>
      <c r="I407" s="459" t="n">
        <v>44391</v>
      </c>
      <c r="J407" s="460" t="n">
        <v>7</v>
      </c>
      <c r="K407" s="548" t="s">
        <v>49</v>
      </c>
      <c r="L407" s="452" t="s">
        <v>61</v>
      </c>
      <c r="M407" s="546" t="n">
        <f aca="false">I407-D407</f>
        <v>139</v>
      </c>
    </row>
    <row r="408" customFormat="false" ht="15" hidden="true" customHeight="true" outlineLevel="0" collapsed="false">
      <c r="A408" s="449" t="n">
        <v>21621</v>
      </c>
      <c r="B408" s="450" t="s">
        <v>11143</v>
      </c>
      <c r="C408" s="450" t="n">
        <v>2020</v>
      </c>
      <c r="D408" s="451" t="n">
        <v>44188</v>
      </c>
      <c r="E408" s="452" t="s">
        <v>11144</v>
      </c>
      <c r="F408" s="551" t="s">
        <v>11145</v>
      </c>
      <c r="G408" s="452" t="s">
        <v>130</v>
      </c>
      <c r="H408" s="378" t="s">
        <v>398</v>
      </c>
      <c r="I408" s="451" t="n">
        <v>44391</v>
      </c>
      <c r="J408" s="452" t="n">
        <v>7</v>
      </c>
      <c r="K408" s="547" t="s">
        <v>51</v>
      </c>
      <c r="L408" s="460" t="s">
        <v>61</v>
      </c>
      <c r="M408" s="545" t="n">
        <f aca="false">I408-D408</f>
        <v>203</v>
      </c>
    </row>
    <row r="409" customFormat="false" ht="15" hidden="true" customHeight="true" outlineLevel="0" collapsed="false">
      <c r="A409" s="456" t="n">
        <v>21721</v>
      </c>
      <c r="B409" s="458" t="s">
        <v>11146</v>
      </c>
      <c r="C409" s="458" t="n">
        <v>2021</v>
      </c>
      <c r="D409" s="459" t="n">
        <v>44306</v>
      </c>
      <c r="E409" s="460" t="s">
        <v>11147</v>
      </c>
      <c r="F409" s="536" t="s">
        <v>10768</v>
      </c>
      <c r="G409" s="460" t="s">
        <v>130</v>
      </c>
      <c r="H409" s="380" t="s">
        <v>10876</v>
      </c>
      <c r="I409" s="459" t="n">
        <v>44391</v>
      </c>
      <c r="J409" s="460" t="n">
        <v>7</v>
      </c>
      <c r="K409" s="548" t="s">
        <v>49</v>
      </c>
      <c r="L409" s="452" t="s">
        <v>61</v>
      </c>
      <c r="M409" s="546" t="n">
        <f aca="false">I409-D409</f>
        <v>85</v>
      </c>
    </row>
    <row r="410" customFormat="false" ht="12.75" hidden="true" customHeight="true" outlineLevel="0" collapsed="false">
      <c r="A410" s="449" t="n">
        <v>21821</v>
      </c>
      <c r="B410" s="450" t="s">
        <v>11148</v>
      </c>
      <c r="C410" s="450" t="n">
        <v>2013</v>
      </c>
      <c r="D410" s="451" t="n">
        <v>41620</v>
      </c>
      <c r="E410" s="452" t="s">
        <v>11149</v>
      </c>
      <c r="F410" s="378" t="s">
        <v>11150</v>
      </c>
      <c r="G410" s="452" t="s">
        <v>441</v>
      </c>
      <c r="H410" s="378" t="s">
        <v>243</v>
      </c>
      <c r="I410" s="451" t="n">
        <v>44391</v>
      </c>
      <c r="J410" s="452" t="n">
        <v>7</v>
      </c>
      <c r="K410" s="548" t="s">
        <v>48</v>
      </c>
      <c r="L410" s="460" t="s">
        <v>10013</v>
      </c>
      <c r="M410" s="545" t="n">
        <f aca="false">I410-D410</f>
        <v>2771</v>
      </c>
    </row>
    <row r="411" customFormat="false" ht="12.75" hidden="true" customHeight="true" outlineLevel="0" collapsed="false">
      <c r="A411" s="456" t="n">
        <v>21921</v>
      </c>
      <c r="B411" s="458" t="s">
        <v>11151</v>
      </c>
      <c r="C411" s="458" t="n">
        <v>2013</v>
      </c>
      <c r="D411" s="459" t="n">
        <v>43901</v>
      </c>
      <c r="E411" s="460" t="s">
        <v>11152</v>
      </c>
      <c r="F411" s="380" t="s">
        <v>207</v>
      </c>
      <c r="G411" s="460" t="s">
        <v>441</v>
      </c>
      <c r="H411" s="380" t="s">
        <v>2147</v>
      </c>
      <c r="I411" s="459" t="n">
        <v>44391</v>
      </c>
      <c r="J411" s="460" t="n">
        <v>7</v>
      </c>
      <c r="K411" s="548" t="s">
        <v>49</v>
      </c>
      <c r="L411" s="452" t="s">
        <v>10018</v>
      </c>
      <c r="M411" s="546" t="n">
        <f aca="false">I411-D411</f>
        <v>490</v>
      </c>
    </row>
    <row r="412" customFormat="false" ht="12.75" hidden="true" customHeight="true" outlineLevel="0" collapsed="false">
      <c r="A412" s="449" t="n">
        <v>22021</v>
      </c>
      <c r="B412" s="450" t="s">
        <v>11153</v>
      </c>
      <c r="C412" s="450" t="n">
        <v>2018</v>
      </c>
      <c r="D412" s="451" t="n">
        <v>43392</v>
      </c>
      <c r="E412" s="452" t="s">
        <v>11154</v>
      </c>
      <c r="F412" s="378" t="s">
        <v>11155</v>
      </c>
      <c r="G412" s="452" t="s">
        <v>144</v>
      </c>
      <c r="H412" s="378" t="s">
        <v>267</v>
      </c>
      <c r="I412" s="451" t="n">
        <v>44393</v>
      </c>
      <c r="J412" s="452" t="n">
        <v>7</v>
      </c>
      <c r="K412" s="548" t="s">
        <v>48</v>
      </c>
      <c r="L412" s="460" t="s">
        <v>10018</v>
      </c>
      <c r="M412" s="545" t="n">
        <f aca="false">I412-D412</f>
        <v>1001</v>
      </c>
    </row>
    <row r="413" customFormat="false" ht="12.75" hidden="true" customHeight="true" outlineLevel="0" collapsed="false">
      <c r="A413" s="456" t="n">
        <v>22121</v>
      </c>
      <c r="B413" s="458" t="s">
        <v>11156</v>
      </c>
      <c r="C413" s="458" t="n">
        <v>2017</v>
      </c>
      <c r="D413" s="459" t="n">
        <v>42984</v>
      </c>
      <c r="E413" s="460" t="s">
        <v>11157</v>
      </c>
      <c r="F413" s="380" t="s">
        <v>11158</v>
      </c>
      <c r="G413" s="460" t="s">
        <v>144</v>
      </c>
      <c r="H413" s="380" t="s">
        <v>223</v>
      </c>
      <c r="I413" s="459" t="n">
        <v>44393</v>
      </c>
      <c r="J413" s="460" t="n">
        <v>7</v>
      </c>
      <c r="K413" s="548" t="s">
        <v>49</v>
      </c>
      <c r="L413" s="452" t="s">
        <v>10018</v>
      </c>
      <c r="M413" s="546" t="n">
        <f aca="false">I413-D413</f>
        <v>1409</v>
      </c>
    </row>
    <row r="414" customFormat="false" ht="12.75" hidden="true" customHeight="true" outlineLevel="0" collapsed="false">
      <c r="A414" s="449" t="n">
        <v>22221</v>
      </c>
      <c r="B414" s="450" t="s">
        <v>11159</v>
      </c>
      <c r="C414" s="450" t="n">
        <v>2014</v>
      </c>
      <c r="D414" s="451" t="n">
        <v>41985</v>
      </c>
      <c r="E414" s="452" t="s">
        <v>11160</v>
      </c>
      <c r="F414" s="378" t="s">
        <v>138</v>
      </c>
      <c r="G414" s="452" t="s">
        <v>441</v>
      </c>
      <c r="H414" s="378" t="s">
        <v>471</v>
      </c>
      <c r="I414" s="451" t="n">
        <v>44399</v>
      </c>
      <c r="J414" s="452" t="n">
        <v>7</v>
      </c>
      <c r="K414" s="548" t="s">
        <v>49</v>
      </c>
      <c r="L414" s="460" t="s">
        <v>10013</v>
      </c>
      <c r="M414" s="545" t="n">
        <f aca="false">I414-D414</f>
        <v>2414</v>
      </c>
    </row>
    <row r="415" customFormat="false" ht="12.75" hidden="true" customHeight="true" outlineLevel="0" collapsed="false">
      <c r="A415" s="456" t="n">
        <v>22321</v>
      </c>
      <c r="B415" s="458" t="s">
        <v>11161</v>
      </c>
      <c r="C415" s="458" t="n">
        <v>2015</v>
      </c>
      <c r="D415" s="459" t="n">
        <v>42047</v>
      </c>
      <c r="E415" s="460" t="s">
        <v>11162</v>
      </c>
      <c r="F415" s="380" t="s">
        <v>1156</v>
      </c>
      <c r="G415" s="460" t="s">
        <v>441</v>
      </c>
      <c r="H415" s="380" t="s">
        <v>706</v>
      </c>
      <c r="I415" s="459" t="n">
        <v>44399</v>
      </c>
      <c r="J415" s="460" t="n">
        <v>7</v>
      </c>
      <c r="K415" s="550" t="s">
        <v>44</v>
      </c>
      <c r="L415" s="452" t="s">
        <v>10018</v>
      </c>
      <c r="M415" s="546" t="n">
        <f aca="false">I415-D415</f>
        <v>2352</v>
      </c>
    </row>
    <row r="416" customFormat="false" ht="12.75" hidden="true" customHeight="true" outlineLevel="0" collapsed="false">
      <c r="A416" s="449" t="n">
        <v>22421</v>
      </c>
      <c r="B416" s="450" t="s">
        <v>11163</v>
      </c>
      <c r="C416" s="450" t="n">
        <v>2011</v>
      </c>
      <c r="D416" s="451" t="n">
        <v>40759</v>
      </c>
      <c r="E416" s="452" t="s">
        <v>11164</v>
      </c>
      <c r="F416" s="378" t="s">
        <v>823</v>
      </c>
      <c r="G416" s="452" t="s">
        <v>441</v>
      </c>
      <c r="H416" s="378" t="s">
        <v>1059</v>
      </c>
      <c r="I416" s="451" t="n">
        <v>44399</v>
      </c>
      <c r="J416" s="452" t="n">
        <v>7</v>
      </c>
      <c r="K416" s="548" t="s">
        <v>48</v>
      </c>
      <c r="L416" s="460" t="s">
        <v>10013</v>
      </c>
      <c r="M416" s="545" t="n">
        <f aca="false">I416-D416</f>
        <v>3640</v>
      </c>
    </row>
    <row r="417" customFormat="false" ht="12.75" hidden="true" customHeight="true" outlineLevel="0" collapsed="false">
      <c r="A417" s="456" t="n">
        <v>22521</v>
      </c>
      <c r="B417" s="458" t="s">
        <v>11165</v>
      </c>
      <c r="C417" s="458" t="n">
        <v>2021</v>
      </c>
      <c r="D417" s="459" t="n">
        <v>44230</v>
      </c>
      <c r="E417" s="460" t="s">
        <v>11166</v>
      </c>
      <c r="F417" s="536" t="s">
        <v>11167</v>
      </c>
      <c r="G417" s="460" t="s">
        <v>130</v>
      </c>
      <c r="H417" s="380" t="s">
        <v>10653</v>
      </c>
      <c r="I417" s="459" t="n">
        <v>44399</v>
      </c>
      <c r="J417" s="460" t="n">
        <v>7</v>
      </c>
      <c r="K417" s="547" t="s">
        <v>51</v>
      </c>
      <c r="L417" s="452" t="s">
        <v>61</v>
      </c>
      <c r="M417" s="546" t="n">
        <f aca="false">I417-D417</f>
        <v>169</v>
      </c>
    </row>
    <row r="418" customFormat="false" ht="12.75" hidden="true" customHeight="true" outlineLevel="0" collapsed="false">
      <c r="A418" s="449" t="n">
        <v>22621</v>
      </c>
      <c r="B418" s="450" t="s">
        <v>11168</v>
      </c>
      <c r="C418" s="450" t="n">
        <v>2016</v>
      </c>
      <c r="D418" s="451" t="n">
        <v>42432</v>
      </c>
      <c r="E418" s="452" t="s">
        <v>11169</v>
      </c>
      <c r="F418" s="378" t="s">
        <v>699</v>
      </c>
      <c r="G418" s="452" t="s">
        <v>441</v>
      </c>
      <c r="H418" s="378" t="s">
        <v>460</v>
      </c>
      <c r="I418" s="451" t="n">
        <v>44399</v>
      </c>
      <c r="J418" s="452" t="n">
        <v>7</v>
      </c>
      <c r="K418" s="548" t="s">
        <v>49</v>
      </c>
      <c r="L418" s="460" t="s">
        <v>10013</v>
      </c>
      <c r="M418" s="545" t="n">
        <f aca="false">I418-D418</f>
        <v>1967</v>
      </c>
    </row>
    <row r="419" customFormat="false" ht="12.75" hidden="true" customHeight="true" outlineLevel="0" collapsed="false">
      <c r="A419" s="456" t="n">
        <v>22721</v>
      </c>
      <c r="B419" s="458" t="s">
        <v>11170</v>
      </c>
      <c r="C419" s="458" t="n">
        <v>2014</v>
      </c>
      <c r="D419" s="459" t="n">
        <v>41717</v>
      </c>
      <c r="E419" s="460" t="s">
        <v>11171</v>
      </c>
      <c r="F419" s="380" t="s">
        <v>11172</v>
      </c>
      <c r="G419" s="460" t="s">
        <v>144</v>
      </c>
      <c r="H419" s="380" t="s">
        <v>119</v>
      </c>
      <c r="I419" s="459" t="n">
        <v>44399</v>
      </c>
      <c r="J419" s="460" t="n">
        <v>7</v>
      </c>
      <c r="K419" s="548" t="s">
        <v>48</v>
      </c>
      <c r="L419" s="452" t="s">
        <v>10018</v>
      </c>
      <c r="M419" s="546" t="n">
        <f aca="false">I419-D419</f>
        <v>2682</v>
      </c>
    </row>
    <row r="420" customFormat="false" ht="12.75" hidden="true" customHeight="true" outlineLevel="0" collapsed="false">
      <c r="A420" s="449" t="n">
        <v>22821</v>
      </c>
      <c r="B420" s="450" t="s">
        <v>11173</v>
      </c>
      <c r="C420" s="450" t="n">
        <v>2014</v>
      </c>
      <c r="D420" s="451" t="n">
        <v>41648</v>
      </c>
      <c r="E420" s="452" t="s">
        <v>11174</v>
      </c>
      <c r="F420" s="378" t="s">
        <v>2913</v>
      </c>
      <c r="G420" s="452" t="s">
        <v>441</v>
      </c>
      <c r="H420" s="378" t="s">
        <v>471</v>
      </c>
      <c r="I420" s="451" t="n">
        <v>44399</v>
      </c>
      <c r="J420" s="452" t="n">
        <v>7</v>
      </c>
      <c r="K420" s="548" t="s">
        <v>49</v>
      </c>
      <c r="L420" s="460" t="s">
        <v>10013</v>
      </c>
      <c r="M420" s="545" t="n">
        <f aca="false">I420-D420</f>
        <v>2751</v>
      </c>
    </row>
    <row r="421" customFormat="false" ht="12.75" hidden="true" customHeight="true" outlineLevel="0" collapsed="false">
      <c r="A421" s="456" t="n">
        <v>22921</v>
      </c>
      <c r="B421" s="458" t="s">
        <v>11175</v>
      </c>
      <c r="C421" s="458" t="n">
        <v>2013</v>
      </c>
      <c r="D421" s="459" t="n">
        <v>41528</v>
      </c>
      <c r="E421" s="460" t="s">
        <v>11176</v>
      </c>
      <c r="F421" s="380" t="s">
        <v>537</v>
      </c>
      <c r="G421" s="460" t="s">
        <v>441</v>
      </c>
      <c r="H421" s="380" t="s">
        <v>192</v>
      </c>
      <c r="I421" s="459" t="n">
        <v>44399</v>
      </c>
      <c r="J421" s="460" t="n">
        <v>7</v>
      </c>
      <c r="K421" s="548" t="s">
        <v>49</v>
      </c>
      <c r="L421" s="452" t="s">
        <v>10018</v>
      </c>
      <c r="M421" s="546" t="n">
        <f aca="false">I421-D421</f>
        <v>2871</v>
      </c>
    </row>
    <row r="422" customFormat="false" ht="12.75" hidden="true" customHeight="true" outlineLevel="0" collapsed="false">
      <c r="A422" s="449" t="n">
        <v>23021</v>
      </c>
      <c r="B422" s="450" t="s">
        <v>11177</v>
      </c>
      <c r="C422" s="450" t="n">
        <v>2014</v>
      </c>
      <c r="D422" s="451" t="n">
        <v>41851</v>
      </c>
      <c r="E422" s="452" t="s">
        <v>11178</v>
      </c>
      <c r="F422" s="378" t="s">
        <v>2151</v>
      </c>
      <c r="G422" s="452" t="s">
        <v>441</v>
      </c>
      <c r="H422" s="378" t="s">
        <v>354</v>
      </c>
      <c r="I422" s="451" t="n">
        <v>44399</v>
      </c>
      <c r="J422" s="452" t="n">
        <v>7</v>
      </c>
      <c r="K422" s="548" t="s">
        <v>49</v>
      </c>
      <c r="L422" s="460" t="s">
        <v>10018</v>
      </c>
      <c r="M422" s="545" t="n">
        <f aca="false">I422-D422</f>
        <v>2548</v>
      </c>
    </row>
    <row r="423" customFormat="false" ht="12.75" hidden="true" customHeight="true" outlineLevel="0" collapsed="false">
      <c r="A423" s="456" t="n">
        <v>23121</v>
      </c>
      <c r="B423" s="458" t="s">
        <v>11179</v>
      </c>
      <c r="C423" s="458" t="n">
        <v>2017</v>
      </c>
      <c r="D423" s="459" t="n">
        <v>43096</v>
      </c>
      <c r="E423" s="460" t="s">
        <v>11180</v>
      </c>
      <c r="F423" s="380" t="s">
        <v>164</v>
      </c>
      <c r="G423" s="460" t="s">
        <v>441</v>
      </c>
      <c r="H423" s="380" t="s">
        <v>1231</v>
      </c>
      <c r="I423" s="459" t="n">
        <v>44407</v>
      </c>
      <c r="J423" s="460" t="n">
        <v>7</v>
      </c>
      <c r="K423" s="548" t="s">
        <v>48</v>
      </c>
      <c r="L423" s="452" t="s">
        <v>2848</v>
      </c>
      <c r="M423" s="546" t="n">
        <f aca="false">I423-D423</f>
        <v>1311</v>
      </c>
    </row>
    <row r="424" customFormat="false" ht="12.75" hidden="true" customHeight="true" outlineLevel="0" collapsed="false">
      <c r="A424" s="449" t="n">
        <v>23221</v>
      </c>
      <c r="B424" s="450" t="s">
        <v>11181</v>
      </c>
      <c r="C424" s="450" t="n">
        <v>2017</v>
      </c>
      <c r="D424" s="451" t="n">
        <v>42907</v>
      </c>
      <c r="E424" s="452" t="s">
        <v>11182</v>
      </c>
      <c r="F424" s="378" t="s">
        <v>467</v>
      </c>
      <c r="G424" s="452" t="s">
        <v>441</v>
      </c>
      <c r="H424" s="378" t="s">
        <v>1231</v>
      </c>
      <c r="I424" s="451" t="n">
        <v>44407</v>
      </c>
      <c r="J424" s="452" t="n">
        <v>7</v>
      </c>
      <c r="K424" s="548" t="s">
        <v>49</v>
      </c>
      <c r="L424" s="460" t="s">
        <v>61</v>
      </c>
      <c r="M424" s="545" t="n">
        <f aca="false">I424-D424</f>
        <v>1500</v>
      </c>
    </row>
    <row r="425" customFormat="false" ht="12.75" hidden="true" customHeight="true" outlineLevel="0" collapsed="false">
      <c r="A425" s="456" t="n">
        <v>23321</v>
      </c>
      <c r="B425" s="458" t="s">
        <v>11183</v>
      </c>
      <c r="C425" s="458" t="n">
        <v>2017</v>
      </c>
      <c r="D425" s="459" t="n">
        <v>42940</v>
      </c>
      <c r="E425" s="460" t="s">
        <v>11184</v>
      </c>
      <c r="F425" s="380" t="s">
        <v>9415</v>
      </c>
      <c r="G425" s="460" t="s">
        <v>144</v>
      </c>
      <c r="H425" s="380" t="s">
        <v>119</v>
      </c>
      <c r="I425" s="459" t="n">
        <v>44426</v>
      </c>
      <c r="J425" s="460" t="n">
        <v>8</v>
      </c>
      <c r="K425" s="548" t="s">
        <v>49</v>
      </c>
      <c r="L425" s="452" t="s">
        <v>10018</v>
      </c>
      <c r="M425" s="546" t="n">
        <f aca="false">I425-D425</f>
        <v>1486</v>
      </c>
    </row>
    <row r="426" customFormat="false" ht="12.75" hidden="true" customHeight="true" outlineLevel="0" collapsed="false">
      <c r="A426" s="449" t="n">
        <v>23421</v>
      </c>
      <c r="B426" s="450" t="s">
        <v>11185</v>
      </c>
      <c r="C426" s="450" t="n">
        <v>2013</v>
      </c>
      <c r="D426" s="451" t="n">
        <v>41388</v>
      </c>
      <c r="E426" s="452" t="s">
        <v>11186</v>
      </c>
      <c r="F426" s="378" t="s">
        <v>11187</v>
      </c>
      <c r="G426" s="452" t="s">
        <v>115</v>
      </c>
      <c r="H426" s="378" t="s">
        <v>254</v>
      </c>
      <c r="I426" s="451" t="n">
        <v>44426</v>
      </c>
      <c r="J426" s="452" t="n">
        <v>8</v>
      </c>
      <c r="K426" s="548" t="s">
        <v>49</v>
      </c>
      <c r="L426" s="460" t="s">
        <v>10018</v>
      </c>
      <c r="M426" s="545" t="n">
        <f aca="false">I426-D426</f>
        <v>3038</v>
      </c>
    </row>
    <row r="427" customFormat="false" ht="12.75" hidden="true" customHeight="true" outlineLevel="0" collapsed="false">
      <c r="A427" s="456" t="n">
        <v>23521</v>
      </c>
      <c r="B427" s="458" t="s">
        <v>11188</v>
      </c>
      <c r="C427" s="458" t="n">
        <v>2016</v>
      </c>
      <c r="D427" s="459" t="n">
        <v>42674</v>
      </c>
      <c r="E427" s="460" t="s">
        <v>11189</v>
      </c>
      <c r="F427" s="380" t="s">
        <v>671</v>
      </c>
      <c r="G427" s="460" t="s">
        <v>441</v>
      </c>
      <c r="H427" s="380" t="s">
        <v>460</v>
      </c>
      <c r="I427" s="459" t="n">
        <v>44426</v>
      </c>
      <c r="J427" s="460" t="n">
        <v>8</v>
      </c>
      <c r="K427" s="548" t="s">
        <v>49</v>
      </c>
      <c r="L427" s="452" t="s">
        <v>10018</v>
      </c>
      <c r="M427" s="546" t="n">
        <f aca="false">I427-D427</f>
        <v>1752</v>
      </c>
    </row>
    <row r="428" customFormat="false" ht="12.75" hidden="true" customHeight="true" outlineLevel="0" collapsed="false">
      <c r="A428" s="449" t="n">
        <v>23621</v>
      </c>
      <c r="B428" s="450" t="s">
        <v>11190</v>
      </c>
      <c r="C428" s="450" t="n">
        <v>2013</v>
      </c>
      <c r="D428" s="451" t="n">
        <v>44015</v>
      </c>
      <c r="E428" s="452" t="s">
        <v>11191</v>
      </c>
      <c r="F428" s="378" t="s">
        <v>11192</v>
      </c>
      <c r="G428" s="452" t="s">
        <v>144</v>
      </c>
      <c r="H428" s="378" t="s">
        <v>267</v>
      </c>
      <c r="I428" s="451" t="n">
        <v>44426</v>
      </c>
      <c r="J428" s="452" t="n">
        <v>8</v>
      </c>
      <c r="K428" s="548" t="s">
        <v>49</v>
      </c>
      <c r="L428" s="460" t="s">
        <v>10018</v>
      </c>
      <c r="M428" s="545" t="n">
        <f aca="false">I428-D428</f>
        <v>411</v>
      </c>
    </row>
    <row r="429" customFormat="false" ht="12.75" hidden="true" customHeight="true" outlineLevel="0" collapsed="false">
      <c r="A429" s="456" t="n">
        <v>23721</v>
      </c>
      <c r="B429" s="458" t="s">
        <v>11193</v>
      </c>
      <c r="C429" s="458" t="n">
        <v>2016</v>
      </c>
      <c r="D429" s="459" t="n">
        <v>42667</v>
      </c>
      <c r="E429" s="460" t="s">
        <v>11194</v>
      </c>
      <c r="F429" s="380" t="s">
        <v>11195</v>
      </c>
      <c r="G429" s="460" t="s">
        <v>441</v>
      </c>
      <c r="H429" s="380" t="s">
        <v>11196</v>
      </c>
      <c r="I429" s="459" t="n">
        <v>44426</v>
      </c>
      <c r="J429" s="460" t="n">
        <v>8</v>
      </c>
      <c r="K429" s="548" t="s">
        <v>48</v>
      </c>
      <c r="L429" s="452" t="s">
        <v>10018</v>
      </c>
      <c r="M429" s="546" t="n">
        <f aca="false">I429-D429</f>
        <v>1759</v>
      </c>
    </row>
    <row r="430" customFormat="false" ht="12.75" hidden="true" customHeight="true" outlineLevel="0" collapsed="false">
      <c r="A430" s="449" t="n">
        <v>23821</v>
      </c>
      <c r="B430" s="450" t="s">
        <v>11197</v>
      </c>
      <c r="C430" s="450" t="n">
        <v>2016</v>
      </c>
      <c r="D430" s="451" t="n">
        <v>42507</v>
      </c>
      <c r="E430" s="452" t="s">
        <v>11198</v>
      </c>
      <c r="F430" s="378" t="s">
        <v>11199</v>
      </c>
      <c r="G430" s="452" t="s">
        <v>441</v>
      </c>
      <c r="H430" s="378" t="s">
        <v>223</v>
      </c>
      <c r="I430" s="451" t="n">
        <v>44426</v>
      </c>
      <c r="J430" s="452" t="n">
        <v>8</v>
      </c>
      <c r="K430" s="549" t="s">
        <v>46</v>
      </c>
      <c r="L430" s="460" t="s">
        <v>2848</v>
      </c>
      <c r="M430" s="545" t="n">
        <f aca="false">I430-D430</f>
        <v>1919</v>
      </c>
    </row>
    <row r="431" customFormat="false" ht="12.75" hidden="true" customHeight="true" outlineLevel="0" collapsed="false">
      <c r="A431" s="456" t="n">
        <v>23921</v>
      </c>
      <c r="B431" s="458" t="s">
        <v>11200</v>
      </c>
      <c r="C431" s="458" t="n">
        <v>2012</v>
      </c>
      <c r="D431" s="459" t="n">
        <v>41277</v>
      </c>
      <c r="E431" s="460" t="s">
        <v>11201</v>
      </c>
      <c r="F431" s="380" t="s">
        <v>11202</v>
      </c>
      <c r="G431" s="460" t="s">
        <v>441</v>
      </c>
      <c r="H431" s="380" t="s">
        <v>267</v>
      </c>
      <c r="I431" s="459" t="n">
        <v>44426</v>
      </c>
      <c r="J431" s="460" t="n">
        <v>8</v>
      </c>
      <c r="K431" s="548" t="s">
        <v>49</v>
      </c>
      <c r="L431" s="452" t="s">
        <v>10018</v>
      </c>
      <c r="M431" s="546" t="n">
        <f aca="false">I431-D431</f>
        <v>3149</v>
      </c>
    </row>
    <row r="432" customFormat="false" ht="12.75" hidden="true" customHeight="true" outlineLevel="0" collapsed="false">
      <c r="A432" s="449" t="n">
        <v>24021</v>
      </c>
      <c r="B432" s="450" t="s">
        <v>11203</v>
      </c>
      <c r="C432" s="450" t="n">
        <v>2013</v>
      </c>
      <c r="D432" s="451" t="n">
        <v>41513</v>
      </c>
      <c r="E432" s="452" t="s">
        <v>11204</v>
      </c>
      <c r="F432" s="378" t="s">
        <v>2920</v>
      </c>
      <c r="G432" s="452" t="s">
        <v>441</v>
      </c>
      <c r="H432" s="378" t="s">
        <v>4372</v>
      </c>
      <c r="I432" s="451" t="n">
        <v>44428</v>
      </c>
      <c r="J432" s="452" t="n">
        <v>8</v>
      </c>
      <c r="K432" s="548" t="s">
        <v>49</v>
      </c>
      <c r="L432" s="460" t="s">
        <v>10013</v>
      </c>
      <c r="M432" s="545" t="n">
        <f aca="false">I432-D432</f>
        <v>2915</v>
      </c>
    </row>
    <row r="433" customFormat="false" ht="12.75" hidden="true" customHeight="true" outlineLevel="0" collapsed="false">
      <c r="A433" s="456" t="n">
        <v>24121</v>
      </c>
      <c r="B433" s="458" t="s">
        <v>11205</v>
      </c>
      <c r="C433" s="458" t="n">
        <v>2016</v>
      </c>
      <c r="D433" s="459" t="n">
        <v>42704</v>
      </c>
      <c r="E433" s="460" t="s">
        <v>11206</v>
      </c>
      <c r="F433" s="380" t="s">
        <v>11207</v>
      </c>
      <c r="G433" s="460" t="s">
        <v>441</v>
      </c>
      <c r="H433" s="380" t="s">
        <v>354</v>
      </c>
      <c r="I433" s="459" t="n">
        <v>44428</v>
      </c>
      <c r="J433" s="460" t="n">
        <v>8</v>
      </c>
      <c r="K433" s="548" t="s">
        <v>49</v>
      </c>
      <c r="L433" s="452" t="s">
        <v>10013</v>
      </c>
      <c r="M433" s="546" t="n">
        <f aca="false">I433-D433</f>
        <v>1724</v>
      </c>
    </row>
    <row r="434" customFormat="false" ht="12.75" hidden="true" customHeight="true" outlineLevel="0" collapsed="false">
      <c r="A434" s="449" t="n">
        <v>24221</v>
      </c>
      <c r="B434" s="450" t="s">
        <v>11208</v>
      </c>
      <c r="C434" s="450" t="n">
        <v>2020</v>
      </c>
      <c r="D434" s="451" t="n">
        <v>43910</v>
      </c>
      <c r="E434" s="452" t="s">
        <v>11209</v>
      </c>
      <c r="F434" s="378" t="s">
        <v>11210</v>
      </c>
      <c r="G434" s="452" t="s">
        <v>115</v>
      </c>
      <c r="H434" s="378" t="s">
        <v>7995</v>
      </c>
      <c r="I434" s="451" t="n">
        <v>44428</v>
      </c>
      <c r="J434" s="452" t="n">
        <v>8</v>
      </c>
      <c r="K434" s="547" t="s">
        <v>51</v>
      </c>
      <c r="L434" s="460" t="s">
        <v>10018</v>
      </c>
      <c r="M434" s="545" t="n">
        <f aca="false">I434-D434</f>
        <v>518</v>
      </c>
    </row>
    <row r="435" customFormat="false" ht="12.75" hidden="true" customHeight="true" outlineLevel="0" collapsed="false">
      <c r="A435" s="456" t="n">
        <v>24321</v>
      </c>
      <c r="B435" s="458" t="s">
        <v>11211</v>
      </c>
      <c r="C435" s="458" t="n">
        <v>2013</v>
      </c>
      <c r="D435" s="459" t="n">
        <v>41389</v>
      </c>
      <c r="E435" s="460" t="s">
        <v>11212</v>
      </c>
      <c r="F435" s="380" t="s">
        <v>1277</v>
      </c>
      <c r="G435" s="460" t="s">
        <v>441</v>
      </c>
      <c r="H435" s="380" t="s">
        <v>706</v>
      </c>
      <c r="I435" s="459" t="n">
        <v>44433</v>
      </c>
      <c r="J435" s="460" t="n">
        <v>8</v>
      </c>
      <c r="K435" s="549" t="s">
        <v>46</v>
      </c>
      <c r="L435" s="452" t="s">
        <v>10018</v>
      </c>
      <c r="M435" s="546" t="n">
        <f aca="false">I435-D435</f>
        <v>3044</v>
      </c>
    </row>
    <row r="436" customFormat="false" ht="12.75" hidden="true" customHeight="true" outlineLevel="0" collapsed="false">
      <c r="A436" s="449" t="n">
        <v>24421</v>
      </c>
      <c r="B436" s="450" t="s">
        <v>11213</v>
      </c>
      <c r="C436" s="450" t="n">
        <v>2015</v>
      </c>
      <c r="D436" s="451" t="n">
        <v>42073</v>
      </c>
      <c r="E436" s="452" t="s">
        <v>11214</v>
      </c>
      <c r="F436" s="378" t="s">
        <v>10230</v>
      </c>
      <c r="G436" s="452" t="s">
        <v>115</v>
      </c>
      <c r="H436" s="378" t="s">
        <v>7995</v>
      </c>
      <c r="I436" s="451" t="n">
        <v>44433</v>
      </c>
      <c r="J436" s="452" t="n">
        <v>8</v>
      </c>
      <c r="K436" s="547" t="s">
        <v>51</v>
      </c>
      <c r="L436" s="460" t="s">
        <v>10018</v>
      </c>
      <c r="M436" s="545" t="n">
        <f aca="false">I436-D436</f>
        <v>2360</v>
      </c>
    </row>
    <row r="437" customFormat="false" ht="12.75" hidden="true" customHeight="true" outlineLevel="0" collapsed="false">
      <c r="A437" s="456" t="n">
        <v>24521</v>
      </c>
      <c r="B437" s="458" t="s">
        <v>11215</v>
      </c>
      <c r="C437" s="458" t="n">
        <v>2015</v>
      </c>
      <c r="D437" s="459" t="n">
        <v>42068</v>
      </c>
      <c r="E437" s="460" t="s">
        <v>11216</v>
      </c>
      <c r="F437" s="380" t="s">
        <v>11217</v>
      </c>
      <c r="G437" s="460" t="s">
        <v>115</v>
      </c>
      <c r="H437" s="380" t="s">
        <v>6476</v>
      </c>
      <c r="I437" s="459" t="n">
        <v>44433</v>
      </c>
      <c r="J437" s="460" t="n">
        <v>8</v>
      </c>
      <c r="K437" s="547" t="s">
        <v>51</v>
      </c>
      <c r="L437" s="452" t="s">
        <v>10018</v>
      </c>
      <c r="M437" s="546" t="n">
        <f aca="false">I437-D437</f>
        <v>2365</v>
      </c>
    </row>
    <row r="438" customFormat="false" ht="12.75" hidden="true" customHeight="true" outlineLevel="0" collapsed="false">
      <c r="A438" s="449" t="n">
        <v>24621</v>
      </c>
      <c r="B438" s="450" t="s">
        <v>11218</v>
      </c>
      <c r="C438" s="450" t="n">
        <v>2014</v>
      </c>
      <c r="D438" s="451" t="n">
        <v>41792</v>
      </c>
      <c r="E438" s="452" t="s">
        <v>11219</v>
      </c>
      <c r="F438" s="378" t="s">
        <v>11220</v>
      </c>
      <c r="G438" s="452" t="s">
        <v>144</v>
      </c>
      <c r="H438" s="378" t="s">
        <v>7995</v>
      </c>
      <c r="I438" s="451" t="n">
        <v>44433</v>
      </c>
      <c r="J438" s="452" t="n">
        <v>8</v>
      </c>
      <c r="K438" s="548" t="s">
        <v>49</v>
      </c>
      <c r="L438" s="460" t="s">
        <v>10013</v>
      </c>
      <c r="M438" s="545" t="n">
        <f aca="false">I438-D438</f>
        <v>2641</v>
      </c>
    </row>
    <row r="439" customFormat="false" ht="12.75" hidden="true" customHeight="true" outlineLevel="0" collapsed="false">
      <c r="A439" s="456" t="n">
        <v>24721</v>
      </c>
      <c r="B439" s="458" t="s">
        <v>11221</v>
      </c>
      <c r="C439" s="458" t="n">
        <v>2018</v>
      </c>
      <c r="D439" s="459" t="n">
        <v>43308</v>
      </c>
      <c r="E439" s="460" t="s">
        <v>11222</v>
      </c>
      <c r="F439" s="380" t="s">
        <v>7920</v>
      </c>
      <c r="G439" s="460" t="s">
        <v>441</v>
      </c>
      <c r="H439" s="380" t="s">
        <v>2677</v>
      </c>
      <c r="I439" s="459" t="n">
        <v>44433</v>
      </c>
      <c r="J439" s="460" t="n">
        <v>8</v>
      </c>
      <c r="K439" s="548" t="s">
        <v>49</v>
      </c>
      <c r="L439" s="452" t="s">
        <v>10013</v>
      </c>
      <c r="M439" s="546" t="n">
        <f aca="false">I439-D439</f>
        <v>1125</v>
      </c>
    </row>
    <row r="440" customFormat="false" ht="12.75" hidden="true" customHeight="true" outlineLevel="0" collapsed="false">
      <c r="A440" s="449" t="n">
        <v>24821</v>
      </c>
      <c r="B440" s="450" t="s">
        <v>11223</v>
      </c>
      <c r="C440" s="450" t="n">
        <v>2015</v>
      </c>
      <c r="D440" s="451" t="n">
        <v>42087</v>
      </c>
      <c r="E440" s="452" t="s">
        <v>11224</v>
      </c>
      <c r="F440" s="378" t="s">
        <v>11225</v>
      </c>
      <c r="G440" s="452" t="s">
        <v>441</v>
      </c>
      <c r="H440" s="378" t="s">
        <v>192</v>
      </c>
      <c r="I440" s="451" t="n">
        <v>44438</v>
      </c>
      <c r="J440" s="452" t="n">
        <v>8</v>
      </c>
      <c r="K440" s="548" t="s">
        <v>49</v>
      </c>
      <c r="L440" s="460" t="s">
        <v>10018</v>
      </c>
      <c r="M440" s="545" t="n">
        <f aca="false">I440-D440</f>
        <v>2351</v>
      </c>
    </row>
    <row r="441" customFormat="false" ht="12.75" hidden="true" customHeight="true" outlineLevel="0" collapsed="false">
      <c r="A441" s="456" t="n">
        <v>24921</v>
      </c>
      <c r="B441" s="458" t="s">
        <v>11226</v>
      </c>
      <c r="C441" s="458" t="n">
        <v>2014</v>
      </c>
      <c r="D441" s="459" t="n">
        <v>41992</v>
      </c>
      <c r="E441" s="460" t="s">
        <v>11227</v>
      </c>
      <c r="F441" s="380" t="s">
        <v>138</v>
      </c>
      <c r="G441" s="460" t="s">
        <v>441</v>
      </c>
      <c r="H441" s="380" t="s">
        <v>471</v>
      </c>
      <c r="I441" s="459" t="n">
        <v>44453</v>
      </c>
      <c r="J441" s="460" t="n">
        <v>9</v>
      </c>
      <c r="K441" s="548" t="s">
        <v>49</v>
      </c>
      <c r="L441" s="452" t="s">
        <v>10013</v>
      </c>
      <c r="M441" s="546" t="n">
        <f aca="false">I441-D441</f>
        <v>2461</v>
      </c>
    </row>
    <row r="442" customFormat="false" ht="12.75" hidden="true" customHeight="true" outlineLevel="0" collapsed="false">
      <c r="A442" s="449" t="n">
        <v>25021</v>
      </c>
      <c r="B442" s="450" t="s">
        <v>11228</v>
      </c>
      <c r="C442" s="450" t="n">
        <v>2015</v>
      </c>
      <c r="D442" s="451" t="n">
        <v>42124</v>
      </c>
      <c r="E442" s="452" t="s">
        <v>11229</v>
      </c>
      <c r="F442" s="378" t="s">
        <v>180</v>
      </c>
      <c r="G442" s="452" t="s">
        <v>441</v>
      </c>
      <c r="H442" s="378" t="s">
        <v>1109</v>
      </c>
      <c r="I442" s="451" t="n">
        <v>44453</v>
      </c>
      <c r="J442" s="452" t="n">
        <v>9</v>
      </c>
      <c r="K442" s="548" t="s">
        <v>49</v>
      </c>
      <c r="L442" s="460" t="s">
        <v>10018</v>
      </c>
      <c r="M442" s="545" t="n">
        <f aca="false">I442-D442</f>
        <v>2329</v>
      </c>
    </row>
    <row r="443" customFormat="false" ht="12.75" hidden="true" customHeight="true" outlineLevel="0" collapsed="false">
      <c r="A443" s="456" t="n">
        <v>25121</v>
      </c>
      <c r="B443" s="458" t="s">
        <v>11230</v>
      </c>
      <c r="C443" s="458" t="n">
        <v>2021</v>
      </c>
      <c r="D443" s="459" t="n">
        <v>44364</v>
      </c>
      <c r="E443" s="460" t="s">
        <v>11231</v>
      </c>
      <c r="F443" s="536" t="s">
        <v>6303</v>
      </c>
      <c r="G443" s="460" t="s">
        <v>130</v>
      </c>
      <c r="H443" s="380" t="s">
        <v>7263</v>
      </c>
      <c r="I443" s="459" t="n">
        <v>44453</v>
      </c>
      <c r="J443" s="460" t="n">
        <v>9</v>
      </c>
      <c r="K443" s="548" t="s">
        <v>49</v>
      </c>
      <c r="L443" s="452" t="s">
        <v>61</v>
      </c>
      <c r="M443" s="546" t="n">
        <f aca="false">I443-D443</f>
        <v>89</v>
      </c>
    </row>
    <row r="444" customFormat="false" ht="15" hidden="true" customHeight="true" outlineLevel="0" collapsed="false">
      <c r="A444" s="449" t="n">
        <v>25221</v>
      </c>
      <c r="B444" s="450" t="s">
        <v>11232</v>
      </c>
      <c r="C444" s="450" t="n">
        <v>2020</v>
      </c>
      <c r="D444" s="451" t="n">
        <v>43907</v>
      </c>
      <c r="E444" s="452" t="s">
        <v>11233</v>
      </c>
      <c r="F444" s="378" t="s">
        <v>10230</v>
      </c>
      <c r="G444" s="452" t="s">
        <v>115</v>
      </c>
      <c r="H444" s="378" t="s">
        <v>7995</v>
      </c>
      <c r="I444" s="451" t="n">
        <v>44453</v>
      </c>
      <c r="J444" s="452" t="n">
        <v>9</v>
      </c>
      <c r="K444" s="547" t="s">
        <v>51</v>
      </c>
      <c r="L444" s="460" t="s">
        <v>10018</v>
      </c>
      <c r="M444" s="545" t="n">
        <f aca="false">I444-D444</f>
        <v>546</v>
      </c>
    </row>
    <row r="445" customFormat="false" ht="12.75" hidden="true" customHeight="true" outlineLevel="0" collapsed="false">
      <c r="A445" s="456" t="n">
        <v>25321</v>
      </c>
      <c r="B445" s="458" t="s">
        <v>11234</v>
      </c>
      <c r="C445" s="458" t="n">
        <v>2017</v>
      </c>
      <c r="D445" s="459" t="n">
        <v>43042</v>
      </c>
      <c r="E445" s="460" t="s">
        <v>11235</v>
      </c>
      <c r="F445" s="380" t="s">
        <v>723</v>
      </c>
      <c r="G445" s="460" t="s">
        <v>441</v>
      </c>
      <c r="H445" s="380" t="s">
        <v>5447</v>
      </c>
      <c r="I445" s="459" t="n">
        <v>44453</v>
      </c>
      <c r="J445" s="460" t="n">
        <v>9</v>
      </c>
      <c r="K445" s="548" t="s">
        <v>48</v>
      </c>
      <c r="L445" s="452" t="s">
        <v>10013</v>
      </c>
      <c r="M445" s="546" t="n">
        <f aca="false">I445-D445</f>
        <v>1411</v>
      </c>
    </row>
    <row r="446" customFormat="false" ht="12.75" hidden="true" customHeight="true" outlineLevel="0" collapsed="false">
      <c r="A446" s="449" t="n">
        <v>25421</v>
      </c>
      <c r="B446" s="450" t="s">
        <v>11236</v>
      </c>
      <c r="C446" s="450" t="n">
        <v>2014</v>
      </c>
      <c r="D446" s="451" t="n">
        <v>41911</v>
      </c>
      <c r="E446" s="452" t="s">
        <v>11237</v>
      </c>
      <c r="F446" s="378" t="s">
        <v>2920</v>
      </c>
      <c r="G446" s="452" t="s">
        <v>441</v>
      </c>
      <c r="H446" s="378" t="s">
        <v>192</v>
      </c>
      <c r="I446" s="451" t="n">
        <v>44453</v>
      </c>
      <c r="J446" s="452" t="n">
        <v>9</v>
      </c>
      <c r="K446" s="548" t="s">
        <v>49</v>
      </c>
      <c r="L446" s="460" t="s">
        <v>10013</v>
      </c>
      <c r="M446" s="545" t="n">
        <f aca="false">I446-D446</f>
        <v>2542</v>
      </c>
    </row>
    <row r="447" customFormat="false" ht="12.75" hidden="true" customHeight="true" outlineLevel="0" collapsed="false">
      <c r="A447" s="456" t="n">
        <v>25521</v>
      </c>
      <c r="B447" s="458" t="s">
        <v>11238</v>
      </c>
      <c r="C447" s="458" t="n">
        <v>2014</v>
      </c>
      <c r="D447" s="459" t="n">
        <v>41654</v>
      </c>
      <c r="E447" s="460" t="s">
        <v>11239</v>
      </c>
      <c r="F447" s="380" t="s">
        <v>11240</v>
      </c>
      <c r="G447" s="460" t="s">
        <v>144</v>
      </c>
      <c r="H447" s="380" t="s">
        <v>6476</v>
      </c>
      <c r="I447" s="459" t="n">
        <v>44454</v>
      </c>
      <c r="J447" s="460" t="n">
        <v>9</v>
      </c>
      <c r="K447" s="548" t="s">
        <v>49</v>
      </c>
      <c r="L447" s="452" t="s">
        <v>10013</v>
      </c>
      <c r="M447" s="546" t="n">
        <f aca="false">I447-D447</f>
        <v>2800</v>
      </c>
    </row>
    <row r="448" customFormat="false" ht="15" hidden="true" customHeight="true" outlineLevel="0" collapsed="false">
      <c r="A448" s="449" t="n">
        <v>25621</v>
      </c>
      <c r="B448" s="450" t="s">
        <v>11241</v>
      </c>
      <c r="C448" s="450" t="n">
        <v>2021</v>
      </c>
      <c r="D448" s="451" t="n">
        <v>44314</v>
      </c>
      <c r="E448" s="452" t="s">
        <v>11242</v>
      </c>
      <c r="F448" s="537" t="s">
        <v>11243</v>
      </c>
      <c r="G448" s="452" t="s">
        <v>125</v>
      </c>
      <c r="H448" s="378" t="s">
        <v>3234</v>
      </c>
      <c r="I448" s="451" t="n">
        <v>44454</v>
      </c>
      <c r="J448" s="452" t="n">
        <v>9</v>
      </c>
      <c r="K448" s="548" t="s">
        <v>49</v>
      </c>
      <c r="L448" s="460" t="s">
        <v>61</v>
      </c>
      <c r="M448" s="545" t="n">
        <f aca="false">I448-D448</f>
        <v>140</v>
      </c>
    </row>
    <row r="449" customFormat="false" ht="12.75" hidden="true" customHeight="true" outlineLevel="0" collapsed="false">
      <c r="A449" s="456" t="n">
        <v>25721</v>
      </c>
      <c r="B449" s="458" t="s">
        <v>11244</v>
      </c>
      <c r="C449" s="458" t="n">
        <v>2018</v>
      </c>
      <c r="D449" s="459" t="n">
        <v>43315</v>
      </c>
      <c r="E449" s="460" t="s">
        <v>11245</v>
      </c>
      <c r="F449" s="380" t="s">
        <v>11246</v>
      </c>
      <c r="G449" s="460" t="s">
        <v>144</v>
      </c>
      <c r="H449" s="380" t="s">
        <v>1791</v>
      </c>
      <c r="I449" s="459" t="n">
        <v>44454</v>
      </c>
      <c r="J449" s="460" t="n">
        <v>9</v>
      </c>
      <c r="K449" s="548" t="s">
        <v>47</v>
      </c>
      <c r="L449" s="452" t="s">
        <v>10018</v>
      </c>
      <c r="M449" s="546" t="n">
        <f aca="false">I449-D449</f>
        <v>1139</v>
      </c>
    </row>
    <row r="450" customFormat="false" ht="12.75" hidden="true" customHeight="true" outlineLevel="0" collapsed="false">
      <c r="A450" s="449" t="n">
        <v>25821</v>
      </c>
      <c r="B450" s="450" t="s">
        <v>11247</v>
      </c>
      <c r="C450" s="450" t="n">
        <v>2014</v>
      </c>
      <c r="D450" s="451" t="n">
        <v>41926</v>
      </c>
      <c r="E450" s="452" t="s">
        <v>11248</v>
      </c>
      <c r="F450" s="378" t="s">
        <v>1987</v>
      </c>
      <c r="G450" s="452" t="s">
        <v>144</v>
      </c>
      <c r="H450" s="378" t="s">
        <v>1791</v>
      </c>
      <c r="I450" s="451" t="n">
        <v>44454</v>
      </c>
      <c r="J450" s="452" t="n">
        <v>9</v>
      </c>
      <c r="K450" s="548" t="s">
        <v>48</v>
      </c>
      <c r="L450" s="460" t="s">
        <v>10018</v>
      </c>
      <c r="M450" s="545" t="n">
        <f aca="false">I450-D450</f>
        <v>2528</v>
      </c>
    </row>
    <row r="451" customFormat="false" ht="12.75" hidden="true" customHeight="true" outlineLevel="0" collapsed="false">
      <c r="A451" s="456" t="n">
        <v>25921</v>
      </c>
      <c r="B451" s="458" t="s">
        <v>11249</v>
      </c>
      <c r="C451" s="458" t="n">
        <v>2013</v>
      </c>
      <c r="D451" s="459" t="n">
        <v>41431</v>
      </c>
      <c r="E451" s="460" t="s">
        <v>11250</v>
      </c>
      <c r="F451" s="380" t="s">
        <v>3777</v>
      </c>
      <c r="G451" s="460" t="s">
        <v>441</v>
      </c>
      <c r="H451" s="380" t="s">
        <v>471</v>
      </c>
      <c r="I451" s="459" t="n">
        <v>44454</v>
      </c>
      <c r="J451" s="460" t="n">
        <v>9</v>
      </c>
      <c r="K451" s="548" t="s">
        <v>49</v>
      </c>
      <c r="L451" s="452" t="s">
        <v>10018</v>
      </c>
      <c r="M451" s="546" t="n">
        <f aca="false">I451-D451</f>
        <v>3023</v>
      </c>
    </row>
    <row r="452" customFormat="false" ht="12.75" hidden="true" customHeight="true" outlineLevel="0" collapsed="false">
      <c r="A452" s="449" t="n">
        <v>26021</v>
      </c>
      <c r="B452" s="450" t="s">
        <v>11251</v>
      </c>
      <c r="C452" s="450" t="n">
        <v>2015</v>
      </c>
      <c r="D452" s="451" t="n">
        <v>42255</v>
      </c>
      <c r="E452" s="452" t="s">
        <v>11252</v>
      </c>
      <c r="F452" s="378" t="s">
        <v>11253</v>
      </c>
      <c r="G452" s="452" t="s">
        <v>441</v>
      </c>
      <c r="H452" s="378" t="s">
        <v>471</v>
      </c>
      <c r="I452" s="451" t="n">
        <v>44454</v>
      </c>
      <c r="J452" s="452" t="n">
        <v>9</v>
      </c>
      <c r="K452" s="548" t="s">
        <v>48</v>
      </c>
      <c r="L452" s="460" t="s">
        <v>10013</v>
      </c>
      <c r="M452" s="545" t="n">
        <f aca="false">I452-D452</f>
        <v>2199</v>
      </c>
    </row>
    <row r="453" customFormat="false" ht="12.75" hidden="true" customHeight="true" outlineLevel="0" collapsed="false">
      <c r="A453" s="456" t="n">
        <v>26121</v>
      </c>
      <c r="B453" s="458" t="s">
        <v>11254</v>
      </c>
      <c r="C453" s="458" t="n">
        <v>2013</v>
      </c>
      <c r="D453" s="459" t="n">
        <v>41569</v>
      </c>
      <c r="E453" s="460" t="s">
        <v>11255</v>
      </c>
      <c r="F453" s="380" t="s">
        <v>346</v>
      </c>
      <c r="G453" s="460" t="s">
        <v>441</v>
      </c>
      <c r="H453" s="380" t="s">
        <v>1567</v>
      </c>
      <c r="I453" s="459" t="n">
        <v>44454</v>
      </c>
      <c r="J453" s="460" t="n">
        <v>9</v>
      </c>
      <c r="K453" s="549" t="s">
        <v>46</v>
      </c>
      <c r="L453" s="452" t="s">
        <v>10018</v>
      </c>
      <c r="M453" s="546" t="n">
        <f aca="false">I453-D453</f>
        <v>2885</v>
      </c>
    </row>
    <row r="454" customFormat="false" ht="12.75" hidden="true" customHeight="true" outlineLevel="0" collapsed="false">
      <c r="A454" s="449" t="n">
        <v>26221</v>
      </c>
      <c r="B454" s="450" t="s">
        <v>11256</v>
      </c>
      <c r="C454" s="450" t="n">
        <v>2017</v>
      </c>
      <c r="D454" s="451" t="n">
        <v>43055</v>
      </c>
      <c r="E454" s="452" t="s">
        <v>11257</v>
      </c>
      <c r="F454" s="378" t="s">
        <v>1156</v>
      </c>
      <c r="G454" s="452" t="s">
        <v>441</v>
      </c>
      <c r="H454" s="378" t="s">
        <v>706</v>
      </c>
      <c r="I454" s="451" t="n">
        <v>44454</v>
      </c>
      <c r="J454" s="452" t="n">
        <v>9</v>
      </c>
      <c r="K454" s="550" t="s">
        <v>44</v>
      </c>
      <c r="L454" s="460" t="s">
        <v>10018</v>
      </c>
      <c r="M454" s="545" t="n">
        <f aca="false">I454-D454</f>
        <v>1399</v>
      </c>
    </row>
    <row r="455" customFormat="false" ht="12.75" hidden="true" customHeight="true" outlineLevel="0" collapsed="false">
      <c r="A455" s="456" t="n">
        <v>26321</v>
      </c>
      <c r="B455" s="458" t="s">
        <v>11258</v>
      </c>
      <c r="C455" s="458" t="n">
        <v>2017</v>
      </c>
      <c r="D455" s="459" t="n">
        <v>42867</v>
      </c>
      <c r="E455" s="460" t="s">
        <v>11259</v>
      </c>
      <c r="F455" s="380" t="s">
        <v>168</v>
      </c>
      <c r="G455" s="460" t="s">
        <v>441</v>
      </c>
      <c r="H455" s="380" t="s">
        <v>6043</v>
      </c>
      <c r="I455" s="459" t="n">
        <v>44454</v>
      </c>
      <c r="J455" s="460" t="n">
        <v>9</v>
      </c>
      <c r="K455" s="548" t="s">
        <v>49</v>
      </c>
      <c r="L455" s="452" t="s">
        <v>10013</v>
      </c>
      <c r="M455" s="546" t="n">
        <f aca="false">I455-D455</f>
        <v>1587</v>
      </c>
    </row>
    <row r="456" customFormat="false" ht="12.75" hidden="true" customHeight="true" outlineLevel="0" collapsed="false">
      <c r="A456" s="449" t="n">
        <v>26421</v>
      </c>
      <c r="B456" s="450" t="s">
        <v>11260</v>
      </c>
      <c r="C456" s="450" t="n">
        <v>2012</v>
      </c>
      <c r="D456" s="451" t="n">
        <v>41129</v>
      </c>
      <c r="E456" s="452" t="s">
        <v>11261</v>
      </c>
      <c r="F456" s="378" t="s">
        <v>5620</v>
      </c>
      <c r="G456" s="452" t="s">
        <v>441</v>
      </c>
      <c r="H456" s="378" t="s">
        <v>471</v>
      </c>
      <c r="I456" s="451" t="n">
        <v>44454</v>
      </c>
      <c r="J456" s="452" t="n">
        <v>9</v>
      </c>
      <c r="K456" s="548" t="s">
        <v>49</v>
      </c>
      <c r="L456" s="460" t="s">
        <v>10013</v>
      </c>
      <c r="M456" s="545" t="n">
        <f aca="false">I456-D456</f>
        <v>3325</v>
      </c>
    </row>
    <row r="457" customFormat="false" ht="12.75" hidden="true" customHeight="true" outlineLevel="0" collapsed="false">
      <c r="A457" s="456" t="n">
        <v>26521</v>
      </c>
      <c r="B457" s="458" t="s">
        <v>11262</v>
      </c>
      <c r="C457" s="458" t="n">
        <v>2015</v>
      </c>
      <c r="D457" s="459" t="n">
        <v>42255</v>
      </c>
      <c r="E457" s="460" t="s">
        <v>11263</v>
      </c>
      <c r="F457" s="380" t="s">
        <v>11253</v>
      </c>
      <c r="G457" s="460" t="s">
        <v>441</v>
      </c>
      <c r="H457" s="380" t="s">
        <v>471</v>
      </c>
      <c r="I457" s="459" t="n">
        <v>44454</v>
      </c>
      <c r="J457" s="460" t="n">
        <v>9</v>
      </c>
      <c r="K457" s="548" t="s">
        <v>48</v>
      </c>
      <c r="L457" s="452" t="s">
        <v>10013</v>
      </c>
      <c r="M457" s="546" t="n">
        <f aca="false">I457-D457</f>
        <v>2199</v>
      </c>
    </row>
    <row r="458" customFormat="false" ht="12.75" hidden="true" customHeight="true" outlineLevel="0" collapsed="false">
      <c r="A458" s="449" t="n">
        <v>26621</v>
      </c>
      <c r="B458" s="450" t="s">
        <v>11264</v>
      </c>
      <c r="C458" s="450" t="n">
        <v>2015</v>
      </c>
      <c r="D458" s="451" t="n">
        <v>42128</v>
      </c>
      <c r="E458" s="452" t="s">
        <v>11265</v>
      </c>
      <c r="F458" s="378" t="s">
        <v>10822</v>
      </c>
      <c r="G458" s="452" t="s">
        <v>441</v>
      </c>
      <c r="H458" s="378" t="s">
        <v>192</v>
      </c>
      <c r="I458" s="451" t="n">
        <v>44454</v>
      </c>
      <c r="J458" s="452" t="n">
        <v>9</v>
      </c>
      <c r="K458" s="548" t="s">
        <v>49</v>
      </c>
      <c r="L458" s="460" t="s">
        <v>10013</v>
      </c>
      <c r="M458" s="545" t="n">
        <f aca="false">I458-D458</f>
        <v>2326</v>
      </c>
    </row>
    <row r="459" customFormat="false" ht="12.75" hidden="true" customHeight="true" outlineLevel="0" collapsed="false">
      <c r="A459" s="456" t="n">
        <v>26721</v>
      </c>
      <c r="B459" s="458" t="s">
        <v>11266</v>
      </c>
      <c r="C459" s="458" t="n">
        <v>2018</v>
      </c>
      <c r="D459" s="459" t="n">
        <v>43453</v>
      </c>
      <c r="E459" s="460" t="s">
        <v>11267</v>
      </c>
      <c r="F459" s="549" t="s">
        <v>11268</v>
      </c>
      <c r="G459" s="460" t="s">
        <v>125</v>
      </c>
      <c r="H459" s="380" t="s">
        <v>11269</v>
      </c>
      <c r="I459" s="459" t="n">
        <v>44454</v>
      </c>
      <c r="J459" s="460" t="n">
        <v>9</v>
      </c>
      <c r="K459" s="548" t="s">
        <v>48</v>
      </c>
      <c r="L459" s="452" t="s">
        <v>61</v>
      </c>
      <c r="M459" s="546" t="n">
        <f aca="false">I459-D459</f>
        <v>1001</v>
      </c>
    </row>
    <row r="460" customFormat="false" ht="12.75" hidden="true" customHeight="true" outlineLevel="0" collapsed="false">
      <c r="A460" s="449" t="n">
        <v>26821</v>
      </c>
      <c r="B460" s="450" t="s">
        <v>11270</v>
      </c>
      <c r="C460" s="450" t="n">
        <v>2021</v>
      </c>
      <c r="D460" s="451" t="n">
        <v>44250</v>
      </c>
      <c r="E460" s="452" t="s">
        <v>11271</v>
      </c>
      <c r="F460" s="537" t="s">
        <v>11272</v>
      </c>
      <c r="G460" s="452" t="s">
        <v>125</v>
      </c>
      <c r="H460" s="378" t="s">
        <v>980</v>
      </c>
      <c r="I460" s="451" t="n">
        <v>44454</v>
      </c>
      <c r="J460" s="452" t="n">
        <v>9</v>
      </c>
      <c r="K460" s="547" t="s">
        <v>51</v>
      </c>
      <c r="L460" s="460" t="s">
        <v>61</v>
      </c>
      <c r="M460" s="545" t="n">
        <f aca="false">I460-D460</f>
        <v>204</v>
      </c>
    </row>
    <row r="461" customFormat="false" ht="12.75" hidden="true" customHeight="true" outlineLevel="0" collapsed="false">
      <c r="A461" s="456" t="n">
        <v>26921</v>
      </c>
      <c r="B461" s="458" t="s">
        <v>11273</v>
      </c>
      <c r="C461" s="458" t="n">
        <v>2020</v>
      </c>
      <c r="D461" s="459" t="n">
        <v>44138</v>
      </c>
      <c r="E461" s="460" t="s">
        <v>11274</v>
      </c>
      <c r="F461" s="551" t="s">
        <v>11275</v>
      </c>
      <c r="G461" s="460" t="s">
        <v>125</v>
      </c>
      <c r="H461" s="380" t="s">
        <v>10663</v>
      </c>
      <c r="I461" s="459" t="n">
        <v>44454</v>
      </c>
      <c r="J461" s="460" t="n">
        <v>9</v>
      </c>
      <c r="K461" s="548" t="s">
        <v>49</v>
      </c>
      <c r="L461" s="452" t="s">
        <v>61</v>
      </c>
      <c r="M461" s="546" t="n">
        <f aca="false">I461-D461</f>
        <v>316</v>
      </c>
    </row>
    <row r="462" customFormat="false" ht="12.75" hidden="true" customHeight="true" outlineLevel="0" collapsed="false">
      <c r="A462" s="449" t="n">
        <v>27021</v>
      </c>
      <c r="B462" s="450" t="s">
        <v>11276</v>
      </c>
      <c r="C462" s="450" t="n">
        <v>2020</v>
      </c>
      <c r="D462" s="451" t="n">
        <v>44180</v>
      </c>
      <c r="E462" s="452" t="s">
        <v>11277</v>
      </c>
      <c r="F462" s="537" t="s">
        <v>10768</v>
      </c>
      <c r="G462" s="452" t="s">
        <v>125</v>
      </c>
      <c r="H462" s="378" t="s">
        <v>10663</v>
      </c>
      <c r="I462" s="451" t="n">
        <v>44454</v>
      </c>
      <c r="J462" s="452" t="n">
        <v>9</v>
      </c>
      <c r="K462" s="548" t="s">
        <v>49</v>
      </c>
      <c r="L462" s="460" t="s">
        <v>61</v>
      </c>
      <c r="M462" s="545" t="n">
        <f aca="false">I462-D462</f>
        <v>274</v>
      </c>
    </row>
    <row r="463" customFormat="false" ht="12.75" hidden="true" customHeight="true" outlineLevel="0" collapsed="false">
      <c r="A463" s="456" t="n">
        <v>27121</v>
      </c>
      <c r="B463" s="458" t="s">
        <v>11278</v>
      </c>
      <c r="C463" s="458" t="n">
        <v>2014</v>
      </c>
      <c r="D463" s="459" t="n">
        <v>41843</v>
      </c>
      <c r="E463" s="460" t="s">
        <v>11279</v>
      </c>
      <c r="F463" s="380" t="s">
        <v>8232</v>
      </c>
      <c r="G463" s="460" t="s">
        <v>441</v>
      </c>
      <c r="H463" s="380" t="s">
        <v>706</v>
      </c>
      <c r="I463" s="459" t="n">
        <v>44454</v>
      </c>
      <c r="J463" s="460" t="n">
        <v>9</v>
      </c>
      <c r="K463" s="548" t="s">
        <v>49</v>
      </c>
      <c r="L463" s="452" t="s">
        <v>10013</v>
      </c>
      <c r="M463" s="546" t="n">
        <f aca="false">I463-D463</f>
        <v>2611</v>
      </c>
    </row>
    <row r="464" customFormat="false" ht="12.75" hidden="true" customHeight="true" outlineLevel="0" collapsed="false">
      <c r="A464" s="449" t="n">
        <v>27221</v>
      </c>
      <c r="B464" s="450" t="s">
        <v>11280</v>
      </c>
      <c r="C464" s="450" t="n">
        <v>2020</v>
      </c>
      <c r="D464" s="451" t="n">
        <v>44028</v>
      </c>
      <c r="E464" s="452" t="s">
        <v>11281</v>
      </c>
      <c r="F464" s="551" t="s">
        <v>11282</v>
      </c>
      <c r="G464" s="452" t="s">
        <v>125</v>
      </c>
      <c r="H464" s="378" t="s">
        <v>7263</v>
      </c>
      <c r="I464" s="451" t="n">
        <v>44454</v>
      </c>
      <c r="J464" s="452" t="n">
        <v>9</v>
      </c>
      <c r="K464" s="548" t="s">
        <v>49</v>
      </c>
      <c r="L464" s="460" t="s">
        <v>61</v>
      </c>
      <c r="M464" s="545" t="n">
        <f aca="false">I464-D464</f>
        <v>426</v>
      </c>
    </row>
    <row r="465" customFormat="false" ht="12.75" hidden="true" customHeight="true" outlineLevel="0" collapsed="false">
      <c r="A465" s="456" t="n">
        <v>27321</v>
      </c>
      <c r="B465" s="458" t="s">
        <v>11283</v>
      </c>
      <c r="C465" s="458" t="n">
        <v>2020</v>
      </c>
      <c r="D465" s="459" t="n">
        <v>44027</v>
      </c>
      <c r="E465" s="460" t="s">
        <v>11284</v>
      </c>
      <c r="F465" s="549" t="s">
        <v>11282</v>
      </c>
      <c r="G465" s="460" t="s">
        <v>125</v>
      </c>
      <c r="H465" s="380" t="s">
        <v>7263</v>
      </c>
      <c r="I465" s="459" t="n">
        <v>44454</v>
      </c>
      <c r="J465" s="460" t="n">
        <v>9</v>
      </c>
      <c r="K465" s="548" t="s">
        <v>49</v>
      </c>
      <c r="L465" s="452" t="s">
        <v>61</v>
      </c>
      <c r="M465" s="546" t="n">
        <f aca="false">I465-D465</f>
        <v>427</v>
      </c>
    </row>
    <row r="466" customFormat="false" ht="12.75" hidden="true" customHeight="true" outlineLevel="0" collapsed="false">
      <c r="A466" s="449" t="n">
        <v>27421</v>
      </c>
      <c r="B466" s="450" t="s">
        <v>11285</v>
      </c>
      <c r="C466" s="450" t="n">
        <v>2018</v>
      </c>
      <c r="D466" s="451" t="n">
        <v>43448</v>
      </c>
      <c r="E466" s="452" t="s">
        <v>11286</v>
      </c>
      <c r="F466" s="378" t="s">
        <v>10761</v>
      </c>
      <c r="G466" s="452" t="s">
        <v>441</v>
      </c>
      <c r="H466" s="378" t="s">
        <v>11287</v>
      </c>
      <c r="I466" s="451" t="n">
        <v>44455</v>
      </c>
      <c r="J466" s="452" t="n">
        <v>9</v>
      </c>
      <c r="K466" s="548" t="s">
        <v>49</v>
      </c>
      <c r="L466" s="460" t="s">
        <v>10018</v>
      </c>
      <c r="M466" s="545" t="n">
        <f aca="false">I466-D466</f>
        <v>1007</v>
      </c>
    </row>
    <row r="467" customFormat="false" ht="12.75" hidden="true" customHeight="true" outlineLevel="0" collapsed="false">
      <c r="A467" s="456" t="n">
        <v>27521</v>
      </c>
      <c r="B467" s="458" t="s">
        <v>11288</v>
      </c>
      <c r="C467" s="458" t="n">
        <v>2012</v>
      </c>
      <c r="D467" s="459" t="n">
        <v>41219</v>
      </c>
      <c r="E467" s="460" t="s">
        <v>11289</v>
      </c>
      <c r="F467" s="380" t="s">
        <v>3844</v>
      </c>
      <c r="G467" s="460" t="s">
        <v>441</v>
      </c>
      <c r="H467" s="380" t="s">
        <v>1567</v>
      </c>
      <c r="I467" s="459" t="n">
        <v>44466</v>
      </c>
      <c r="J467" s="460" t="n">
        <v>9</v>
      </c>
      <c r="K467" s="548" t="s">
        <v>49</v>
      </c>
      <c r="L467" s="452" t="s">
        <v>10018</v>
      </c>
      <c r="M467" s="546" t="n">
        <f aca="false">I467-D467</f>
        <v>3247</v>
      </c>
    </row>
    <row r="468" customFormat="false" ht="12.75" hidden="true" customHeight="true" outlineLevel="0" collapsed="false">
      <c r="A468" s="449" t="n">
        <v>27621</v>
      </c>
      <c r="B468" s="450" t="s">
        <v>11290</v>
      </c>
      <c r="C468" s="450" t="n">
        <v>2017</v>
      </c>
      <c r="D468" s="451" t="n">
        <v>43098</v>
      </c>
      <c r="E468" s="452" t="s">
        <v>11291</v>
      </c>
      <c r="F468" s="378" t="s">
        <v>1156</v>
      </c>
      <c r="G468" s="452" t="s">
        <v>441</v>
      </c>
      <c r="H468" s="378" t="s">
        <v>409</v>
      </c>
      <c r="I468" s="451" t="n">
        <v>44466</v>
      </c>
      <c r="J468" s="452" t="n">
        <v>9</v>
      </c>
      <c r="K468" s="550" t="s">
        <v>44</v>
      </c>
      <c r="L468" s="460" t="s">
        <v>10018</v>
      </c>
      <c r="M468" s="545" t="n">
        <f aca="false">I468-D468</f>
        <v>1368</v>
      </c>
    </row>
    <row r="469" customFormat="false" ht="12.75" hidden="true" customHeight="true" outlineLevel="0" collapsed="false">
      <c r="A469" s="456" t="n">
        <v>27721</v>
      </c>
      <c r="B469" s="458" t="s">
        <v>11292</v>
      </c>
      <c r="C469" s="458" t="n">
        <v>2018</v>
      </c>
      <c r="D469" s="459" t="n">
        <v>43217</v>
      </c>
      <c r="E469" s="460" t="s">
        <v>11293</v>
      </c>
      <c r="F469" s="380" t="s">
        <v>449</v>
      </c>
      <c r="G469" s="460" t="s">
        <v>441</v>
      </c>
      <c r="H469" s="380" t="s">
        <v>366</v>
      </c>
      <c r="I469" s="459" t="n">
        <v>44466</v>
      </c>
      <c r="J469" s="460" t="n">
        <v>9</v>
      </c>
      <c r="K469" s="548" t="s">
        <v>48</v>
      </c>
      <c r="L469" s="452" t="s">
        <v>10018</v>
      </c>
      <c r="M469" s="546" t="n">
        <f aca="false">I469-D469</f>
        <v>1249</v>
      </c>
    </row>
    <row r="470" customFormat="false" ht="12.75" hidden="true" customHeight="true" outlineLevel="0" collapsed="false">
      <c r="A470" s="449" t="n">
        <v>27821</v>
      </c>
      <c r="B470" s="450" t="s">
        <v>11294</v>
      </c>
      <c r="C470" s="450" t="n">
        <v>2019</v>
      </c>
      <c r="D470" s="451" t="n">
        <v>43599</v>
      </c>
      <c r="E470" s="452" t="s">
        <v>11295</v>
      </c>
      <c r="F470" s="378" t="s">
        <v>11296</v>
      </c>
      <c r="G470" s="452" t="s">
        <v>441</v>
      </c>
      <c r="H470" s="378" t="s">
        <v>350</v>
      </c>
      <c r="I470" s="451" t="n">
        <v>44467</v>
      </c>
      <c r="J470" s="452" t="n">
        <v>9</v>
      </c>
      <c r="K470" s="548" t="s">
        <v>48</v>
      </c>
      <c r="L470" s="460" t="s">
        <v>10018</v>
      </c>
      <c r="M470" s="545" t="n">
        <f aca="false">I470-D470</f>
        <v>868</v>
      </c>
    </row>
    <row r="471" customFormat="false" ht="12.75" hidden="true" customHeight="true" outlineLevel="0" collapsed="false">
      <c r="A471" s="456" t="n">
        <v>27921</v>
      </c>
      <c r="B471" s="458" t="s">
        <v>11297</v>
      </c>
      <c r="C471" s="458" t="n">
        <v>2013</v>
      </c>
      <c r="D471" s="459" t="n">
        <v>41614</v>
      </c>
      <c r="E471" s="460" t="s">
        <v>11298</v>
      </c>
      <c r="F471" s="380" t="s">
        <v>763</v>
      </c>
      <c r="G471" s="460" t="s">
        <v>441</v>
      </c>
      <c r="H471" s="380" t="s">
        <v>1072</v>
      </c>
      <c r="I471" s="459" t="n">
        <v>44467</v>
      </c>
      <c r="J471" s="460" t="n">
        <v>9</v>
      </c>
      <c r="K471" s="548" t="s">
        <v>49</v>
      </c>
      <c r="L471" s="452" t="s">
        <v>10018</v>
      </c>
      <c r="M471" s="546" t="n">
        <f aca="false">I471-D471</f>
        <v>2853</v>
      </c>
    </row>
    <row r="472" customFormat="false" ht="12.75" hidden="true" customHeight="true" outlineLevel="0" collapsed="false">
      <c r="A472" s="449" t="n">
        <v>28021</v>
      </c>
      <c r="B472" s="450" t="s">
        <v>11299</v>
      </c>
      <c r="C472" s="450" t="n">
        <v>2015</v>
      </c>
      <c r="D472" s="451" t="n">
        <v>42334</v>
      </c>
      <c r="E472" s="452" t="s">
        <v>11300</v>
      </c>
      <c r="F472" s="378" t="s">
        <v>11301</v>
      </c>
      <c r="G472" s="452" t="s">
        <v>115</v>
      </c>
      <c r="H472" s="378" t="s">
        <v>6149</v>
      </c>
      <c r="I472" s="451" t="n">
        <v>44477</v>
      </c>
      <c r="J472" s="452" t="n">
        <v>10</v>
      </c>
      <c r="K472" s="547" t="s">
        <v>51</v>
      </c>
      <c r="L472" s="460" t="s">
        <v>10018</v>
      </c>
      <c r="M472" s="545" t="n">
        <f aca="false">I472-D472</f>
        <v>2143</v>
      </c>
    </row>
    <row r="473" customFormat="false" ht="12.75" hidden="true" customHeight="true" outlineLevel="0" collapsed="false">
      <c r="A473" s="456" t="n">
        <v>28121</v>
      </c>
      <c r="B473" s="458" t="s">
        <v>11302</v>
      </c>
      <c r="C473" s="458" t="n">
        <v>2013</v>
      </c>
      <c r="D473" s="459" t="n">
        <v>41334</v>
      </c>
      <c r="E473" s="460" t="s">
        <v>11303</v>
      </c>
      <c r="F473" s="380" t="s">
        <v>11304</v>
      </c>
      <c r="G473" s="460" t="s">
        <v>144</v>
      </c>
      <c r="H473" s="380" t="s">
        <v>453</v>
      </c>
      <c r="I473" s="459" t="n">
        <v>44490</v>
      </c>
      <c r="J473" s="460" t="n">
        <v>10</v>
      </c>
      <c r="K473" s="548" t="s">
        <v>49</v>
      </c>
      <c r="L473" s="452" t="s">
        <v>10013</v>
      </c>
      <c r="M473" s="546" t="n">
        <f aca="false">I473-D473</f>
        <v>3156</v>
      </c>
    </row>
    <row r="474" customFormat="false" ht="12.75" hidden="true" customHeight="true" outlineLevel="0" collapsed="false">
      <c r="A474" s="449" t="n">
        <v>28221</v>
      </c>
      <c r="B474" s="450" t="s">
        <v>11305</v>
      </c>
      <c r="C474" s="450" t="n">
        <v>2014</v>
      </c>
      <c r="D474" s="451" t="n">
        <v>41726</v>
      </c>
      <c r="E474" s="452" t="s">
        <v>11306</v>
      </c>
      <c r="F474" s="378" t="s">
        <v>11307</v>
      </c>
      <c r="G474" s="452" t="s">
        <v>144</v>
      </c>
      <c r="H474" s="378" t="s">
        <v>6149</v>
      </c>
      <c r="I474" s="451" t="n">
        <v>44490</v>
      </c>
      <c r="J474" s="452" t="n">
        <v>10</v>
      </c>
      <c r="K474" s="548" t="s">
        <v>49</v>
      </c>
      <c r="L474" s="460" t="s">
        <v>10013</v>
      </c>
      <c r="M474" s="545" t="n">
        <f aca="false">I474-D474</f>
        <v>2764</v>
      </c>
    </row>
    <row r="475" customFormat="false" ht="12.75" hidden="true" customHeight="true" outlineLevel="0" collapsed="false">
      <c r="A475" s="456" t="n">
        <v>28321</v>
      </c>
      <c r="B475" s="458" t="s">
        <v>11308</v>
      </c>
      <c r="C475" s="458" t="n">
        <v>2014</v>
      </c>
      <c r="D475" s="459" t="n">
        <v>41751</v>
      </c>
      <c r="E475" s="460" t="s">
        <v>11309</v>
      </c>
      <c r="F475" s="380" t="s">
        <v>214</v>
      </c>
      <c r="G475" s="460" t="s">
        <v>144</v>
      </c>
      <c r="H475" s="380" t="s">
        <v>10901</v>
      </c>
      <c r="I475" s="459" t="n">
        <v>44490</v>
      </c>
      <c r="J475" s="460" t="n">
        <v>10</v>
      </c>
      <c r="K475" s="548" t="s">
        <v>49</v>
      </c>
      <c r="L475" s="452" t="s">
        <v>10013</v>
      </c>
      <c r="M475" s="546" t="n">
        <f aca="false">I475-D475</f>
        <v>2739</v>
      </c>
    </row>
    <row r="476" customFormat="false" ht="12.75" hidden="true" customHeight="true" outlineLevel="0" collapsed="false">
      <c r="A476" s="449" t="n">
        <v>28421</v>
      </c>
      <c r="B476" s="450" t="s">
        <v>11310</v>
      </c>
      <c r="C476" s="450" t="n">
        <v>2015</v>
      </c>
      <c r="D476" s="451" t="n">
        <v>42335</v>
      </c>
      <c r="E476" s="452" t="s">
        <v>11311</v>
      </c>
      <c r="F476" s="378" t="s">
        <v>1025</v>
      </c>
      <c r="G476" s="452" t="s">
        <v>441</v>
      </c>
      <c r="H476" s="378" t="s">
        <v>354</v>
      </c>
      <c r="I476" s="451" t="n">
        <v>44490</v>
      </c>
      <c r="J476" s="452" t="n">
        <v>10</v>
      </c>
      <c r="K476" s="548" t="s">
        <v>49</v>
      </c>
      <c r="L476" s="460" t="s">
        <v>10018</v>
      </c>
      <c r="M476" s="545" t="n">
        <f aca="false">I476-D476</f>
        <v>2155</v>
      </c>
    </row>
    <row r="477" customFormat="false" ht="12.75" hidden="true" customHeight="true" outlineLevel="0" collapsed="false">
      <c r="A477" s="456" t="n">
        <v>28521</v>
      </c>
      <c r="B477" s="458" t="s">
        <v>11312</v>
      </c>
      <c r="C477" s="458" t="n">
        <v>2014</v>
      </c>
      <c r="D477" s="459" t="n">
        <v>41970</v>
      </c>
      <c r="E477" s="460" t="s">
        <v>11313</v>
      </c>
      <c r="F477" s="380" t="s">
        <v>705</v>
      </c>
      <c r="G477" s="460" t="s">
        <v>441</v>
      </c>
      <c r="H477" s="380" t="s">
        <v>2654</v>
      </c>
      <c r="I477" s="459" t="n">
        <v>44490</v>
      </c>
      <c r="J477" s="460" t="n">
        <v>10</v>
      </c>
      <c r="K477" s="548" t="s">
        <v>48</v>
      </c>
      <c r="L477" s="452" t="s">
        <v>10013</v>
      </c>
      <c r="M477" s="546" t="n">
        <f aca="false">I477-D477</f>
        <v>2520</v>
      </c>
    </row>
    <row r="478" customFormat="false" ht="12.75" hidden="true" customHeight="true" outlineLevel="0" collapsed="false">
      <c r="A478" s="449" t="n">
        <v>28621</v>
      </c>
      <c r="B478" s="450" t="s">
        <v>11314</v>
      </c>
      <c r="C478" s="450" t="n">
        <v>2015</v>
      </c>
      <c r="D478" s="451" t="n">
        <v>42347</v>
      </c>
      <c r="E478" s="452" t="s">
        <v>11315</v>
      </c>
      <c r="F478" s="378" t="s">
        <v>5814</v>
      </c>
      <c r="G478" s="452" t="s">
        <v>144</v>
      </c>
      <c r="H478" s="378" t="s">
        <v>267</v>
      </c>
      <c r="I478" s="451" t="n">
        <v>44490</v>
      </c>
      <c r="J478" s="452" t="n">
        <v>10</v>
      </c>
      <c r="K478" s="548" t="s">
        <v>49</v>
      </c>
      <c r="L478" s="460" t="s">
        <v>10013</v>
      </c>
      <c r="M478" s="545" t="n">
        <f aca="false">I478-D478</f>
        <v>2143</v>
      </c>
    </row>
    <row r="479" customFormat="false" ht="12.75" hidden="true" customHeight="true" outlineLevel="0" collapsed="false">
      <c r="A479" s="456" t="n">
        <v>28721</v>
      </c>
      <c r="B479" s="458" t="s">
        <v>11316</v>
      </c>
      <c r="C479" s="458" t="n">
        <v>2013</v>
      </c>
      <c r="D479" s="459" t="n">
        <v>41579</v>
      </c>
      <c r="E479" s="460" t="s">
        <v>11317</v>
      </c>
      <c r="F479" s="380" t="s">
        <v>537</v>
      </c>
      <c r="G479" s="460" t="s">
        <v>441</v>
      </c>
      <c r="H479" s="380" t="s">
        <v>192</v>
      </c>
      <c r="I479" s="459" t="n">
        <v>44490</v>
      </c>
      <c r="J479" s="460" t="n">
        <v>10</v>
      </c>
      <c r="K479" s="548" t="s">
        <v>49</v>
      </c>
      <c r="L479" s="452" t="s">
        <v>10018</v>
      </c>
      <c r="M479" s="546" t="n">
        <f aca="false">I479-D479</f>
        <v>2911</v>
      </c>
    </row>
    <row r="480" customFormat="false" ht="12.75" hidden="true" customHeight="true" outlineLevel="0" collapsed="false">
      <c r="A480" s="449" t="n">
        <v>28821</v>
      </c>
      <c r="B480" s="450" t="s">
        <v>11318</v>
      </c>
      <c r="C480" s="450" t="n">
        <v>2013</v>
      </c>
      <c r="D480" s="451" t="n">
        <v>41631</v>
      </c>
      <c r="E480" s="452" t="s">
        <v>11319</v>
      </c>
      <c r="F480" s="378" t="s">
        <v>8232</v>
      </c>
      <c r="G480" s="452" t="s">
        <v>441</v>
      </c>
      <c r="H480" s="378" t="s">
        <v>254</v>
      </c>
      <c r="I480" s="451" t="n">
        <v>44490</v>
      </c>
      <c r="J480" s="452" t="n">
        <v>10</v>
      </c>
      <c r="K480" s="548" t="s">
        <v>49</v>
      </c>
      <c r="L480" s="460" t="s">
        <v>10013</v>
      </c>
      <c r="M480" s="545" t="n">
        <f aca="false">I480-D480</f>
        <v>2859</v>
      </c>
    </row>
    <row r="481" customFormat="false" ht="12.75" hidden="true" customHeight="true" outlineLevel="0" collapsed="false">
      <c r="A481" s="456" t="n">
        <v>28921</v>
      </c>
      <c r="B481" s="458" t="s">
        <v>11320</v>
      </c>
      <c r="C481" s="458" t="n">
        <v>2016</v>
      </c>
      <c r="D481" s="459" t="n">
        <v>42464</v>
      </c>
      <c r="E481" s="460" t="s">
        <v>11321</v>
      </c>
      <c r="F481" s="380" t="s">
        <v>11322</v>
      </c>
      <c r="G481" s="460" t="s">
        <v>144</v>
      </c>
      <c r="H481" s="380" t="s">
        <v>4438</v>
      </c>
      <c r="I481" s="459" t="n">
        <v>44490</v>
      </c>
      <c r="J481" s="460" t="n">
        <v>10</v>
      </c>
      <c r="K481" s="548" t="s">
        <v>49</v>
      </c>
      <c r="L481" s="452" t="s">
        <v>10018</v>
      </c>
      <c r="M481" s="546" t="n">
        <f aca="false">I481-D481</f>
        <v>2026</v>
      </c>
    </row>
    <row r="482" customFormat="false" ht="12.75" hidden="true" customHeight="true" outlineLevel="0" collapsed="false">
      <c r="A482" s="449" t="n">
        <v>29021</v>
      </c>
      <c r="B482" s="450" t="s">
        <v>11323</v>
      </c>
      <c r="C482" s="450" t="n">
        <v>2018</v>
      </c>
      <c r="D482" s="451" t="n">
        <v>43250</v>
      </c>
      <c r="E482" s="452" t="s">
        <v>11324</v>
      </c>
      <c r="F482" s="378" t="s">
        <v>138</v>
      </c>
      <c r="G482" s="452" t="s">
        <v>441</v>
      </c>
      <c r="H482" s="378" t="s">
        <v>208</v>
      </c>
      <c r="I482" s="451" t="n">
        <v>44490</v>
      </c>
      <c r="J482" s="452" t="n">
        <v>10</v>
      </c>
      <c r="K482" s="555" t="s">
        <v>42</v>
      </c>
      <c r="L482" s="460" t="s">
        <v>10013</v>
      </c>
      <c r="M482" s="545" t="n">
        <f aca="false">I482-D482</f>
        <v>1240</v>
      </c>
    </row>
    <row r="483" customFormat="false" ht="12.75" hidden="true" customHeight="true" outlineLevel="0" collapsed="false">
      <c r="A483" s="456" t="n">
        <v>29121</v>
      </c>
      <c r="B483" s="458" t="s">
        <v>11325</v>
      </c>
      <c r="C483" s="458" t="n">
        <v>2018</v>
      </c>
      <c r="D483" s="459" t="n">
        <v>43250</v>
      </c>
      <c r="E483" s="460" t="s">
        <v>11326</v>
      </c>
      <c r="F483" s="380" t="s">
        <v>138</v>
      </c>
      <c r="G483" s="460" t="s">
        <v>441</v>
      </c>
      <c r="H483" s="380" t="s">
        <v>208</v>
      </c>
      <c r="I483" s="459" t="n">
        <v>44490</v>
      </c>
      <c r="J483" s="460" t="n">
        <v>10</v>
      </c>
      <c r="K483" s="550" t="s">
        <v>42</v>
      </c>
      <c r="L483" s="452" t="s">
        <v>10013</v>
      </c>
      <c r="M483" s="546" t="n">
        <f aca="false">I483-D483</f>
        <v>1240</v>
      </c>
    </row>
    <row r="484" customFormat="false" ht="12.75" hidden="true" customHeight="true" outlineLevel="0" collapsed="false">
      <c r="A484" s="449" t="n">
        <v>29221</v>
      </c>
      <c r="B484" s="450" t="s">
        <v>11327</v>
      </c>
      <c r="C484" s="450" t="n">
        <v>2018</v>
      </c>
      <c r="D484" s="451" t="n">
        <v>43252</v>
      </c>
      <c r="E484" s="452" t="s">
        <v>11328</v>
      </c>
      <c r="F484" s="378" t="s">
        <v>138</v>
      </c>
      <c r="G484" s="452" t="s">
        <v>441</v>
      </c>
      <c r="H484" s="378" t="s">
        <v>208</v>
      </c>
      <c r="I484" s="451" t="n">
        <v>44490</v>
      </c>
      <c r="J484" s="452" t="n">
        <v>10</v>
      </c>
      <c r="K484" s="555" t="s">
        <v>42</v>
      </c>
      <c r="L484" s="460" t="s">
        <v>10013</v>
      </c>
      <c r="M484" s="545" t="n">
        <f aca="false">I484-D484</f>
        <v>1238</v>
      </c>
    </row>
    <row r="485" customFormat="false" ht="12.75" hidden="true" customHeight="true" outlineLevel="0" collapsed="false">
      <c r="A485" s="456" t="n">
        <v>29321</v>
      </c>
      <c r="B485" s="458" t="s">
        <v>11329</v>
      </c>
      <c r="C485" s="458" t="n">
        <v>2018</v>
      </c>
      <c r="D485" s="459" t="n">
        <v>43453</v>
      </c>
      <c r="E485" s="460" t="s">
        <v>11330</v>
      </c>
      <c r="F485" s="380" t="s">
        <v>9538</v>
      </c>
      <c r="G485" s="460" t="s">
        <v>441</v>
      </c>
      <c r="H485" s="380" t="s">
        <v>208</v>
      </c>
      <c r="I485" s="459" t="n">
        <v>44490</v>
      </c>
      <c r="J485" s="460" t="n">
        <v>10</v>
      </c>
      <c r="K485" s="548" t="s">
        <v>48</v>
      </c>
      <c r="L485" s="452" t="s">
        <v>10018</v>
      </c>
      <c r="M485" s="546" t="n">
        <f aca="false">I485-D485</f>
        <v>1037</v>
      </c>
    </row>
    <row r="486" customFormat="false" ht="12.75" hidden="true" customHeight="true" outlineLevel="0" collapsed="false">
      <c r="A486" s="449" t="n">
        <v>29421</v>
      </c>
      <c r="B486" s="450" t="s">
        <v>11331</v>
      </c>
      <c r="C486" s="450" t="n">
        <v>2021</v>
      </c>
      <c r="D486" s="451" t="n">
        <v>44312</v>
      </c>
      <c r="E486" s="452" t="s">
        <v>11332</v>
      </c>
      <c r="F486" s="551" t="s">
        <v>11333</v>
      </c>
      <c r="G486" s="452" t="s">
        <v>125</v>
      </c>
      <c r="H486" s="378" t="s">
        <v>11334</v>
      </c>
      <c r="I486" s="451" t="n">
        <v>44490</v>
      </c>
      <c r="J486" s="452" t="n">
        <v>10</v>
      </c>
      <c r="K486" s="547" t="s">
        <v>51</v>
      </c>
      <c r="L486" s="460" t="s">
        <v>61</v>
      </c>
      <c r="M486" s="545" t="n">
        <f aca="false">I486-D486</f>
        <v>178</v>
      </c>
    </row>
    <row r="487" customFormat="false" ht="12.75" hidden="true" customHeight="true" outlineLevel="0" collapsed="false">
      <c r="A487" s="456" t="n">
        <v>29521</v>
      </c>
      <c r="B487" s="458" t="s">
        <v>11335</v>
      </c>
      <c r="C487" s="458" t="n">
        <v>2015</v>
      </c>
      <c r="D487" s="459" t="n">
        <v>42016</v>
      </c>
      <c r="E487" s="460" t="s">
        <v>11336</v>
      </c>
      <c r="F487" s="380" t="s">
        <v>668</v>
      </c>
      <c r="G487" s="460" t="s">
        <v>441</v>
      </c>
      <c r="H487" s="380" t="s">
        <v>192</v>
      </c>
      <c r="I487" s="459" t="n">
        <v>44491</v>
      </c>
      <c r="J487" s="460" t="n">
        <v>10</v>
      </c>
      <c r="K487" s="550" t="s">
        <v>44</v>
      </c>
      <c r="L487" s="452" t="s">
        <v>10018</v>
      </c>
      <c r="M487" s="546" t="n">
        <f aca="false">I487-D487</f>
        <v>2475</v>
      </c>
    </row>
    <row r="488" customFormat="false" ht="12.75" hidden="true" customHeight="true" outlineLevel="0" collapsed="false">
      <c r="A488" s="449" t="n">
        <v>29621</v>
      </c>
      <c r="B488" s="450" t="s">
        <v>11337</v>
      </c>
      <c r="C488" s="450" t="n">
        <v>2015</v>
      </c>
      <c r="D488" s="451" t="n">
        <v>44412</v>
      </c>
      <c r="E488" s="452" t="s">
        <v>11338</v>
      </c>
      <c r="F488" s="378" t="s">
        <v>11339</v>
      </c>
      <c r="G488" s="452" t="s">
        <v>144</v>
      </c>
      <c r="H488" s="378" t="s">
        <v>134</v>
      </c>
      <c r="I488" s="451" t="n">
        <v>44491</v>
      </c>
      <c r="J488" s="452" t="n">
        <v>10</v>
      </c>
      <c r="K488" s="548" t="s">
        <v>48</v>
      </c>
      <c r="L488" s="460" t="s">
        <v>10018</v>
      </c>
      <c r="M488" s="545" t="n">
        <f aca="false">I488-D488</f>
        <v>79</v>
      </c>
    </row>
    <row r="489" customFormat="false" ht="12.75" hidden="true" customHeight="true" outlineLevel="0" collapsed="false">
      <c r="A489" s="456" t="n">
        <v>29721</v>
      </c>
      <c r="B489" s="458" t="s">
        <v>11340</v>
      </c>
      <c r="C489" s="458" t="n">
        <v>2013</v>
      </c>
      <c r="D489" s="459" t="n">
        <v>41387</v>
      </c>
      <c r="E489" s="460" t="s">
        <v>11341</v>
      </c>
      <c r="F489" s="380" t="s">
        <v>1277</v>
      </c>
      <c r="G489" s="460" t="s">
        <v>441</v>
      </c>
      <c r="H489" s="380" t="s">
        <v>706</v>
      </c>
      <c r="I489" s="459" t="n">
        <v>44491</v>
      </c>
      <c r="J489" s="460" t="n">
        <v>10</v>
      </c>
      <c r="K489" s="556" t="s">
        <v>46</v>
      </c>
      <c r="L489" s="452" t="s">
        <v>10018</v>
      </c>
      <c r="M489" s="546" t="n">
        <f aca="false">I489-D489</f>
        <v>3104</v>
      </c>
    </row>
    <row r="490" customFormat="false" ht="12.75" hidden="true" customHeight="true" outlineLevel="0" collapsed="false">
      <c r="A490" s="449" t="n">
        <v>29821</v>
      </c>
      <c r="B490" s="450" t="s">
        <v>11342</v>
      </c>
      <c r="C490" s="450" t="n">
        <v>2018</v>
      </c>
      <c r="D490" s="451" t="n">
        <v>43131</v>
      </c>
      <c r="E490" s="452" t="s">
        <v>11343</v>
      </c>
      <c r="F490" s="378" t="s">
        <v>467</v>
      </c>
      <c r="G490" s="452" t="s">
        <v>441</v>
      </c>
      <c r="H490" s="378" t="s">
        <v>522</v>
      </c>
      <c r="I490" s="451" t="n">
        <v>44491</v>
      </c>
      <c r="J490" s="452" t="n">
        <v>10</v>
      </c>
      <c r="K490" s="548" t="s">
        <v>49</v>
      </c>
      <c r="L490" s="460" t="s">
        <v>61</v>
      </c>
      <c r="M490" s="545" t="n">
        <f aca="false">I490-D490</f>
        <v>1360</v>
      </c>
    </row>
    <row r="491" customFormat="false" ht="12.75" hidden="true" customHeight="true" outlineLevel="0" collapsed="false">
      <c r="A491" s="456" t="n">
        <v>29921</v>
      </c>
      <c r="B491" s="458" t="s">
        <v>11344</v>
      </c>
      <c r="C491" s="458" t="n">
        <v>2014</v>
      </c>
      <c r="D491" s="459" t="n">
        <v>41792</v>
      </c>
      <c r="E491" s="460" t="s">
        <v>11345</v>
      </c>
      <c r="F491" s="380" t="s">
        <v>5851</v>
      </c>
      <c r="G491" s="460" t="s">
        <v>144</v>
      </c>
      <c r="H491" s="380" t="s">
        <v>522</v>
      </c>
      <c r="I491" s="459" t="n">
        <v>44491</v>
      </c>
      <c r="J491" s="460" t="n">
        <v>10</v>
      </c>
      <c r="K491" s="552" t="s">
        <v>42</v>
      </c>
      <c r="L491" s="452" t="s">
        <v>10013</v>
      </c>
      <c r="M491" s="546" t="n">
        <f aca="false">I491-D491</f>
        <v>2699</v>
      </c>
    </row>
    <row r="492" customFormat="false" ht="12.75" hidden="true" customHeight="true" outlineLevel="0" collapsed="false">
      <c r="A492" s="449" t="n">
        <v>30021</v>
      </c>
      <c r="B492" s="450" t="s">
        <v>11346</v>
      </c>
      <c r="C492" s="450" t="n">
        <v>2015</v>
      </c>
      <c r="D492" s="451" t="n">
        <v>42185</v>
      </c>
      <c r="E492" s="452" t="s">
        <v>11347</v>
      </c>
      <c r="F492" s="378" t="s">
        <v>11348</v>
      </c>
      <c r="G492" s="452" t="s">
        <v>144</v>
      </c>
      <c r="H492" s="378" t="s">
        <v>119</v>
      </c>
      <c r="I492" s="451" t="n">
        <v>44491</v>
      </c>
      <c r="J492" s="452" t="n">
        <v>10</v>
      </c>
      <c r="K492" s="548" t="s">
        <v>49</v>
      </c>
      <c r="L492" s="460" t="s">
        <v>10013</v>
      </c>
      <c r="M492" s="545" t="n">
        <f aca="false">I492-D492</f>
        <v>2306</v>
      </c>
    </row>
    <row r="493" customFormat="false" ht="12.75" hidden="true" customHeight="true" outlineLevel="0" collapsed="false">
      <c r="A493" s="456" t="n">
        <v>30121</v>
      </c>
      <c r="B493" s="458" t="s">
        <v>11349</v>
      </c>
      <c r="C493" s="458" t="n">
        <v>2015</v>
      </c>
      <c r="D493" s="459" t="n">
        <v>42346</v>
      </c>
      <c r="E493" s="460" t="s">
        <v>11350</v>
      </c>
      <c r="F493" s="380" t="s">
        <v>1080</v>
      </c>
      <c r="G493" s="460" t="s">
        <v>441</v>
      </c>
      <c r="H493" s="380" t="s">
        <v>2654</v>
      </c>
      <c r="I493" s="459" t="n">
        <v>44491</v>
      </c>
      <c r="J493" s="460" t="n">
        <v>10</v>
      </c>
      <c r="K493" s="548" t="s">
        <v>48</v>
      </c>
      <c r="L493" s="452" t="s">
        <v>10018</v>
      </c>
      <c r="M493" s="546" t="n">
        <f aca="false">I493-D493</f>
        <v>2145</v>
      </c>
    </row>
    <row r="494" customFormat="false" ht="12.75" hidden="true" customHeight="true" outlineLevel="0" collapsed="false">
      <c r="A494" s="449" t="n">
        <v>30221</v>
      </c>
      <c r="B494" s="450" t="s">
        <v>11351</v>
      </c>
      <c r="C494" s="450" t="n">
        <v>2014</v>
      </c>
      <c r="D494" s="451" t="n">
        <v>41988</v>
      </c>
      <c r="E494" s="452" t="s">
        <v>11352</v>
      </c>
      <c r="F494" s="378" t="s">
        <v>5644</v>
      </c>
      <c r="G494" s="452" t="s">
        <v>441</v>
      </c>
      <c r="H494" s="378" t="s">
        <v>7363</v>
      </c>
      <c r="I494" s="451" t="n">
        <v>44491</v>
      </c>
      <c r="J494" s="452" t="n">
        <v>10</v>
      </c>
      <c r="K494" s="548" t="s">
        <v>49</v>
      </c>
      <c r="L494" s="460" t="s">
        <v>10018</v>
      </c>
      <c r="M494" s="545" t="n">
        <f aca="false">I494-D494</f>
        <v>2503</v>
      </c>
    </row>
    <row r="495" customFormat="false" ht="12.75" hidden="true" customHeight="true" outlineLevel="0" collapsed="false">
      <c r="A495" s="456" t="n">
        <v>30321</v>
      </c>
      <c r="B495" s="458" t="s">
        <v>11353</v>
      </c>
      <c r="C495" s="458" t="n">
        <v>2017</v>
      </c>
      <c r="D495" s="459" t="n">
        <v>42993</v>
      </c>
      <c r="E495" s="460" t="s">
        <v>11354</v>
      </c>
      <c r="F495" s="380" t="s">
        <v>723</v>
      </c>
      <c r="G495" s="460" t="s">
        <v>441</v>
      </c>
      <c r="H495" s="380" t="s">
        <v>781</v>
      </c>
      <c r="I495" s="459" t="n">
        <v>44491</v>
      </c>
      <c r="J495" s="460" t="n">
        <v>10</v>
      </c>
      <c r="K495" s="548" t="s">
        <v>48</v>
      </c>
      <c r="L495" s="452" t="s">
        <v>10013</v>
      </c>
      <c r="M495" s="546" t="n">
        <f aca="false">I495-D495</f>
        <v>1498</v>
      </c>
    </row>
    <row r="496" customFormat="false" ht="12.75" hidden="true" customHeight="true" outlineLevel="0" collapsed="false">
      <c r="A496" s="449" t="n">
        <v>30421</v>
      </c>
      <c r="B496" s="282" t="s">
        <v>10996</v>
      </c>
      <c r="C496" s="282" t="s">
        <v>10996</v>
      </c>
      <c r="D496" s="557" t="s">
        <v>10996</v>
      </c>
      <c r="E496" s="282" t="s">
        <v>10996</v>
      </c>
      <c r="F496" s="282" t="s">
        <v>10996</v>
      </c>
      <c r="G496" s="282" t="s">
        <v>10996</v>
      </c>
      <c r="H496" s="282" t="s">
        <v>10996</v>
      </c>
      <c r="I496" s="557" t="s">
        <v>10996</v>
      </c>
      <c r="J496" s="282" t="s">
        <v>10996</v>
      </c>
      <c r="K496" s="282" t="s">
        <v>10996</v>
      </c>
      <c r="L496" s="283" t="s">
        <v>10996</v>
      </c>
      <c r="M496" s="283" t="s">
        <v>10996</v>
      </c>
    </row>
    <row r="497" customFormat="false" ht="12.75" hidden="true" customHeight="true" outlineLevel="0" collapsed="false">
      <c r="A497" s="456" t="n">
        <v>30521</v>
      </c>
      <c r="B497" s="458" t="s">
        <v>11355</v>
      </c>
      <c r="C497" s="458" t="n">
        <v>2014</v>
      </c>
      <c r="D497" s="459" t="n">
        <v>41751</v>
      </c>
      <c r="E497" s="460" t="s">
        <v>11356</v>
      </c>
      <c r="F497" s="380" t="s">
        <v>214</v>
      </c>
      <c r="G497" s="460" t="s">
        <v>144</v>
      </c>
      <c r="H497" s="380" t="s">
        <v>11357</v>
      </c>
      <c r="I497" s="459" t="n">
        <v>44498</v>
      </c>
      <c r="J497" s="460" t="n">
        <v>10</v>
      </c>
      <c r="K497" s="548" t="s">
        <v>49</v>
      </c>
      <c r="L497" s="452" t="s">
        <v>10013</v>
      </c>
      <c r="M497" s="546" t="n">
        <f aca="false">I497-D497</f>
        <v>2747</v>
      </c>
    </row>
    <row r="498" customFormat="false" ht="12.75" hidden="true" customHeight="true" outlineLevel="0" collapsed="false">
      <c r="A498" s="449" t="n">
        <v>30621</v>
      </c>
      <c r="B498" s="450" t="s">
        <v>11358</v>
      </c>
      <c r="C498" s="450" t="n">
        <v>2018</v>
      </c>
      <c r="D498" s="451" t="n">
        <v>43343</v>
      </c>
      <c r="E498" s="452" t="s">
        <v>11359</v>
      </c>
      <c r="F498" s="378" t="s">
        <v>346</v>
      </c>
      <c r="G498" s="452" t="s">
        <v>441</v>
      </c>
      <c r="H498" s="378" t="s">
        <v>409</v>
      </c>
      <c r="I498" s="451" t="n">
        <v>44498</v>
      </c>
      <c r="J498" s="452" t="n">
        <v>10</v>
      </c>
      <c r="K498" s="547" t="s">
        <v>51</v>
      </c>
      <c r="L498" s="460" t="s">
        <v>10018</v>
      </c>
      <c r="M498" s="545" t="n">
        <f aca="false">I498-D498</f>
        <v>1155</v>
      </c>
    </row>
    <row r="499" customFormat="false" ht="12.75" hidden="true" customHeight="true" outlineLevel="0" collapsed="false">
      <c r="A499" s="456" t="n">
        <v>30721</v>
      </c>
      <c r="B499" s="458" t="s">
        <v>11360</v>
      </c>
      <c r="C499" s="458" t="n">
        <v>2020</v>
      </c>
      <c r="D499" s="459" t="n">
        <v>43973</v>
      </c>
      <c r="E499" s="460" t="s">
        <v>11361</v>
      </c>
      <c r="F499" s="551" t="s">
        <v>11362</v>
      </c>
      <c r="G499" s="460" t="s">
        <v>130</v>
      </c>
      <c r="H499" s="380" t="s">
        <v>9130</v>
      </c>
      <c r="I499" s="459" t="n">
        <v>44498</v>
      </c>
      <c r="J499" s="460" t="n">
        <v>10</v>
      </c>
      <c r="K499" s="547" t="s">
        <v>51</v>
      </c>
      <c r="L499" s="452" t="s">
        <v>61</v>
      </c>
      <c r="M499" s="546" t="n">
        <f aca="false">I499-D499</f>
        <v>525</v>
      </c>
    </row>
    <row r="500" customFormat="false" ht="12.75" hidden="true" customHeight="true" outlineLevel="0" collapsed="false">
      <c r="A500" s="449" t="n">
        <v>30821</v>
      </c>
      <c r="B500" s="450" t="s">
        <v>11363</v>
      </c>
      <c r="C500" s="450" t="n">
        <v>2019</v>
      </c>
      <c r="D500" s="451" t="n">
        <v>43623</v>
      </c>
      <c r="E500" s="452" t="s">
        <v>11364</v>
      </c>
      <c r="F500" s="378" t="s">
        <v>11365</v>
      </c>
      <c r="G500" s="452" t="s">
        <v>441</v>
      </c>
      <c r="H500" s="378" t="s">
        <v>7363</v>
      </c>
      <c r="I500" s="451" t="n">
        <v>44498</v>
      </c>
      <c r="J500" s="452" t="n">
        <v>10</v>
      </c>
      <c r="K500" s="548" t="s">
        <v>48</v>
      </c>
      <c r="L500" s="460" t="s">
        <v>10013</v>
      </c>
      <c r="M500" s="545" t="n">
        <f aca="false">I500-D500</f>
        <v>875</v>
      </c>
    </row>
    <row r="501" customFormat="false" ht="15" hidden="true" customHeight="true" outlineLevel="0" collapsed="false">
      <c r="A501" s="456" t="n">
        <v>30921</v>
      </c>
      <c r="B501" s="458" t="s">
        <v>11366</v>
      </c>
      <c r="C501" s="458" t="n">
        <v>2020</v>
      </c>
      <c r="D501" s="459" t="n">
        <v>43997</v>
      </c>
      <c r="E501" s="460" t="s">
        <v>11367</v>
      </c>
      <c r="F501" s="536" t="s">
        <v>9076</v>
      </c>
      <c r="G501" s="460" t="s">
        <v>130</v>
      </c>
      <c r="H501" s="380" t="s">
        <v>11368</v>
      </c>
      <c r="I501" s="459" t="n">
        <v>44498</v>
      </c>
      <c r="J501" s="460" t="n">
        <v>10</v>
      </c>
      <c r="K501" s="547" t="s">
        <v>51</v>
      </c>
      <c r="L501" s="452" t="s">
        <v>61</v>
      </c>
      <c r="M501" s="546" t="n">
        <f aca="false">I501-D501</f>
        <v>501</v>
      </c>
    </row>
    <row r="502" customFormat="false" ht="12.75" hidden="true" customHeight="true" outlineLevel="0" collapsed="false">
      <c r="A502" s="449" t="n">
        <v>31021</v>
      </c>
      <c r="B502" s="450" t="s">
        <v>11369</v>
      </c>
      <c r="C502" s="450" t="n">
        <v>2020</v>
      </c>
      <c r="D502" s="451" t="n">
        <v>43997</v>
      </c>
      <c r="E502" s="452" t="s">
        <v>11370</v>
      </c>
      <c r="F502" s="537" t="s">
        <v>10785</v>
      </c>
      <c r="G502" s="452" t="s">
        <v>130</v>
      </c>
      <c r="H502" s="452" t="s">
        <v>11368</v>
      </c>
      <c r="I502" s="451" t="n">
        <v>44498</v>
      </c>
      <c r="J502" s="452" t="n">
        <v>10</v>
      </c>
      <c r="K502" s="547" t="s">
        <v>51</v>
      </c>
      <c r="L502" s="460" t="s">
        <v>61</v>
      </c>
      <c r="M502" s="545" t="n">
        <f aca="false">I502-D502</f>
        <v>501</v>
      </c>
    </row>
    <row r="503" customFormat="false" ht="12.75" hidden="true" customHeight="true" outlineLevel="0" collapsed="false">
      <c r="A503" s="456" t="n">
        <v>31121</v>
      </c>
      <c r="B503" s="458" t="s">
        <v>11371</v>
      </c>
      <c r="C503" s="458" t="n">
        <v>2016</v>
      </c>
      <c r="D503" s="459" t="n">
        <v>42636</v>
      </c>
      <c r="E503" s="460" t="s">
        <v>11372</v>
      </c>
      <c r="F503" s="380" t="s">
        <v>1527</v>
      </c>
      <c r="G503" s="460" t="s">
        <v>441</v>
      </c>
      <c r="H503" s="380" t="s">
        <v>2647</v>
      </c>
      <c r="I503" s="459" t="n">
        <v>44498</v>
      </c>
      <c r="J503" s="460" t="n">
        <v>10</v>
      </c>
      <c r="K503" s="548" t="s">
        <v>49</v>
      </c>
      <c r="L503" s="452" t="s">
        <v>10018</v>
      </c>
      <c r="M503" s="546" t="n">
        <f aca="false">I503-D503</f>
        <v>1862</v>
      </c>
    </row>
    <row r="504" customFormat="false" ht="12.75" hidden="true" customHeight="true" outlineLevel="0" collapsed="false">
      <c r="A504" s="449" t="n">
        <v>31221</v>
      </c>
      <c r="B504" s="450" t="s">
        <v>11373</v>
      </c>
      <c r="C504" s="450" t="n">
        <v>2020</v>
      </c>
      <c r="D504" s="451" t="n">
        <v>44043</v>
      </c>
      <c r="E504" s="452" t="s">
        <v>11374</v>
      </c>
      <c r="F504" s="452" t="s">
        <v>1277</v>
      </c>
      <c r="G504" s="452" t="s">
        <v>441</v>
      </c>
      <c r="H504" s="378" t="s">
        <v>243</v>
      </c>
      <c r="I504" s="451" t="n">
        <v>44498</v>
      </c>
      <c r="J504" s="452" t="n">
        <v>10</v>
      </c>
      <c r="K504" s="548" t="s">
        <v>48</v>
      </c>
      <c r="L504" s="460" t="s">
        <v>10018</v>
      </c>
      <c r="M504" s="545" t="n">
        <f aca="false">I504-D504</f>
        <v>455</v>
      </c>
    </row>
    <row r="505" customFormat="false" ht="12.75" hidden="true" customHeight="true" outlineLevel="0" collapsed="false">
      <c r="A505" s="456" t="n">
        <v>31321</v>
      </c>
      <c r="B505" s="458" t="s">
        <v>11375</v>
      </c>
      <c r="C505" s="458" t="n">
        <v>2019</v>
      </c>
      <c r="D505" s="459" t="n">
        <v>43728</v>
      </c>
      <c r="E505" s="460" t="s">
        <v>11376</v>
      </c>
      <c r="F505" s="551" t="s">
        <v>325</v>
      </c>
      <c r="G505" s="460" t="s">
        <v>130</v>
      </c>
      <c r="H505" s="380" t="s">
        <v>9458</v>
      </c>
      <c r="I505" s="459" t="n">
        <v>44498</v>
      </c>
      <c r="J505" s="460" t="n">
        <v>10</v>
      </c>
      <c r="K505" s="547" t="s">
        <v>51</v>
      </c>
      <c r="L505" s="452" t="s">
        <v>61</v>
      </c>
      <c r="M505" s="546" t="n">
        <f aca="false">I505-D505</f>
        <v>770</v>
      </c>
    </row>
    <row r="506" customFormat="false" ht="12.75" hidden="true" customHeight="true" outlineLevel="0" collapsed="false">
      <c r="A506" s="449" t="n">
        <v>31421</v>
      </c>
      <c r="B506" s="450" t="s">
        <v>11377</v>
      </c>
      <c r="C506" s="450" t="n">
        <v>2021</v>
      </c>
      <c r="D506" s="451" t="n">
        <v>44313</v>
      </c>
      <c r="E506" s="452" t="s">
        <v>11378</v>
      </c>
      <c r="F506" s="537" t="s">
        <v>9790</v>
      </c>
      <c r="G506" s="452" t="s">
        <v>130</v>
      </c>
      <c r="H506" s="378" t="s">
        <v>3553</v>
      </c>
      <c r="I506" s="451" t="n">
        <v>44498</v>
      </c>
      <c r="J506" s="452" t="n">
        <v>10</v>
      </c>
      <c r="K506" s="548" t="s">
        <v>49</v>
      </c>
      <c r="L506" s="460" t="s">
        <v>61</v>
      </c>
      <c r="M506" s="545" t="n">
        <f aca="false">I506-D506</f>
        <v>185</v>
      </c>
    </row>
    <row r="507" customFormat="false" ht="12.75" hidden="true" customHeight="true" outlineLevel="0" collapsed="false">
      <c r="A507" s="456" t="n">
        <v>31521</v>
      </c>
      <c r="B507" s="458" t="s">
        <v>11379</v>
      </c>
      <c r="C507" s="458" t="n">
        <v>2021</v>
      </c>
      <c r="D507" s="459" t="n">
        <v>44319</v>
      </c>
      <c r="E507" s="460" t="s">
        <v>11380</v>
      </c>
      <c r="F507" s="536" t="s">
        <v>10875</v>
      </c>
      <c r="G507" s="460" t="s">
        <v>130</v>
      </c>
      <c r="H507" s="380" t="s">
        <v>3422</v>
      </c>
      <c r="I507" s="459" t="n">
        <v>44498</v>
      </c>
      <c r="J507" s="460" t="n">
        <v>10</v>
      </c>
      <c r="K507" s="547" t="s">
        <v>51</v>
      </c>
      <c r="L507" s="452" t="s">
        <v>61</v>
      </c>
      <c r="M507" s="546" t="n">
        <f aca="false">I507-D507</f>
        <v>179</v>
      </c>
    </row>
    <row r="508" customFormat="false" ht="12.75" hidden="true" customHeight="true" outlineLevel="0" collapsed="false">
      <c r="A508" s="449" t="n">
        <v>31621</v>
      </c>
      <c r="B508" s="450" t="s">
        <v>11381</v>
      </c>
      <c r="C508" s="450" t="n">
        <v>2021</v>
      </c>
      <c r="D508" s="451" t="n">
        <v>44342</v>
      </c>
      <c r="E508" s="452" t="s">
        <v>11382</v>
      </c>
      <c r="F508" s="537" t="s">
        <v>10875</v>
      </c>
      <c r="G508" s="452" t="s">
        <v>125</v>
      </c>
      <c r="H508" s="378" t="s">
        <v>3893</v>
      </c>
      <c r="I508" s="451" t="n">
        <v>44498</v>
      </c>
      <c r="J508" s="452" t="n">
        <v>10</v>
      </c>
      <c r="K508" s="547" t="s">
        <v>51</v>
      </c>
      <c r="L508" s="460" t="s">
        <v>61</v>
      </c>
      <c r="M508" s="545" t="n">
        <f aca="false">I508-D508</f>
        <v>156</v>
      </c>
    </row>
    <row r="509" customFormat="false" ht="12.75" hidden="true" customHeight="true" outlineLevel="0" collapsed="false">
      <c r="A509" s="456" t="n">
        <v>31721</v>
      </c>
      <c r="B509" s="458" t="s">
        <v>11383</v>
      </c>
      <c r="C509" s="458" t="n">
        <v>2021</v>
      </c>
      <c r="D509" s="459" t="n">
        <v>44372</v>
      </c>
      <c r="E509" s="460" t="s">
        <v>11384</v>
      </c>
      <c r="F509" s="536" t="s">
        <v>11385</v>
      </c>
      <c r="G509" s="460" t="s">
        <v>130</v>
      </c>
      <c r="H509" s="380" t="s">
        <v>7263</v>
      </c>
      <c r="I509" s="459" t="n">
        <v>44498</v>
      </c>
      <c r="J509" s="460" t="n">
        <v>10</v>
      </c>
      <c r="K509" s="548" t="s">
        <v>49</v>
      </c>
      <c r="L509" s="452" t="s">
        <v>61</v>
      </c>
      <c r="M509" s="546" t="n">
        <f aca="false">I509-D509</f>
        <v>126</v>
      </c>
    </row>
    <row r="510" customFormat="false" ht="12.75" hidden="true" customHeight="true" outlineLevel="0" collapsed="false">
      <c r="A510" s="449" t="n">
        <v>31821</v>
      </c>
      <c r="B510" s="450" t="s">
        <v>11386</v>
      </c>
      <c r="C510" s="450" t="n">
        <v>2021</v>
      </c>
      <c r="D510" s="451" t="n">
        <v>44372</v>
      </c>
      <c r="E510" s="452" t="s">
        <v>11387</v>
      </c>
      <c r="F510" s="553" t="s">
        <v>11385</v>
      </c>
      <c r="G510" s="452" t="s">
        <v>130</v>
      </c>
      <c r="H510" s="452" t="s">
        <v>7263</v>
      </c>
      <c r="I510" s="451" t="n">
        <v>44498</v>
      </c>
      <c r="J510" s="452" t="n">
        <v>10</v>
      </c>
      <c r="K510" s="548" t="s">
        <v>49</v>
      </c>
      <c r="L510" s="460" t="s">
        <v>61</v>
      </c>
      <c r="M510" s="545" t="n">
        <f aca="false">I510-D510</f>
        <v>126</v>
      </c>
    </row>
    <row r="511" customFormat="false" ht="12.75" hidden="true" customHeight="true" outlineLevel="0" collapsed="false">
      <c r="A511" s="456" t="n">
        <v>31921</v>
      </c>
      <c r="B511" s="458" t="s">
        <v>11388</v>
      </c>
      <c r="C511" s="458" t="n">
        <v>2021</v>
      </c>
      <c r="D511" s="459" t="n">
        <v>44378</v>
      </c>
      <c r="E511" s="460" t="s">
        <v>11389</v>
      </c>
      <c r="F511" s="536" t="s">
        <v>6303</v>
      </c>
      <c r="G511" s="460" t="s">
        <v>130</v>
      </c>
      <c r="H511" s="380" t="s">
        <v>3225</v>
      </c>
      <c r="I511" s="459" t="n">
        <v>44498</v>
      </c>
      <c r="J511" s="460" t="n">
        <v>10</v>
      </c>
      <c r="K511" s="548" t="s">
        <v>49</v>
      </c>
      <c r="L511" s="452" t="s">
        <v>61</v>
      </c>
      <c r="M511" s="546" t="n">
        <f aca="false">I511-D511</f>
        <v>120</v>
      </c>
    </row>
    <row r="512" customFormat="false" ht="12.75" hidden="true" customHeight="true" outlineLevel="0" collapsed="false">
      <c r="A512" s="449" t="n">
        <v>32021</v>
      </c>
      <c r="B512" s="450" t="s">
        <v>11390</v>
      </c>
      <c r="C512" s="450" t="n">
        <v>2011</v>
      </c>
      <c r="D512" s="451" t="n">
        <v>40717</v>
      </c>
      <c r="E512" s="452" t="s">
        <v>11391</v>
      </c>
      <c r="F512" s="378" t="s">
        <v>11392</v>
      </c>
      <c r="G512" s="452" t="s">
        <v>441</v>
      </c>
      <c r="H512" s="378" t="s">
        <v>243</v>
      </c>
      <c r="I512" s="451" t="n">
        <v>44498</v>
      </c>
      <c r="J512" s="452" t="n">
        <v>10</v>
      </c>
      <c r="K512" s="548" t="s">
        <v>49</v>
      </c>
      <c r="L512" s="460" t="s">
        <v>10013</v>
      </c>
      <c r="M512" s="545" t="n">
        <f aca="false">I512-D512</f>
        <v>3781</v>
      </c>
    </row>
    <row r="513" customFormat="false" ht="12.75" hidden="true" customHeight="true" outlineLevel="0" collapsed="false">
      <c r="A513" s="456" t="n">
        <v>32121</v>
      </c>
      <c r="B513" s="458" t="s">
        <v>11393</v>
      </c>
      <c r="C513" s="458" t="n">
        <v>2021</v>
      </c>
      <c r="D513" s="459" t="n">
        <v>44362</v>
      </c>
      <c r="E513" s="460" t="s">
        <v>11394</v>
      </c>
      <c r="F513" s="536" t="s">
        <v>6315</v>
      </c>
      <c r="G513" s="460" t="s">
        <v>130</v>
      </c>
      <c r="H513" s="380" t="s">
        <v>6426</v>
      </c>
      <c r="I513" s="459" t="n">
        <v>44508</v>
      </c>
      <c r="J513" s="460" t="n">
        <v>11</v>
      </c>
      <c r="K513" s="548" t="s">
        <v>49</v>
      </c>
      <c r="L513" s="452" t="s">
        <v>61</v>
      </c>
      <c r="M513" s="546" t="n">
        <f aca="false">I513-D513</f>
        <v>146</v>
      </c>
    </row>
    <row r="514" customFormat="false" ht="12.75" hidden="true" customHeight="true" outlineLevel="0" collapsed="false">
      <c r="A514" s="449" t="n">
        <v>32221</v>
      </c>
      <c r="B514" s="450" t="s">
        <v>11395</v>
      </c>
      <c r="C514" s="450" t="n">
        <v>2013</v>
      </c>
      <c r="D514" s="451" t="n">
        <v>41614</v>
      </c>
      <c r="E514" s="452" t="s">
        <v>11396</v>
      </c>
      <c r="F514" s="452" t="s">
        <v>1196</v>
      </c>
      <c r="G514" s="452" t="s">
        <v>441</v>
      </c>
      <c r="H514" s="452" t="s">
        <v>1567</v>
      </c>
      <c r="I514" s="451" t="n">
        <v>44526</v>
      </c>
      <c r="J514" s="452" t="n">
        <v>11</v>
      </c>
      <c r="K514" s="548" t="s">
        <v>48</v>
      </c>
      <c r="L514" s="460" t="s">
        <v>10013</v>
      </c>
      <c r="M514" s="545" t="n">
        <f aca="false">I514-D514</f>
        <v>2912</v>
      </c>
    </row>
    <row r="515" customFormat="false" ht="12.75" hidden="true" customHeight="true" outlineLevel="0" collapsed="false">
      <c r="A515" s="456" t="n">
        <v>32321</v>
      </c>
      <c r="B515" s="458" t="s">
        <v>11397</v>
      </c>
      <c r="C515" s="458" t="n">
        <v>2015</v>
      </c>
      <c r="D515" s="459" t="n">
        <v>42199</v>
      </c>
      <c r="E515" s="460" t="s">
        <v>11398</v>
      </c>
      <c r="F515" s="380" t="s">
        <v>11399</v>
      </c>
      <c r="G515" s="460" t="s">
        <v>125</v>
      </c>
      <c r="H515" s="380" t="s">
        <v>639</v>
      </c>
      <c r="I515" s="459" t="n">
        <v>44526</v>
      </c>
      <c r="J515" s="460" t="n">
        <v>11</v>
      </c>
      <c r="K515" s="547" t="s">
        <v>51</v>
      </c>
      <c r="L515" s="452" t="s">
        <v>61</v>
      </c>
      <c r="M515" s="546" t="n">
        <f aca="false">I515-D515</f>
        <v>2327</v>
      </c>
    </row>
    <row r="516" customFormat="false" ht="12.75" hidden="true" customHeight="true" outlineLevel="0" collapsed="false">
      <c r="A516" s="449" t="n">
        <v>32421</v>
      </c>
      <c r="B516" s="450" t="s">
        <v>11400</v>
      </c>
      <c r="C516" s="450" t="n">
        <v>2016</v>
      </c>
      <c r="D516" s="451" t="n">
        <v>42649</v>
      </c>
      <c r="E516" s="452" t="s">
        <v>11401</v>
      </c>
      <c r="F516" s="378" t="s">
        <v>1180</v>
      </c>
      <c r="G516" s="452" t="s">
        <v>441</v>
      </c>
      <c r="H516" s="378" t="s">
        <v>184</v>
      </c>
      <c r="I516" s="451" t="n">
        <v>44526</v>
      </c>
      <c r="J516" s="452" t="n">
        <v>11</v>
      </c>
      <c r="K516" s="548" t="s">
        <v>48</v>
      </c>
      <c r="L516" s="460" t="s">
        <v>10018</v>
      </c>
      <c r="M516" s="545" t="n">
        <f aca="false">I516-D516</f>
        <v>1877</v>
      </c>
    </row>
    <row r="517" customFormat="false" ht="12.75" hidden="true" customHeight="true" outlineLevel="0" collapsed="false">
      <c r="A517" s="456" t="n">
        <v>32521</v>
      </c>
      <c r="B517" s="458" t="s">
        <v>11402</v>
      </c>
      <c r="C517" s="458" t="n">
        <v>2014</v>
      </c>
      <c r="D517" s="459" t="n">
        <v>41992</v>
      </c>
      <c r="E517" s="460" t="s">
        <v>11403</v>
      </c>
      <c r="F517" s="380" t="s">
        <v>138</v>
      </c>
      <c r="G517" s="460" t="s">
        <v>441</v>
      </c>
      <c r="H517" s="380" t="s">
        <v>471</v>
      </c>
      <c r="I517" s="459" t="n">
        <v>44526</v>
      </c>
      <c r="J517" s="460" t="n">
        <v>11</v>
      </c>
      <c r="K517" s="548" t="s">
        <v>49</v>
      </c>
      <c r="L517" s="452" t="s">
        <v>10013</v>
      </c>
      <c r="M517" s="546" t="n">
        <f aca="false">I517-D517</f>
        <v>2534</v>
      </c>
    </row>
    <row r="518" customFormat="false" ht="12.75" hidden="true" customHeight="true" outlineLevel="0" collapsed="false">
      <c r="A518" s="449" t="n">
        <v>32621</v>
      </c>
      <c r="B518" s="450" t="s">
        <v>11404</v>
      </c>
      <c r="C518" s="450" t="n">
        <v>2021</v>
      </c>
      <c r="D518" s="451" t="n">
        <v>44237</v>
      </c>
      <c r="E518" s="452" t="s">
        <v>11405</v>
      </c>
      <c r="F518" s="553" t="s">
        <v>3207</v>
      </c>
      <c r="G518" s="452" t="s">
        <v>130</v>
      </c>
      <c r="H518" s="452" t="s">
        <v>11406</v>
      </c>
      <c r="I518" s="451" t="n">
        <v>44526</v>
      </c>
      <c r="J518" s="452" t="n">
        <v>11</v>
      </c>
      <c r="K518" s="547" t="s">
        <v>51</v>
      </c>
      <c r="L518" s="460" t="s">
        <v>61</v>
      </c>
      <c r="M518" s="545" t="n">
        <f aca="false">I518-D518</f>
        <v>289</v>
      </c>
    </row>
    <row r="519" customFormat="false" ht="12.75" hidden="true" customHeight="true" outlineLevel="0" collapsed="false">
      <c r="A519" s="456" t="n">
        <v>32721</v>
      </c>
      <c r="B519" s="458" t="s">
        <v>11407</v>
      </c>
      <c r="C519" s="458" t="n">
        <v>2015</v>
      </c>
      <c r="D519" s="459" t="n">
        <v>42311</v>
      </c>
      <c r="E519" s="460" t="s">
        <v>11408</v>
      </c>
      <c r="F519" s="380" t="s">
        <v>11409</v>
      </c>
      <c r="G519" s="460" t="s">
        <v>115</v>
      </c>
      <c r="H519" s="380" t="s">
        <v>5589</v>
      </c>
      <c r="I519" s="459" t="n">
        <v>44526</v>
      </c>
      <c r="J519" s="460" t="n">
        <v>11</v>
      </c>
      <c r="K519" s="548" t="s">
        <v>49</v>
      </c>
      <c r="L519" s="452" t="s">
        <v>10018</v>
      </c>
      <c r="M519" s="546" t="n">
        <f aca="false">I519-D519</f>
        <v>2215</v>
      </c>
    </row>
    <row r="520" customFormat="false" ht="12.75" hidden="true" customHeight="true" outlineLevel="0" collapsed="false">
      <c r="A520" s="449" t="n">
        <v>32821</v>
      </c>
      <c r="B520" s="450" t="s">
        <v>11410</v>
      </c>
      <c r="C520" s="450" t="n">
        <v>2015</v>
      </c>
      <c r="D520" s="451" t="n">
        <v>42360</v>
      </c>
      <c r="E520" s="452" t="s">
        <v>11411</v>
      </c>
      <c r="F520" s="378" t="s">
        <v>537</v>
      </c>
      <c r="G520" s="452" t="s">
        <v>441</v>
      </c>
      <c r="H520" s="452" t="s">
        <v>1072</v>
      </c>
      <c r="I520" s="451" t="n">
        <v>44526</v>
      </c>
      <c r="J520" s="452" t="n">
        <v>11</v>
      </c>
      <c r="K520" s="548" t="s">
        <v>49</v>
      </c>
      <c r="L520" s="460" t="s">
        <v>10013</v>
      </c>
      <c r="M520" s="545" t="n">
        <f aca="false">I520-D520</f>
        <v>2166</v>
      </c>
    </row>
    <row r="521" customFormat="false" ht="12.75" hidden="true" customHeight="true" outlineLevel="0" collapsed="false">
      <c r="A521" s="456" t="n">
        <v>32921</v>
      </c>
      <c r="B521" s="458" t="s">
        <v>11412</v>
      </c>
      <c r="C521" s="458" t="n">
        <v>2013</v>
      </c>
      <c r="D521" s="459" t="n">
        <v>41631</v>
      </c>
      <c r="E521" s="460" t="s">
        <v>11413</v>
      </c>
      <c r="F521" s="380" t="s">
        <v>5851</v>
      </c>
      <c r="G521" s="460" t="s">
        <v>144</v>
      </c>
      <c r="H521" s="380" t="s">
        <v>522</v>
      </c>
      <c r="I521" s="459" t="n">
        <v>44526</v>
      </c>
      <c r="J521" s="460" t="n">
        <v>11</v>
      </c>
      <c r="K521" s="552" t="s">
        <v>42</v>
      </c>
      <c r="L521" s="452" t="s">
        <v>10013</v>
      </c>
      <c r="M521" s="546" t="n">
        <f aca="false">I521-D521</f>
        <v>2895</v>
      </c>
    </row>
    <row r="522" customFormat="false" ht="12.75" hidden="true" customHeight="true" outlineLevel="0" collapsed="false">
      <c r="A522" s="449" t="n">
        <v>33021</v>
      </c>
      <c r="B522" s="450" t="s">
        <v>11414</v>
      </c>
      <c r="C522" s="450" t="n">
        <v>2016</v>
      </c>
      <c r="D522" s="451" t="n">
        <v>42489</v>
      </c>
      <c r="E522" s="452" t="s">
        <v>11415</v>
      </c>
      <c r="F522" s="452" t="s">
        <v>11416</v>
      </c>
      <c r="G522" s="452" t="s">
        <v>115</v>
      </c>
      <c r="H522" s="452" t="s">
        <v>9407</v>
      </c>
      <c r="I522" s="451" t="n">
        <v>44526</v>
      </c>
      <c r="J522" s="452" t="n">
        <v>11</v>
      </c>
      <c r="K522" s="548" t="s">
        <v>48</v>
      </c>
      <c r="L522" s="460" t="s">
        <v>10018</v>
      </c>
      <c r="M522" s="545" t="n">
        <f aca="false">I522-D522</f>
        <v>2037</v>
      </c>
    </row>
    <row r="523" customFormat="false" ht="12.75" hidden="true" customHeight="true" outlineLevel="0" collapsed="false">
      <c r="A523" s="456" t="n">
        <v>33121</v>
      </c>
      <c r="B523" s="458" t="s">
        <v>11417</v>
      </c>
      <c r="C523" s="458" t="n">
        <v>2015</v>
      </c>
      <c r="D523" s="459" t="n">
        <v>42326</v>
      </c>
      <c r="E523" s="460" t="s">
        <v>11418</v>
      </c>
      <c r="F523" s="380" t="s">
        <v>346</v>
      </c>
      <c r="G523" s="460" t="s">
        <v>441</v>
      </c>
      <c r="H523" s="380" t="s">
        <v>1501</v>
      </c>
      <c r="I523" s="459" t="n">
        <v>44545</v>
      </c>
      <c r="J523" s="460" t="n">
        <v>12</v>
      </c>
      <c r="K523" s="548" t="s">
        <v>49</v>
      </c>
      <c r="L523" s="452" t="s">
        <v>10018</v>
      </c>
      <c r="M523" s="546" t="n">
        <f aca="false">I523-D523</f>
        <v>2219</v>
      </c>
    </row>
    <row r="524" customFormat="false" ht="12.75" hidden="true" customHeight="true" outlineLevel="0" collapsed="false">
      <c r="A524" s="449" t="n">
        <v>33221</v>
      </c>
      <c r="B524" s="450" t="s">
        <v>11419</v>
      </c>
      <c r="C524" s="450" t="n">
        <v>2021</v>
      </c>
      <c r="D524" s="451" t="n">
        <v>44272</v>
      </c>
      <c r="E524" s="378" t="s">
        <v>11420</v>
      </c>
      <c r="F524" s="537" t="s">
        <v>11421</v>
      </c>
      <c r="G524" s="452" t="s">
        <v>130</v>
      </c>
      <c r="H524" s="378" t="s">
        <v>11422</v>
      </c>
      <c r="I524" s="451" t="n">
        <v>44545</v>
      </c>
      <c r="J524" s="452" t="n">
        <v>12</v>
      </c>
      <c r="K524" s="547" t="s">
        <v>51</v>
      </c>
      <c r="L524" s="460" t="s">
        <v>61</v>
      </c>
      <c r="M524" s="545" t="n">
        <f aca="false">I524-D524</f>
        <v>273</v>
      </c>
    </row>
    <row r="525" customFormat="false" ht="12.75" hidden="true" customHeight="true" outlineLevel="0" collapsed="false">
      <c r="A525" s="456" t="n">
        <v>33321</v>
      </c>
      <c r="B525" s="458" t="s">
        <v>11423</v>
      </c>
      <c r="C525" s="458" t="n">
        <v>2021</v>
      </c>
      <c r="D525" s="459" t="n">
        <v>44273</v>
      </c>
      <c r="E525" s="460" t="s">
        <v>11424</v>
      </c>
      <c r="F525" s="536" t="s">
        <v>11425</v>
      </c>
      <c r="G525" s="460" t="s">
        <v>130</v>
      </c>
      <c r="H525" s="380" t="s">
        <v>149</v>
      </c>
      <c r="I525" s="459" t="n">
        <v>44545</v>
      </c>
      <c r="J525" s="460" t="n">
        <v>12</v>
      </c>
      <c r="K525" s="547" t="s">
        <v>51</v>
      </c>
      <c r="L525" s="452" t="s">
        <v>61</v>
      </c>
      <c r="M525" s="546" t="n">
        <f aca="false">I525-D525</f>
        <v>272</v>
      </c>
    </row>
    <row r="526" customFormat="false" ht="12.75" hidden="true" customHeight="true" outlineLevel="0" collapsed="false">
      <c r="A526" s="449" t="n">
        <v>33421</v>
      </c>
      <c r="B526" s="450" t="s">
        <v>11426</v>
      </c>
      <c r="C526" s="450" t="n">
        <v>2021</v>
      </c>
      <c r="D526" s="451" t="n">
        <v>44364</v>
      </c>
      <c r="E526" s="452" t="s">
        <v>11427</v>
      </c>
      <c r="F526" s="553" t="s">
        <v>6315</v>
      </c>
      <c r="G526" s="452" t="s">
        <v>130</v>
      </c>
      <c r="H526" s="452" t="s">
        <v>7263</v>
      </c>
      <c r="I526" s="451" t="n">
        <v>44545</v>
      </c>
      <c r="J526" s="452" t="n">
        <v>12</v>
      </c>
      <c r="K526" s="548" t="s">
        <v>49</v>
      </c>
      <c r="L526" s="460" t="s">
        <v>61</v>
      </c>
      <c r="M526" s="545" t="n">
        <f aca="false">I526-D526</f>
        <v>181</v>
      </c>
    </row>
    <row r="527" customFormat="false" ht="12.75" hidden="true" customHeight="true" outlineLevel="0" collapsed="false">
      <c r="A527" s="456" t="n">
        <v>33521</v>
      </c>
      <c r="B527" s="458" t="s">
        <v>11428</v>
      </c>
      <c r="C527" s="458" t="n">
        <v>2021</v>
      </c>
      <c r="D527" s="459" t="n">
        <v>44385</v>
      </c>
      <c r="E527" s="460" t="s">
        <v>11429</v>
      </c>
      <c r="F527" s="536" t="s">
        <v>11430</v>
      </c>
      <c r="G527" s="460" t="s">
        <v>130</v>
      </c>
      <c r="H527" s="380" t="s">
        <v>6426</v>
      </c>
      <c r="I527" s="459" t="n">
        <v>44545</v>
      </c>
      <c r="J527" s="460" t="n">
        <v>12</v>
      </c>
      <c r="K527" s="547" t="s">
        <v>50</v>
      </c>
      <c r="L527" s="452" t="s">
        <v>61</v>
      </c>
      <c r="M527" s="546" t="n">
        <f aca="false">I527-D527</f>
        <v>160</v>
      </c>
    </row>
    <row r="528" customFormat="false" ht="12.75" hidden="true" customHeight="true" outlineLevel="0" collapsed="false">
      <c r="A528" s="449" t="n">
        <v>33621</v>
      </c>
      <c r="B528" s="450" t="s">
        <v>11431</v>
      </c>
      <c r="C528" s="450" t="n">
        <v>2021</v>
      </c>
      <c r="D528" s="451" t="n">
        <v>44385</v>
      </c>
      <c r="E528" s="378" t="s">
        <v>11432</v>
      </c>
      <c r="F528" s="537" t="s">
        <v>6315</v>
      </c>
      <c r="G528" s="452" t="s">
        <v>130</v>
      </c>
      <c r="H528" s="378" t="s">
        <v>6426</v>
      </c>
      <c r="I528" s="451" t="n">
        <v>44545</v>
      </c>
      <c r="J528" s="452" t="n">
        <v>12</v>
      </c>
      <c r="K528" s="548" t="s">
        <v>49</v>
      </c>
      <c r="L528" s="460" t="s">
        <v>61</v>
      </c>
      <c r="M528" s="545" t="n">
        <f aca="false">I528-D528</f>
        <v>160</v>
      </c>
    </row>
    <row r="529" customFormat="false" ht="12.75" hidden="true" customHeight="true" outlineLevel="0" collapsed="false">
      <c r="A529" s="456" t="n">
        <v>33721</v>
      </c>
      <c r="B529" s="458" t="s">
        <v>11433</v>
      </c>
      <c r="C529" s="458" t="n">
        <v>2016</v>
      </c>
      <c r="D529" s="459" t="n">
        <v>42438</v>
      </c>
      <c r="E529" s="460" t="s">
        <v>11434</v>
      </c>
      <c r="F529" s="380" t="s">
        <v>11435</v>
      </c>
      <c r="G529" s="460" t="s">
        <v>441</v>
      </c>
      <c r="H529" s="380" t="s">
        <v>3339</v>
      </c>
      <c r="I529" s="459" t="n">
        <v>44545</v>
      </c>
      <c r="J529" s="460" t="n">
        <v>12</v>
      </c>
      <c r="K529" s="548" t="s">
        <v>49</v>
      </c>
      <c r="L529" s="452" t="s">
        <v>10013</v>
      </c>
      <c r="M529" s="546" t="n">
        <f aca="false">I529-D529</f>
        <v>2107</v>
      </c>
    </row>
    <row r="530" customFormat="false" ht="12.75" hidden="true" customHeight="true" outlineLevel="0" collapsed="false">
      <c r="A530" s="449" t="n">
        <v>33821</v>
      </c>
      <c r="B530" s="450" t="s">
        <v>11436</v>
      </c>
      <c r="C530" s="450" t="n">
        <v>2021</v>
      </c>
      <c r="D530" s="451" t="n">
        <v>44368</v>
      </c>
      <c r="E530" s="452" t="s">
        <v>11437</v>
      </c>
      <c r="F530" s="553" t="s">
        <v>6303</v>
      </c>
      <c r="G530" s="452" t="s">
        <v>130</v>
      </c>
      <c r="H530" s="452" t="s">
        <v>7263</v>
      </c>
      <c r="I530" s="451" t="n">
        <v>44545</v>
      </c>
      <c r="J530" s="452" t="n">
        <v>12</v>
      </c>
      <c r="K530" s="548" t="s">
        <v>49</v>
      </c>
      <c r="L530" s="460" t="s">
        <v>61</v>
      </c>
      <c r="M530" s="545" t="n">
        <f aca="false">I530-D530</f>
        <v>177</v>
      </c>
    </row>
    <row r="531" customFormat="false" ht="12.75" hidden="true" customHeight="true" outlineLevel="0" collapsed="false">
      <c r="A531" s="456" t="n">
        <v>33921</v>
      </c>
      <c r="B531" s="458" t="s">
        <v>11438</v>
      </c>
      <c r="C531" s="458" t="n">
        <v>2016</v>
      </c>
      <c r="D531" s="459" t="n">
        <v>42457</v>
      </c>
      <c r="E531" s="460" t="s">
        <v>11439</v>
      </c>
      <c r="F531" s="380" t="s">
        <v>5993</v>
      </c>
      <c r="G531" s="460" t="s">
        <v>144</v>
      </c>
      <c r="H531" s="380" t="s">
        <v>254</v>
      </c>
      <c r="I531" s="459" t="n">
        <v>44545</v>
      </c>
      <c r="J531" s="460" t="n">
        <v>12</v>
      </c>
      <c r="K531" s="548" t="s">
        <v>49</v>
      </c>
      <c r="L531" s="452" t="s">
        <v>10018</v>
      </c>
      <c r="M531" s="546" t="n">
        <f aca="false">I531-D531</f>
        <v>2088</v>
      </c>
    </row>
    <row r="532" customFormat="false" ht="12.75" hidden="true" customHeight="true" outlineLevel="0" collapsed="false">
      <c r="A532" s="449" t="n">
        <v>34021</v>
      </c>
      <c r="B532" s="450" t="s">
        <v>11440</v>
      </c>
      <c r="C532" s="450" t="n">
        <v>2016</v>
      </c>
      <c r="D532" s="451" t="n">
        <v>42465</v>
      </c>
      <c r="E532" s="378" t="s">
        <v>11441</v>
      </c>
      <c r="F532" s="378" t="s">
        <v>11442</v>
      </c>
      <c r="G532" s="452" t="s">
        <v>144</v>
      </c>
      <c r="H532" s="378" t="s">
        <v>119</v>
      </c>
      <c r="I532" s="451" t="n">
        <v>44545</v>
      </c>
      <c r="J532" s="452" t="n">
        <v>12</v>
      </c>
      <c r="K532" s="547" t="s">
        <v>51</v>
      </c>
      <c r="L532" s="460" t="s">
        <v>10013</v>
      </c>
      <c r="M532" s="545" t="n">
        <f aca="false">I532-D532</f>
        <v>2080</v>
      </c>
    </row>
    <row r="533" customFormat="false" ht="12.75" hidden="true" customHeight="true" outlineLevel="0" collapsed="false">
      <c r="A533" s="456" t="n">
        <v>34121</v>
      </c>
      <c r="B533" s="458" t="s">
        <v>11443</v>
      </c>
      <c r="C533" s="458" t="n">
        <v>2018</v>
      </c>
      <c r="D533" s="459" t="n">
        <v>43179</v>
      </c>
      <c r="E533" s="460" t="s">
        <v>11444</v>
      </c>
      <c r="F533" s="380" t="s">
        <v>816</v>
      </c>
      <c r="G533" s="460" t="s">
        <v>441</v>
      </c>
      <c r="H533" s="380" t="s">
        <v>513</v>
      </c>
      <c r="I533" s="459" t="n">
        <v>44545</v>
      </c>
      <c r="J533" s="460" t="n">
        <v>12</v>
      </c>
      <c r="K533" s="548" t="s">
        <v>49</v>
      </c>
      <c r="L533" s="452" t="s">
        <v>10013</v>
      </c>
      <c r="M533" s="546" t="n">
        <f aca="false">I533-D533</f>
        <v>1366</v>
      </c>
    </row>
    <row r="534" customFormat="false" ht="12.75" hidden="true" customHeight="true" outlineLevel="0" collapsed="false">
      <c r="A534" s="449" t="n">
        <v>34221</v>
      </c>
      <c r="B534" s="450" t="s">
        <v>11445</v>
      </c>
      <c r="C534" s="450" t="n">
        <v>2020</v>
      </c>
      <c r="D534" s="451" t="n">
        <v>44141</v>
      </c>
      <c r="E534" s="452" t="s">
        <v>11446</v>
      </c>
      <c r="F534" s="452" t="s">
        <v>11447</v>
      </c>
      <c r="G534" s="452" t="s">
        <v>441</v>
      </c>
      <c r="H534" s="452" t="s">
        <v>184</v>
      </c>
      <c r="I534" s="451" t="n">
        <v>44545</v>
      </c>
      <c r="J534" s="452" t="n">
        <v>12</v>
      </c>
      <c r="K534" s="548" t="s">
        <v>48</v>
      </c>
      <c r="L534" s="460" t="s">
        <v>10013</v>
      </c>
      <c r="M534" s="545" t="n">
        <f aca="false">I534-D534</f>
        <v>404</v>
      </c>
    </row>
    <row r="535" customFormat="false" ht="12.75" hidden="true" customHeight="true" outlineLevel="0" collapsed="false">
      <c r="A535" s="456" t="n">
        <v>34321</v>
      </c>
      <c r="B535" s="458" t="s">
        <v>11448</v>
      </c>
      <c r="C535" s="458" t="n">
        <v>2021</v>
      </c>
      <c r="D535" s="459" t="n">
        <v>44349</v>
      </c>
      <c r="E535" s="460" t="s">
        <v>11449</v>
      </c>
      <c r="F535" s="536" t="s">
        <v>10768</v>
      </c>
      <c r="G535" s="460" t="s">
        <v>125</v>
      </c>
      <c r="H535" s="380" t="s">
        <v>9693</v>
      </c>
      <c r="I535" s="459" t="n">
        <v>44546</v>
      </c>
      <c r="J535" s="460" t="n">
        <v>12</v>
      </c>
      <c r="K535" s="548" t="s">
        <v>49</v>
      </c>
      <c r="L535" s="452" t="s">
        <v>61</v>
      </c>
      <c r="M535" s="546" t="n">
        <f aca="false">I535-D535</f>
        <v>197</v>
      </c>
    </row>
    <row r="536" customFormat="false" ht="12.75" hidden="true" customHeight="true" outlineLevel="0" collapsed="false">
      <c r="A536" s="449" t="n">
        <v>34421</v>
      </c>
      <c r="B536" s="450" t="s">
        <v>11450</v>
      </c>
      <c r="C536" s="450" t="n">
        <v>2021</v>
      </c>
      <c r="D536" s="451" t="n">
        <v>44368</v>
      </c>
      <c r="E536" s="378" t="s">
        <v>11451</v>
      </c>
      <c r="F536" s="537" t="s">
        <v>6315</v>
      </c>
      <c r="G536" s="452" t="s">
        <v>130</v>
      </c>
      <c r="H536" s="378" t="s">
        <v>7263</v>
      </c>
      <c r="I536" s="451" t="n">
        <v>44546</v>
      </c>
      <c r="J536" s="452" t="n">
        <v>12</v>
      </c>
      <c r="K536" s="548" t="s">
        <v>49</v>
      </c>
      <c r="L536" s="460" t="s">
        <v>61</v>
      </c>
      <c r="M536" s="545" t="n">
        <f aca="false">I536-D536</f>
        <v>178</v>
      </c>
    </row>
    <row r="537" customFormat="false" ht="12.75" hidden="true" customHeight="true" outlineLevel="0" collapsed="false">
      <c r="A537" s="456" t="n">
        <v>34521</v>
      </c>
      <c r="B537" s="458" t="s">
        <v>11452</v>
      </c>
      <c r="C537" s="458" t="n">
        <v>2021</v>
      </c>
      <c r="D537" s="459" t="n">
        <v>44263</v>
      </c>
      <c r="E537" s="380" t="s">
        <v>11453</v>
      </c>
      <c r="F537" s="380" t="s">
        <v>6001</v>
      </c>
      <c r="G537" s="460" t="s">
        <v>125</v>
      </c>
      <c r="H537" s="380" t="s">
        <v>6002</v>
      </c>
      <c r="I537" s="459" t="n">
        <v>44546</v>
      </c>
      <c r="J537" s="460" t="n">
        <v>12</v>
      </c>
      <c r="K537" s="547" t="s">
        <v>51</v>
      </c>
      <c r="L537" s="452" t="s">
        <v>61</v>
      </c>
      <c r="M537" s="546" t="n">
        <f aca="false">I537-D537</f>
        <v>283</v>
      </c>
    </row>
    <row r="538" customFormat="false" ht="12.75" hidden="true" customHeight="true" outlineLevel="0" collapsed="false">
      <c r="A538" s="449" t="n">
        <v>34621</v>
      </c>
      <c r="B538" s="450" t="s">
        <v>11454</v>
      </c>
      <c r="C538" s="450" t="n">
        <v>2015</v>
      </c>
      <c r="D538" s="451" t="n">
        <v>42222</v>
      </c>
      <c r="E538" s="452" t="s">
        <v>11455</v>
      </c>
      <c r="F538" s="452" t="s">
        <v>459</v>
      </c>
      <c r="G538" s="452" t="s">
        <v>441</v>
      </c>
      <c r="H538" s="452" t="s">
        <v>3763</v>
      </c>
      <c r="I538" s="451" t="n">
        <v>44547</v>
      </c>
      <c r="J538" s="452" t="n">
        <v>12</v>
      </c>
      <c r="K538" s="556" t="s">
        <v>46</v>
      </c>
      <c r="L538" s="460" t="s">
        <v>10018</v>
      </c>
      <c r="M538" s="545" t="n">
        <f aca="false">I538-D538</f>
        <v>2325</v>
      </c>
    </row>
    <row r="539" customFormat="false" ht="12.75" hidden="true" customHeight="true" outlineLevel="0" collapsed="false">
      <c r="A539" s="456" t="n">
        <v>34721</v>
      </c>
      <c r="B539" s="458" t="s">
        <v>11456</v>
      </c>
      <c r="C539" s="458" t="n">
        <v>2021</v>
      </c>
      <c r="D539" s="459" t="n">
        <v>44257</v>
      </c>
      <c r="E539" s="380" t="s">
        <v>11457</v>
      </c>
      <c r="F539" s="536" t="s">
        <v>11458</v>
      </c>
      <c r="G539" s="460" t="s">
        <v>125</v>
      </c>
      <c r="H539" s="380" t="s">
        <v>8067</v>
      </c>
      <c r="I539" s="459" t="n">
        <v>44547</v>
      </c>
      <c r="J539" s="460" t="n">
        <v>12</v>
      </c>
      <c r="K539" s="548" t="s">
        <v>49</v>
      </c>
      <c r="L539" s="452" t="s">
        <v>61</v>
      </c>
      <c r="M539" s="546" t="n">
        <f aca="false">I539-D539</f>
        <v>290</v>
      </c>
    </row>
    <row r="540" customFormat="false" ht="12.75" hidden="true" customHeight="true" outlineLevel="0" collapsed="false">
      <c r="A540" s="449" t="n">
        <v>34821</v>
      </c>
      <c r="B540" s="450" t="s">
        <v>11459</v>
      </c>
      <c r="C540" s="450" t="n">
        <v>2018</v>
      </c>
      <c r="D540" s="451" t="n">
        <v>44491</v>
      </c>
      <c r="E540" s="452" t="s">
        <v>11460</v>
      </c>
      <c r="F540" s="378" t="s">
        <v>790</v>
      </c>
      <c r="G540" s="452" t="s">
        <v>144</v>
      </c>
      <c r="H540" s="378" t="s">
        <v>2602</v>
      </c>
      <c r="I540" s="451" t="n">
        <v>44547</v>
      </c>
      <c r="J540" s="452" t="n">
        <v>12</v>
      </c>
      <c r="K540" s="548" t="s">
        <v>48</v>
      </c>
      <c r="L540" s="460" t="s">
        <v>10018</v>
      </c>
      <c r="M540" s="545" t="n">
        <f aca="false">I540-D540</f>
        <v>56</v>
      </c>
    </row>
    <row r="541" customFormat="false" ht="12.75" hidden="true" customHeight="true" outlineLevel="0" collapsed="false">
      <c r="A541" s="456" t="n">
        <v>34921</v>
      </c>
      <c r="B541" s="458" t="s">
        <v>11461</v>
      </c>
      <c r="C541" s="458" t="n">
        <v>2018</v>
      </c>
      <c r="D541" s="459" t="n">
        <v>43395</v>
      </c>
      <c r="E541" s="380" t="s">
        <v>11462</v>
      </c>
      <c r="F541" s="380" t="s">
        <v>2769</v>
      </c>
      <c r="G541" s="460" t="s">
        <v>144</v>
      </c>
      <c r="H541" s="380" t="s">
        <v>2602</v>
      </c>
      <c r="I541" s="459" t="n">
        <v>44547</v>
      </c>
      <c r="J541" s="460" t="n">
        <v>12</v>
      </c>
      <c r="K541" s="548" t="s">
        <v>48</v>
      </c>
      <c r="L541" s="452" t="s">
        <v>10018</v>
      </c>
      <c r="M541" s="546" t="n">
        <f aca="false">I541-D541</f>
        <v>1152</v>
      </c>
    </row>
    <row r="542" customFormat="false" ht="12.75" hidden="true" customHeight="true" outlineLevel="0" collapsed="false">
      <c r="A542" s="449" t="n">
        <v>35021</v>
      </c>
      <c r="B542" s="450" t="s">
        <v>11463</v>
      </c>
      <c r="C542" s="450" t="n">
        <v>2021</v>
      </c>
      <c r="D542" s="451" t="n">
        <v>43604</v>
      </c>
      <c r="E542" s="452" t="s">
        <v>11464</v>
      </c>
      <c r="F542" s="553" t="s">
        <v>10768</v>
      </c>
      <c r="G542" s="452" t="s">
        <v>125</v>
      </c>
      <c r="H542" s="452" t="s">
        <v>980</v>
      </c>
      <c r="I542" s="451" t="n">
        <v>44550</v>
      </c>
      <c r="J542" s="452" t="n">
        <v>12</v>
      </c>
      <c r="K542" s="547" t="s">
        <v>51</v>
      </c>
      <c r="L542" s="460" t="s">
        <v>61</v>
      </c>
      <c r="M542" s="545" t="n">
        <f aca="false">I542-D542</f>
        <v>946</v>
      </c>
    </row>
    <row r="543" customFormat="false" ht="12.75" hidden="true" customHeight="true" outlineLevel="0" collapsed="false">
      <c r="A543" s="456" t="n">
        <v>35121</v>
      </c>
      <c r="B543" s="458" t="s">
        <v>11465</v>
      </c>
      <c r="C543" s="458" t="n">
        <v>2016</v>
      </c>
      <c r="D543" s="459" t="n">
        <v>42495</v>
      </c>
      <c r="E543" s="380" t="s">
        <v>11466</v>
      </c>
      <c r="F543" s="458" t="s">
        <v>1424</v>
      </c>
      <c r="G543" s="460" t="s">
        <v>144</v>
      </c>
      <c r="H543" s="380" t="s">
        <v>2602</v>
      </c>
      <c r="I543" s="459" t="n">
        <v>44550</v>
      </c>
      <c r="J543" s="460" t="n">
        <v>12</v>
      </c>
      <c r="K543" s="548" t="s">
        <v>49</v>
      </c>
      <c r="L543" s="452" t="s">
        <v>10018</v>
      </c>
      <c r="M543" s="546" t="n">
        <f aca="false">I543-D543</f>
        <v>2055</v>
      </c>
    </row>
    <row r="544" customFormat="false" ht="12.75" hidden="true" customHeight="true" outlineLevel="0" collapsed="false">
      <c r="A544" s="449" t="n">
        <v>35221</v>
      </c>
      <c r="B544" s="450" t="s">
        <v>11467</v>
      </c>
      <c r="C544" s="450" t="n">
        <v>2013</v>
      </c>
      <c r="D544" s="451" t="n">
        <v>41565</v>
      </c>
      <c r="E544" s="452" t="s">
        <v>11468</v>
      </c>
      <c r="F544" s="378" t="s">
        <v>816</v>
      </c>
      <c r="G544" s="452" t="s">
        <v>441</v>
      </c>
      <c r="H544" s="378" t="s">
        <v>6322</v>
      </c>
      <c r="I544" s="451" t="n">
        <v>44550</v>
      </c>
      <c r="J544" s="452" t="n">
        <v>12</v>
      </c>
      <c r="K544" s="548" t="s">
        <v>49</v>
      </c>
      <c r="L544" s="460" t="s">
        <v>10013</v>
      </c>
      <c r="M544" s="545" t="n">
        <f aca="false">I544-D544</f>
        <v>2985</v>
      </c>
    </row>
    <row r="545" customFormat="false" ht="12.75" hidden="true" customHeight="true" outlineLevel="0" collapsed="false">
      <c r="A545" s="456" t="n">
        <v>35321</v>
      </c>
      <c r="B545" s="458" t="s">
        <v>11469</v>
      </c>
      <c r="C545" s="458" t="n">
        <v>2015</v>
      </c>
      <c r="D545" s="459" t="n">
        <v>42093</v>
      </c>
      <c r="E545" s="380" t="s">
        <v>11470</v>
      </c>
      <c r="F545" s="380" t="s">
        <v>11471</v>
      </c>
      <c r="G545" s="460" t="s">
        <v>441</v>
      </c>
      <c r="H545" s="380" t="s">
        <v>192</v>
      </c>
      <c r="I545" s="459" t="n">
        <v>44550</v>
      </c>
      <c r="J545" s="460" t="n">
        <v>12</v>
      </c>
      <c r="K545" s="548" t="s">
        <v>48</v>
      </c>
      <c r="L545" s="452" t="s">
        <v>10018</v>
      </c>
      <c r="M545" s="546" t="n">
        <f aca="false">I545-D545</f>
        <v>2457</v>
      </c>
    </row>
    <row r="546" customFormat="false" ht="12.75" hidden="true" customHeight="true" outlineLevel="0" collapsed="false">
      <c r="A546" s="449" t="n">
        <v>35421</v>
      </c>
      <c r="B546" s="450" t="s">
        <v>11472</v>
      </c>
      <c r="C546" s="450" t="n">
        <v>2016</v>
      </c>
      <c r="D546" s="451" t="n">
        <v>42507</v>
      </c>
      <c r="E546" s="452" t="s">
        <v>11473</v>
      </c>
      <c r="F546" s="452" t="s">
        <v>11474</v>
      </c>
      <c r="G546" s="452" t="s">
        <v>441</v>
      </c>
      <c r="H546" s="452" t="s">
        <v>223</v>
      </c>
      <c r="I546" s="451" t="n">
        <v>44550</v>
      </c>
      <c r="J546" s="452" t="n">
        <v>12</v>
      </c>
      <c r="K546" s="548" t="s">
        <v>49</v>
      </c>
      <c r="L546" s="460" t="s">
        <v>10018</v>
      </c>
      <c r="M546" s="545" t="n">
        <f aca="false">I546-D546</f>
        <v>2043</v>
      </c>
    </row>
    <row r="547" customFormat="false" ht="12.75" hidden="true" customHeight="true" outlineLevel="0" collapsed="false">
      <c r="A547" s="456" t="n">
        <v>35521</v>
      </c>
      <c r="B547" s="458" t="s">
        <v>11475</v>
      </c>
      <c r="C547" s="458" t="n">
        <v>2021</v>
      </c>
      <c r="D547" s="459" t="n">
        <v>44286</v>
      </c>
      <c r="E547" s="380" t="s">
        <v>11476</v>
      </c>
      <c r="F547" s="380" t="s">
        <v>11477</v>
      </c>
      <c r="G547" s="460" t="s">
        <v>125</v>
      </c>
      <c r="H547" s="380" t="s">
        <v>254</v>
      </c>
      <c r="I547" s="459" t="n">
        <v>44550</v>
      </c>
      <c r="J547" s="460" t="n">
        <v>12</v>
      </c>
      <c r="K547" s="547" t="s">
        <v>51</v>
      </c>
      <c r="L547" s="452" t="s">
        <v>61</v>
      </c>
      <c r="M547" s="546" t="n">
        <f aca="false">I547-D547</f>
        <v>264</v>
      </c>
    </row>
    <row r="548" customFormat="false" ht="12.75" hidden="true" customHeight="true" outlineLevel="0" collapsed="false">
      <c r="A548" s="449" t="n">
        <v>35621</v>
      </c>
      <c r="B548" s="450" t="s">
        <v>11478</v>
      </c>
      <c r="C548" s="450" t="n">
        <v>2018</v>
      </c>
      <c r="D548" s="451" t="n">
        <v>43441</v>
      </c>
      <c r="E548" s="452" t="s">
        <v>11479</v>
      </c>
      <c r="F548" s="378" t="s">
        <v>1916</v>
      </c>
      <c r="G548" s="452" t="s">
        <v>441</v>
      </c>
      <c r="H548" s="378" t="s">
        <v>706</v>
      </c>
      <c r="I548" s="451" t="n">
        <v>44550</v>
      </c>
      <c r="J548" s="452" t="n">
        <v>12</v>
      </c>
      <c r="K548" s="556" t="s">
        <v>46</v>
      </c>
      <c r="L548" s="460" t="s">
        <v>10018</v>
      </c>
      <c r="M548" s="545" t="n">
        <f aca="false">I548-D548</f>
        <v>1109</v>
      </c>
    </row>
    <row r="549" customFormat="false" ht="12.75" hidden="true" customHeight="true" outlineLevel="0" collapsed="false">
      <c r="A549" s="456" t="n">
        <v>35721</v>
      </c>
      <c r="B549" s="458" t="s">
        <v>11480</v>
      </c>
      <c r="C549" s="458" t="n">
        <v>2015</v>
      </c>
      <c r="D549" s="459" t="n">
        <v>42352</v>
      </c>
      <c r="E549" s="380" t="s">
        <v>11481</v>
      </c>
      <c r="F549" s="380" t="s">
        <v>908</v>
      </c>
      <c r="G549" s="460" t="s">
        <v>441</v>
      </c>
      <c r="H549" s="380" t="s">
        <v>350</v>
      </c>
      <c r="I549" s="459" t="n">
        <v>44550</v>
      </c>
      <c r="J549" s="460" t="n">
        <v>12</v>
      </c>
      <c r="K549" s="548" t="s">
        <v>49</v>
      </c>
      <c r="L549" s="452" t="s">
        <v>10018</v>
      </c>
      <c r="M549" s="546" t="n">
        <f aca="false">I549-D549</f>
        <v>2198</v>
      </c>
    </row>
    <row r="550" customFormat="false" ht="12.75" hidden="true" customHeight="true" outlineLevel="0" collapsed="false">
      <c r="A550" s="449" t="n">
        <v>35821</v>
      </c>
      <c r="B550" s="450" t="s">
        <v>11482</v>
      </c>
      <c r="C550" s="450" t="n">
        <v>2019</v>
      </c>
      <c r="D550" s="451" t="n">
        <v>43819</v>
      </c>
      <c r="E550" s="452" t="s">
        <v>11483</v>
      </c>
      <c r="F550" s="452" t="s">
        <v>11484</v>
      </c>
      <c r="G550" s="452" t="s">
        <v>441</v>
      </c>
      <c r="H550" s="452" t="s">
        <v>1072</v>
      </c>
      <c r="I550" s="451" t="n">
        <v>44550</v>
      </c>
      <c r="J550" s="452" t="n">
        <v>12</v>
      </c>
      <c r="K550" s="548" t="s">
        <v>48</v>
      </c>
      <c r="L550" s="460" t="s">
        <v>10018</v>
      </c>
      <c r="M550" s="545" t="n">
        <f aca="false">I550-D550</f>
        <v>731</v>
      </c>
    </row>
    <row r="551" customFormat="false" ht="12.75" hidden="true" customHeight="true" outlineLevel="0" collapsed="false">
      <c r="A551" s="456" t="n">
        <v>35921</v>
      </c>
      <c r="B551" s="458" t="s">
        <v>11485</v>
      </c>
      <c r="C551" s="458" t="n">
        <v>2020</v>
      </c>
      <c r="D551" s="459" t="n">
        <v>44132</v>
      </c>
      <c r="E551" s="380" t="s">
        <v>11486</v>
      </c>
      <c r="F551" s="536" t="s">
        <v>11009</v>
      </c>
      <c r="G551" s="460" t="s">
        <v>125</v>
      </c>
      <c r="H551" s="380" t="s">
        <v>11487</v>
      </c>
      <c r="I551" s="459" t="n">
        <v>44550</v>
      </c>
      <c r="J551" s="460" t="n">
        <v>12</v>
      </c>
      <c r="K551" s="547" t="s">
        <v>51</v>
      </c>
      <c r="L551" s="452" t="s">
        <v>61</v>
      </c>
      <c r="M551" s="546" t="n">
        <f aca="false">I551-D551</f>
        <v>418</v>
      </c>
    </row>
    <row r="552" customFormat="false" ht="12.75" hidden="true" customHeight="true" outlineLevel="0" collapsed="false">
      <c r="A552" s="449" t="n">
        <v>36021</v>
      </c>
      <c r="B552" s="450" t="s">
        <v>11488</v>
      </c>
      <c r="C552" s="450" t="n">
        <v>2013</v>
      </c>
      <c r="D552" s="451" t="n">
        <v>41572</v>
      </c>
      <c r="E552" s="452" t="s">
        <v>11489</v>
      </c>
      <c r="F552" s="378" t="s">
        <v>1357</v>
      </c>
      <c r="G552" s="452" t="s">
        <v>441</v>
      </c>
      <c r="H552" s="378" t="s">
        <v>995</v>
      </c>
      <c r="I552" s="451" t="n">
        <v>44550</v>
      </c>
      <c r="J552" s="452" t="n">
        <v>12</v>
      </c>
      <c r="K552" s="548" t="s">
        <v>48</v>
      </c>
      <c r="L552" s="460" t="s">
        <v>10018</v>
      </c>
      <c r="M552" s="545" t="n">
        <f aca="false">I552-D552</f>
        <v>2978</v>
      </c>
    </row>
    <row r="553" customFormat="false" ht="12.75" hidden="true" customHeight="true" outlineLevel="0" collapsed="false">
      <c r="A553" s="456" t="n">
        <v>36121</v>
      </c>
      <c r="B553" s="458" t="s">
        <v>11490</v>
      </c>
      <c r="C553" s="458" t="n">
        <v>2013</v>
      </c>
      <c r="D553" s="459" t="n">
        <v>41383</v>
      </c>
      <c r="E553" s="380" t="s">
        <v>11491</v>
      </c>
      <c r="F553" s="380" t="s">
        <v>1277</v>
      </c>
      <c r="G553" s="460" t="s">
        <v>441</v>
      </c>
      <c r="H553" s="380" t="s">
        <v>109</v>
      </c>
      <c r="I553" s="459" t="n">
        <v>44550</v>
      </c>
      <c r="J553" s="460" t="n">
        <v>12</v>
      </c>
      <c r="K553" s="556" t="s">
        <v>46</v>
      </c>
      <c r="L553" s="452" t="s">
        <v>10018</v>
      </c>
      <c r="M553" s="546" t="n">
        <f aca="false">I553-D553</f>
        <v>3167</v>
      </c>
    </row>
    <row r="554" customFormat="false" ht="12.75" hidden="true" customHeight="true" outlineLevel="0" collapsed="false">
      <c r="A554" s="449" t="n">
        <v>36221</v>
      </c>
      <c r="B554" s="450" t="s">
        <v>11492</v>
      </c>
      <c r="C554" s="450" t="n">
        <v>2018</v>
      </c>
      <c r="D554" s="451" t="n">
        <v>43412</v>
      </c>
      <c r="E554" s="452" t="s">
        <v>11493</v>
      </c>
      <c r="F554" s="452" t="s">
        <v>5401</v>
      </c>
      <c r="G554" s="452" t="s">
        <v>144</v>
      </c>
      <c r="H554" s="452" t="s">
        <v>6176</v>
      </c>
      <c r="I554" s="451" t="n">
        <v>44550</v>
      </c>
      <c r="J554" s="452" t="n">
        <v>12</v>
      </c>
      <c r="K554" s="548" t="s">
        <v>47</v>
      </c>
      <c r="L554" s="460" t="s">
        <v>10013</v>
      </c>
      <c r="M554" s="545" t="n">
        <f aca="false">I554-D554</f>
        <v>1138</v>
      </c>
    </row>
    <row r="555" customFormat="false" ht="12.75" hidden="true" customHeight="true" outlineLevel="0" collapsed="false">
      <c r="A555" s="456" t="n">
        <v>36321</v>
      </c>
      <c r="B555" s="458" t="s">
        <v>11494</v>
      </c>
      <c r="C555" s="458" t="n">
        <v>2013</v>
      </c>
      <c r="D555" s="459" t="n">
        <v>41558</v>
      </c>
      <c r="E555" s="380" t="s">
        <v>11495</v>
      </c>
      <c r="F555" s="380" t="s">
        <v>1527</v>
      </c>
      <c r="G555" s="460" t="s">
        <v>441</v>
      </c>
      <c r="H555" s="380" t="s">
        <v>706</v>
      </c>
      <c r="I555" s="459" t="n">
        <v>44550</v>
      </c>
      <c r="J555" s="460" t="n">
        <v>12</v>
      </c>
      <c r="K555" s="548" t="s">
        <v>48</v>
      </c>
      <c r="L555" s="452" t="s">
        <v>10018</v>
      </c>
      <c r="M555" s="546" t="n">
        <f aca="false">I555-D555</f>
        <v>2992</v>
      </c>
    </row>
    <row r="556" customFormat="false" ht="12.75" hidden="true" customHeight="true" outlineLevel="0" collapsed="false">
      <c r="A556" s="449" t="n">
        <v>36421</v>
      </c>
      <c r="B556" s="450" t="s">
        <v>11496</v>
      </c>
      <c r="C556" s="450" t="n">
        <v>2018</v>
      </c>
      <c r="D556" s="451" t="n">
        <v>43278</v>
      </c>
      <c r="E556" s="452" t="s">
        <v>11497</v>
      </c>
      <c r="F556" s="378" t="s">
        <v>382</v>
      </c>
      <c r="G556" s="452" t="s">
        <v>441</v>
      </c>
      <c r="H556" s="378" t="s">
        <v>263</v>
      </c>
      <c r="I556" s="451" t="n">
        <v>44550</v>
      </c>
      <c r="J556" s="452" t="n">
        <v>12</v>
      </c>
      <c r="K556" s="548" t="s">
        <v>49</v>
      </c>
      <c r="L556" s="460" t="s">
        <v>10013</v>
      </c>
      <c r="M556" s="545" t="n">
        <f aca="false">I556-D556</f>
        <v>1272</v>
      </c>
    </row>
    <row r="557" customFormat="false" ht="12.75" hidden="true" customHeight="true" outlineLevel="0" collapsed="false">
      <c r="A557" s="456" t="n">
        <v>36521</v>
      </c>
      <c r="B557" s="458" t="s">
        <v>11498</v>
      </c>
      <c r="C557" s="458" t="n">
        <v>2014</v>
      </c>
      <c r="D557" s="459" t="n">
        <v>41724</v>
      </c>
      <c r="E557" s="380" t="s">
        <v>11499</v>
      </c>
      <c r="F557" s="380" t="s">
        <v>11500</v>
      </c>
      <c r="G557" s="460" t="s">
        <v>144</v>
      </c>
      <c r="H557" s="380" t="s">
        <v>119</v>
      </c>
      <c r="I557" s="459" t="n">
        <v>44550</v>
      </c>
      <c r="J557" s="460" t="n">
        <v>12</v>
      </c>
      <c r="K557" s="548" t="s">
        <v>48</v>
      </c>
      <c r="L557" s="452" t="s">
        <v>10018</v>
      </c>
      <c r="M557" s="546" t="n">
        <f aca="false">I557-D557</f>
        <v>2826</v>
      </c>
    </row>
    <row r="558" customFormat="false" ht="12.75" hidden="true" customHeight="true" outlineLevel="0" collapsed="false">
      <c r="A558" s="449" t="n">
        <v>36621</v>
      </c>
      <c r="B558" s="450" t="s">
        <v>11501</v>
      </c>
      <c r="C558" s="450" t="n">
        <v>2014</v>
      </c>
      <c r="D558" s="451" t="n">
        <v>41838</v>
      </c>
      <c r="E558" s="452" t="s">
        <v>11502</v>
      </c>
      <c r="F558" s="378" t="s">
        <v>9538</v>
      </c>
      <c r="G558" s="452" t="s">
        <v>441</v>
      </c>
      <c r="H558" s="452" t="s">
        <v>1501</v>
      </c>
      <c r="I558" s="451" t="n">
        <v>44551</v>
      </c>
      <c r="J558" s="452" t="n">
        <v>12</v>
      </c>
      <c r="K558" s="548" t="s">
        <v>48</v>
      </c>
      <c r="L558" s="460" t="s">
        <v>10018</v>
      </c>
      <c r="M558" s="545" t="n">
        <f aca="false">I558-D558</f>
        <v>2713</v>
      </c>
    </row>
    <row r="559" customFormat="false" ht="12.75" hidden="true" customHeight="true" outlineLevel="0" collapsed="false">
      <c r="A559" s="456" t="n">
        <v>36721</v>
      </c>
      <c r="B559" s="458" t="s">
        <v>11503</v>
      </c>
      <c r="C559" s="458" t="n">
        <v>2014</v>
      </c>
      <c r="D559" s="459" t="n">
        <v>41726</v>
      </c>
      <c r="E559" s="380" t="s">
        <v>11504</v>
      </c>
      <c r="F559" s="380" t="s">
        <v>689</v>
      </c>
      <c r="G559" s="460" t="s">
        <v>441</v>
      </c>
      <c r="H559" s="380" t="s">
        <v>2172</v>
      </c>
      <c r="I559" s="459" t="n">
        <v>44551</v>
      </c>
      <c r="J559" s="460" t="n">
        <v>12</v>
      </c>
      <c r="K559" s="548" t="s">
        <v>49</v>
      </c>
      <c r="L559" s="452" t="s">
        <v>10013</v>
      </c>
      <c r="M559" s="546" t="n">
        <f aca="false">I559-D559</f>
        <v>2825</v>
      </c>
    </row>
    <row r="560" customFormat="false" ht="12.75" hidden="true" customHeight="true" outlineLevel="0" collapsed="false">
      <c r="A560" s="449" t="n">
        <v>36821</v>
      </c>
      <c r="B560" s="450" t="s">
        <v>11505</v>
      </c>
      <c r="C560" s="450" t="n">
        <v>2018</v>
      </c>
      <c r="D560" s="451" t="n">
        <v>43343</v>
      </c>
      <c r="E560" s="452" t="s">
        <v>11506</v>
      </c>
      <c r="F560" s="378" t="s">
        <v>459</v>
      </c>
      <c r="G560" s="452" t="s">
        <v>144</v>
      </c>
      <c r="H560" s="378" t="s">
        <v>1109</v>
      </c>
      <c r="I560" s="451" t="n">
        <v>44551</v>
      </c>
      <c r="J560" s="452" t="n">
        <v>12</v>
      </c>
      <c r="K560" s="552" t="s">
        <v>44</v>
      </c>
      <c r="L560" s="460" t="s">
        <v>10013</v>
      </c>
      <c r="M560" s="545" t="n">
        <f aca="false">I560-D560</f>
        <v>1208</v>
      </c>
    </row>
    <row r="561" customFormat="false" ht="12.75" hidden="true" customHeight="true" outlineLevel="0" collapsed="false">
      <c r="A561" s="456" t="n">
        <v>36921</v>
      </c>
      <c r="B561" s="458" t="s">
        <v>11507</v>
      </c>
      <c r="C561" s="458" t="n">
        <v>2014</v>
      </c>
      <c r="D561" s="459" t="n">
        <v>41921</v>
      </c>
      <c r="E561" s="380" t="s">
        <v>11508</v>
      </c>
      <c r="F561" s="380" t="s">
        <v>11509</v>
      </c>
      <c r="G561" s="460" t="s">
        <v>441</v>
      </c>
      <c r="H561" s="380" t="s">
        <v>1501</v>
      </c>
      <c r="I561" s="459" t="n">
        <v>44551</v>
      </c>
      <c r="J561" s="460" t="n">
        <v>12</v>
      </c>
      <c r="K561" s="548" t="s">
        <v>49</v>
      </c>
      <c r="L561" s="452" t="s">
        <v>10018</v>
      </c>
      <c r="M561" s="546" t="n">
        <f aca="false">I561-D561</f>
        <v>2630</v>
      </c>
    </row>
    <row r="562" customFormat="false" ht="12.75" hidden="true" customHeight="true" outlineLevel="0" collapsed="false">
      <c r="A562" s="449" t="n">
        <v>37021</v>
      </c>
      <c r="B562" s="450" t="s">
        <v>11510</v>
      </c>
      <c r="C562" s="450" t="n">
        <v>2016</v>
      </c>
      <c r="D562" s="451" t="n">
        <v>42587</v>
      </c>
      <c r="E562" s="452" t="s">
        <v>11511</v>
      </c>
      <c r="F562" s="452" t="s">
        <v>11447</v>
      </c>
      <c r="G562" s="452" t="s">
        <v>441</v>
      </c>
      <c r="H562" s="452" t="s">
        <v>1038</v>
      </c>
      <c r="I562" s="451" t="n">
        <v>44551</v>
      </c>
      <c r="J562" s="452" t="n">
        <v>12</v>
      </c>
      <c r="K562" s="548" t="s">
        <v>49</v>
      </c>
      <c r="L562" s="460" t="s">
        <v>10013</v>
      </c>
      <c r="M562" s="545" t="n">
        <f aca="false">I562-D562</f>
        <v>1964</v>
      </c>
    </row>
    <row r="563" customFormat="false" ht="12.75" hidden="true" customHeight="true" outlineLevel="0" collapsed="false">
      <c r="A563" s="456" t="n">
        <v>37121</v>
      </c>
      <c r="B563" s="458" t="s">
        <v>11512</v>
      </c>
      <c r="C563" s="458" t="n">
        <v>2018</v>
      </c>
      <c r="D563" s="459" t="n">
        <v>43119</v>
      </c>
      <c r="E563" s="380" t="s">
        <v>11513</v>
      </c>
      <c r="F563" s="380" t="s">
        <v>1211</v>
      </c>
      <c r="G563" s="460" t="s">
        <v>441</v>
      </c>
      <c r="H563" s="380" t="s">
        <v>3760</v>
      </c>
      <c r="I563" s="459" t="n">
        <v>44551</v>
      </c>
      <c r="J563" s="460" t="n">
        <v>12</v>
      </c>
      <c r="K563" s="548" t="s">
        <v>49</v>
      </c>
      <c r="L563" s="452" t="s">
        <v>10013</v>
      </c>
      <c r="M563" s="546" t="n">
        <f aca="false">I563-D563</f>
        <v>1432</v>
      </c>
    </row>
    <row r="564" customFormat="false" ht="12.75" hidden="true" customHeight="true" outlineLevel="0" collapsed="false">
      <c r="A564" s="449" t="n">
        <v>37221</v>
      </c>
      <c r="B564" s="450" t="s">
        <v>11514</v>
      </c>
      <c r="C564" s="450" t="n">
        <v>2010</v>
      </c>
      <c r="D564" s="451" t="n">
        <v>40353</v>
      </c>
      <c r="E564" s="452" t="s">
        <v>11515</v>
      </c>
      <c r="F564" s="378" t="s">
        <v>365</v>
      </c>
      <c r="G564" s="452" t="s">
        <v>441</v>
      </c>
      <c r="H564" s="378" t="s">
        <v>1305</v>
      </c>
      <c r="I564" s="451" t="n">
        <v>44551</v>
      </c>
      <c r="J564" s="452" t="n">
        <v>12</v>
      </c>
      <c r="K564" s="556" t="s">
        <v>46</v>
      </c>
      <c r="L564" s="460" t="s">
        <v>10018</v>
      </c>
      <c r="M564" s="545" t="n">
        <f aca="false">I564-D564</f>
        <v>4198</v>
      </c>
    </row>
  </sheetData>
  <autoFilter ref="A1:M564">
    <filterColumn colId="6">
      <filters>
        <filter val="PTE"/>
      </filters>
    </filterColumn>
  </autoFilter>
  <mergeCells count="77">
    <mergeCell ref="O2:P2"/>
    <mergeCell ref="O14:S15"/>
    <mergeCell ref="O16:S16"/>
    <mergeCell ref="O17:S17"/>
    <mergeCell ref="O18:S18"/>
    <mergeCell ref="O19:S19"/>
    <mergeCell ref="O20:S20"/>
    <mergeCell ref="O21:S21"/>
    <mergeCell ref="O22:S22"/>
    <mergeCell ref="O23:S23"/>
    <mergeCell ref="O24:S24"/>
    <mergeCell ref="O26:S27"/>
    <mergeCell ref="P28:R28"/>
    <mergeCell ref="P29:R29"/>
    <mergeCell ref="P30:R30"/>
    <mergeCell ref="P31:R31"/>
    <mergeCell ref="P32:R32"/>
    <mergeCell ref="P33:R33"/>
    <mergeCell ref="P34:R34"/>
    <mergeCell ref="P35:R35"/>
    <mergeCell ref="P36:R36"/>
    <mergeCell ref="P37:R37"/>
    <mergeCell ref="P38:R38"/>
    <mergeCell ref="P39:R39"/>
    <mergeCell ref="P40:R40"/>
    <mergeCell ref="P41:R41"/>
    <mergeCell ref="P42:R42"/>
    <mergeCell ref="P43:R43"/>
    <mergeCell ref="O45:S46"/>
    <mergeCell ref="P47:R47"/>
    <mergeCell ref="P48:R48"/>
    <mergeCell ref="P49:R49"/>
    <mergeCell ref="P50:R50"/>
    <mergeCell ref="P51:R51"/>
    <mergeCell ref="P52:R52"/>
    <mergeCell ref="P53:R53"/>
    <mergeCell ref="P54:R54"/>
    <mergeCell ref="P55:R55"/>
    <mergeCell ref="P56:R56"/>
    <mergeCell ref="P57:R57"/>
    <mergeCell ref="P58:R58"/>
    <mergeCell ref="P59:R59"/>
    <mergeCell ref="P60:R60"/>
    <mergeCell ref="O62:T63"/>
    <mergeCell ref="O64:R64"/>
    <mergeCell ref="O65:R65"/>
    <mergeCell ref="O66:R66"/>
    <mergeCell ref="O67:R67"/>
    <mergeCell ref="O68:R68"/>
    <mergeCell ref="O69:R69"/>
    <mergeCell ref="O70:R70"/>
    <mergeCell ref="O71:R71"/>
    <mergeCell ref="O72:R72"/>
    <mergeCell ref="O73:R73"/>
    <mergeCell ref="O74:R74"/>
    <mergeCell ref="O75:R75"/>
    <mergeCell ref="O76:R76"/>
    <mergeCell ref="O77:R77"/>
    <mergeCell ref="O79:T80"/>
    <mergeCell ref="O81:R81"/>
    <mergeCell ref="O82:R82"/>
    <mergeCell ref="O83:R83"/>
    <mergeCell ref="O84:R84"/>
    <mergeCell ref="O85:R85"/>
    <mergeCell ref="O86:R86"/>
    <mergeCell ref="O88:R89"/>
    <mergeCell ref="P90:R90"/>
    <mergeCell ref="P91:R91"/>
    <mergeCell ref="P92:R92"/>
    <mergeCell ref="P93:R93"/>
    <mergeCell ref="P94:R94"/>
    <mergeCell ref="P95:R95"/>
    <mergeCell ref="P96:R96"/>
    <mergeCell ref="P97:R97"/>
    <mergeCell ref="P98:R98"/>
    <mergeCell ref="P99:R99"/>
    <mergeCell ref="P100:R100"/>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
  <sheetViews>
    <sheetView showFormulas="false" showGridLines="true" showRowColHeaders="true" showZeros="true" rightToLeft="false" tabSelected="false" showOutlineSymbols="true" defaultGridColor="true" view="normal" topLeftCell="A1" colorId="64" zoomScale="62" zoomScaleNormal="62" zoomScalePageLayoutView="100" workbookViewId="0">
      <selection pane="topLeft" activeCell="W39" activeCellId="0" sqref="W39"/>
    </sheetView>
  </sheetViews>
  <sheetFormatPr defaultColWidth="8.4296875" defaultRowHeight="12.75" customHeight="false" zeroHeight="false" outlineLevelRow="0" outlineLevelCol="0"/>
  <sheetData/>
  <printOptions headings="false" gridLines="false" gridLinesSet="true" horizontalCentered="false" verticalCentered="false"/>
  <pageMargins left="0" right="0" top="0" bottom="0" header="0.511811023622047" footer="0.511811023622047"/>
  <pageSetup paperSize="77"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true">
    <pageSetUpPr fitToPage="true"/>
  </sheetPr>
  <dimension ref="A1:T49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F142" activePane="bottomRight" state="frozen"/>
      <selection pane="topLeft" activeCell="A1" activeCellId="0" sqref="A1"/>
      <selection pane="topRight" activeCell="F1" activeCellId="0" sqref="F1"/>
      <selection pane="bottomLeft" activeCell="A142" activeCellId="0" sqref="A142"/>
      <selection pane="bottomRight" activeCell="F1" activeCellId="0" sqref="F1"/>
    </sheetView>
  </sheetViews>
  <sheetFormatPr defaultColWidth="14.2890625" defaultRowHeight="12.75" customHeight="false" zeroHeight="false" outlineLevelRow="0" outlineLevelCol="0"/>
  <cols>
    <col collapsed="false" customWidth="true" hidden="false" outlineLevel="0" max="1" min="1" style="0" width="20"/>
    <col collapsed="false" customWidth="true" hidden="false" outlineLevel="0" max="2" min="2" style="0" width="27.43"/>
    <col collapsed="false" customWidth="true" hidden="false" outlineLevel="0" max="4" min="3" style="0" width="24.85"/>
    <col collapsed="false" customWidth="true" hidden="false" outlineLevel="0" max="5" min="5" style="0" width="47.71"/>
    <col collapsed="false" customWidth="true" hidden="false" outlineLevel="0" max="6" min="6" style="0" width="79.43"/>
    <col collapsed="false" customWidth="true" hidden="false" outlineLevel="0" max="7" min="7" style="0" width="15.42"/>
    <col collapsed="false" customWidth="true" hidden="false" outlineLevel="0" max="8" min="8" style="0" width="20.29"/>
    <col collapsed="false" customWidth="true" hidden="false" outlineLevel="0" max="9" min="9" style="0" width="22.42"/>
    <col collapsed="false" customWidth="true" hidden="false" outlineLevel="0" max="10" min="10" style="0" width="14.71"/>
    <col collapsed="false" customWidth="true" hidden="false" outlineLevel="0" max="11" min="11" style="0" width="82.42"/>
    <col collapsed="false" customWidth="true" hidden="false" outlineLevel="0" max="12" min="12" style="0" width="76.14"/>
    <col collapsed="false" customWidth="true" hidden="false" outlineLevel="0" max="13" min="13" style="0" width="45.29"/>
    <col collapsed="false" customWidth="true" hidden="false" outlineLevel="0" max="14" min="14" style="0" width="7.71"/>
    <col collapsed="false" customWidth="true" hidden="false" outlineLevel="0" max="15" min="15" style="0" width="27.14"/>
    <col collapsed="false" customWidth="true" hidden="false" outlineLevel="0" max="16" min="16" style="0" width="9.85"/>
    <col collapsed="false" customWidth="true" hidden="false" outlineLevel="0" max="17" min="17" style="0" width="3.42"/>
    <col collapsed="false" customWidth="true" hidden="false" outlineLevel="0" max="18" min="18" style="0" width="39"/>
    <col collapsed="false" customWidth="true" hidden="false" outlineLevel="0" max="19" min="19" style="0" width="62.85"/>
    <col collapsed="false" customWidth="true" hidden="false" outlineLevel="0" max="20" min="20" style="0" width="13.71"/>
    <col collapsed="false" customWidth="true" hidden="false" outlineLevel="0" max="26" min="21" style="0" width="8.71"/>
  </cols>
  <sheetData>
    <row r="1" customFormat="false" ht="12.75" hidden="false" customHeight="true" outlineLevel="0" collapsed="false">
      <c r="A1" s="276" t="s">
        <v>92</v>
      </c>
      <c r="B1" s="277" t="s">
        <v>93</v>
      </c>
      <c r="C1" s="277" t="s">
        <v>89</v>
      </c>
      <c r="D1" s="278" t="s">
        <v>94</v>
      </c>
      <c r="E1" s="277" t="s">
        <v>95</v>
      </c>
      <c r="F1" s="277" t="s">
        <v>96</v>
      </c>
      <c r="G1" s="277" t="s">
        <v>97</v>
      </c>
      <c r="H1" s="277" t="s">
        <v>98</v>
      </c>
      <c r="I1" s="278" t="s">
        <v>99</v>
      </c>
      <c r="J1" s="277" t="s">
        <v>100</v>
      </c>
      <c r="K1" s="277" t="s">
        <v>101</v>
      </c>
      <c r="L1" s="277" t="s">
        <v>102</v>
      </c>
      <c r="M1" s="279" t="s">
        <v>103</v>
      </c>
      <c r="N1" s="146"/>
      <c r="O1" s="146"/>
      <c r="P1" s="146"/>
      <c r="Q1" s="146"/>
      <c r="R1" s="146"/>
      <c r="S1" s="146"/>
    </row>
    <row r="2" customFormat="false" ht="15" hidden="false" customHeight="true" outlineLevel="0" collapsed="false">
      <c r="A2" s="558" t="s">
        <v>11516</v>
      </c>
      <c r="B2" s="559" t="s">
        <v>11517</v>
      </c>
      <c r="C2" s="559" t="n">
        <v>2013</v>
      </c>
      <c r="D2" s="560" t="n">
        <v>41569</v>
      </c>
      <c r="E2" s="559" t="s">
        <v>11518</v>
      </c>
      <c r="F2" s="559" t="s">
        <v>823</v>
      </c>
      <c r="G2" s="559" t="s">
        <v>1174</v>
      </c>
      <c r="H2" s="559" t="s">
        <v>192</v>
      </c>
      <c r="I2" s="560" t="n">
        <v>43854</v>
      </c>
      <c r="J2" s="559" t="n">
        <v>1</v>
      </c>
      <c r="K2" s="561" t="s">
        <v>53</v>
      </c>
      <c r="L2" s="559" t="s">
        <v>58</v>
      </c>
      <c r="M2" s="545" t="n">
        <f aca="false">I2-D2</f>
        <v>2285</v>
      </c>
      <c r="N2" s="146"/>
      <c r="O2" s="280" t="s">
        <v>11519</v>
      </c>
      <c r="P2" s="280"/>
      <c r="Q2" s="146"/>
      <c r="R2" s="146"/>
      <c r="S2" s="146"/>
    </row>
    <row r="3" customFormat="false" ht="15" hidden="false" customHeight="true" outlineLevel="0" collapsed="false">
      <c r="A3" s="562" t="s">
        <v>11520</v>
      </c>
      <c r="B3" s="563" t="s">
        <v>11521</v>
      </c>
      <c r="C3" s="563" t="n">
        <v>2015</v>
      </c>
      <c r="D3" s="564" t="n">
        <v>42256</v>
      </c>
      <c r="E3" s="563" t="s">
        <v>11522</v>
      </c>
      <c r="F3" s="563" t="s">
        <v>823</v>
      </c>
      <c r="G3" s="563" t="s">
        <v>1174</v>
      </c>
      <c r="H3" s="563" t="s">
        <v>267</v>
      </c>
      <c r="I3" s="564" t="n">
        <v>43854</v>
      </c>
      <c r="J3" s="563" t="n">
        <v>1</v>
      </c>
      <c r="K3" s="561" t="s">
        <v>53</v>
      </c>
      <c r="L3" s="563" t="s">
        <v>58</v>
      </c>
      <c r="M3" s="546" t="n">
        <f aca="false">I3-D3</f>
        <v>1598</v>
      </c>
      <c r="N3" s="146"/>
      <c r="O3" s="281" t="s">
        <v>1182</v>
      </c>
      <c r="P3" s="281" t="n">
        <f aca="false">COUNTIF($G$2:$G$495,"PT")</f>
        <v>3</v>
      </c>
      <c r="Q3" s="146"/>
      <c r="R3" s="146"/>
      <c r="S3" s="146"/>
    </row>
    <row r="4" customFormat="false" ht="15" hidden="false" customHeight="true" outlineLevel="0" collapsed="false">
      <c r="A4" s="558" t="s">
        <v>11523</v>
      </c>
      <c r="B4" s="559" t="s">
        <v>11524</v>
      </c>
      <c r="C4" s="559" t="n">
        <v>2017</v>
      </c>
      <c r="D4" s="560" t="n">
        <v>42797</v>
      </c>
      <c r="E4" s="559" t="s">
        <v>11525</v>
      </c>
      <c r="F4" s="559" t="s">
        <v>168</v>
      </c>
      <c r="G4" s="559" t="s">
        <v>1174</v>
      </c>
      <c r="H4" s="559" t="s">
        <v>5263</v>
      </c>
      <c r="I4" s="560" t="n">
        <v>43854</v>
      </c>
      <c r="J4" s="559" t="n">
        <v>1</v>
      </c>
      <c r="K4" s="561" t="s">
        <v>53</v>
      </c>
      <c r="L4" s="559" t="s">
        <v>58</v>
      </c>
      <c r="M4" s="545" t="n">
        <f aca="false">I4-D4</f>
        <v>1057</v>
      </c>
      <c r="N4" s="153"/>
      <c r="O4" s="282" t="s">
        <v>1188</v>
      </c>
      <c r="P4" s="282" t="n">
        <f aca="false">COUNTIF($G$2:$G$495,"PTN")</f>
        <v>5</v>
      </c>
      <c r="Q4" s="153"/>
      <c r="R4" s="153"/>
      <c r="S4" s="153"/>
    </row>
    <row r="5" customFormat="false" ht="15" hidden="false" customHeight="true" outlineLevel="0" collapsed="false">
      <c r="A5" s="562" t="s">
        <v>11526</v>
      </c>
      <c r="B5" s="563" t="s">
        <v>11527</v>
      </c>
      <c r="C5" s="563" t="n">
        <v>2016</v>
      </c>
      <c r="D5" s="564" t="n">
        <v>42716</v>
      </c>
      <c r="E5" s="563" t="s">
        <v>11528</v>
      </c>
      <c r="F5" s="563" t="s">
        <v>382</v>
      </c>
      <c r="G5" s="563" t="s">
        <v>1174</v>
      </c>
      <c r="H5" s="563" t="s">
        <v>192</v>
      </c>
      <c r="I5" s="564" t="n">
        <v>43854</v>
      </c>
      <c r="J5" s="563" t="n">
        <v>1</v>
      </c>
      <c r="K5" s="561" t="s">
        <v>53</v>
      </c>
      <c r="L5" s="563" t="s">
        <v>60</v>
      </c>
      <c r="M5" s="546" t="n">
        <f aca="false">I5-D5</f>
        <v>1138</v>
      </c>
      <c r="N5" s="153"/>
      <c r="O5" s="283" t="s">
        <v>1192</v>
      </c>
      <c r="P5" s="283" t="n">
        <f aca="false">COUNTIF($G$2:$G$495,"PTE")</f>
        <v>162</v>
      </c>
      <c r="Q5" s="153"/>
      <c r="R5" s="153"/>
      <c r="S5" s="153"/>
    </row>
    <row r="6" customFormat="false" ht="15" hidden="false" customHeight="true" outlineLevel="0" collapsed="false">
      <c r="A6" s="558" t="s">
        <v>11529</v>
      </c>
      <c r="B6" s="559" t="s">
        <v>11530</v>
      </c>
      <c r="C6" s="559" t="n">
        <v>2017</v>
      </c>
      <c r="D6" s="560" t="n">
        <v>42865</v>
      </c>
      <c r="E6" s="559" t="s">
        <v>11531</v>
      </c>
      <c r="F6" s="559" t="s">
        <v>382</v>
      </c>
      <c r="G6" s="559" t="s">
        <v>1174</v>
      </c>
      <c r="H6" s="559" t="s">
        <v>2677</v>
      </c>
      <c r="I6" s="560" t="n">
        <v>43854</v>
      </c>
      <c r="J6" s="559" t="n">
        <v>1</v>
      </c>
      <c r="K6" s="561" t="s">
        <v>53</v>
      </c>
      <c r="L6" s="559" t="s">
        <v>60</v>
      </c>
      <c r="M6" s="545" t="n">
        <f aca="false">I6-D6</f>
        <v>989</v>
      </c>
      <c r="N6" s="153"/>
      <c r="O6" s="282" t="s">
        <v>8</v>
      </c>
      <c r="P6" s="282" t="n">
        <f aca="false">COUNTIF($G$2:$G$495,"Pré-Mistura")</f>
        <v>2</v>
      </c>
      <c r="Q6" s="153"/>
      <c r="R6" s="153"/>
      <c r="S6" s="153"/>
    </row>
    <row r="7" customFormat="false" ht="15" hidden="false" customHeight="true" outlineLevel="0" collapsed="false">
      <c r="A7" s="562" t="s">
        <v>11532</v>
      </c>
      <c r="B7" s="563" t="s">
        <v>11533</v>
      </c>
      <c r="C7" s="563" t="n">
        <v>2018</v>
      </c>
      <c r="D7" s="564" t="n">
        <v>43192</v>
      </c>
      <c r="E7" s="563" t="s">
        <v>11534</v>
      </c>
      <c r="F7" s="563" t="s">
        <v>382</v>
      </c>
      <c r="G7" s="563" t="s">
        <v>1174</v>
      </c>
      <c r="H7" s="563" t="s">
        <v>263</v>
      </c>
      <c r="I7" s="564" t="n">
        <v>43854</v>
      </c>
      <c r="J7" s="563" t="n">
        <v>1</v>
      </c>
      <c r="K7" s="561" t="s">
        <v>53</v>
      </c>
      <c r="L7" s="563" t="s">
        <v>60</v>
      </c>
      <c r="M7" s="546" t="n">
        <f aca="false">I7-D7</f>
        <v>662</v>
      </c>
      <c r="N7" s="153"/>
      <c r="O7" s="283" t="s">
        <v>110</v>
      </c>
      <c r="P7" s="283" t="n">
        <f aca="false">COUNTIF($G$2:$G$495,"PF")</f>
        <v>70</v>
      </c>
      <c r="Q7" s="153"/>
      <c r="R7" s="153"/>
      <c r="S7" s="153"/>
    </row>
    <row r="8" customFormat="false" ht="15" hidden="false" customHeight="true" outlineLevel="0" collapsed="false">
      <c r="A8" s="558" t="s">
        <v>11535</v>
      </c>
      <c r="B8" s="559" t="s">
        <v>11536</v>
      </c>
      <c r="C8" s="559" t="n">
        <v>2018</v>
      </c>
      <c r="D8" s="560" t="n">
        <v>43418</v>
      </c>
      <c r="E8" s="559" t="s">
        <v>11537</v>
      </c>
      <c r="F8" s="559" t="s">
        <v>382</v>
      </c>
      <c r="G8" s="559" t="s">
        <v>1174</v>
      </c>
      <c r="H8" s="559" t="s">
        <v>1072</v>
      </c>
      <c r="I8" s="560" t="n">
        <v>43854</v>
      </c>
      <c r="J8" s="559" t="n">
        <v>1</v>
      </c>
      <c r="K8" s="561" t="s">
        <v>53</v>
      </c>
      <c r="L8" s="559" t="s">
        <v>60</v>
      </c>
      <c r="M8" s="545" t="n">
        <f aca="false">I8-D8</f>
        <v>436</v>
      </c>
      <c r="N8" s="153"/>
      <c r="O8" s="282" t="s">
        <v>115</v>
      </c>
      <c r="P8" s="282" t="n">
        <f aca="false">COUNTIF($G$2:$G$495,"PFN")</f>
        <v>9</v>
      </c>
      <c r="Q8" s="153"/>
      <c r="R8" s="153"/>
      <c r="S8" s="153"/>
    </row>
    <row r="9" customFormat="false" ht="15" hidden="false" customHeight="true" outlineLevel="0" collapsed="false">
      <c r="A9" s="562" t="s">
        <v>11538</v>
      </c>
      <c r="B9" s="563" t="s">
        <v>11539</v>
      </c>
      <c r="C9" s="563" t="n">
        <v>2019</v>
      </c>
      <c r="D9" s="564" t="n">
        <v>43607</v>
      </c>
      <c r="E9" s="563" t="s">
        <v>11540</v>
      </c>
      <c r="F9" s="563" t="s">
        <v>382</v>
      </c>
      <c r="G9" s="563" t="s">
        <v>1174</v>
      </c>
      <c r="H9" s="563" t="s">
        <v>409</v>
      </c>
      <c r="I9" s="564" t="n">
        <v>43854</v>
      </c>
      <c r="J9" s="563" t="n">
        <v>1</v>
      </c>
      <c r="K9" s="561" t="s">
        <v>53</v>
      </c>
      <c r="L9" s="563" t="s">
        <v>60</v>
      </c>
      <c r="M9" s="546" t="n">
        <f aca="false">I9-D9</f>
        <v>247</v>
      </c>
      <c r="N9" s="153"/>
      <c r="O9" s="283" t="s">
        <v>120</v>
      </c>
      <c r="P9" s="283" t="n">
        <f aca="false">COUNTIF($G$2:$G$495,"PF/PTE")</f>
        <v>147</v>
      </c>
      <c r="Q9" s="153"/>
      <c r="R9" s="153"/>
      <c r="S9" s="153"/>
    </row>
    <row r="10" customFormat="false" ht="15" hidden="false" customHeight="true" outlineLevel="0" collapsed="false">
      <c r="A10" s="558" t="s">
        <v>11541</v>
      </c>
      <c r="B10" s="559" t="s">
        <v>11542</v>
      </c>
      <c r="C10" s="559" t="n">
        <v>2012</v>
      </c>
      <c r="D10" s="560" t="n">
        <v>41178</v>
      </c>
      <c r="E10" s="559" t="s">
        <v>11543</v>
      </c>
      <c r="F10" s="559" t="s">
        <v>705</v>
      </c>
      <c r="G10" s="559" t="s">
        <v>1174</v>
      </c>
      <c r="H10" s="559" t="s">
        <v>706</v>
      </c>
      <c r="I10" s="560" t="n">
        <v>43854</v>
      </c>
      <c r="J10" s="559" t="n">
        <v>1</v>
      </c>
      <c r="K10" s="561" t="s">
        <v>53</v>
      </c>
      <c r="L10" s="559" t="s">
        <v>58</v>
      </c>
      <c r="M10" s="545" t="n">
        <f aca="false">I10-D10</f>
        <v>2676</v>
      </c>
      <c r="N10" s="153"/>
      <c r="O10" s="282" t="s">
        <v>125</v>
      </c>
      <c r="P10" s="282" t="n">
        <f aca="false">COUNTIF($G$2:$G$495,"Bio")</f>
        <v>57</v>
      </c>
      <c r="Q10" s="153"/>
      <c r="R10" s="153"/>
      <c r="S10" s="153"/>
    </row>
    <row r="11" customFormat="false" ht="15" hidden="false" customHeight="true" outlineLevel="0" collapsed="false">
      <c r="A11" s="562" t="s">
        <v>11544</v>
      </c>
      <c r="B11" s="563" t="s">
        <v>11545</v>
      </c>
      <c r="C11" s="563" t="n">
        <v>2014</v>
      </c>
      <c r="D11" s="564" t="n">
        <v>41823</v>
      </c>
      <c r="E11" s="563" t="s">
        <v>11546</v>
      </c>
      <c r="F11" s="563" t="s">
        <v>689</v>
      </c>
      <c r="G11" s="563" t="s">
        <v>1174</v>
      </c>
      <c r="H11" s="563" t="s">
        <v>471</v>
      </c>
      <c r="I11" s="564" t="n">
        <v>43854</v>
      </c>
      <c r="J11" s="563" t="n">
        <v>1</v>
      </c>
      <c r="K11" s="561" t="s">
        <v>53</v>
      </c>
      <c r="L11" s="563" t="s">
        <v>60</v>
      </c>
      <c r="M11" s="546" t="n">
        <f aca="false">I11-D11</f>
        <v>2031</v>
      </c>
      <c r="N11" s="153"/>
      <c r="O11" s="284" t="s">
        <v>130</v>
      </c>
      <c r="P11" s="284" t="n">
        <f aca="false">COUNTIF($G$2:$G$495,"Bio/Org")</f>
        <v>38</v>
      </c>
      <c r="Q11" s="153"/>
      <c r="R11" s="153"/>
      <c r="S11" s="153"/>
    </row>
    <row r="12" customFormat="false" ht="15" hidden="false" customHeight="true" outlineLevel="0" collapsed="false">
      <c r="A12" s="558" t="s">
        <v>11547</v>
      </c>
      <c r="B12" s="559" t="s">
        <v>11548</v>
      </c>
      <c r="C12" s="559" t="n">
        <v>2011</v>
      </c>
      <c r="D12" s="560" t="n">
        <v>40795</v>
      </c>
      <c r="E12" s="559" t="s">
        <v>11549</v>
      </c>
      <c r="F12" s="559" t="s">
        <v>1277</v>
      </c>
      <c r="G12" s="559" t="s">
        <v>1174</v>
      </c>
      <c r="H12" s="559" t="s">
        <v>706</v>
      </c>
      <c r="I12" s="560" t="n">
        <v>43854</v>
      </c>
      <c r="J12" s="559" t="n">
        <v>1</v>
      </c>
      <c r="K12" s="561" t="s">
        <v>53</v>
      </c>
      <c r="L12" s="559" t="s">
        <v>58</v>
      </c>
      <c r="M12" s="545" t="n">
        <f aca="false">I12-D12</f>
        <v>3059</v>
      </c>
      <c r="N12" s="153"/>
      <c r="O12" s="285" t="s">
        <v>140</v>
      </c>
      <c r="P12" s="286" t="n">
        <f aca="false">SUM(P3:P11)</f>
        <v>493</v>
      </c>
      <c r="Q12" s="153"/>
      <c r="R12" s="153"/>
      <c r="S12" s="153"/>
    </row>
    <row r="13" customFormat="false" ht="15" hidden="false" customHeight="true" outlineLevel="0" collapsed="false">
      <c r="A13" s="562" t="s">
        <v>11550</v>
      </c>
      <c r="B13" s="563" t="s">
        <v>11551</v>
      </c>
      <c r="C13" s="563" t="n">
        <v>2011</v>
      </c>
      <c r="D13" s="564" t="n">
        <v>40798</v>
      </c>
      <c r="E13" s="563" t="s">
        <v>11552</v>
      </c>
      <c r="F13" s="563" t="s">
        <v>1277</v>
      </c>
      <c r="G13" s="563" t="s">
        <v>1174</v>
      </c>
      <c r="H13" s="563" t="s">
        <v>706</v>
      </c>
      <c r="I13" s="564" t="n">
        <v>43854</v>
      </c>
      <c r="J13" s="563" t="n">
        <v>1</v>
      </c>
      <c r="K13" s="561" t="s">
        <v>53</v>
      </c>
      <c r="L13" s="563" t="s">
        <v>58</v>
      </c>
      <c r="M13" s="546" t="n">
        <f aca="false">I13-D13</f>
        <v>3056</v>
      </c>
      <c r="N13" s="160"/>
      <c r="O13" s="153"/>
      <c r="P13" s="153"/>
      <c r="Q13" s="153"/>
      <c r="R13" s="287"/>
      <c r="S13" s="287"/>
    </row>
    <row r="14" customFormat="false" ht="15" hidden="false" customHeight="true" outlineLevel="0" collapsed="false">
      <c r="A14" s="558" t="s">
        <v>11553</v>
      </c>
      <c r="B14" s="559" t="s">
        <v>11554</v>
      </c>
      <c r="C14" s="559" t="n">
        <v>2011</v>
      </c>
      <c r="D14" s="560" t="n">
        <v>40798</v>
      </c>
      <c r="E14" s="559" t="s">
        <v>11555</v>
      </c>
      <c r="F14" s="559" t="s">
        <v>1277</v>
      </c>
      <c r="G14" s="559" t="s">
        <v>1174</v>
      </c>
      <c r="H14" s="559" t="s">
        <v>706</v>
      </c>
      <c r="I14" s="560" t="n">
        <v>43854</v>
      </c>
      <c r="J14" s="559" t="n">
        <v>1</v>
      </c>
      <c r="K14" s="561" t="s">
        <v>53</v>
      </c>
      <c r="L14" s="559" t="s">
        <v>58</v>
      </c>
      <c r="M14" s="545" t="n">
        <f aca="false">I14-D14</f>
        <v>3056</v>
      </c>
      <c r="N14" s="160"/>
      <c r="O14" s="411" t="s">
        <v>151</v>
      </c>
      <c r="P14" s="411"/>
      <c r="Q14" s="411"/>
      <c r="R14" s="411"/>
      <c r="S14" s="411"/>
    </row>
    <row r="15" customFormat="false" ht="15" hidden="false" customHeight="true" outlineLevel="0" collapsed="false">
      <c r="A15" s="562" t="s">
        <v>11556</v>
      </c>
      <c r="B15" s="563" t="s">
        <v>11557</v>
      </c>
      <c r="C15" s="563" t="n">
        <v>2011</v>
      </c>
      <c r="D15" s="564" t="n">
        <v>40799</v>
      </c>
      <c r="E15" s="563" t="s">
        <v>11558</v>
      </c>
      <c r="F15" s="563" t="s">
        <v>1277</v>
      </c>
      <c r="G15" s="563" t="s">
        <v>1174</v>
      </c>
      <c r="H15" s="563" t="s">
        <v>706</v>
      </c>
      <c r="I15" s="564" t="n">
        <v>43854</v>
      </c>
      <c r="J15" s="563" t="n">
        <v>1</v>
      </c>
      <c r="K15" s="561" t="s">
        <v>53</v>
      </c>
      <c r="L15" s="563" t="s">
        <v>58</v>
      </c>
      <c r="M15" s="546" t="n">
        <f aca="false">I15-D15</f>
        <v>3055</v>
      </c>
      <c r="N15" s="153"/>
      <c r="O15" s="411"/>
      <c r="P15" s="411"/>
      <c r="Q15" s="411"/>
      <c r="R15" s="411"/>
      <c r="S15" s="411"/>
    </row>
    <row r="16" customFormat="false" ht="15" hidden="false" customHeight="true" outlineLevel="0" collapsed="false">
      <c r="A16" s="558" t="s">
        <v>11559</v>
      </c>
      <c r="B16" s="559" t="s">
        <v>11560</v>
      </c>
      <c r="C16" s="559" t="n">
        <v>2012</v>
      </c>
      <c r="D16" s="560" t="n">
        <v>40987</v>
      </c>
      <c r="E16" s="559" t="s">
        <v>11561</v>
      </c>
      <c r="F16" s="559" t="s">
        <v>1277</v>
      </c>
      <c r="G16" s="559" t="s">
        <v>1174</v>
      </c>
      <c r="H16" s="559" t="s">
        <v>1059</v>
      </c>
      <c r="I16" s="560" t="n">
        <v>43854</v>
      </c>
      <c r="J16" s="559" t="n">
        <v>1</v>
      </c>
      <c r="K16" s="561" t="s">
        <v>53</v>
      </c>
      <c r="L16" s="559" t="s">
        <v>58</v>
      </c>
      <c r="M16" s="545" t="n">
        <f aca="false">I16-D16</f>
        <v>2867</v>
      </c>
      <c r="N16" s="153"/>
      <c r="O16" s="412" t="s">
        <v>2194</v>
      </c>
      <c r="P16" s="412"/>
      <c r="Q16" s="412"/>
      <c r="R16" s="412"/>
      <c r="S16" s="412"/>
    </row>
    <row r="17" customFormat="false" ht="15" hidden="false" customHeight="true" outlineLevel="0" collapsed="false">
      <c r="A17" s="562" t="s">
        <v>11562</v>
      </c>
      <c r="B17" s="563" t="s">
        <v>11563</v>
      </c>
      <c r="C17" s="563" t="n">
        <v>2012</v>
      </c>
      <c r="D17" s="564" t="n">
        <v>41039</v>
      </c>
      <c r="E17" s="563" t="s">
        <v>11564</v>
      </c>
      <c r="F17" s="563" t="s">
        <v>1277</v>
      </c>
      <c r="G17" s="563" t="s">
        <v>1174</v>
      </c>
      <c r="H17" s="563" t="s">
        <v>706</v>
      </c>
      <c r="I17" s="564" t="n">
        <v>43854</v>
      </c>
      <c r="J17" s="563" t="n">
        <v>1</v>
      </c>
      <c r="K17" s="561" t="s">
        <v>53</v>
      </c>
      <c r="L17" s="563" t="s">
        <v>58</v>
      </c>
      <c r="M17" s="546" t="n">
        <f aca="false">I17-D17</f>
        <v>2815</v>
      </c>
      <c r="N17" s="153"/>
      <c r="O17" s="413" t="s">
        <v>2198</v>
      </c>
      <c r="P17" s="413"/>
      <c r="Q17" s="413"/>
      <c r="R17" s="413"/>
      <c r="S17" s="413"/>
    </row>
    <row r="18" customFormat="false" ht="15" hidden="false" customHeight="true" outlineLevel="0" collapsed="false">
      <c r="A18" s="558" t="s">
        <v>11565</v>
      </c>
      <c r="B18" s="559" t="s">
        <v>11566</v>
      </c>
      <c r="C18" s="559" t="n">
        <v>2013</v>
      </c>
      <c r="D18" s="560" t="n">
        <v>41379</v>
      </c>
      <c r="E18" s="559" t="s">
        <v>11567</v>
      </c>
      <c r="F18" s="559" t="s">
        <v>1277</v>
      </c>
      <c r="G18" s="559" t="s">
        <v>1174</v>
      </c>
      <c r="H18" s="559" t="s">
        <v>706</v>
      </c>
      <c r="I18" s="560" t="n">
        <v>43854</v>
      </c>
      <c r="J18" s="559" t="n">
        <v>1</v>
      </c>
      <c r="K18" s="561" t="s">
        <v>53</v>
      </c>
      <c r="L18" s="559" t="s">
        <v>58</v>
      </c>
      <c r="M18" s="545" t="n">
        <f aca="false">I18-D18</f>
        <v>2475</v>
      </c>
      <c r="N18" s="153"/>
      <c r="O18" s="414" t="s">
        <v>2203</v>
      </c>
      <c r="P18" s="414"/>
      <c r="Q18" s="414"/>
      <c r="R18" s="414"/>
      <c r="S18" s="414"/>
    </row>
    <row r="19" customFormat="false" ht="15" hidden="false" customHeight="true" outlineLevel="0" collapsed="false">
      <c r="A19" s="562" t="s">
        <v>11568</v>
      </c>
      <c r="B19" s="563" t="s">
        <v>11569</v>
      </c>
      <c r="C19" s="563" t="n">
        <v>2016</v>
      </c>
      <c r="D19" s="564" t="n">
        <v>42398</v>
      </c>
      <c r="E19" s="563" t="s">
        <v>11570</v>
      </c>
      <c r="F19" s="563" t="s">
        <v>1277</v>
      </c>
      <c r="G19" s="563" t="s">
        <v>1174</v>
      </c>
      <c r="H19" s="563" t="s">
        <v>3915</v>
      </c>
      <c r="I19" s="564" t="n">
        <v>43854</v>
      </c>
      <c r="J19" s="563" t="n">
        <v>1</v>
      </c>
      <c r="K19" s="561" t="s">
        <v>53</v>
      </c>
      <c r="L19" s="563" t="s">
        <v>58</v>
      </c>
      <c r="M19" s="546" t="n">
        <f aca="false">I19-D19</f>
        <v>1456</v>
      </c>
      <c r="N19" s="153"/>
      <c r="O19" s="413" t="s">
        <v>2207</v>
      </c>
      <c r="P19" s="413"/>
      <c r="Q19" s="413"/>
      <c r="R19" s="413"/>
      <c r="S19" s="413"/>
    </row>
    <row r="20" customFormat="false" ht="15" hidden="false" customHeight="true" outlineLevel="0" collapsed="false">
      <c r="A20" s="558" t="s">
        <v>11571</v>
      </c>
      <c r="B20" s="559" t="s">
        <v>11572</v>
      </c>
      <c r="C20" s="559" t="n">
        <v>2014</v>
      </c>
      <c r="D20" s="560" t="n">
        <v>41688</v>
      </c>
      <c r="E20" s="559" t="s">
        <v>11573</v>
      </c>
      <c r="F20" s="559" t="s">
        <v>569</v>
      </c>
      <c r="G20" s="559" t="s">
        <v>1174</v>
      </c>
      <c r="H20" s="559" t="s">
        <v>1501</v>
      </c>
      <c r="I20" s="560" t="n">
        <v>43854</v>
      </c>
      <c r="J20" s="559" t="n">
        <v>1</v>
      </c>
      <c r="K20" s="561" t="s">
        <v>53</v>
      </c>
      <c r="L20" s="559" t="s">
        <v>58</v>
      </c>
      <c r="M20" s="545" t="n">
        <f aca="false">I20-D20</f>
        <v>2166</v>
      </c>
      <c r="N20" s="153"/>
      <c r="O20" s="414" t="s">
        <v>2211</v>
      </c>
      <c r="P20" s="414"/>
      <c r="Q20" s="414"/>
      <c r="R20" s="414"/>
      <c r="S20" s="414"/>
    </row>
    <row r="21" customFormat="false" ht="15" hidden="false" customHeight="true" outlineLevel="0" collapsed="false">
      <c r="A21" s="562" t="s">
        <v>11574</v>
      </c>
      <c r="B21" s="563" t="s">
        <v>11575</v>
      </c>
      <c r="C21" s="563" t="n">
        <v>2017</v>
      </c>
      <c r="D21" s="564" t="n">
        <v>42835</v>
      </c>
      <c r="E21" s="563" t="s">
        <v>11576</v>
      </c>
      <c r="F21" s="563" t="s">
        <v>569</v>
      </c>
      <c r="G21" s="563" t="s">
        <v>1174</v>
      </c>
      <c r="H21" s="563" t="s">
        <v>267</v>
      </c>
      <c r="I21" s="564" t="n">
        <v>43854</v>
      </c>
      <c r="J21" s="563" t="n">
        <v>1</v>
      </c>
      <c r="K21" s="561" t="s">
        <v>53</v>
      </c>
      <c r="L21" s="563" t="s">
        <v>58</v>
      </c>
      <c r="M21" s="546" t="n">
        <f aca="false">I21-D21</f>
        <v>1019</v>
      </c>
      <c r="N21" s="153"/>
      <c r="O21" s="413" t="s">
        <v>2215</v>
      </c>
      <c r="P21" s="413"/>
      <c r="Q21" s="413"/>
      <c r="R21" s="413"/>
      <c r="S21" s="413"/>
    </row>
    <row r="22" customFormat="false" ht="15" hidden="true" customHeight="true" outlineLevel="0" collapsed="false">
      <c r="A22" s="558" t="s">
        <v>11577</v>
      </c>
      <c r="B22" s="559" t="s">
        <v>11578</v>
      </c>
      <c r="C22" s="559" t="n">
        <v>2011</v>
      </c>
      <c r="D22" s="560" t="n">
        <v>40729</v>
      </c>
      <c r="E22" s="559" t="s">
        <v>11579</v>
      </c>
      <c r="F22" s="559" t="s">
        <v>11580</v>
      </c>
      <c r="G22" s="559" t="s">
        <v>1474</v>
      </c>
      <c r="H22" s="559" t="s">
        <v>1567</v>
      </c>
      <c r="I22" s="560" t="n">
        <v>43873</v>
      </c>
      <c r="J22" s="559" t="n">
        <v>1</v>
      </c>
      <c r="K22" s="565" t="s">
        <v>290</v>
      </c>
      <c r="L22" s="559" t="s">
        <v>61</v>
      </c>
      <c r="M22" s="545" t="n">
        <f aca="false">I22-D22</f>
        <v>3144</v>
      </c>
      <c r="N22" s="153"/>
      <c r="O22" s="414" t="s">
        <v>2220</v>
      </c>
      <c r="P22" s="414"/>
      <c r="Q22" s="414"/>
      <c r="R22" s="414"/>
      <c r="S22" s="414"/>
    </row>
    <row r="23" customFormat="false" ht="15" hidden="false" customHeight="true" outlineLevel="0" collapsed="false">
      <c r="A23" s="562" t="s">
        <v>11581</v>
      </c>
      <c r="B23" s="563" t="s">
        <v>11582</v>
      </c>
      <c r="C23" s="563" t="n">
        <v>2016</v>
      </c>
      <c r="D23" s="564" t="n">
        <v>42514</v>
      </c>
      <c r="E23" s="563" t="s">
        <v>11583</v>
      </c>
      <c r="F23" s="563" t="s">
        <v>1211</v>
      </c>
      <c r="G23" s="563" t="s">
        <v>1174</v>
      </c>
      <c r="H23" s="563" t="s">
        <v>706</v>
      </c>
      <c r="I23" s="564" t="n">
        <v>43873</v>
      </c>
      <c r="J23" s="563" t="n">
        <v>2</v>
      </c>
      <c r="K23" s="561" t="s">
        <v>53</v>
      </c>
      <c r="L23" s="563" t="s">
        <v>60</v>
      </c>
      <c r="M23" s="546" t="n">
        <f aca="false">I23-D23</f>
        <v>1359</v>
      </c>
      <c r="N23" s="153"/>
      <c r="O23" s="413" t="s">
        <v>2225</v>
      </c>
      <c r="P23" s="413"/>
      <c r="Q23" s="413"/>
      <c r="R23" s="413"/>
      <c r="S23" s="413"/>
    </row>
    <row r="24" customFormat="false" ht="15" hidden="true" customHeight="true" outlineLevel="0" collapsed="false">
      <c r="A24" s="558" t="s">
        <v>11584</v>
      </c>
      <c r="B24" s="559" t="s">
        <v>11585</v>
      </c>
      <c r="C24" s="559" t="n">
        <v>2014</v>
      </c>
      <c r="D24" s="560" t="n">
        <v>41939</v>
      </c>
      <c r="E24" s="559" t="s">
        <v>11586</v>
      </c>
      <c r="F24" s="559" t="s">
        <v>3483</v>
      </c>
      <c r="G24" s="559" t="s">
        <v>1474</v>
      </c>
      <c r="H24" s="559" t="s">
        <v>3832</v>
      </c>
      <c r="I24" s="560" t="n">
        <v>43873</v>
      </c>
      <c r="J24" s="559" t="n">
        <v>2</v>
      </c>
      <c r="K24" s="566" t="s">
        <v>49</v>
      </c>
      <c r="L24" s="559" t="s">
        <v>61</v>
      </c>
      <c r="M24" s="545" t="n">
        <f aca="false">I24-D24</f>
        <v>1934</v>
      </c>
      <c r="N24" s="153"/>
      <c r="O24" s="415" t="s">
        <v>2229</v>
      </c>
      <c r="P24" s="415"/>
      <c r="Q24" s="415"/>
      <c r="R24" s="415"/>
      <c r="S24" s="415"/>
    </row>
    <row r="25" customFormat="false" ht="15" hidden="true" customHeight="true" outlineLevel="0" collapsed="false">
      <c r="A25" s="562" t="s">
        <v>11587</v>
      </c>
      <c r="B25" s="563" t="s">
        <v>11588</v>
      </c>
      <c r="C25" s="563" t="n">
        <v>2014</v>
      </c>
      <c r="D25" s="564" t="n">
        <v>41964</v>
      </c>
      <c r="E25" s="563" t="s">
        <v>11589</v>
      </c>
      <c r="F25" s="563" t="s">
        <v>915</v>
      </c>
      <c r="G25" s="563" t="s">
        <v>8</v>
      </c>
      <c r="H25" s="563" t="s">
        <v>134</v>
      </c>
      <c r="I25" s="564" t="n">
        <v>43873</v>
      </c>
      <c r="J25" s="563" t="n">
        <v>2</v>
      </c>
      <c r="K25" s="566" t="s">
        <v>47</v>
      </c>
      <c r="L25" s="563" t="s">
        <v>60</v>
      </c>
      <c r="M25" s="546" t="n">
        <f aca="false">I25-D25</f>
        <v>1909</v>
      </c>
      <c r="N25" s="153"/>
      <c r="O25" s="153"/>
      <c r="P25" s="153"/>
      <c r="Q25" s="153"/>
      <c r="R25" s="153"/>
      <c r="S25" s="153"/>
    </row>
    <row r="26" customFormat="false" ht="15" hidden="true" customHeight="true" outlineLevel="0" collapsed="false">
      <c r="A26" s="558" t="s">
        <v>11590</v>
      </c>
      <c r="B26" s="559" t="s">
        <v>11591</v>
      </c>
      <c r="C26" s="559" t="n">
        <v>2015</v>
      </c>
      <c r="D26" s="560" t="n">
        <v>42031</v>
      </c>
      <c r="E26" s="559" t="s">
        <v>11592</v>
      </c>
      <c r="F26" s="559" t="s">
        <v>915</v>
      </c>
      <c r="G26" s="559" t="s">
        <v>8</v>
      </c>
      <c r="H26" s="559" t="s">
        <v>134</v>
      </c>
      <c r="I26" s="560" t="n">
        <v>43873</v>
      </c>
      <c r="J26" s="559" t="n">
        <v>2</v>
      </c>
      <c r="K26" s="566" t="s">
        <v>47</v>
      </c>
      <c r="L26" s="559" t="s">
        <v>60</v>
      </c>
      <c r="M26" s="545" t="n">
        <f aca="false">I26-D26</f>
        <v>1842</v>
      </c>
      <c r="N26" s="153"/>
      <c r="O26" s="326" t="s">
        <v>185</v>
      </c>
      <c r="P26" s="326"/>
      <c r="Q26" s="326"/>
      <c r="R26" s="326"/>
      <c r="S26" s="326"/>
    </row>
    <row r="27" customFormat="false" ht="15" hidden="false" customHeight="true" outlineLevel="0" collapsed="false">
      <c r="A27" s="562" t="s">
        <v>11593</v>
      </c>
      <c r="B27" s="563" t="s">
        <v>11594</v>
      </c>
      <c r="C27" s="563" t="n">
        <v>2014</v>
      </c>
      <c r="D27" s="564" t="n">
        <v>41913</v>
      </c>
      <c r="E27" s="563" t="s">
        <v>11595</v>
      </c>
      <c r="F27" s="563" t="s">
        <v>1817</v>
      </c>
      <c r="G27" s="563" t="s">
        <v>1174</v>
      </c>
      <c r="H27" s="563" t="s">
        <v>184</v>
      </c>
      <c r="I27" s="564" t="n">
        <v>43875</v>
      </c>
      <c r="J27" s="563" t="n">
        <v>2</v>
      </c>
      <c r="K27" s="561" t="s">
        <v>53</v>
      </c>
      <c r="L27" s="563" t="s">
        <v>57</v>
      </c>
      <c r="M27" s="546" t="n">
        <f aca="false">I27-D27</f>
        <v>1962</v>
      </c>
      <c r="N27" s="153"/>
      <c r="O27" s="326"/>
      <c r="P27" s="326"/>
      <c r="Q27" s="326"/>
      <c r="R27" s="326"/>
      <c r="S27" s="326"/>
    </row>
    <row r="28" customFormat="false" ht="15" hidden="false" customHeight="true" outlineLevel="0" collapsed="false">
      <c r="A28" s="558" t="s">
        <v>11596</v>
      </c>
      <c r="B28" s="559" t="s">
        <v>11597</v>
      </c>
      <c r="C28" s="559" t="n">
        <v>2014</v>
      </c>
      <c r="D28" s="560" t="n">
        <v>41984</v>
      </c>
      <c r="E28" s="559" t="s">
        <v>11598</v>
      </c>
      <c r="F28" s="559" t="s">
        <v>1817</v>
      </c>
      <c r="G28" s="559" t="s">
        <v>1174</v>
      </c>
      <c r="H28" s="559" t="s">
        <v>522</v>
      </c>
      <c r="I28" s="560" t="n">
        <v>43875</v>
      </c>
      <c r="J28" s="559" t="n">
        <v>2</v>
      </c>
      <c r="K28" s="561" t="s">
        <v>53</v>
      </c>
      <c r="L28" s="559" t="s">
        <v>57</v>
      </c>
      <c r="M28" s="545" t="n">
        <f aca="false">I28-D28</f>
        <v>1891</v>
      </c>
      <c r="N28" s="153"/>
      <c r="O28" s="309" t="s">
        <v>39</v>
      </c>
      <c r="P28" s="416" t="s">
        <v>40</v>
      </c>
      <c r="Q28" s="416"/>
      <c r="R28" s="416"/>
      <c r="S28" s="313" t="s">
        <v>41</v>
      </c>
    </row>
    <row r="29" customFormat="false" ht="15" hidden="false" customHeight="true" outlineLevel="0" collapsed="false">
      <c r="A29" s="562" t="s">
        <v>11599</v>
      </c>
      <c r="B29" s="563" t="s">
        <v>11600</v>
      </c>
      <c r="C29" s="563" t="n">
        <v>2014</v>
      </c>
      <c r="D29" s="564" t="n">
        <v>41862</v>
      </c>
      <c r="E29" s="563" t="s">
        <v>11601</v>
      </c>
      <c r="F29" s="563" t="s">
        <v>1817</v>
      </c>
      <c r="G29" s="563" t="s">
        <v>1174</v>
      </c>
      <c r="H29" s="563" t="s">
        <v>192</v>
      </c>
      <c r="I29" s="564" t="n">
        <v>43875</v>
      </c>
      <c r="J29" s="563" t="n">
        <v>2</v>
      </c>
      <c r="K29" s="561" t="s">
        <v>53</v>
      </c>
      <c r="L29" s="563" t="s">
        <v>58</v>
      </c>
      <c r="M29" s="546" t="n">
        <f aca="false">I29-D29</f>
        <v>2013</v>
      </c>
      <c r="N29" s="153"/>
      <c r="O29" s="283" t="n">
        <v>2008</v>
      </c>
      <c r="P29" s="314" t="n">
        <f aca="false">COUNTIF($C$2:$C$495,"2008")</f>
        <v>2</v>
      </c>
      <c r="Q29" s="314"/>
      <c r="R29" s="314"/>
      <c r="S29" s="315" t="n">
        <f aca="false">(P29/P42)</f>
        <v>0.00405679513184584</v>
      </c>
    </row>
    <row r="30" customFormat="false" ht="15" hidden="false" customHeight="true" outlineLevel="0" collapsed="false">
      <c r="A30" s="558" t="s">
        <v>11602</v>
      </c>
      <c r="B30" s="559" t="s">
        <v>11603</v>
      </c>
      <c r="C30" s="559" t="n">
        <v>2015</v>
      </c>
      <c r="D30" s="560" t="n">
        <v>42062</v>
      </c>
      <c r="E30" s="559" t="s">
        <v>11604</v>
      </c>
      <c r="F30" s="559" t="s">
        <v>1817</v>
      </c>
      <c r="G30" s="559" t="s">
        <v>1174</v>
      </c>
      <c r="H30" s="559" t="s">
        <v>706</v>
      </c>
      <c r="I30" s="560" t="n">
        <v>43875</v>
      </c>
      <c r="J30" s="559" t="n">
        <v>2</v>
      </c>
      <c r="K30" s="561" t="s">
        <v>53</v>
      </c>
      <c r="L30" s="559" t="s">
        <v>57</v>
      </c>
      <c r="M30" s="545" t="n">
        <f aca="false">I30-D30</f>
        <v>1813</v>
      </c>
      <c r="N30" s="153"/>
      <c r="O30" s="282" t="n">
        <v>2009</v>
      </c>
      <c r="P30" s="282" t="n">
        <f aca="false">COUNTIF($C$2:$C$495,"2009")</f>
        <v>1</v>
      </c>
      <c r="Q30" s="282"/>
      <c r="R30" s="282"/>
      <c r="S30" s="316" t="n">
        <f aca="false">(P30/P42)</f>
        <v>0.00202839756592292</v>
      </c>
    </row>
    <row r="31" customFormat="false" ht="15" hidden="false" customHeight="true" outlineLevel="0" collapsed="false">
      <c r="A31" s="562" t="s">
        <v>11605</v>
      </c>
      <c r="B31" s="563" t="s">
        <v>11606</v>
      </c>
      <c r="C31" s="563" t="n">
        <v>2017</v>
      </c>
      <c r="D31" s="564" t="n">
        <v>42761</v>
      </c>
      <c r="E31" s="563" t="s">
        <v>11607</v>
      </c>
      <c r="F31" s="563" t="s">
        <v>1817</v>
      </c>
      <c r="G31" s="563" t="s">
        <v>1174</v>
      </c>
      <c r="H31" s="563" t="s">
        <v>263</v>
      </c>
      <c r="I31" s="564" t="n">
        <v>43875</v>
      </c>
      <c r="J31" s="563" t="n">
        <v>2</v>
      </c>
      <c r="K31" s="561" t="s">
        <v>53</v>
      </c>
      <c r="L31" s="563" t="s">
        <v>57</v>
      </c>
      <c r="M31" s="546" t="n">
        <f aca="false">I31-D31</f>
        <v>1114</v>
      </c>
      <c r="N31" s="153"/>
      <c r="O31" s="283" t="n">
        <v>2010</v>
      </c>
      <c r="P31" s="283" t="n">
        <f aca="false">COUNTIF($C$2:$C$495,"2010")</f>
        <v>19</v>
      </c>
      <c r="Q31" s="283"/>
      <c r="R31" s="283"/>
      <c r="S31" s="315" t="n">
        <f aca="false">(P31/P42)</f>
        <v>0.0385395537525355</v>
      </c>
    </row>
    <row r="32" customFormat="false" ht="15" hidden="false" customHeight="true" outlineLevel="0" collapsed="false">
      <c r="A32" s="558" t="s">
        <v>11608</v>
      </c>
      <c r="B32" s="559" t="s">
        <v>11609</v>
      </c>
      <c r="C32" s="559" t="n">
        <v>2017</v>
      </c>
      <c r="D32" s="560" t="n">
        <v>43014</v>
      </c>
      <c r="E32" s="559" t="s">
        <v>11610</v>
      </c>
      <c r="F32" s="559" t="s">
        <v>1817</v>
      </c>
      <c r="G32" s="559" t="s">
        <v>1174</v>
      </c>
      <c r="H32" s="559" t="s">
        <v>267</v>
      </c>
      <c r="I32" s="560" t="n">
        <v>43875</v>
      </c>
      <c r="J32" s="559" t="n">
        <v>2</v>
      </c>
      <c r="K32" s="561" t="s">
        <v>53</v>
      </c>
      <c r="L32" s="559" t="s">
        <v>57</v>
      </c>
      <c r="M32" s="545" t="n">
        <f aca="false">I32-D32</f>
        <v>861</v>
      </c>
      <c r="N32" s="153"/>
      <c r="O32" s="282" t="n">
        <v>2011</v>
      </c>
      <c r="P32" s="282" t="n">
        <f aca="false">COUNTIF($C$2:$C$495,"2011")</f>
        <v>27</v>
      </c>
      <c r="Q32" s="282"/>
      <c r="R32" s="282"/>
      <c r="S32" s="316" t="n">
        <f aca="false">(P32/P42)</f>
        <v>0.0547667342799189</v>
      </c>
    </row>
    <row r="33" customFormat="false" ht="15" hidden="false" customHeight="true" outlineLevel="0" collapsed="false">
      <c r="A33" s="562" t="s">
        <v>11611</v>
      </c>
      <c r="B33" s="563" t="s">
        <v>11612</v>
      </c>
      <c r="C33" s="563" t="n">
        <v>2019</v>
      </c>
      <c r="D33" s="564" t="n">
        <v>43626</v>
      </c>
      <c r="E33" s="563" t="s">
        <v>11613</v>
      </c>
      <c r="F33" s="563" t="s">
        <v>1817</v>
      </c>
      <c r="G33" s="563" t="s">
        <v>1174</v>
      </c>
      <c r="H33" s="563" t="s">
        <v>1059</v>
      </c>
      <c r="I33" s="564" t="n">
        <v>43875</v>
      </c>
      <c r="J33" s="563" t="n">
        <v>2</v>
      </c>
      <c r="K33" s="561" t="s">
        <v>53</v>
      </c>
      <c r="L33" s="563" t="s">
        <v>57</v>
      </c>
      <c r="M33" s="546" t="n">
        <f aca="false">I33-D33</f>
        <v>249</v>
      </c>
      <c r="N33" s="153"/>
      <c r="O33" s="283" t="n">
        <v>2012</v>
      </c>
      <c r="P33" s="283" t="n">
        <f aca="false">COUNTIF($C$2:$C$495,"2012")</f>
        <v>32</v>
      </c>
      <c r="Q33" s="283"/>
      <c r="R33" s="283"/>
      <c r="S33" s="315" t="n">
        <f aca="false">(P33/P42)</f>
        <v>0.0649087221095335</v>
      </c>
    </row>
    <row r="34" customFormat="false" ht="15" hidden="false" customHeight="true" outlineLevel="0" collapsed="false">
      <c r="A34" s="558" t="s">
        <v>11614</v>
      </c>
      <c r="B34" s="559" t="s">
        <v>11615</v>
      </c>
      <c r="C34" s="559" t="n">
        <v>2011</v>
      </c>
      <c r="D34" s="560" t="n">
        <v>40785</v>
      </c>
      <c r="E34" s="559" t="s">
        <v>11616</v>
      </c>
      <c r="F34" s="559" t="s">
        <v>1277</v>
      </c>
      <c r="G34" s="559" t="s">
        <v>1174</v>
      </c>
      <c r="H34" s="559" t="s">
        <v>11617</v>
      </c>
      <c r="I34" s="560" t="n">
        <v>43889</v>
      </c>
      <c r="J34" s="559" t="n">
        <v>2</v>
      </c>
      <c r="K34" s="561" t="s">
        <v>53</v>
      </c>
      <c r="L34" s="559" t="s">
        <v>58</v>
      </c>
      <c r="M34" s="545" t="n">
        <f aca="false">I34-D34</f>
        <v>3104</v>
      </c>
      <c r="N34" s="153"/>
      <c r="O34" s="282" t="n">
        <v>2013</v>
      </c>
      <c r="P34" s="282" t="n">
        <f aca="false">COUNTIF($C$2:$C$495,"2013")</f>
        <v>50</v>
      </c>
      <c r="Q34" s="282"/>
      <c r="R34" s="282"/>
      <c r="S34" s="316" t="n">
        <f aca="false">(P34/P42)</f>
        <v>0.101419878296146</v>
      </c>
    </row>
    <row r="35" customFormat="false" ht="15" hidden="false" customHeight="true" outlineLevel="0" collapsed="false">
      <c r="A35" s="562" t="s">
        <v>11618</v>
      </c>
      <c r="B35" s="563" t="s">
        <v>11619</v>
      </c>
      <c r="C35" s="563" t="n">
        <v>2012</v>
      </c>
      <c r="D35" s="564" t="n">
        <v>41150</v>
      </c>
      <c r="E35" s="563" t="s">
        <v>11620</v>
      </c>
      <c r="F35" s="563" t="s">
        <v>1387</v>
      </c>
      <c r="G35" s="563" t="s">
        <v>1174</v>
      </c>
      <c r="H35" s="563" t="s">
        <v>1567</v>
      </c>
      <c r="I35" s="564" t="n">
        <v>43889</v>
      </c>
      <c r="J35" s="563" t="n">
        <v>2</v>
      </c>
      <c r="K35" s="561" t="s">
        <v>53</v>
      </c>
      <c r="L35" s="563" t="s">
        <v>60</v>
      </c>
      <c r="M35" s="546" t="n">
        <f aca="false">I35-D35</f>
        <v>2739</v>
      </c>
      <c r="N35" s="153"/>
      <c r="O35" s="283" t="n">
        <v>2014</v>
      </c>
      <c r="P35" s="283" t="n">
        <f aca="false">COUNTIF($C$2:$C$495,"2014")</f>
        <v>52</v>
      </c>
      <c r="Q35" s="283"/>
      <c r="R35" s="283"/>
      <c r="S35" s="315" t="n">
        <f aca="false">(P35/P42)</f>
        <v>0.105476673427992</v>
      </c>
    </row>
    <row r="36" customFormat="false" ht="15" hidden="false" customHeight="true" outlineLevel="0" collapsed="false">
      <c r="A36" s="558" t="s">
        <v>11621</v>
      </c>
      <c r="B36" s="559" t="s">
        <v>11622</v>
      </c>
      <c r="C36" s="559" t="n">
        <v>2013</v>
      </c>
      <c r="D36" s="560" t="n">
        <v>41627</v>
      </c>
      <c r="E36" s="559" t="s">
        <v>11623</v>
      </c>
      <c r="F36" s="559" t="s">
        <v>6460</v>
      </c>
      <c r="G36" s="559" t="s">
        <v>1174</v>
      </c>
      <c r="H36" s="559" t="s">
        <v>267</v>
      </c>
      <c r="I36" s="560" t="n">
        <v>43889</v>
      </c>
      <c r="J36" s="559" t="n">
        <v>2</v>
      </c>
      <c r="K36" s="561" t="s">
        <v>53</v>
      </c>
      <c r="L36" s="559" t="s">
        <v>60</v>
      </c>
      <c r="M36" s="545" t="n">
        <f aca="false">I36-D36</f>
        <v>2262</v>
      </c>
      <c r="N36" s="153"/>
      <c r="O36" s="282" t="n">
        <v>2015</v>
      </c>
      <c r="P36" s="282" t="n">
        <f aca="false">COUNTIF($C$2:$C$495,"2015")</f>
        <v>51</v>
      </c>
      <c r="Q36" s="282"/>
      <c r="R36" s="282"/>
      <c r="S36" s="316" t="n">
        <f aca="false">(P36/P42)</f>
        <v>0.103448275862069</v>
      </c>
    </row>
    <row r="37" customFormat="false" ht="15" hidden="false" customHeight="true" outlineLevel="0" collapsed="false">
      <c r="A37" s="562" t="s">
        <v>11624</v>
      </c>
      <c r="B37" s="563" t="s">
        <v>11625</v>
      </c>
      <c r="C37" s="563" t="n">
        <v>2015</v>
      </c>
      <c r="D37" s="564" t="n">
        <v>42179</v>
      </c>
      <c r="E37" s="563" t="s">
        <v>11626</v>
      </c>
      <c r="F37" s="563" t="s">
        <v>2151</v>
      </c>
      <c r="G37" s="563" t="s">
        <v>1174</v>
      </c>
      <c r="H37" s="563" t="s">
        <v>471</v>
      </c>
      <c r="I37" s="564" t="n">
        <v>43889</v>
      </c>
      <c r="J37" s="563" t="n">
        <v>2</v>
      </c>
      <c r="K37" s="561" t="s">
        <v>53</v>
      </c>
      <c r="L37" s="563" t="s">
        <v>60</v>
      </c>
      <c r="M37" s="546" t="n">
        <f aca="false">I37-D37</f>
        <v>1710</v>
      </c>
      <c r="N37" s="153"/>
      <c r="O37" s="283" t="n">
        <v>2016</v>
      </c>
      <c r="P37" s="283" t="n">
        <f aca="false">COUNTIF($C$2:$C$495,"2016")</f>
        <v>45</v>
      </c>
      <c r="Q37" s="283"/>
      <c r="R37" s="283"/>
      <c r="S37" s="315" t="n">
        <f aca="false">(P37/P42)</f>
        <v>0.0912778904665314</v>
      </c>
    </row>
    <row r="38" customFormat="false" ht="15" hidden="false" customHeight="true" outlineLevel="0" collapsed="false">
      <c r="A38" s="558" t="s">
        <v>11627</v>
      </c>
      <c r="B38" s="559" t="s">
        <v>11628</v>
      </c>
      <c r="C38" s="559" t="n">
        <v>2018</v>
      </c>
      <c r="D38" s="560" t="n">
        <v>43398</v>
      </c>
      <c r="E38" s="559" t="s">
        <v>11629</v>
      </c>
      <c r="F38" s="559" t="s">
        <v>6460</v>
      </c>
      <c r="G38" s="559" t="s">
        <v>1174</v>
      </c>
      <c r="H38" s="559" t="s">
        <v>11630</v>
      </c>
      <c r="I38" s="560" t="n">
        <v>43889</v>
      </c>
      <c r="J38" s="559" t="n">
        <v>2</v>
      </c>
      <c r="K38" s="561" t="s">
        <v>53</v>
      </c>
      <c r="L38" s="559" t="s">
        <v>60</v>
      </c>
      <c r="M38" s="545" t="n">
        <f aca="false">I38-D38</f>
        <v>491</v>
      </c>
      <c r="N38" s="153"/>
      <c r="O38" s="282" t="n">
        <v>2017</v>
      </c>
      <c r="P38" s="282" t="n">
        <f aca="false">COUNTIF($C$2:$C$495,"2017")</f>
        <v>51</v>
      </c>
      <c r="Q38" s="282"/>
      <c r="R38" s="282"/>
      <c r="S38" s="316" t="n">
        <f aca="false">(P38/P42)</f>
        <v>0.103448275862069</v>
      </c>
    </row>
    <row r="39" customFormat="false" ht="15" hidden="false" customHeight="true" outlineLevel="0" collapsed="false">
      <c r="A39" s="562" t="s">
        <v>11631</v>
      </c>
      <c r="B39" s="563" t="s">
        <v>11632</v>
      </c>
      <c r="C39" s="563" t="n">
        <v>2013</v>
      </c>
      <c r="D39" s="564" t="n">
        <v>41386</v>
      </c>
      <c r="E39" s="563" t="s">
        <v>11633</v>
      </c>
      <c r="F39" s="563" t="s">
        <v>176</v>
      </c>
      <c r="G39" s="563" t="s">
        <v>1174</v>
      </c>
      <c r="H39" s="563" t="s">
        <v>1567</v>
      </c>
      <c r="I39" s="564" t="n">
        <v>43908</v>
      </c>
      <c r="J39" s="563" t="n">
        <v>3</v>
      </c>
      <c r="K39" s="561" t="s">
        <v>53</v>
      </c>
      <c r="L39" s="563" t="s">
        <v>60</v>
      </c>
      <c r="M39" s="546" t="n">
        <f aca="false">I39-D39</f>
        <v>2522</v>
      </c>
      <c r="N39" s="153"/>
      <c r="O39" s="283" t="n">
        <v>2018</v>
      </c>
      <c r="P39" s="283" t="n">
        <f aca="false">COUNTIF($C$2:$C$495,"2018")</f>
        <v>46</v>
      </c>
      <c r="Q39" s="283"/>
      <c r="R39" s="283"/>
      <c r="S39" s="315" t="n">
        <f aca="false">(P39/P42)</f>
        <v>0.0933062880324544</v>
      </c>
    </row>
    <row r="40" customFormat="false" ht="15" hidden="false" customHeight="true" outlineLevel="0" collapsed="false">
      <c r="A40" s="558" t="s">
        <v>11634</v>
      </c>
      <c r="B40" s="559" t="s">
        <v>11635</v>
      </c>
      <c r="C40" s="559" t="n">
        <v>2019</v>
      </c>
      <c r="D40" s="560" t="n">
        <v>43628</v>
      </c>
      <c r="E40" s="559" t="s">
        <v>11636</v>
      </c>
      <c r="F40" s="559" t="s">
        <v>1916</v>
      </c>
      <c r="G40" s="559" t="s">
        <v>1174</v>
      </c>
      <c r="H40" s="559" t="s">
        <v>267</v>
      </c>
      <c r="I40" s="560" t="n">
        <v>43908</v>
      </c>
      <c r="J40" s="559" t="n">
        <v>3</v>
      </c>
      <c r="K40" s="561" t="s">
        <v>53</v>
      </c>
      <c r="L40" s="559" t="s">
        <v>58</v>
      </c>
      <c r="M40" s="545" t="n">
        <f aca="false">I40-D40</f>
        <v>280</v>
      </c>
      <c r="N40" s="153"/>
      <c r="O40" s="282" t="n">
        <v>2019</v>
      </c>
      <c r="P40" s="282" t="n">
        <f aca="false">COUNTIF($C$2:$C$495,"2019")</f>
        <v>73</v>
      </c>
      <c r="Q40" s="282"/>
      <c r="R40" s="282"/>
      <c r="S40" s="316" t="n">
        <f aca="false">(P40/P42)</f>
        <v>0.148073022312373</v>
      </c>
    </row>
    <row r="41" customFormat="false" ht="15" hidden="false" customHeight="true" outlineLevel="0" collapsed="false">
      <c r="A41" s="562" t="s">
        <v>11637</v>
      </c>
      <c r="B41" s="563" t="s">
        <v>11638</v>
      </c>
      <c r="C41" s="563" t="n">
        <v>2019</v>
      </c>
      <c r="D41" s="564" t="n">
        <v>43518</v>
      </c>
      <c r="E41" s="563" t="s">
        <v>11639</v>
      </c>
      <c r="F41" s="563" t="s">
        <v>793</v>
      </c>
      <c r="G41" s="563" t="s">
        <v>1174</v>
      </c>
      <c r="H41" s="563" t="s">
        <v>1567</v>
      </c>
      <c r="I41" s="564" t="n">
        <v>43908</v>
      </c>
      <c r="J41" s="563" t="n">
        <v>3</v>
      </c>
      <c r="K41" s="561" t="s">
        <v>53</v>
      </c>
      <c r="L41" s="563" t="s">
        <v>60</v>
      </c>
      <c r="M41" s="546" t="n">
        <f aca="false">I41-D41</f>
        <v>390</v>
      </c>
      <c r="N41" s="153"/>
      <c r="O41" s="283" t="n">
        <v>2020</v>
      </c>
      <c r="P41" s="283" t="n">
        <f aca="false">COUNTIF($C$2:$C$495,"2020")</f>
        <v>44</v>
      </c>
      <c r="Q41" s="283"/>
      <c r="R41" s="283"/>
      <c r="S41" s="315" t="n">
        <f aca="false">(P41/P42)</f>
        <v>0.0892494929006085</v>
      </c>
    </row>
    <row r="42" customFormat="false" ht="15" hidden="true" customHeight="true" outlineLevel="0" collapsed="false">
      <c r="A42" s="558" t="s">
        <v>11640</v>
      </c>
      <c r="B42" s="559" t="s">
        <v>11641</v>
      </c>
      <c r="C42" s="559" t="n">
        <v>2010</v>
      </c>
      <c r="D42" s="560" t="n">
        <v>40248</v>
      </c>
      <c r="E42" s="559" t="s">
        <v>11642</v>
      </c>
      <c r="F42" s="559" t="s">
        <v>11580</v>
      </c>
      <c r="G42" s="559" t="s">
        <v>1474</v>
      </c>
      <c r="H42" s="559" t="s">
        <v>3832</v>
      </c>
      <c r="I42" s="560" t="n">
        <v>43908</v>
      </c>
      <c r="J42" s="559" t="n">
        <v>3</v>
      </c>
      <c r="K42" s="565" t="s">
        <v>290</v>
      </c>
      <c r="L42" s="559" t="s">
        <v>61</v>
      </c>
      <c r="M42" s="545" t="n">
        <f aca="false">I42-D42</f>
        <v>3660</v>
      </c>
      <c r="N42" s="153"/>
      <c r="O42" s="323" t="s">
        <v>56</v>
      </c>
      <c r="P42" s="418" t="n">
        <f aca="false">SUM(P29:R41)</f>
        <v>493</v>
      </c>
      <c r="Q42" s="418"/>
      <c r="R42" s="418"/>
      <c r="S42" s="325" t="n">
        <f aca="false">SUM(S29:S41)</f>
        <v>1</v>
      </c>
    </row>
    <row r="43" customFormat="false" ht="15" hidden="false" customHeight="true" outlineLevel="0" collapsed="false">
      <c r="A43" s="562" t="s">
        <v>11643</v>
      </c>
      <c r="B43" s="563" t="s">
        <v>11644</v>
      </c>
      <c r="C43" s="563" t="n">
        <v>2015</v>
      </c>
      <c r="D43" s="564" t="n">
        <v>42271</v>
      </c>
      <c r="E43" s="563" t="s">
        <v>11645</v>
      </c>
      <c r="F43" s="563" t="s">
        <v>3190</v>
      </c>
      <c r="G43" s="563" t="s">
        <v>1174</v>
      </c>
      <c r="H43" s="563" t="s">
        <v>706</v>
      </c>
      <c r="I43" s="564" t="n">
        <v>43910</v>
      </c>
      <c r="J43" s="563" t="n">
        <v>3</v>
      </c>
      <c r="K43" s="561" t="s">
        <v>53</v>
      </c>
      <c r="L43" s="563" t="s">
        <v>60</v>
      </c>
      <c r="M43" s="546" t="n">
        <f aca="false">I43-D43</f>
        <v>1639</v>
      </c>
      <c r="N43" s="153"/>
      <c r="O43" s="153"/>
      <c r="P43" s="153"/>
      <c r="Q43" s="153"/>
      <c r="R43" s="153"/>
      <c r="S43" s="153"/>
    </row>
    <row r="44" customFormat="false" ht="15" hidden="false" customHeight="true" outlineLevel="0" collapsed="false">
      <c r="A44" s="558" t="s">
        <v>11646</v>
      </c>
      <c r="B44" s="559" t="s">
        <v>11647</v>
      </c>
      <c r="C44" s="559" t="n">
        <v>2015</v>
      </c>
      <c r="D44" s="560" t="n">
        <v>42303</v>
      </c>
      <c r="E44" s="559" t="s">
        <v>11648</v>
      </c>
      <c r="F44" s="559" t="s">
        <v>3190</v>
      </c>
      <c r="G44" s="559" t="s">
        <v>1174</v>
      </c>
      <c r="H44" s="559" t="s">
        <v>192</v>
      </c>
      <c r="I44" s="560" t="n">
        <v>43910</v>
      </c>
      <c r="J44" s="559" t="n">
        <v>3</v>
      </c>
      <c r="K44" s="561" t="s">
        <v>53</v>
      </c>
      <c r="L44" s="559" t="s">
        <v>60</v>
      </c>
      <c r="M44" s="545" t="n">
        <f aca="false">I44-D44</f>
        <v>1607</v>
      </c>
      <c r="N44" s="153"/>
      <c r="O44" s="326" t="s">
        <v>272</v>
      </c>
      <c r="P44" s="326"/>
      <c r="Q44" s="326"/>
      <c r="R44" s="326"/>
      <c r="S44" s="326"/>
    </row>
    <row r="45" customFormat="false" ht="15" hidden="false" customHeight="true" outlineLevel="0" collapsed="false">
      <c r="A45" s="562" t="s">
        <v>11649</v>
      </c>
      <c r="B45" s="563" t="s">
        <v>11650</v>
      </c>
      <c r="C45" s="563" t="n">
        <v>2015</v>
      </c>
      <c r="D45" s="564" t="n">
        <v>42314</v>
      </c>
      <c r="E45" s="563" t="s">
        <v>11651</v>
      </c>
      <c r="F45" s="563" t="s">
        <v>3190</v>
      </c>
      <c r="G45" s="563" t="s">
        <v>1174</v>
      </c>
      <c r="H45" s="563" t="s">
        <v>263</v>
      </c>
      <c r="I45" s="564" t="n">
        <v>43910</v>
      </c>
      <c r="J45" s="563" t="n">
        <v>3</v>
      </c>
      <c r="K45" s="561" t="s">
        <v>53</v>
      </c>
      <c r="L45" s="563" t="s">
        <v>60</v>
      </c>
      <c r="M45" s="546" t="n">
        <f aca="false">I45-D45</f>
        <v>1596</v>
      </c>
      <c r="N45" s="153"/>
      <c r="O45" s="326"/>
      <c r="P45" s="326"/>
      <c r="Q45" s="326"/>
      <c r="R45" s="326"/>
      <c r="S45" s="326"/>
    </row>
    <row r="46" customFormat="false" ht="15" hidden="false" customHeight="true" outlineLevel="0" collapsed="false">
      <c r="A46" s="558" t="s">
        <v>11652</v>
      </c>
      <c r="B46" s="559" t="s">
        <v>11653</v>
      </c>
      <c r="C46" s="559" t="n">
        <v>2016</v>
      </c>
      <c r="D46" s="560" t="n">
        <v>42422</v>
      </c>
      <c r="E46" s="559" t="s">
        <v>11654</v>
      </c>
      <c r="F46" s="559" t="s">
        <v>3190</v>
      </c>
      <c r="G46" s="559" t="s">
        <v>1174</v>
      </c>
      <c r="H46" s="559" t="s">
        <v>1571</v>
      </c>
      <c r="I46" s="560" t="n">
        <v>43910</v>
      </c>
      <c r="J46" s="559" t="n">
        <v>3</v>
      </c>
      <c r="K46" s="561" t="s">
        <v>53</v>
      </c>
      <c r="L46" s="559" t="s">
        <v>60</v>
      </c>
      <c r="M46" s="545" t="n">
        <f aca="false">I46-D46</f>
        <v>1488</v>
      </c>
      <c r="N46" s="153"/>
      <c r="O46" s="309" t="s">
        <v>100</v>
      </c>
      <c r="P46" s="416" t="s">
        <v>40</v>
      </c>
      <c r="Q46" s="416"/>
      <c r="R46" s="416"/>
      <c r="S46" s="313" t="s">
        <v>41</v>
      </c>
    </row>
    <row r="47" customFormat="false" ht="15" hidden="false" customHeight="true" outlineLevel="0" collapsed="false">
      <c r="A47" s="562" t="s">
        <v>11655</v>
      </c>
      <c r="B47" s="563" t="s">
        <v>11656</v>
      </c>
      <c r="C47" s="563" t="n">
        <v>2016</v>
      </c>
      <c r="D47" s="564" t="n">
        <v>42450</v>
      </c>
      <c r="E47" s="563" t="s">
        <v>11657</v>
      </c>
      <c r="F47" s="563" t="s">
        <v>3190</v>
      </c>
      <c r="G47" s="563" t="s">
        <v>1174</v>
      </c>
      <c r="H47" s="563" t="s">
        <v>11658</v>
      </c>
      <c r="I47" s="564" t="n">
        <v>43910</v>
      </c>
      <c r="J47" s="563" t="n">
        <v>3</v>
      </c>
      <c r="K47" s="561" t="s">
        <v>53</v>
      </c>
      <c r="L47" s="563" t="s">
        <v>60</v>
      </c>
      <c r="M47" s="546" t="n">
        <f aca="false">I47-D47</f>
        <v>1460</v>
      </c>
      <c r="N47" s="153"/>
      <c r="O47" s="314" t="s">
        <v>63</v>
      </c>
      <c r="P47" s="314" t="n">
        <f aca="false">COUNTIF($J$2:$J$495,"1")</f>
        <v>23</v>
      </c>
      <c r="Q47" s="314"/>
      <c r="R47" s="314"/>
      <c r="S47" s="469" t="n">
        <f aca="false">(P47/P59)</f>
        <v>0.0466531440162272</v>
      </c>
    </row>
    <row r="48" customFormat="false" ht="15" hidden="false" customHeight="true" outlineLevel="0" collapsed="false">
      <c r="A48" s="558" t="s">
        <v>11659</v>
      </c>
      <c r="B48" s="559" t="s">
        <v>11660</v>
      </c>
      <c r="C48" s="559" t="n">
        <v>2016</v>
      </c>
      <c r="D48" s="560" t="n">
        <v>42577</v>
      </c>
      <c r="E48" s="559" t="s">
        <v>11661</v>
      </c>
      <c r="F48" s="559" t="s">
        <v>3190</v>
      </c>
      <c r="G48" s="559" t="s">
        <v>1174</v>
      </c>
      <c r="H48" s="559" t="s">
        <v>706</v>
      </c>
      <c r="I48" s="560" t="n">
        <v>43910</v>
      </c>
      <c r="J48" s="559" t="n">
        <v>3</v>
      </c>
      <c r="K48" s="561" t="s">
        <v>53</v>
      </c>
      <c r="L48" s="559" t="s">
        <v>60</v>
      </c>
      <c r="M48" s="545" t="n">
        <f aca="false">I48-D48</f>
        <v>1333</v>
      </c>
      <c r="N48" s="153"/>
      <c r="O48" s="282" t="s">
        <v>64</v>
      </c>
      <c r="P48" s="282" t="n">
        <f aca="false">COUNTIF($J$2:$J$495,"2")</f>
        <v>35</v>
      </c>
      <c r="Q48" s="282"/>
      <c r="R48" s="282"/>
      <c r="S48" s="316" t="n">
        <f aca="false">(P48/P59)</f>
        <v>0.0709939148073022</v>
      </c>
    </row>
    <row r="49" customFormat="false" ht="15" hidden="false" customHeight="true" outlineLevel="0" collapsed="false">
      <c r="A49" s="562" t="s">
        <v>11662</v>
      </c>
      <c r="B49" s="563" t="s">
        <v>11663</v>
      </c>
      <c r="C49" s="563" t="n">
        <v>2016</v>
      </c>
      <c r="D49" s="564" t="n">
        <v>42585</v>
      </c>
      <c r="E49" s="563" t="s">
        <v>11664</v>
      </c>
      <c r="F49" s="563" t="s">
        <v>3190</v>
      </c>
      <c r="G49" s="563" t="s">
        <v>1174</v>
      </c>
      <c r="H49" s="563" t="s">
        <v>693</v>
      </c>
      <c r="I49" s="564" t="n">
        <v>43910</v>
      </c>
      <c r="J49" s="563" t="n">
        <v>3</v>
      </c>
      <c r="K49" s="561" t="s">
        <v>53</v>
      </c>
      <c r="L49" s="563" t="s">
        <v>60</v>
      </c>
      <c r="M49" s="546" t="n">
        <f aca="false">I49-D49</f>
        <v>1325</v>
      </c>
      <c r="N49" s="153"/>
      <c r="O49" s="283" t="s">
        <v>66</v>
      </c>
      <c r="P49" s="283" t="n">
        <f aca="false">COUNTIF($J$2:$J$495,"3")</f>
        <v>53</v>
      </c>
      <c r="Q49" s="283"/>
      <c r="R49" s="283"/>
      <c r="S49" s="315" t="n">
        <f aca="false">(P49/P59)</f>
        <v>0.107505070993915</v>
      </c>
      <c r="T49" s="153"/>
    </row>
    <row r="50" customFormat="false" ht="15" hidden="false" customHeight="true" outlineLevel="0" collapsed="false">
      <c r="A50" s="558" t="s">
        <v>11665</v>
      </c>
      <c r="B50" s="559" t="s">
        <v>11666</v>
      </c>
      <c r="C50" s="559" t="n">
        <v>2016</v>
      </c>
      <c r="D50" s="560" t="n">
        <v>42674</v>
      </c>
      <c r="E50" s="559" t="s">
        <v>11667</v>
      </c>
      <c r="F50" s="559" t="s">
        <v>3190</v>
      </c>
      <c r="G50" s="559" t="s">
        <v>1174</v>
      </c>
      <c r="H50" s="559" t="s">
        <v>2677</v>
      </c>
      <c r="I50" s="560" t="n">
        <v>43910</v>
      </c>
      <c r="J50" s="559" t="n">
        <v>3</v>
      </c>
      <c r="K50" s="561" t="s">
        <v>53</v>
      </c>
      <c r="L50" s="559" t="s">
        <v>60</v>
      </c>
      <c r="M50" s="545" t="n">
        <f aca="false">I50-D50</f>
        <v>1236</v>
      </c>
      <c r="N50" s="153"/>
      <c r="O50" s="282" t="s">
        <v>67</v>
      </c>
      <c r="P50" s="282" t="n">
        <f aca="false">COUNTIF($J$2:$J$495,"4")</f>
        <v>38</v>
      </c>
      <c r="Q50" s="282"/>
      <c r="R50" s="282"/>
      <c r="S50" s="316" t="n">
        <f aca="false">(P50/P59)</f>
        <v>0.077079107505071</v>
      </c>
      <c r="T50" s="153"/>
    </row>
    <row r="51" customFormat="false" ht="15" hidden="false" customHeight="true" outlineLevel="0" collapsed="false">
      <c r="A51" s="562" t="s">
        <v>11668</v>
      </c>
      <c r="B51" s="563" t="s">
        <v>11669</v>
      </c>
      <c r="C51" s="563" t="n">
        <v>2018</v>
      </c>
      <c r="D51" s="564" t="n">
        <v>43293</v>
      </c>
      <c r="E51" s="563" t="s">
        <v>11670</v>
      </c>
      <c r="F51" s="563" t="s">
        <v>3190</v>
      </c>
      <c r="G51" s="563" t="s">
        <v>1174</v>
      </c>
      <c r="H51" s="563" t="s">
        <v>409</v>
      </c>
      <c r="I51" s="564" t="n">
        <v>43910</v>
      </c>
      <c r="J51" s="563" t="n">
        <v>3</v>
      </c>
      <c r="K51" s="561" t="s">
        <v>53</v>
      </c>
      <c r="L51" s="563" t="s">
        <v>60</v>
      </c>
      <c r="M51" s="546" t="n">
        <f aca="false">I51-D51</f>
        <v>617</v>
      </c>
      <c r="N51" s="153"/>
      <c r="O51" s="283" t="s">
        <v>68</v>
      </c>
      <c r="P51" s="283" t="n">
        <f aca="false">COUNTIF($J$2:$J$4956,"5")</f>
        <v>28</v>
      </c>
      <c r="Q51" s="283"/>
      <c r="R51" s="283"/>
      <c r="S51" s="315" t="n">
        <f aca="false">(P51/P59)</f>
        <v>0.0567951318458418</v>
      </c>
      <c r="T51" s="153"/>
    </row>
    <row r="52" customFormat="false" ht="15" hidden="false" customHeight="true" outlineLevel="0" collapsed="false">
      <c r="A52" s="558" t="s">
        <v>11671</v>
      </c>
      <c r="B52" s="559" t="s">
        <v>11672</v>
      </c>
      <c r="C52" s="559" t="n">
        <v>2012</v>
      </c>
      <c r="D52" s="560" t="n">
        <v>41201</v>
      </c>
      <c r="E52" s="559" t="s">
        <v>11673</v>
      </c>
      <c r="F52" s="559" t="s">
        <v>207</v>
      </c>
      <c r="G52" s="559" t="s">
        <v>1174</v>
      </c>
      <c r="H52" s="559" t="s">
        <v>2147</v>
      </c>
      <c r="I52" s="560" t="n">
        <v>43923</v>
      </c>
      <c r="J52" s="559" t="n">
        <v>4</v>
      </c>
      <c r="K52" s="561" t="s">
        <v>53</v>
      </c>
      <c r="L52" s="559" t="s">
        <v>58</v>
      </c>
      <c r="M52" s="545" t="n">
        <f aca="false">I52-D52</f>
        <v>2722</v>
      </c>
      <c r="N52" s="153"/>
      <c r="O52" s="282" t="s">
        <v>70</v>
      </c>
      <c r="P52" s="282" t="n">
        <f aca="false">COUNTIF($J$2:$J$4956,"6")</f>
        <v>23</v>
      </c>
      <c r="Q52" s="282"/>
      <c r="R52" s="282"/>
      <c r="S52" s="316" t="n">
        <f aca="false">(P52/P59)</f>
        <v>0.0466531440162272</v>
      </c>
      <c r="T52" s="153"/>
    </row>
    <row r="53" customFormat="false" ht="15" hidden="false" customHeight="true" outlineLevel="0" collapsed="false">
      <c r="A53" s="562" t="s">
        <v>11674</v>
      </c>
      <c r="B53" s="563" t="s">
        <v>11675</v>
      </c>
      <c r="C53" s="563" t="n">
        <v>2013</v>
      </c>
      <c r="D53" s="564" t="n">
        <v>41295</v>
      </c>
      <c r="E53" s="563" t="s">
        <v>11676</v>
      </c>
      <c r="F53" s="563" t="s">
        <v>793</v>
      </c>
      <c r="G53" s="563" t="s">
        <v>1174</v>
      </c>
      <c r="H53" s="563" t="s">
        <v>1567</v>
      </c>
      <c r="I53" s="564" t="n">
        <v>43923</v>
      </c>
      <c r="J53" s="563" t="n">
        <v>4</v>
      </c>
      <c r="K53" s="561" t="s">
        <v>53</v>
      </c>
      <c r="L53" s="563" t="s">
        <v>58</v>
      </c>
      <c r="M53" s="546" t="n">
        <f aca="false">I53-D53</f>
        <v>2628</v>
      </c>
      <c r="N53" s="153"/>
      <c r="O53" s="283" t="s">
        <v>72</v>
      </c>
      <c r="P53" s="283" t="n">
        <f aca="false">COUNTIF($J$2:$J$495,"7")</f>
        <v>51</v>
      </c>
      <c r="Q53" s="283"/>
      <c r="R53" s="283"/>
      <c r="S53" s="315" t="n">
        <f aca="false">(P53/P59)</f>
        <v>0.103448275862069</v>
      </c>
      <c r="T53" s="153"/>
    </row>
    <row r="54" customFormat="false" ht="15" hidden="false" customHeight="true" outlineLevel="0" collapsed="false">
      <c r="A54" s="558" t="s">
        <v>11677</v>
      </c>
      <c r="B54" s="559" t="s">
        <v>11678</v>
      </c>
      <c r="C54" s="559" t="n">
        <v>2013</v>
      </c>
      <c r="D54" s="560" t="n">
        <v>41547</v>
      </c>
      <c r="E54" s="559" t="s">
        <v>11679</v>
      </c>
      <c r="F54" s="559" t="s">
        <v>793</v>
      </c>
      <c r="G54" s="559" t="s">
        <v>1174</v>
      </c>
      <c r="H54" s="559" t="s">
        <v>350</v>
      </c>
      <c r="I54" s="560" t="n">
        <v>43923</v>
      </c>
      <c r="J54" s="559" t="n">
        <v>4</v>
      </c>
      <c r="K54" s="561" t="s">
        <v>53</v>
      </c>
      <c r="L54" s="559" t="s">
        <v>58</v>
      </c>
      <c r="M54" s="545" t="n">
        <f aca="false">I54-D54</f>
        <v>2376</v>
      </c>
      <c r="N54" s="160"/>
      <c r="O54" s="282" t="s">
        <v>74</v>
      </c>
      <c r="P54" s="282" t="n">
        <f aca="false">COUNTIF($J$2:$J$4956,"8")</f>
        <v>44</v>
      </c>
      <c r="Q54" s="282"/>
      <c r="R54" s="282"/>
      <c r="S54" s="316" t="n">
        <f aca="false">(P54/P59)</f>
        <v>0.0892494929006085</v>
      </c>
      <c r="T54" s="153"/>
    </row>
    <row r="55" customFormat="false" ht="15" hidden="false" customHeight="true" outlineLevel="0" collapsed="false">
      <c r="A55" s="562" t="s">
        <v>11680</v>
      </c>
      <c r="B55" s="563" t="s">
        <v>11681</v>
      </c>
      <c r="C55" s="563" t="n">
        <v>2016</v>
      </c>
      <c r="D55" s="564" t="n">
        <v>42461</v>
      </c>
      <c r="E55" s="563" t="s">
        <v>11682</v>
      </c>
      <c r="F55" s="563" t="s">
        <v>793</v>
      </c>
      <c r="G55" s="563" t="s">
        <v>1174</v>
      </c>
      <c r="H55" s="563" t="s">
        <v>192</v>
      </c>
      <c r="I55" s="564" t="n">
        <v>43923</v>
      </c>
      <c r="J55" s="563" t="n">
        <v>4</v>
      </c>
      <c r="K55" s="561" t="s">
        <v>53</v>
      </c>
      <c r="L55" s="563" t="s">
        <v>58</v>
      </c>
      <c r="M55" s="546" t="n">
        <f aca="false">I55-D55</f>
        <v>1462</v>
      </c>
      <c r="N55" s="153"/>
      <c r="O55" s="283" t="s">
        <v>76</v>
      </c>
      <c r="P55" s="283" t="n">
        <f aca="false">COUNTIF($J$2:$J$495,"9")</f>
        <v>21</v>
      </c>
      <c r="Q55" s="283"/>
      <c r="R55" s="283"/>
      <c r="S55" s="315" t="n">
        <f aca="false">(P55/P59)</f>
        <v>0.0425963488843813</v>
      </c>
      <c r="T55" s="153"/>
    </row>
    <row r="56" customFormat="false" ht="15" hidden="false" customHeight="true" outlineLevel="0" collapsed="false">
      <c r="A56" s="558" t="s">
        <v>11683</v>
      </c>
      <c r="B56" s="559" t="s">
        <v>11684</v>
      </c>
      <c r="C56" s="559" t="n">
        <v>2013</v>
      </c>
      <c r="D56" s="560" t="n">
        <v>41558</v>
      </c>
      <c r="E56" s="559" t="s">
        <v>11685</v>
      </c>
      <c r="F56" s="559" t="s">
        <v>4956</v>
      </c>
      <c r="G56" s="559" t="s">
        <v>1174</v>
      </c>
      <c r="H56" s="559" t="s">
        <v>522</v>
      </c>
      <c r="I56" s="560" t="n">
        <v>43923</v>
      </c>
      <c r="J56" s="559" t="n">
        <v>4</v>
      </c>
      <c r="K56" s="561" t="s">
        <v>53</v>
      </c>
      <c r="L56" s="559" t="s">
        <v>58</v>
      </c>
      <c r="M56" s="545" t="n">
        <f aca="false">I56-D56</f>
        <v>2365</v>
      </c>
      <c r="N56" s="153"/>
      <c r="O56" s="282" t="s">
        <v>78</v>
      </c>
      <c r="P56" s="282" t="n">
        <f aca="false">COUNTIF($J$2:$J$4956,"10")</f>
        <v>36</v>
      </c>
      <c r="Q56" s="282"/>
      <c r="R56" s="282"/>
      <c r="S56" s="316" t="n">
        <f aca="false">(P56/P59)</f>
        <v>0.0730223123732252</v>
      </c>
      <c r="T56" s="153"/>
    </row>
    <row r="57" customFormat="false" ht="15" hidden="false" customHeight="true" outlineLevel="0" collapsed="false">
      <c r="A57" s="562" t="s">
        <v>11686</v>
      </c>
      <c r="B57" s="563" t="s">
        <v>11687</v>
      </c>
      <c r="C57" s="563" t="n">
        <v>2015</v>
      </c>
      <c r="D57" s="564" t="n">
        <v>42241</v>
      </c>
      <c r="E57" s="563" t="s">
        <v>11688</v>
      </c>
      <c r="F57" s="563" t="s">
        <v>1527</v>
      </c>
      <c r="G57" s="563" t="s">
        <v>1174</v>
      </c>
      <c r="H57" s="563" t="s">
        <v>267</v>
      </c>
      <c r="I57" s="564" t="n">
        <v>43923</v>
      </c>
      <c r="J57" s="563" t="n">
        <v>4</v>
      </c>
      <c r="K57" s="561" t="s">
        <v>53</v>
      </c>
      <c r="L57" s="563" t="s">
        <v>58</v>
      </c>
      <c r="M57" s="546" t="n">
        <f aca="false">I57-D57</f>
        <v>1682</v>
      </c>
      <c r="N57" s="153"/>
      <c r="O57" s="283" t="s">
        <v>80</v>
      </c>
      <c r="P57" s="283" t="n">
        <f aca="false">COUNTIF($J$2:$J$495,"11")</f>
        <v>59</v>
      </c>
      <c r="Q57" s="283"/>
      <c r="R57" s="283"/>
      <c r="S57" s="315" t="n">
        <f aca="false">(P57/P59)</f>
        <v>0.119675456389452</v>
      </c>
      <c r="T57" s="153"/>
    </row>
    <row r="58" customFormat="false" ht="15" hidden="false" customHeight="true" outlineLevel="0" collapsed="false">
      <c r="A58" s="558" t="s">
        <v>11689</v>
      </c>
      <c r="B58" s="559" t="s">
        <v>11690</v>
      </c>
      <c r="C58" s="559" t="n">
        <v>2015</v>
      </c>
      <c r="D58" s="560" t="n">
        <v>42258</v>
      </c>
      <c r="E58" s="559" t="s">
        <v>11691</v>
      </c>
      <c r="F58" s="559" t="s">
        <v>1527</v>
      </c>
      <c r="G58" s="559" t="s">
        <v>1174</v>
      </c>
      <c r="H58" s="559" t="s">
        <v>2647</v>
      </c>
      <c r="I58" s="560" t="n">
        <v>43923</v>
      </c>
      <c r="J58" s="559" t="n">
        <v>4</v>
      </c>
      <c r="K58" s="561" t="s">
        <v>53</v>
      </c>
      <c r="L58" s="559" t="s">
        <v>58</v>
      </c>
      <c r="M58" s="545" t="n">
        <f aca="false">I58-D58</f>
        <v>1665</v>
      </c>
      <c r="N58" s="153"/>
      <c r="O58" s="336" t="s">
        <v>82</v>
      </c>
      <c r="P58" s="282" t="n">
        <f aca="false">COUNTIF($J$2:$J$495,"12")</f>
        <v>82</v>
      </c>
      <c r="Q58" s="282"/>
      <c r="R58" s="282"/>
      <c r="S58" s="470" t="n">
        <f aca="false">(P58/P59)</f>
        <v>0.16632860040568</v>
      </c>
      <c r="T58" s="153"/>
    </row>
    <row r="59" customFormat="false" ht="15" hidden="false" customHeight="true" outlineLevel="0" collapsed="false">
      <c r="A59" s="562" t="s">
        <v>11692</v>
      </c>
      <c r="B59" s="563" t="s">
        <v>11693</v>
      </c>
      <c r="C59" s="563" t="n">
        <v>2016</v>
      </c>
      <c r="D59" s="564" t="n">
        <v>42503</v>
      </c>
      <c r="E59" s="563" t="s">
        <v>11694</v>
      </c>
      <c r="F59" s="563" t="s">
        <v>1527</v>
      </c>
      <c r="G59" s="563" t="s">
        <v>1174</v>
      </c>
      <c r="H59" s="563" t="s">
        <v>354</v>
      </c>
      <c r="I59" s="564" t="n">
        <v>43923</v>
      </c>
      <c r="J59" s="563" t="n">
        <v>4</v>
      </c>
      <c r="K59" s="561" t="s">
        <v>53</v>
      </c>
      <c r="L59" s="563" t="s">
        <v>58</v>
      </c>
      <c r="M59" s="546" t="n">
        <f aca="false">I59-D59</f>
        <v>1420</v>
      </c>
      <c r="N59" s="153"/>
      <c r="O59" s="323" t="s">
        <v>54</v>
      </c>
      <c r="P59" s="418" t="n">
        <f aca="false">SUM(P47:R58)</f>
        <v>493</v>
      </c>
      <c r="Q59" s="418"/>
      <c r="R59" s="418"/>
      <c r="S59" s="325" t="n">
        <f aca="false">SUM(S47:S58)</f>
        <v>1</v>
      </c>
      <c r="T59" s="153"/>
    </row>
    <row r="60" customFormat="false" ht="15" hidden="false" customHeight="true" outlineLevel="0" collapsed="false">
      <c r="A60" s="558" t="s">
        <v>11695</v>
      </c>
      <c r="B60" s="559" t="s">
        <v>11696</v>
      </c>
      <c r="C60" s="559" t="n">
        <v>2016</v>
      </c>
      <c r="D60" s="560" t="n">
        <v>42688</v>
      </c>
      <c r="E60" s="559" t="s">
        <v>11697</v>
      </c>
      <c r="F60" s="559" t="s">
        <v>1527</v>
      </c>
      <c r="G60" s="559" t="s">
        <v>1174</v>
      </c>
      <c r="H60" s="559" t="s">
        <v>184</v>
      </c>
      <c r="I60" s="560" t="n">
        <v>43923</v>
      </c>
      <c r="J60" s="559" t="n">
        <v>4</v>
      </c>
      <c r="K60" s="561" t="s">
        <v>53</v>
      </c>
      <c r="L60" s="559" t="s">
        <v>58</v>
      </c>
      <c r="M60" s="545" t="n">
        <f aca="false">I60-D60</f>
        <v>1235</v>
      </c>
      <c r="N60" s="153"/>
      <c r="O60" s="153"/>
      <c r="P60" s="153"/>
      <c r="Q60" s="153"/>
      <c r="R60" s="153"/>
      <c r="S60" s="153"/>
      <c r="T60" s="153"/>
    </row>
    <row r="61" customFormat="false" ht="15" hidden="false" customHeight="true" outlineLevel="0" collapsed="false">
      <c r="A61" s="562" t="s">
        <v>11698</v>
      </c>
      <c r="B61" s="563" t="s">
        <v>11699</v>
      </c>
      <c r="C61" s="563" t="n">
        <v>2018</v>
      </c>
      <c r="D61" s="564" t="n">
        <v>43299</v>
      </c>
      <c r="E61" s="563" t="s">
        <v>11700</v>
      </c>
      <c r="F61" s="563" t="s">
        <v>1527</v>
      </c>
      <c r="G61" s="563" t="s">
        <v>1174</v>
      </c>
      <c r="H61" s="563" t="s">
        <v>192</v>
      </c>
      <c r="I61" s="564" t="n">
        <v>43923</v>
      </c>
      <c r="J61" s="563" t="n">
        <v>4</v>
      </c>
      <c r="K61" s="561" t="s">
        <v>53</v>
      </c>
      <c r="L61" s="563" t="s">
        <v>58</v>
      </c>
      <c r="M61" s="546" t="n">
        <f aca="false">I61-D61</f>
        <v>624</v>
      </c>
      <c r="N61" s="153"/>
      <c r="O61" s="339" t="s">
        <v>335</v>
      </c>
      <c r="P61" s="339"/>
      <c r="Q61" s="339"/>
      <c r="R61" s="339"/>
      <c r="S61" s="339"/>
      <c r="T61" s="339"/>
    </row>
    <row r="62" customFormat="false" ht="15" hidden="false" customHeight="true" outlineLevel="0" collapsed="false">
      <c r="A62" s="558" t="s">
        <v>11701</v>
      </c>
      <c r="B62" s="559" t="s">
        <v>11702</v>
      </c>
      <c r="C62" s="559" t="n">
        <v>2018</v>
      </c>
      <c r="D62" s="560" t="n">
        <v>43418</v>
      </c>
      <c r="E62" s="559" t="s">
        <v>11703</v>
      </c>
      <c r="F62" s="559" t="s">
        <v>2003</v>
      </c>
      <c r="G62" s="559" t="s">
        <v>1174</v>
      </c>
      <c r="H62" s="559" t="s">
        <v>471</v>
      </c>
      <c r="I62" s="560" t="n">
        <v>43923</v>
      </c>
      <c r="J62" s="559" t="n">
        <v>4</v>
      </c>
      <c r="K62" s="561" t="s">
        <v>53</v>
      </c>
      <c r="L62" s="559" t="s">
        <v>58</v>
      </c>
      <c r="M62" s="545" t="n">
        <f aca="false">I62-D62</f>
        <v>505</v>
      </c>
      <c r="N62" s="153"/>
      <c r="O62" s="339"/>
      <c r="P62" s="339"/>
      <c r="Q62" s="339"/>
      <c r="R62" s="339"/>
      <c r="S62" s="339"/>
      <c r="T62" s="339"/>
    </row>
    <row r="63" customFormat="false" ht="15" hidden="false" customHeight="true" outlineLevel="0" collapsed="false">
      <c r="A63" s="562" t="s">
        <v>11704</v>
      </c>
      <c r="B63" s="563" t="s">
        <v>11705</v>
      </c>
      <c r="C63" s="563" t="n">
        <v>2018</v>
      </c>
      <c r="D63" s="564" t="n">
        <v>43305</v>
      </c>
      <c r="E63" s="563" t="s">
        <v>11706</v>
      </c>
      <c r="F63" s="563" t="s">
        <v>379</v>
      </c>
      <c r="G63" s="563" t="s">
        <v>1174</v>
      </c>
      <c r="H63" s="563" t="s">
        <v>350</v>
      </c>
      <c r="I63" s="564" t="n">
        <v>43923</v>
      </c>
      <c r="J63" s="563" t="n">
        <v>4</v>
      </c>
      <c r="K63" s="561" t="s">
        <v>53</v>
      </c>
      <c r="L63" s="563" t="s">
        <v>58</v>
      </c>
      <c r="M63" s="546" t="n">
        <f aca="false">I63-D63</f>
        <v>618</v>
      </c>
      <c r="N63" s="160"/>
      <c r="O63" s="340" t="s">
        <v>38</v>
      </c>
      <c r="P63" s="340"/>
      <c r="Q63" s="340"/>
      <c r="R63" s="340"/>
      <c r="S63" s="341" t="s">
        <v>343</v>
      </c>
      <c r="T63" s="342" t="s">
        <v>41</v>
      </c>
    </row>
    <row r="64" customFormat="false" ht="15" hidden="false" customHeight="true" outlineLevel="0" collapsed="false">
      <c r="A64" s="558" t="s">
        <v>11707</v>
      </c>
      <c r="B64" s="559" t="s">
        <v>11708</v>
      </c>
      <c r="C64" s="559" t="n">
        <v>2018</v>
      </c>
      <c r="D64" s="560" t="n">
        <v>43362</v>
      </c>
      <c r="E64" s="559" t="s">
        <v>11709</v>
      </c>
      <c r="F64" s="559" t="s">
        <v>2151</v>
      </c>
      <c r="G64" s="559" t="s">
        <v>1174</v>
      </c>
      <c r="H64" s="559" t="s">
        <v>192</v>
      </c>
      <c r="I64" s="560" t="n">
        <v>43923</v>
      </c>
      <c r="J64" s="559" t="n">
        <v>4</v>
      </c>
      <c r="K64" s="561" t="s">
        <v>53</v>
      </c>
      <c r="L64" s="559" t="s">
        <v>60</v>
      </c>
      <c r="M64" s="545" t="n">
        <f aca="false">I64-D64</f>
        <v>561</v>
      </c>
      <c r="N64" s="153"/>
      <c r="O64" s="471" t="s">
        <v>42</v>
      </c>
      <c r="P64" s="471"/>
      <c r="Q64" s="471"/>
      <c r="R64" s="471"/>
      <c r="S64" s="471" t="n">
        <f aca="false">COUNTIF($K$2:$K$495,"I - Extremamente tóxico")</f>
        <v>1</v>
      </c>
      <c r="T64" s="472" t="n">
        <f aca="false">(S64/S76)</f>
        <v>0.00202839756592292</v>
      </c>
    </row>
    <row r="65" customFormat="false" ht="15" hidden="false" customHeight="true" outlineLevel="0" collapsed="false">
      <c r="A65" s="562" t="s">
        <v>11710</v>
      </c>
      <c r="B65" s="563" t="s">
        <v>11711</v>
      </c>
      <c r="C65" s="563" t="n">
        <v>2019</v>
      </c>
      <c r="D65" s="564" t="n">
        <v>43553</v>
      </c>
      <c r="E65" s="563" t="s">
        <v>11712</v>
      </c>
      <c r="F65" s="563" t="s">
        <v>176</v>
      </c>
      <c r="G65" s="563" t="s">
        <v>1174</v>
      </c>
      <c r="H65" s="563" t="s">
        <v>522</v>
      </c>
      <c r="I65" s="564" t="n">
        <v>43923</v>
      </c>
      <c r="J65" s="563" t="n">
        <v>4</v>
      </c>
      <c r="K65" s="561" t="s">
        <v>53</v>
      </c>
      <c r="L65" s="563" t="s">
        <v>60</v>
      </c>
      <c r="M65" s="546" t="n">
        <f aca="false">I65-D65</f>
        <v>370</v>
      </c>
      <c r="N65" s="153"/>
      <c r="O65" s="345" t="s">
        <v>43</v>
      </c>
      <c r="P65" s="345"/>
      <c r="Q65" s="345"/>
      <c r="R65" s="345"/>
      <c r="S65" s="345" t="n">
        <f aca="false">COUNTIF($K$2:$K$495,"Categoria 1 - Produto Extremamente Tóxico")</f>
        <v>1</v>
      </c>
      <c r="T65" s="473" t="n">
        <f aca="false">(S65/S76)</f>
        <v>0.00202839756592292</v>
      </c>
    </row>
    <row r="66" customFormat="false" ht="15" hidden="false" customHeight="true" outlineLevel="0" collapsed="false">
      <c r="A66" s="558" t="s">
        <v>11713</v>
      </c>
      <c r="B66" s="559" t="s">
        <v>11714</v>
      </c>
      <c r="C66" s="559" t="n">
        <v>2018</v>
      </c>
      <c r="D66" s="560" t="n">
        <v>43217</v>
      </c>
      <c r="E66" s="559" t="s">
        <v>11715</v>
      </c>
      <c r="F66" s="559" t="s">
        <v>123</v>
      </c>
      <c r="G66" s="559" t="s">
        <v>1174</v>
      </c>
      <c r="H66" s="559" t="s">
        <v>706</v>
      </c>
      <c r="I66" s="560" t="n">
        <v>43927</v>
      </c>
      <c r="J66" s="559" t="n">
        <v>4</v>
      </c>
      <c r="K66" s="561" t="s">
        <v>53</v>
      </c>
      <c r="L66" s="559" t="s">
        <v>58</v>
      </c>
      <c r="M66" s="545" t="n">
        <f aca="false">I66-D66</f>
        <v>710</v>
      </c>
      <c r="N66" s="153"/>
      <c r="O66" s="345" t="s">
        <v>44</v>
      </c>
      <c r="P66" s="345"/>
      <c r="Q66" s="345"/>
      <c r="R66" s="345"/>
      <c r="S66" s="345" t="n">
        <f aca="false">COUNTIF($K$2:$K$495,"Categoria 2 - Produto Altamente Tóxico")</f>
        <v>13</v>
      </c>
      <c r="T66" s="473" t="n">
        <f aca="false">(S66/S76)</f>
        <v>0.026369168356998</v>
      </c>
    </row>
    <row r="67" customFormat="false" ht="15" hidden="false" customHeight="true" outlineLevel="0" collapsed="false">
      <c r="A67" s="562" t="s">
        <v>11716</v>
      </c>
      <c r="B67" s="563" t="s">
        <v>11717</v>
      </c>
      <c r="C67" s="563" t="n">
        <v>2018</v>
      </c>
      <c r="D67" s="564" t="n">
        <v>43272</v>
      </c>
      <c r="E67" s="563" t="s">
        <v>11718</v>
      </c>
      <c r="F67" s="563" t="s">
        <v>123</v>
      </c>
      <c r="G67" s="563" t="s">
        <v>1174</v>
      </c>
      <c r="H67" s="563" t="s">
        <v>706</v>
      </c>
      <c r="I67" s="564" t="n">
        <v>43927</v>
      </c>
      <c r="J67" s="563" t="n">
        <v>4</v>
      </c>
      <c r="K67" s="561" t="s">
        <v>53</v>
      </c>
      <c r="L67" s="563" t="s">
        <v>58</v>
      </c>
      <c r="M67" s="546" t="n">
        <f aca="false">I67-D67</f>
        <v>655</v>
      </c>
      <c r="N67" s="153"/>
      <c r="O67" s="349" t="s">
        <v>45</v>
      </c>
      <c r="P67" s="349"/>
      <c r="Q67" s="349"/>
      <c r="R67" s="349"/>
      <c r="S67" s="349" t="n">
        <f aca="false">COUNTIF($K$2:$K$495,"II - Altamente tóxico")</f>
        <v>1</v>
      </c>
      <c r="T67" s="474" t="n">
        <f aca="false">(S67/S76)</f>
        <v>0.00202839756592292</v>
      </c>
    </row>
    <row r="68" customFormat="false" ht="15" hidden="false" customHeight="true" outlineLevel="0" collapsed="false">
      <c r="A68" s="558" t="s">
        <v>11719</v>
      </c>
      <c r="B68" s="559" t="s">
        <v>11720</v>
      </c>
      <c r="C68" s="559" t="n">
        <v>2014</v>
      </c>
      <c r="D68" s="560" t="n">
        <v>41944</v>
      </c>
      <c r="E68" s="559" t="s">
        <v>11721</v>
      </c>
      <c r="F68" s="559" t="s">
        <v>123</v>
      </c>
      <c r="G68" s="559" t="s">
        <v>1174</v>
      </c>
      <c r="H68" s="559" t="s">
        <v>522</v>
      </c>
      <c r="I68" s="560" t="n">
        <v>43969</v>
      </c>
      <c r="J68" s="559" t="n">
        <v>5</v>
      </c>
      <c r="K68" s="561" t="s">
        <v>53</v>
      </c>
      <c r="L68" s="559" t="s">
        <v>58</v>
      </c>
      <c r="M68" s="545" t="n">
        <f aca="false">I68-D68</f>
        <v>2025</v>
      </c>
      <c r="N68" s="153"/>
      <c r="O68" s="349" t="s">
        <v>46</v>
      </c>
      <c r="P68" s="349"/>
      <c r="Q68" s="349"/>
      <c r="R68" s="349"/>
      <c r="S68" s="349" t="n">
        <f aca="false">COUNTIF($K$2:$K$495,"Categoria 3 - Produto Moderadamente Tóxico")</f>
        <v>9</v>
      </c>
      <c r="T68" s="474" t="n">
        <f aca="false">(S68/S76)</f>
        <v>0.0182555780933063</v>
      </c>
    </row>
    <row r="69" customFormat="false" ht="15" hidden="false" customHeight="true" outlineLevel="0" collapsed="false">
      <c r="A69" s="562" t="s">
        <v>11722</v>
      </c>
      <c r="B69" s="563" t="s">
        <v>11723</v>
      </c>
      <c r="C69" s="563" t="n">
        <v>2016</v>
      </c>
      <c r="D69" s="564" t="n">
        <v>42643</v>
      </c>
      <c r="E69" s="563" t="s">
        <v>11724</v>
      </c>
      <c r="F69" s="563" t="s">
        <v>123</v>
      </c>
      <c r="G69" s="563" t="s">
        <v>1174</v>
      </c>
      <c r="H69" s="563" t="s">
        <v>354</v>
      </c>
      <c r="I69" s="564" t="n">
        <v>43969</v>
      </c>
      <c r="J69" s="563" t="n">
        <v>5</v>
      </c>
      <c r="K69" s="561" t="s">
        <v>53</v>
      </c>
      <c r="L69" s="563" t="s">
        <v>58</v>
      </c>
      <c r="M69" s="546" t="n">
        <f aca="false">I69-D69</f>
        <v>1326</v>
      </c>
      <c r="N69" s="153"/>
      <c r="O69" s="351" t="s">
        <v>47</v>
      </c>
      <c r="P69" s="351"/>
      <c r="Q69" s="351"/>
      <c r="R69" s="351"/>
      <c r="S69" s="351" t="n">
        <f aca="false">COUNTIF($K$2:$K$495,"III - Medianamente tóxico")</f>
        <v>5</v>
      </c>
      <c r="T69" s="475" t="n">
        <f aca="false">(S69/S76)</f>
        <v>0.0101419878296146</v>
      </c>
    </row>
    <row r="70" customFormat="false" ht="15" hidden="false" customHeight="true" outlineLevel="0" collapsed="false">
      <c r="A70" s="558" t="s">
        <v>11725</v>
      </c>
      <c r="B70" s="559" t="s">
        <v>11726</v>
      </c>
      <c r="C70" s="559" t="n">
        <v>2016</v>
      </c>
      <c r="D70" s="560" t="n">
        <v>42718</v>
      </c>
      <c r="E70" s="559" t="s">
        <v>11727</v>
      </c>
      <c r="F70" s="559" t="s">
        <v>123</v>
      </c>
      <c r="G70" s="559" t="s">
        <v>1174</v>
      </c>
      <c r="H70" s="559" t="s">
        <v>6610</v>
      </c>
      <c r="I70" s="560" t="n">
        <v>43969</v>
      </c>
      <c r="J70" s="559" t="n">
        <v>5</v>
      </c>
      <c r="K70" s="561" t="s">
        <v>53</v>
      </c>
      <c r="L70" s="559" t="s">
        <v>58</v>
      </c>
      <c r="M70" s="545" t="n">
        <f aca="false">I70-D70</f>
        <v>1251</v>
      </c>
      <c r="N70" s="153"/>
      <c r="O70" s="351" t="s">
        <v>48</v>
      </c>
      <c r="P70" s="351"/>
      <c r="Q70" s="351"/>
      <c r="R70" s="351"/>
      <c r="S70" s="351" t="n">
        <f aca="false">COUNTIF($K$2:$K$495,"Categoria 4 - Produto Pouco Tóxico")</f>
        <v>74</v>
      </c>
      <c r="T70" s="475" t="n">
        <f aca="false">(S70/S76)</f>
        <v>0.150101419878296</v>
      </c>
    </row>
    <row r="71" customFormat="false" ht="15" hidden="false" customHeight="true" outlineLevel="0" collapsed="false">
      <c r="A71" s="562" t="s">
        <v>11728</v>
      </c>
      <c r="B71" s="563" t="s">
        <v>11729</v>
      </c>
      <c r="C71" s="563" t="n">
        <v>2016</v>
      </c>
      <c r="D71" s="564" t="n">
        <v>42683</v>
      </c>
      <c r="E71" s="563" t="s">
        <v>11730</v>
      </c>
      <c r="F71" s="563" t="s">
        <v>123</v>
      </c>
      <c r="G71" s="563" t="s">
        <v>1174</v>
      </c>
      <c r="H71" s="563" t="s">
        <v>285</v>
      </c>
      <c r="I71" s="564" t="n">
        <v>43969</v>
      </c>
      <c r="J71" s="563" t="n">
        <v>5</v>
      </c>
      <c r="K71" s="561" t="s">
        <v>53</v>
      </c>
      <c r="L71" s="563" t="s">
        <v>58</v>
      </c>
      <c r="M71" s="546" t="n">
        <f aca="false">I71-D71</f>
        <v>1286</v>
      </c>
      <c r="N71" s="153"/>
      <c r="O71" s="351" t="s">
        <v>49</v>
      </c>
      <c r="P71" s="351"/>
      <c r="Q71" s="351"/>
      <c r="R71" s="351"/>
      <c r="S71" s="351" t="n">
        <f aca="false">COUNTIF($K$2:$K$495,"Categoria 5 - Produto Improvável de Causar Dano Agudo")</f>
        <v>161</v>
      </c>
      <c r="T71" s="475" t="n">
        <f aca="false">(S71/S76)</f>
        <v>0.32657200811359</v>
      </c>
    </row>
    <row r="72" customFormat="false" ht="15" hidden="false" customHeight="true" outlineLevel="0" collapsed="false">
      <c r="A72" s="558" t="s">
        <v>11731</v>
      </c>
      <c r="B72" s="559" t="s">
        <v>11732</v>
      </c>
      <c r="C72" s="559" t="n">
        <v>2017</v>
      </c>
      <c r="D72" s="560" t="n">
        <v>43083</v>
      </c>
      <c r="E72" s="559" t="s">
        <v>11733</v>
      </c>
      <c r="F72" s="559" t="s">
        <v>123</v>
      </c>
      <c r="G72" s="559" t="s">
        <v>1174</v>
      </c>
      <c r="H72" s="559" t="s">
        <v>243</v>
      </c>
      <c r="I72" s="560" t="n">
        <v>43969</v>
      </c>
      <c r="J72" s="559" t="n">
        <v>5</v>
      </c>
      <c r="K72" s="561" t="s">
        <v>53</v>
      </c>
      <c r="L72" s="559" t="s">
        <v>58</v>
      </c>
      <c r="M72" s="545" t="n">
        <f aca="false">I72-D72</f>
        <v>886</v>
      </c>
      <c r="N72" s="153"/>
      <c r="O72" s="353" t="s">
        <v>50</v>
      </c>
      <c r="P72" s="353"/>
      <c r="Q72" s="353"/>
      <c r="R72" s="353"/>
      <c r="S72" s="353" t="n">
        <f aca="false">COUNTIF($K$2:$K$495,"IV - Pouco tóxico")</f>
        <v>5</v>
      </c>
      <c r="T72" s="476" t="n">
        <f aca="false">(S72/S76)</f>
        <v>0.0101419878296146</v>
      </c>
    </row>
    <row r="73" customFormat="false" ht="15" hidden="false" customHeight="true" outlineLevel="0" collapsed="false">
      <c r="A73" s="562" t="s">
        <v>11734</v>
      </c>
      <c r="B73" s="563" t="s">
        <v>11735</v>
      </c>
      <c r="C73" s="563" t="n">
        <v>2018</v>
      </c>
      <c r="D73" s="564" t="n">
        <v>43340</v>
      </c>
      <c r="E73" s="563" t="s">
        <v>11736</v>
      </c>
      <c r="F73" s="563" t="s">
        <v>123</v>
      </c>
      <c r="G73" s="563" t="s">
        <v>1174</v>
      </c>
      <c r="H73" s="563" t="s">
        <v>350</v>
      </c>
      <c r="I73" s="564" t="n">
        <v>43969</v>
      </c>
      <c r="J73" s="563" t="n">
        <v>5</v>
      </c>
      <c r="K73" s="561" t="s">
        <v>53</v>
      </c>
      <c r="L73" s="563" t="s">
        <v>58</v>
      </c>
      <c r="M73" s="546" t="n">
        <f aca="false">I73-D73</f>
        <v>629</v>
      </c>
      <c r="N73" s="153"/>
      <c r="O73" s="353" t="s">
        <v>51</v>
      </c>
      <c r="P73" s="353"/>
      <c r="Q73" s="353"/>
      <c r="R73" s="353"/>
      <c r="S73" s="353" t="n">
        <f aca="false">COUNTIF($K$2:$K$495,"Não classificado - Produto não classificado")</f>
        <v>61</v>
      </c>
      <c r="T73" s="476" t="n">
        <f aca="false">(S73/S76)</f>
        <v>0.123732251521298</v>
      </c>
    </row>
    <row r="74" customFormat="false" ht="15" hidden="false" customHeight="true" outlineLevel="0" collapsed="false">
      <c r="A74" s="558" t="s">
        <v>11737</v>
      </c>
      <c r="B74" s="559" t="s">
        <v>11738</v>
      </c>
      <c r="C74" s="559" t="n">
        <v>2020</v>
      </c>
      <c r="D74" s="560" t="n">
        <v>43888</v>
      </c>
      <c r="E74" s="559" t="s">
        <v>11739</v>
      </c>
      <c r="F74" s="559" t="s">
        <v>509</v>
      </c>
      <c r="G74" s="559" t="s">
        <v>1174</v>
      </c>
      <c r="H74" s="559" t="s">
        <v>350</v>
      </c>
      <c r="I74" s="560" t="n">
        <v>43969</v>
      </c>
      <c r="J74" s="559" t="n">
        <v>5</v>
      </c>
      <c r="K74" s="561" t="s">
        <v>53</v>
      </c>
      <c r="L74" s="559" t="s">
        <v>58</v>
      </c>
      <c r="M74" s="545" t="n">
        <f aca="false">I74-D74</f>
        <v>81</v>
      </c>
      <c r="N74" s="153"/>
      <c r="O74" s="353" t="s">
        <v>2407</v>
      </c>
      <c r="P74" s="353"/>
      <c r="Q74" s="353"/>
      <c r="R74" s="353"/>
      <c r="S74" s="353" t="n">
        <f aca="false">COUNTIF($K$2:$K$495,"Não determinada devido à natureza do produto (Inimigos naturais)")</f>
        <v>0</v>
      </c>
      <c r="T74" s="476" t="n">
        <f aca="false">(S74/S76)</f>
        <v>0</v>
      </c>
    </row>
    <row r="75" customFormat="false" ht="15" hidden="false" customHeight="true" outlineLevel="0" collapsed="false">
      <c r="A75" s="562" t="s">
        <v>11740</v>
      </c>
      <c r="B75" s="563" t="s">
        <v>11741</v>
      </c>
      <c r="C75" s="563" t="n">
        <v>2014</v>
      </c>
      <c r="D75" s="564" t="n">
        <v>41934</v>
      </c>
      <c r="E75" s="563" t="s">
        <v>11742</v>
      </c>
      <c r="F75" s="563" t="s">
        <v>823</v>
      </c>
      <c r="G75" s="563" t="s">
        <v>1174</v>
      </c>
      <c r="H75" s="563" t="s">
        <v>1266</v>
      </c>
      <c r="I75" s="564" t="n">
        <v>43990</v>
      </c>
      <c r="J75" s="563" t="n">
        <v>6</v>
      </c>
      <c r="K75" s="561" t="s">
        <v>53</v>
      </c>
      <c r="L75" s="563" t="s">
        <v>58</v>
      </c>
      <c r="M75" s="546" t="n">
        <f aca="false">I75-D75</f>
        <v>2056</v>
      </c>
      <c r="N75" s="153"/>
      <c r="O75" s="478" t="s">
        <v>53</v>
      </c>
      <c r="P75" s="478"/>
      <c r="Q75" s="478"/>
      <c r="R75" s="478"/>
      <c r="S75" s="478" t="n">
        <f aca="false">COUNTIF($K$2:$K$495,"O perfil toxicológico foi considerado equivalente ao produto técnico de referência")</f>
        <v>162</v>
      </c>
      <c r="T75" s="479" t="n">
        <f aca="false">(S75/S76)</f>
        <v>0.328600405679513</v>
      </c>
    </row>
    <row r="76" customFormat="false" ht="15" hidden="false" customHeight="true" outlineLevel="0" collapsed="false">
      <c r="A76" s="558" t="s">
        <v>11743</v>
      </c>
      <c r="B76" s="559" t="s">
        <v>11744</v>
      </c>
      <c r="C76" s="559" t="n">
        <v>2017</v>
      </c>
      <c r="D76" s="560" t="n">
        <v>43087</v>
      </c>
      <c r="E76" s="559" t="s">
        <v>11745</v>
      </c>
      <c r="F76" s="559" t="s">
        <v>723</v>
      </c>
      <c r="G76" s="559" t="s">
        <v>1174</v>
      </c>
      <c r="H76" s="559" t="s">
        <v>544</v>
      </c>
      <c r="I76" s="560" t="n">
        <v>43990</v>
      </c>
      <c r="J76" s="559" t="n">
        <v>6</v>
      </c>
      <c r="K76" s="561" t="s">
        <v>53</v>
      </c>
      <c r="L76" s="559" t="s">
        <v>58</v>
      </c>
      <c r="M76" s="545" t="n">
        <f aca="false">I76-D76</f>
        <v>903</v>
      </c>
      <c r="N76" s="153"/>
      <c r="O76" s="419" t="s">
        <v>54</v>
      </c>
      <c r="P76" s="419"/>
      <c r="Q76" s="419"/>
      <c r="R76" s="419"/>
      <c r="S76" s="363" t="n">
        <f aca="false">SUM(S64:S75)</f>
        <v>493</v>
      </c>
      <c r="T76" s="364" t="n">
        <f aca="false">(S76/S76)</f>
        <v>1</v>
      </c>
    </row>
    <row r="77" customFormat="false" ht="15" hidden="false" customHeight="true" outlineLevel="0" collapsed="false">
      <c r="A77" s="562" t="s">
        <v>11746</v>
      </c>
      <c r="B77" s="563" t="s">
        <v>11747</v>
      </c>
      <c r="C77" s="563" t="n">
        <v>2018</v>
      </c>
      <c r="D77" s="564" t="n">
        <v>43312</v>
      </c>
      <c r="E77" s="563" t="s">
        <v>11748</v>
      </c>
      <c r="F77" s="563" t="s">
        <v>723</v>
      </c>
      <c r="G77" s="563" t="s">
        <v>1174</v>
      </c>
      <c r="H77" s="563" t="s">
        <v>354</v>
      </c>
      <c r="I77" s="564" t="n">
        <v>43990</v>
      </c>
      <c r="J77" s="563" t="n">
        <v>6</v>
      </c>
      <c r="K77" s="561" t="s">
        <v>53</v>
      </c>
      <c r="L77" s="563" t="s">
        <v>58</v>
      </c>
      <c r="M77" s="546" t="n">
        <f aca="false">I77-D77</f>
        <v>678</v>
      </c>
      <c r="N77" s="153"/>
      <c r="O77" s="153"/>
      <c r="P77" s="153"/>
      <c r="Q77" s="153"/>
      <c r="R77" s="153"/>
      <c r="S77" s="153"/>
      <c r="T77" s="153"/>
    </row>
    <row r="78" customFormat="false" ht="15" hidden="false" customHeight="true" outlineLevel="0" collapsed="false">
      <c r="A78" s="558" t="s">
        <v>11749</v>
      </c>
      <c r="B78" s="559" t="s">
        <v>11750</v>
      </c>
      <c r="C78" s="559" t="n">
        <v>2018</v>
      </c>
      <c r="D78" s="560" t="n">
        <v>43388</v>
      </c>
      <c r="E78" s="559" t="s">
        <v>11751</v>
      </c>
      <c r="F78" s="559" t="s">
        <v>723</v>
      </c>
      <c r="G78" s="559" t="s">
        <v>1174</v>
      </c>
      <c r="H78" s="559" t="s">
        <v>184</v>
      </c>
      <c r="I78" s="560" t="n">
        <v>43990</v>
      </c>
      <c r="J78" s="559" t="n">
        <v>6</v>
      </c>
      <c r="K78" s="561" t="s">
        <v>53</v>
      </c>
      <c r="L78" s="559" t="s">
        <v>58</v>
      </c>
      <c r="M78" s="545" t="n">
        <f aca="false">I78-D78</f>
        <v>602</v>
      </c>
      <c r="N78" s="153"/>
      <c r="O78" s="339" t="s">
        <v>102</v>
      </c>
      <c r="P78" s="339"/>
      <c r="Q78" s="339"/>
      <c r="R78" s="339"/>
      <c r="S78" s="339"/>
      <c r="T78" s="339"/>
    </row>
    <row r="79" customFormat="false" ht="15" hidden="false" customHeight="true" outlineLevel="0" collapsed="false">
      <c r="A79" s="562" t="s">
        <v>11752</v>
      </c>
      <c r="B79" s="563" t="s">
        <v>11753</v>
      </c>
      <c r="C79" s="563" t="n">
        <v>2018</v>
      </c>
      <c r="D79" s="564" t="n">
        <v>43398</v>
      </c>
      <c r="E79" s="563" t="s">
        <v>11754</v>
      </c>
      <c r="F79" s="563" t="s">
        <v>2151</v>
      </c>
      <c r="G79" s="563" t="s">
        <v>1174</v>
      </c>
      <c r="H79" s="563" t="s">
        <v>706</v>
      </c>
      <c r="I79" s="564" t="n">
        <v>43994</v>
      </c>
      <c r="J79" s="563" t="n">
        <v>6</v>
      </c>
      <c r="K79" s="561" t="s">
        <v>53</v>
      </c>
      <c r="L79" s="563" t="s">
        <v>58</v>
      </c>
      <c r="M79" s="546" t="n">
        <f aca="false">I79-D79</f>
        <v>596</v>
      </c>
      <c r="N79" s="153"/>
      <c r="O79" s="339"/>
      <c r="P79" s="339"/>
      <c r="Q79" s="339"/>
      <c r="R79" s="339"/>
      <c r="S79" s="339"/>
      <c r="T79" s="339"/>
    </row>
    <row r="80" customFormat="false" ht="15" hidden="false" customHeight="true" outlineLevel="0" collapsed="false">
      <c r="A80" s="558" t="s">
        <v>11755</v>
      </c>
      <c r="B80" s="559" t="s">
        <v>11756</v>
      </c>
      <c r="C80" s="559" t="n">
        <v>2019</v>
      </c>
      <c r="D80" s="560" t="n">
        <v>43605</v>
      </c>
      <c r="E80" s="559" t="s">
        <v>11757</v>
      </c>
      <c r="F80" s="559" t="s">
        <v>689</v>
      </c>
      <c r="G80" s="559" t="s">
        <v>1174</v>
      </c>
      <c r="H80" s="559" t="s">
        <v>243</v>
      </c>
      <c r="I80" s="560" t="n">
        <v>43994</v>
      </c>
      <c r="J80" s="559" t="n">
        <v>6</v>
      </c>
      <c r="K80" s="561" t="s">
        <v>53</v>
      </c>
      <c r="L80" s="559" t="s">
        <v>60</v>
      </c>
      <c r="M80" s="545" t="n">
        <f aca="false">I80-D80</f>
        <v>389</v>
      </c>
      <c r="N80" s="153"/>
      <c r="O80" s="340" t="s">
        <v>38</v>
      </c>
      <c r="P80" s="340"/>
      <c r="Q80" s="340"/>
      <c r="R80" s="340"/>
      <c r="S80" s="374" t="s">
        <v>343</v>
      </c>
      <c r="T80" s="375" t="s">
        <v>41</v>
      </c>
    </row>
    <row r="81" customFormat="false" ht="15" hidden="false" customHeight="true" outlineLevel="0" collapsed="false">
      <c r="A81" s="562" t="s">
        <v>11758</v>
      </c>
      <c r="B81" s="563" t="s">
        <v>11759</v>
      </c>
      <c r="C81" s="563" t="n">
        <v>2019</v>
      </c>
      <c r="D81" s="564" t="n">
        <v>43787</v>
      </c>
      <c r="E81" s="563" t="s">
        <v>11760</v>
      </c>
      <c r="F81" s="563" t="s">
        <v>211</v>
      </c>
      <c r="G81" s="563" t="s">
        <v>1174</v>
      </c>
      <c r="H81" s="563" t="s">
        <v>267</v>
      </c>
      <c r="I81" s="564" t="n">
        <v>43994</v>
      </c>
      <c r="J81" s="563" t="n">
        <v>6</v>
      </c>
      <c r="K81" s="561" t="s">
        <v>53</v>
      </c>
      <c r="L81" s="563" t="s">
        <v>58</v>
      </c>
      <c r="M81" s="546" t="n">
        <f aca="false">I81-D81</f>
        <v>207</v>
      </c>
      <c r="N81" s="153"/>
      <c r="O81" s="480" t="s">
        <v>57</v>
      </c>
      <c r="P81" s="480"/>
      <c r="Q81" s="480"/>
      <c r="R81" s="480"/>
      <c r="S81" s="536" t="n">
        <f aca="false">COUNTIF($L$2:$L$495,"I - Produto altamente perigoso ao meio ambiente")</f>
        <v>16</v>
      </c>
      <c r="T81" s="377" t="n">
        <f aca="false">(S81/S85)</f>
        <v>0.0324543610547667</v>
      </c>
    </row>
    <row r="82" customFormat="false" ht="15" hidden="false" customHeight="true" outlineLevel="0" collapsed="false">
      <c r="A82" s="558" t="s">
        <v>11761</v>
      </c>
      <c r="B82" s="559" t="s">
        <v>11762</v>
      </c>
      <c r="C82" s="559" t="n">
        <v>2018</v>
      </c>
      <c r="D82" s="560" t="n">
        <v>43399</v>
      </c>
      <c r="E82" s="559" t="s">
        <v>11763</v>
      </c>
      <c r="F82" s="559" t="s">
        <v>823</v>
      </c>
      <c r="G82" s="559" t="s">
        <v>1174</v>
      </c>
      <c r="H82" s="559" t="s">
        <v>267</v>
      </c>
      <c r="I82" s="560" t="n">
        <v>44000</v>
      </c>
      <c r="J82" s="559" t="n">
        <v>6</v>
      </c>
      <c r="K82" s="561" t="s">
        <v>53</v>
      </c>
      <c r="L82" s="559" t="s">
        <v>58</v>
      </c>
      <c r="M82" s="545" t="n">
        <f aca="false">I82-D82</f>
        <v>601</v>
      </c>
      <c r="N82" s="153"/>
      <c r="O82" s="378" t="s">
        <v>58</v>
      </c>
      <c r="P82" s="378"/>
      <c r="Q82" s="378"/>
      <c r="R82" s="378"/>
      <c r="S82" s="537" t="n">
        <f aca="false">COUNTIF($L$2:$L$495,"II - Produto muito perigoso ao meio ambiente")</f>
        <v>235</v>
      </c>
      <c r="T82" s="379" t="n">
        <f aca="false">(S82/S85)</f>
        <v>0.476673427991886</v>
      </c>
    </row>
    <row r="83" customFormat="false" ht="15" hidden="false" customHeight="true" outlineLevel="0" collapsed="false">
      <c r="A83" s="562" t="s">
        <v>11764</v>
      </c>
      <c r="B83" s="563" t="s">
        <v>11765</v>
      </c>
      <c r="C83" s="563" t="n">
        <v>2014</v>
      </c>
      <c r="D83" s="564" t="n">
        <v>41963</v>
      </c>
      <c r="E83" s="563" t="s">
        <v>11766</v>
      </c>
      <c r="F83" s="563" t="s">
        <v>509</v>
      </c>
      <c r="G83" s="563" t="s">
        <v>1174</v>
      </c>
      <c r="H83" s="563" t="s">
        <v>184</v>
      </c>
      <c r="I83" s="564" t="n">
        <v>44000</v>
      </c>
      <c r="J83" s="563" t="n">
        <v>6</v>
      </c>
      <c r="K83" s="561" t="s">
        <v>53</v>
      </c>
      <c r="L83" s="563" t="s">
        <v>58</v>
      </c>
      <c r="M83" s="546" t="n">
        <f aca="false">I83-D83</f>
        <v>2037</v>
      </c>
      <c r="N83" s="153"/>
      <c r="O83" s="380" t="s">
        <v>60</v>
      </c>
      <c r="P83" s="380"/>
      <c r="Q83" s="380"/>
      <c r="R83" s="380"/>
      <c r="S83" s="536" t="n">
        <f aca="false">COUNTIF($L$2:$L$495,"III - Produto perigoso ao meio ambiente")</f>
        <v>143</v>
      </c>
      <c r="T83" s="377" t="n">
        <f aca="false">(S83/S85)</f>
        <v>0.290060851926978</v>
      </c>
    </row>
    <row r="84" customFormat="false" ht="15" hidden="false" customHeight="true" outlineLevel="0" collapsed="false">
      <c r="A84" s="558" t="s">
        <v>11767</v>
      </c>
      <c r="B84" s="559" t="s">
        <v>11768</v>
      </c>
      <c r="C84" s="559" t="n">
        <v>2015</v>
      </c>
      <c r="D84" s="560" t="n">
        <v>42305</v>
      </c>
      <c r="E84" s="559" t="s">
        <v>11769</v>
      </c>
      <c r="F84" s="559" t="s">
        <v>509</v>
      </c>
      <c r="G84" s="559" t="s">
        <v>1174</v>
      </c>
      <c r="H84" s="559" t="s">
        <v>354</v>
      </c>
      <c r="I84" s="560" t="n">
        <v>44000</v>
      </c>
      <c r="J84" s="559" t="n">
        <v>6</v>
      </c>
      <c r="K84" s="561" t="s">
        <v>53</v>
      </c>
      <c r="L84" s="559" t="s">
        <v>58</v>
      </c>
      <c r="M84" s="545" t="n">
        <f aca="false">I84-D84</f>
        <v>1695</v>
      </c>
      <c r="N84" s="153"/>
      <c r="O84" s="378" t="s">
        <v>61</v>
      </c>
      <c r="P84" s="378"/>
      <c r="Q84" s="378"/>
      <c r="R84" s="378"/>
      <c r="S84" s="537" t="n">
        <f aca="false">COUNTIF($L$2:$L$495,"IV - Produto pouco perigoso ao meio ambiente")</f>
        <v>99</v>
      </c>
      <c r="T84" s="379" t="n">
        <f aca="false">(S84/S85)</f>
        <v>0.200811359026369</v>
      </c>
    </row>
    <row r="85" customFormat="false" ht="15" hidden="false" customHeight="true" outlineLevel="0" collapsed="false">
      <c r="A85" s="562" t="s">
        <v>11770</v>
      </c>
      <c r="B85" s="563" t="s">
        <v>11771</v>
      </c>
      <c r="C85" s="563" t="n">
        <v>2013</v>
      </c>
      <c r="D85" s="564" t="n">
        <v>41513</v>
      </c>
      <c r="E85" s="563" t="s">
        <v>11772</v>
      </c>
      <c r="F85" s="563" t="s">
        <v>509</v>
      </c>
      <c r="G85" s="563" t="s">
        <v>1174</v>
      </c>
      <c r="H85" s="563" t="s">
        <v>192</v>
      </c>
      <c r="I85" s="564" t="n">
        <v>44000</v>
      </c>
      <c r="J85" s="563" t="n">
        <v>6</v>
      </c>
      <c r="K85" s="561" t="s">
        <v>53</v>
      </c>
      <c r="L85" s="563" t="s">
        <v>58</v>
      </c>
      <c r="M85" s="546" t="n">
        <f aca="false">I85-D85</f>
        <v>2487</v>
      </c>
      <c r="N85" s="153"/>
      <c r="O85" s="340" t="s">
        <v>54</v>
      </c>
      <c r="P85" s="340"/>
      <c r="Q85" s="340"/>
      <c r="R85" s="340"/>
      <c r="S85" s="363" t="n">
        <f aca="false">SUM(S81:S84)</f>
        <v>493</v>
      </c>
      <c r="T85" s="364" t="n">
        <f aca="false">(S85/S85)</f>
        <v>1</v>
      </c>
    </row>
    <row r="86" customFormat="false" ht="15" hidden="false" customHeight="true" outlineLevel="0" collapsed="false">
      <c r="A86" s="558" t="s">
        <v>11773</v>
      </c>
      <c r="B86" s="559" t="s">
        <v>11774</v>
      </c>
      <c r="C86" s="559" t="n">
        <v>2014</v>
      </c>
      <c r="D86" s="560" t="n">
        <v>41948</v>
      </c>
      <c r="E86" s="559" t="s">
        <v>11775</v>
      </c>
      <c r="F86" s="559" t="s">
        <v>509</v>
      </c>
      <c r="G86" s="559" t="s">
        <v>1174</v>
      </c>
      <c r="H86" s="559" t="s">
        <v>522</v>
      </c>
      <c r="I86" s="560" t="n">
        <v>44000</v>
      </c>
      <c r="J86" s="559" t="n">
        <v>6</v>
      </c>
      <c r="K86" s="561" t="s">
        <v>53</v>
      </c>
      <c r="L86" s="559" t="s">
        <v>58</v>
      </c>
      <c r="M86" s="545" t="n">
        <f aca="false">I86-D86</f>
        <v>2052</v>
      </c>
      <c r="N86" s="153"/>
      <c r="O86" s="153"/>
      <c r="P86" s="153"/>
      <c r="Q86" s="153"/>
      <c r="R86" s="153"/>
      <c r="S86" s="153"/>
      <c r="T86" s="153"/>
    </row>
    <row r="87" customFormat="false" ht="15" hidden="false" customHeight="true" outlineLevel="0" collapsed="false">
      <c r="A87" s="562" t="s">
        <v>11776</v>
      </c>
      <c r="B87" s="563" t="s">
        <v>11777</v>
      </c>
      <c r="C87" s="563" t="n">
        <v>2019</v>
      </c>
      <c r="D87" s="564" t="n">
        <v>43521</v>
      </c>
      <c r="E87" s="563" t="s">
        <v>11778</v>
      </c>
      <c r="F87" s="563" t="s">
        <v>1243</v>
      </c>
      <c r="G87" s="563" t="s">
        <v>1174</v>
      </c>
      <c r="H87" s="563" t="s">
        <v>522</v>
      </c>
      <c r="I87" s="564" t="n">
        <v>44000</v>
      </c>
      <c r="J87" s="563" t="n">
        <v>6</v>
      </c>
      <c r="K87" s="561" t="s">
        <v>53</v>
      </c>
      <c r="L87" s="563" t="s">
        <v>60</v>
      </c>
      <c r="M87" s="546" t="n">
        <f aca="false">I87-D87</f>
        <v>479</v>
      </c>
      <c r="N87" s="153"/>
      <c r="O87" s="421" t="s">
        <v>425</v>
      </c>
      <c r="P87" s="421"/>
      <c r="Q87" s="421"/>
      <c r="R87" s="421"/>
      <c r="S87" s="153"/>
      <c r="T87" s="153"/>
    </row>
    <row r="88" customFormat="false" ht="15" hidden="false" customHeight="true" outlineLevel="0" collapsed="false">
      <c r="A88" s="558" t="s">
        <v>11779</v>
      </c>
      <c r="B88" s="559" t="s">
        <v>11780</v>
      </c>
      <c r="C88" s="559" t="n">
        <v>2019</v>
      </c>
      <c r="D88" s="560" t="n">
        <v>43535</v>
      </c>
      <c r="E88" s="559" t="s">
        <v>11781</v>
      </c>
      <c r="F88" s="559" t="s">
        <v>365</v>
      </c>
      <c r="G88" s="559" t="s">
        <v>1174</v>
      </c>
      <c r="H88" s="559" t="s">
        <v>409</v>
      </c>
      <c r="I88" s="560" t="n">
        <v>44000</v>
      </c>
      <c r="J88" s="559" t="n">
        <v>6</v>
      </c>
      <c r="K88" s="561" t="s">
        <v>53</v>
      </c>
      <c r="L88" s="559" t="s">
        <v>60</v>
      </c>
      <c r="M88" s="545" t="n">
        <f aca="false">I88-D88</f>
        <v>465</v>
      </c>
      <c r="N88" s="153"/>
      <c r="O88" s="421"/>
      <c r="P88" s="421"/>
      <c r="Q88" s="421"/>
      <c r="R88" s="421"/>
      <c r="S88" s="153"/>
      <c r="T88" s="153"/>
    </row>
    <row r="89" customFormat="false" ht="15" hidden="false" customHeight="true" outlineLevel="0" collapsed="false">
      <c r="A89" s="562" t="s">
        <v>11782</v>
      </c>
      <c r="B89" s="563" t="s">
        <v>11783</v>
      </c>
      <c r="C89" s="563" t="n">
        <v>2019</v>
      </c>
      <c r="D89" s="564" t="n">
        <v>43815</v>
      </c>
      <c r="E89" s="563" t="s">
        <v>11784</v>
      </c>
      <c r="F89" s="563" t="s">
        <v>705</v>
      </c>
      <c r="G89" s="563" t="s">
        <v>1174</v>
      </c>
      <c r="H89" s="563" t="s">
        <v>1740</v>
      </c>
      <c r="I89" s="564" t="n">
        <v>44007</v>
      </c>
      <c r="J89" s="563" t="n">
        <v>6</v>
      </c>
      <c r="K89" s="561" t="s">
        <v>53</v>
      </c>
      <c r="L89" s="563" t="s">
        <v>58</v>
      </c>
      <c r="M89" s="546" t="n">
        <f aca="false">I89-D89</f>
        <v>192</v>
      </c>
      <c r="N89" s="153"/>
      <c r="O89" s="390" t="s">
        <v>69</v>
      </c>
      <c r="P89" s="422" t="s">
        <v>433</v>
      </c>
      <c r="Q89" s="422"/>
      <c r="R89" s="422"/>
      <c r="S89" s="153"/>
      <c r="T89" s="153"/>
    </row>
    <row r="90" customFormat="false" ht="15" hidden="false" customHeight="true" outlineLevel="0" collapsed="false">
      <c r="A90" s="558" t="s">
        <v>11785</v>
      </c>
      <c r="B90" s="559" t="s">
        <v>11786</v>
      </c>
      <c r="C90" s="559" t="n">
        <v>2019</v>
      </c>
      <c r="D90" s="560" t="n">
        <v>43724</v>
      </c>
      <c r="E90" s="559" t="s">
        <v>11787</v>
      </c>
      <c r="F90" s="559" t="s">
        <v>723</v>
      </c>
      <c r="G90" s="559" t="s">
        <v>1174</v>
      </c>
      <c r="H90" s="559" t="s">
        <v>1740</v>
      </c>
      <c r="I90" s="560" t="n">
        <v>44007</v>
      </c>
      <c r="J90" s="559" t="n">
        <v>6</v>
      </c>
      <c r="K90" s="561" t="s">
        <v>53</v>
      </c>
      <c r="L90" s="559" t="s">
        <v>58</v>
      </c>
      <c r="M90" s="545" t="n">
        <f aca="false">I90-D90</f>
        <v>283</v>
      </c>
      <c r="N90" s="153"/>
      <c r="O90" s="394" t="s">
        <v>1474</v>
      </c>
      <c r="P90" s="481" t="n">
        <f aca="false">AVERAGEIF(G2:G495,"PT",M2:M495)</f>
        <v>2912.66666666667</v>
      </c>
      <c r="Q90" s="481"/>
      <c r="R90" s="481"/>
      <c r="S90" s="153"/>
      <c r="T90" s="153"/>
    </row>
    <row r="91" customFormat="false" ht="15" hidden="false" customHeight="true" outlineLevel="0" collapsed="false">
      <c r="A91" s="562" t="s">
        <v>11788</v>
      </c>
      <c r="B91" s="563" t="s">
        <v>11789</v>
      </c>
      <c r="C91" s="563" t="n">
        <v>2020</v>
      </c>
      <c r="D91" s="564" t="n">
        <v>43917</v>
      </c>
      <c r="E91" s="563" t="s">
        <v>11790</v>
      </c>
      <c r="F91" s="563" t="s">
        <v>723</v>
      </c>
      <c r="G91" s="563" t="s">
        <v>1174</v>
      </c>
      <c r="H91" s="563" t="s">
        <v>544</v>
      </c>
      <c r="I91" s="564" t="n">
        <v>44007</v>
      </c>
      <c r="J91" s="563" t="n">
        <v>6</v>
      </c>
      <c r="K91" s="561" t="s">
        <v>53</v>
      </c>
      <c r="L91" s="563" t="s">
        <v>58</v>
      </c>
      <c r="M91" s="546" t="n">
        <f aca="false">I91-D91</f>
        <v>90</v>
      </c>
      <c r="N91" s="153"/>
      <c r="O91" s="396" t="s">
        <v>1188</v>
      </c>
      <c r="P91" s="482" t="n">
        <f aca="false">AVERAGEIF(G2:G495,"PTN",M2:M495)</f>
        <v>2975</v>
      </c>
      <c r="Q91" s="482"/>
      <c r="R91" s="482"/>
      <c r="S91" s="153"/>
      <c r="T91" s="153"/>
    </row>
    <row r="92" customFormat="false" ht="15" hidden="false" customHeight="true" outlineLevel="0" collapsed="false">
      <c r="A92" s="558" t="s">
        <v>11791</v>
      </c>
      <c r="B92" s="559" t="s">
        <v>11792</v>
      </c>
      <c r="C92" s="559" t="n">
        <v>2017</v>
      </c>
      <c r="D92" s="560" t="n">
        <v>42996</v>
      </c>
      <c r="E92" s="559" t="s">
        <v>11793</v>
      </c>
      <c r="F92" s="559" t="s">
        <v>2151</v>
      </c>
      <c r="G92" s="559" t="s">
        <v>1174</v>
      </c>
      <c r="H92" s="559" t="s">
        <v>544</v>
      </c>
      <c r="I92" s="560" t="n">
        <v>44023</v>
      </c>
      <c r="J92" s="559" t="n">
        <v>7</v>
      </c>
      <c r="K92" s="561" t="s">
        <v>53</v>
      </c>
      <c r="L92" s="559" t="s">
        <v>58</v>
      </c>
      <c r="M92" s="545" t="n">
        <f aca="false">I92-D92</f>
        <v>1027</v>
      </c>
      <c r="N92" s="153"/>
      <c r="O92" s="394" t="s">
        <v>1174</v>
      </c>
      <c r="P92" s="481" t="n">
        <f aca="false">AVERAGEIF(G2:G495,"PTE",M2:M495)</f>
        <v>1469.11728395062</v>
      </c>
      <c r="Q92" s="481"/>
      <c r="R92" s="481"/>
      <c r="S92" s="153"/>
      <c r="T92" s="153"/>
    </row>
    <row r="93" customFormat="false" ht="15" hidden="true" customHeight="true" outlineLevel="0" collapsed="false">
      <c r="A93" s="562" t="s">
        <v>11794</v>
      </c>
      <c r="B93" s="563" t="s">
        <v>11795</v>
      </c>
      <c r="C93" s="563" t="n">
        <v>2016</v>
      </c>
      <c r="D93" s="564" t="n">
        <v>42480</v>
      </c>
      <c r="E93" s="563" t="s">
        <v>11796</v>
      </c>
      <c r="F93" s="563" t="s">
        <v>11797</v>
      </c>
      <c r="G93" s="563" t="s">
        <v>1188</v>
      </c>
      <c r="H93" s="563" t="s">
        <v>1791</v>
      </c>
      <c r="I93" s="564" t="n">
        <v>44029</v>
      </c>
      <c r="J93" s="563" t="n">
        <v>7</v>
      </c>
      <c r="K93" s="565" t="s">
        <v>290</v>
      </c>
      <c r="L93" s="563" t="s">
        <v>58</v>
      </c>
      <c r="M93" s="546" t="n">
        <f aca="false">I93-D93</f>
        <v>1549</v>
      </c>
      <c r="N93" s="153"/>
      <c r="O93" s="396" t="s">
        <v>8</v>
      </c>
      <c r="P93" s="482" t="n">
        <f aca="false">AVERAGEIF(G2:G495,"Pré-Mistura",M2:M495)</f>
        <v>1875.5</v>
      </c>
      <c r="Q93" s="482"/>
      <c r="R93" s="482"/>
      <c r="S93" s="153"/>
      <c r="T93" s="153"/>
    </row>
    <row r="94" customFormat="false" ht="15" hidden="true" customHeight="true" outlineLevel="0" collapsed="false">
      <c r="A94" s="558" t="s">
        <v>11798</v>
      </c>
      <c r="B94" s="559" t="s">
        <v>11799</v>
      </c>
      <c r="C94" s="559" t="n">
        <v>2014</v>
      </c>
      <c r="D94" s="560" t="n">
        <v>41712</v>
      </c>
      <c r="E94" s="559" t="s">
        <v>11800</v>
      </c>
      <c r="F94" s="559" t="s">
        <v>11801</v>
      </c>
      <c r="G94" s="559" t="s">
        <v>1188</v>
      </c>
      <c r="H94" s="559" t="s">
        <v>4752</v>
      </c>
      <c r="I94" s="560" t="n">
        <v>44040</v>
      </c>
      <c r="J94" s="559" t="n">
        <v>7</v>
      </c>
      <c r="K94" s="565" t="s">
        <v>290</v>
      </c>
      <c r="L94" s="559" t="s">
        <v>58</v>
      </c>
      <c r="M94" s="545" t="n">
        <f aca="false">I94-D94</f>
        <v>2328</v>
      </c>
      <c r="N94" s="153"/>
      <c r="O94" s="394" t="s">
        <v>144</v>
      </c>
      <c r="P94" s="481" t="n">
        <f aca="false">AVERAGEIF(G2:G495,"PF",M2:M495)</f>
        <v>2532.52857142857</v>
      </c>
      <c r="Q94" s="481"/>
      <c r="R94" s="481"/>
      <c r="S94" s="153"/>
      <c r="T94" s="153"/>
    </row>
    <row r="95" customFormat="false" ht="15" hidden="false" customHeight="true" outlineLevel="0" collapsed="false">
      <c r="A95" s="562" t="s">
        <v>11802</v>
      </c>
      <c r="B95" s="563" t="s">
        <v>11803</v>
      </c>
      <c r="C95" s="563" t="n">
        <v>2014</v>
      </c>
      <c r="D95" s="564" t="n">
        <v>41674</v>
      </c>
      <c r="E95" s="563" t="s">
        <v>11804</v>
      </c>
      <c r="F95" s="563" t="s">
        <v>7360</v>
      </c>
      <c r="G95" s="563" t="s">
        <v>1174</v>
      </c>
      <c r="H95" s="563" t="s">
        <v>2677</v>
      </c>
      <c r="I95" s="564" t="n">
        <v>44056</v>
      </c>
      <c r="J95" s="563" t="n">
        <v>8</v>
      </c>
      <c r="K95" s="561" t="s">
        <v>53</v>
      </c>
      <c r="L95" s="563" t="s">
        <v>60</v>
      </c>
      <c r="M95" s="546" t="n">
        <f aca="false">I95-D95</f>
        <v>2382</v>
      </c>
      <c r="N95" s="153"/>
      <c r="O95" s="396" t="s">
        <v>115</v>
      </c>
      <c r="P95" s="482" t="n">
        <f aca="false">AVERAGEIF(G2:G495,"PFN",M2:M476)</f>
        <v>2110.77777777778</v>
      </c>
      <c r="Q95" s="482"/>
      <c r="R95" s="482"/>
      <c r="S95" s="153"/>
      <c r="T95" s="153"/>
    </row>
    <row r="96" customFormat="false" ht="15" hidden="false" customHeight="true" outlineLevel="0" collapsed="false">
      <c r="A96" s="558" t="s">
        <v>11805</v>
      </c>
      <c r="B96" s="559" t="s">
        <v>11806</v>
      </c>
      <c r="C96" s="559" t="n">
        <v>2014</v>
      </c>
      <c r="D96" s="560" t="n">
        <v>41711</v>
      </c>
      <c r="E96" s="559" t="s">
        <v>11807</v>
      </c>
      <c r="F96" s="559" t="s">
        <v>509</v>
      </c>
      <c r="G96" s="559" t="s">
        <v>1174</v>
      </c>
      <c r="H96" s="559" t="s">
        <v>1567</v>
      </c>
      <c r="I96" s="560" t="n">
        <v>44056</v>
      </c>
      <c r="J96" s="559" t="n">
        <v>8</v>
      </c>
      <c r="K96" s="561" t="s">
        <v>53</v>
      </c>
      <c r="L96" s="559" t="s">
        <v>58</v>
      </c>
      <c r="M96" s="545" t="n">
        <f aca="false">I96-D96</f>
        <v>2345</v>
      </c>
      <c r="N96" s="153"/>
      <c r="O96" s="394" t="s">
        <v>441</v>
      </c>
      <c r="P96" s="481" t="n">
        <f aca="false">AVERAGEIF(G2:G476,"PF/PTE",M2:M495)</f>
        <v>1890.07746478873</v>
      </c>
      <c r="Q96" s="481"/>
      <c r="R96" s="481"/>
      <c r="S96" s="153"/>
      <c r="T96" s="153"/>
    </row>
    <row r="97" customFormat="false" ht="15" hidden="false" customHeight="true" outlineLevel="0" collapsed="false">
      <c r="A97" s="562" t="s">
        <v>11808</v>
      </c>
      <c r="B97" s="563" t="s">
        <v>11809</v>
      </c>
      <c r="C97" s="563" t="n">
        <v>2015</v>
      </c>
      <c r="D97" s="564" t="n">
        <v>42081</v>
      </c>
      <c r="E97" s="563" t="s">
        <v>11810</v>
      </c>
      <c r="F97" s="563" t="s">
        <v>509</v>
      </c>
      <c r="G97" s="563" t="s">
        <v>1174</v>
      </c>
      <c r="H97" s="563" t="s">
        <v>184</v>
      </c>
      <c r="I97" s="564" t="n">
        <v>44056</v>
      </c>
      <c r="J97" s="563" t="n">
        <v>8</v>
      </c>
      <c r="K97" s="561" t="s">
        <v>53</v>
      </c>
      <c r="L97" s="563" t="s">
        <v>58</v>
      </c>
      <c r="M97" s="546" t="n">
        <f aca="false">I97-D97</f>
        <v>1975</v>
      </c>
      <c r="N97" s="153"/>
      <c r="O97" s="396" t="s">
        <v>125</v>
      </c>
      <c r="P97" s="482" t="n">
        <f aca="false">AVERAGEIF(G2:G4956,"Bio",M2:M495)</f>
        <v>399.267857142857</v>
      </c>
      <c r="Q97" s="482"/>
      <c r="R97" s="482"/>
    </row>
    <row r="98" customFormat="false" ht="15" hidden="false" customHeight="true" outlineLevel="0" collapsed="false">
      <c r="A98" s="558" t="s">
        <v>11811</v>
      </c>
      <c r="B98" s="559" t="s">
        <v>11812</v>
      </c>
      <c r="C98" s="559" t="n">
        <v>2015</v>
      </c>
      <c r="D98" s="560" t="n">
        <v>42111</v>
      </c>
      <c r="E98" s="559" t="s">
        <v>11813</v>
      </c>
      <c r="F98" s="559" t="s">
        <v>7360</v>
      </c>
      <c r="G98" s="559" t="s">
        <v>1174</v>
      </c>
      <c r="H98" s="559" t="s">
        <v>184</v>
      </c>
      <c r="I98" s="560" t="n">
        <v>44056</v>
      </c>
      <c r="J98" s="559" t="n">
        <v>8</v>
      </c>
      <c r="K98" s="561" t="s">
        <v>53</v>
      </c>
      <c r="L98" s="559" t="s">
        <v>60</v>
      </c>
      <c r="M98" s="545" t="n">
        <f aca="false">I98-D98</f>
        <v>1945</v>
      </c>
      <c r="N98" s="153"/>
      <c r="O98" s="394" t="s">
        <v>130</v>
      </c>
      <c r="P98" s="481" t="n">
        <f aca="false">AVERAGEIF(G2:G495,"Bio/Org",M2:M495)</f>
        <v>236.894736842105</v>
      </c>
      <c r="Q98" s="481"/>
      <c r="R98" s="481"/>
    </row>
    <row r="99" customFormat="false" ht="15" hidden="false" customHeight="true" outlineLevel="0" collapsed="false">
      <c r="A99" s="562" t="s">
        <v>11814</v>
      </c>
      <c r="B99" s="563" t="s">
        <v>11815</v>
      </c>
      <c r="C99" s="563" t="n">
        <v>2015</v>
      </c>
      <c r="D99" s="564" t="n">
        <v>42367</v>
      </c>
      <c r="E99" s="563" t="s">
        <v>11816</v>
      </c>
      <c r="F99" s="563" t="s">
        <v>2151</v>
      </c>
      <c r="G99" s="563" t="s">
        <v>1174</v>
      </c>
      <c r="H99" s="563" t="s">
        <v>5907</v>
      </c>
      <c r="I99" s="564" t="n">
        <v>44056</v>
      </c>
      <c r="J99" s="563" t="n">
        <v>8</v>
      </c>
      <c r="K99" s="561" t="s">
        <v>53</v>
      </c>
      <c r="L99" s="563" t="s">
        <v>58</v>
      </c>
      <c r="M99" s="546" t="n">
        <f aca="false">I99-D99</f>
        <v>1689</v>
      </c>
      <c r="N99" s="153"/>
      <c r="O99" s="398" t="s">
        <v>86</v>
      </c>
      <c r="P99" s="399" t="n">
        <f aca="false">AVERAGE(M2:M495)</f>
        <v>1568.74390243902</v>
      </c>
      <c r="Q99" s="399"/>
      <c r="R99" s="399"/>
    </row>
    <row r="100" customFormat="false" ht="15" hidden="false" customHeight="true" outlineLevel="0" collapsed="false">
      <c r="A100" s="558" t="s">
        <v>11817</v>
      </c>
      <c r="B100" s="559" t="s">
        <v>11818</v>
      </c>
      <c r="C100" s="559" t="n">
        <v>2017</v>
      </c>
      <c r="D100" s="560" t="n">
        <v>42829</v>
      </c>
      <c r="E100" s="559" t="s">
        <v>11819</v>
      </c>
      <c r="F100" s="559" t="s">
        <v>2151</v>
      </c>
      <c r="G100" s="559" t="s">
        <v>1174</v>
      </c>
      <c r="H100" s="559" t="s">
        <v>706</v>
      </c>
      <c r="I100" s="560" t="n">
        <v>44056</v>
      </c>
      <c r="J100" s="559" t="n">
        <v>8</v>
      </c>
      <c r="K100" s="561" t="s">
        <v>53</v>
      </c>
      <c r="L100" s="559" t="s">
        <v>58</v>
      </c>
      <c r="M100" s="545" t="n">
        <f aca="false">I100-D100</f>
        <v>1227</v>
      </c>
      <c r="N100" s="153"/>
      <c r="O100" s="153"/>
      <c r="P100" s="153"/>
      <c r="Q100" s="153"/>
      <c r="R100" s="153"/>
    </row>
    <row r="101" customFormat="false" ht="15" hidden="false" customHeight="true" outlineLevel="0" collapsed="false">
      <c r="A101" s="562" t="s">
        <v>11820</v>
      </c>
      <c r="B101" s="563" t="s">
        <v>11821</v>
      </c>
      <c r="C101" s="563" t="n">
        <v>2017</v>
      </c>
      <c r="D101" s="564" t="n">
        <v>42829</v>
      </c>
      <c r="E101" s="563" t="s">
        <v>11822</v>
      </c>
      <c r="F101" s="563" t="s">
        <v>2151</v>
      </c>
      <c r="G101" s="563" t="s">
        <v>1174</v>
      </c>
      <c r="H101" s="563" t="s">
        <v>706</v>
      </c>
      <c r="I101" s="564" t="n">
        <v>44056</v>
      </c>
      <c r="J101" s="563" t="n">
        <v>8</v>
      </c>
      <c r="K101" s="561" t="s">
        <v>53</v>
      </c>
      <c r="L101" s="563" t="s">
        <v>58</v>
      </c>
      <c r="M101" s="546" t="n">
        <f aca="false">I101-D101</f>
        <v>1227</v>
      </c>
      <c r="N101" s="153"/>
      <c r="O101" s="153"/>
      <c r="P101" s="153"/>
      <c r="Q101" s="153"/>
      <c r="R101" s="153"/>
    </row>
    <row r="102" customFormat="false" ht="15" hidden="false" customHeight="true" outlineLevel="0" collapsed="false">
      <c r="A102" s="558" t="s">
        <v>11823</v>
      </c>
      <c r="B102" s="559" t="s">
        <v>11824</v>
      </c>
      <c r="C102" s="559" t="n">
        <v>2017</v>
      </c>
      <c r="D102" s="560" t="n">
        <v>42831</v>
      </c>
      <c r="E102" s="559" t="s">
        <v>11825</v>
      </c>
      <c r="F102" s="559" t="s">
        <v>2151</v>
      </c>
      <c r="G102" s="559" t="s">
        <v>1174</v>
      </c>
      <c r="H102" s="559" t="s">
        <v>706</v>
      </c>
      <c r="I102" s="560" t="n">
        <v>44056</v>
      </c>
      <c r="J102" s="559" t="n">
        <v>8</v>
      </c>
      <c r="K102" s="561" t="s">
        <v>53</v>
      </c>
      <c r="L102" s="559" t="s">
        <v>58</v>
      </c>
      <c r="M102" s="545" t="n">
        <f aca="false">I102-D102</f>
        <v>1225</v>
      </c>
      <c r="N102" s="153"/>
      <c r="O102" s="153"/>
      <c r="P102" s="153"/>
      <c r="Q102" s="153"/>
      <c r="R102" s="153"/>
    </row>
    <row r="103" customFormat="false" ht="15" hidden="false" customHeight="true" outlineLevel="0" collapsed="false">
      <c r="A103" s="562" t="s">
        <v>11826</v>
      </c>
      <c r="B103" s="563" t="s">
        <v>11827</v>
      </c>
      <c r="C103" s="563" t="n">
        <v>2017</v>
      </c>
      <c r="D103" s="564" t="n">
        <v>42831</v>
      </c>
      <c r="E103" s="563" t="s">
        <v>11828</v>
      </c>
      <c r="F103" s="563" t="s">
        <v>2151</v>
      </c>
      <c r="G103" s="563" t="s">
        <v>1174</v>
      </c>
      <c r="H103" s="563" t="s">
        <v>706</v>
      </c>
      <c r="I103" s="564" t="n">
        <v>44056</v>
      </c>
      <c r="J103" s="563" t="n">
        <v>8</v>
      </c>
      <c r="K103" s="561" t="s">
        <v>53</v>
      </c>
      <c r="L103" s="563" t="s">
        <v>58</v>
      </c>
      <c r="M103" s="546" t="n">
        <f aca="false">I103-D103</f>
        <v>1225</v>
      </c>
      <c r="N103" s="153"/>
      <c r="O103" s="153"/>
      <c r="P103" s="153"/>
      <c r="Q103" s="153"/>
      <c r="R103" s="153"/>
    </row>
    <row r="104" customFormat="false" ht="15" hidden="false" customHeight="true" outlineLevel="0" collapsed="false">
      <c r="A104" s="558" t="s">
        <v>11829</v>
      </c>
      <c r="B104" s="559" t="s">
        <v>11830</v>
      </c>
      <c r="C104" s="559" t="n">
        <v>2017</v>
      </c>
      <c r="D104" s="560" t="n">
        <v>42886</v>
      </c>
      <c r="E104" s="559" t="s">
        <v>11831</v>
      </c>
      <c r="F104" s="559" t="s">
        <v>2151</v>
      </c>
      <c r="G104" s="559" t="s">
        <v>1174</v>
      </c>
      <c r="H104" s="559" t="s">
        <v>354</v>
      </c>
      <c r="I104" s="560" t="n">
        <v>44056</v>
      </c>
      <c r="J104" s="559" t="n">
        <v>8</v>
      </c>
      <c r="K104" s="561" t="s">
        <v>53</v>
      </c>
      <c r="L104" s="559" t="s">
        <v>58</v>
      </c>
      <c r="M104" s="545" t="n">
        <f aca="false">I104-D104</f>
        <v>1170</v>
      </c>
      <c r="N104" s="153"/>
      <c r="O104" s="153"/>
      <c r="P104" s="153"/>
      <c r="Q104" s="153"/>
      <c r="R104" s="153"/>
    </row>
    <row r="105" customFormat="false" ht="15" hidden="false" customHeight="true" outlineLevel="0" collapsed="false">
      <c r="A105" s="562" t="s">
        <v>11832</v>
      </c>
      <c r="B105" s="563" t="s">
        <v>11833</v>
      </c>
      <c r="C105" s="563" t="n">
        <v>2017</v>
      </c>
      <c r="D105" s="564" t="n">
        <v>42919</v>
      </c>
      <c r="E105" s="563" t="s">
        <v>11834</v>
      </c>
      <c r="F105" s="563" t="s">
        <v>2151</v>
      </c>
      <c r="G105" s="563" t="s">
        <v>1174</v>
      </c>
      <c r="H105" s="563" t="s">
        <v>706</v>
      </c>
      <c r="I105" s="564" t="n">
        <v>44056</v>
      </c>
      <c r="J105" s="563" t="n">
        <v>8</v>
      </c>
      <c r="K105" s="561" t="s">
        <v>53</v>
      </c>
      <c r="L105" s="563" t="s">
        <v>58</v>
      </c>
      <c r="M105" s="546" t="n">
        <f aca="false">I105-D105</f>
        <v>1137</v>
      </c>
      <c r="N105" s="153"/>
      <c r="O105" s="153"/>
      <c r="P105" s="153"/>
      <c r="Q105" s="153"/>
      <c r="R105" s="153"/>
    </row>
    <row r="106" customFormat="false" ht="15" hidden="false" customHeight="true" outlineLevel="0" collapsed="false">
      <c r="A106" s="558" t="s">
        <v>11835</v>
      </c>
      <c r="B106" s="559" t="s">
        <v>11836</v>
      </c>
      <c r="C106" s="559" t="n">
        <v>2019</v>
      </c>
      <c r="D106" s="560" t="n">
        <v>43644</v>
      </c>
      <c r="E106" s="559" t="s">
        <v>11837</v>
      </c>
      <c r="F106" s="559" t="s">
        <v>1156</v>
      </c>
      <c r="G106" s="559" t="s">
        <v>1174</v>
      </c>
      <c r="H106" s="559" t="s">
        <v>522</v>
      </c>
      <c r="I106" s="560" t="n">
        <v>44056</v>
      </c>
      <c r="J106" s="559" t="n">
        <v>8</v>
      </c>
      <c r="K106" s="561" t="s">
        <v>53</v>
      </c>
      <c r="L106" s="559" t="s">
        <v>57</v>
      </c>
      <c r="M106" s="545" t="n">
        <f aca="false">I106-D106</f>
        <v>412</v>
      </c>
      <c r="N106" s="153"/>
      <c r="O106" s="153"/>
      <c r="P106" s="153"/>
      <c r="Q106" s="153"/>
      <c r="R106" s="153"/>
    </row>
    <row r="107" customFormat="false" ht="15" hidden="false" customHeight="true" outlineLevel="0" collapsed="false">
      <c r="A107" s="562" t="s">
        <v>11838</v>
      </c>
      <c r="B107" s="563" t="s">
        <v>11839</v>
      </c>
      <c r="C107" s="563" t="n">
        <v>2019</v>
      </c>
      <c r="D107" s="564" t="n">
        <v>43585</v>
      </c>
      <c r="E107" s="563" t="s">
        <v>11840</v>
      </c>
      <c r="F107" s="563" t="s">
        <v>1312</v>
      </c>
      <c r="G107" s="563" t="s">
        <v>1174</v>
      </c>
      <c r="H107" s="563" t="s">
        <v>208</v>
      </c>
      <c r="I107" s="564" t="n">
        <v>44078</v>
      </c>
      <c r="J107" s="563" t="n">
        <v>9</v>
      </c>
      <c r="K107" s="561" t="s">
        <v>53</v>
      </c>
      <c r="L107" s="563" t="s">
        <v>60</v>
      </c>
      <c r="M107" s="546" t="n">
        <f aca="false">I107-D107</f>
        <v>493</v>
      </c>
      <c r="N107" s="153"/>
      <c r="O107" s="153"/>
      <c r="P107" s="153"/>
      <c r="Q107" s="153"/>
      <c r="R107" s="153"/>
    </row>
    <row r="108" customFormat="false" ht="15" hidden="false" customHeight="true" outlineLevel="0" collapsed="false">
      <c r="A108" s="558" t="s">
        <v>11841</v>
      </c>
      <c r="B108" s="559" t="s">
        <v>11842</v>
      </c>
      <c r="C108" s="559" t="n">
        <v>2018</v>
      </c>
      <c r="D108" s="560" t="n">
        <v>43453</v>
      </c>
      <c r="E108" s="559" t="s">
        <v>11843</v>
      </c>
      <c r="F108" s="559" t="s">
        <v>123</v>
      </c>
      <c r="G108" s="559" t="s">
        <v>1174</v>
      </c>
      <c r="H108" s="559" t="s">
        <v>267</v>
      </c>
      <c r="I108" s="560" t="n">
        <v>44078</v>
      </c>
      <c r="J108" s="559" t="n">
        <v>9</v>
      </c>
      <c r="K108" s="561" t="s">
        <v>53</v>
      </c>
      <c r="L108" s="559" t="s">
        <v>58</v>
      </c>
      <c r="M108" s="545" t="n">
        <f aca="false">I108-D108</f>
        <v>625</v>
      </c>
      <c r="N108" s="153"/>
      <c r="O108" s="153"/>
      <c r="P108" s="153"/>
      <c r="Q108" s="153"/>
      <c r="R108" s="153"/>
    </row>
    <row r="109" customFormat="false" ht="15" hidden="false" customHeight="true" outlineLevel="0" collapsed="false">
      <c r="A109" s="562" t="s">
        <v>11844</v>
      </c>
      <c r="B109" s="563" t="s">
        <v>11845</v>
      </c>
      <c r="C109" s="563" t="n">
        <v>2014</v>
      </c>
      <c r="D109" s="564" t="n">
        <v>41995</v>
      </c>
      <c r="E109" s="563" t="s">
        <v>11846</v>
      </c>
      <c r="F109" s="563" t="s">
        <v>365</v>
      </c>
      <c r="G109" s="563" t="s">
        <v>1174</v>
      </c>
      <c r="H109" s="563" t="s">
        <v>267</v>
      </c>
      <c r="I109" s="564" t="n">
        <v>44104</v>
      </c>
      <c r="J109" s="563" t="n">
        <v>9</v>
      </c>
      <c r="K109" s="561" t="s">
        <v>53</v>
      </c>
      <c r="L109" s="563" t="s">
        <v>58</v>
      </c>
      <c r="M109" s="546" t="n">
        <f aca="false">I109-D109</f>
        <v>2109</v>
      </c>
      <c r="N109" s="153"/>
      <c r="O109" s="153"/>
      <c r="P109" s="153"/>
      <c r="Q109" s="153"/>
      <c r="R109" s="153"/>
    </row>
    <row r="110" customFormat="false" ht="15" hidden="false" customHeight="true" outlineLevel="0" collapsed="false">
      <c r="A110" s="558" t="s">
        <v>11847</v>
      </c>
      <c r="B110" s="559" t="s">
        <v>11848</v>
      </c>
      <c r="C110" s="559" t="n">
        <v>2014</v>
      </c>
      <c r="D110" s="560" t="n">
        <v>41745</v>
      </c>
      <c r="E110" s="559" t="s">
        <v>11849</v>
      </c>
      <c r="F110" s="559" t="s">
        <v>11850</v>
      </c>
      <c r="G110" s="559" t="s">
        <v>1174</v>
      </c>
      <c r="H110" s="559" t="s">
        <v>2677</v>
      </c>
      <c r="I110" s="560" t="n">
        <v>44104</v>
      </c>
      <c r="J110" s="559" t="n">
        <v>9</v>
      </c>
      <c r="K110" s="561" t="s">
        <v>53</v>
      </c>
      <c r="L110" s="559" t="s">
        <v>60</v>
      </c>
      <c r="M110" s="545" t="n">
        <f aca="false">I110-D110</f>
        <v>2359</v>
      </c>
      <c r="N110" s="153"/>
      <c r="O110" s="153"/>
      <c r="P110" s="153"/>
      <c r="Q110" s="153"/>
      <c r="R110" s="153"/>
    </row>
    <row r="111" customFormat="false" ht="15" hidden="false" customHeight="true" outlineLevel="0" collapsed="false">
      <c r="A111" s="562" t="s">
        <v>11851</v>
      </c>
      <c r="B111" s="563" t="s">
        <v>11852</v>
      </c>
      <c r="C111" s="563" t="n">
        <v>2011</v>
      </c>
      <c r="D111" s="564" t="n">
        <v>40800</v>
      </c>
      <c r="E111" s="563" t="s">
        <v>11853</v>
      </c>
      <c r="F111" s="563" t="s">
        <v>1277</v>
      </c>
      <c r="G111" s="563" t="s">
        <v>1174</v>
      </c>
      <c r="H111" s="563" t="s">
        <v>706</v>
      </c>
      <c r="I111" s="564" t="n">
        <v>44106</v>
      </c>
      <c r="J111" s="563" t="n">
        <v>10</v>
      </c>
      <c r="K111" s="561" t="s">
        <v>53</v>
      </c>
      <c r="L111" s="563" t="s">
        <v>58</v>
      </c>
      <c r="M111" s="546" t="n">
        <f aca="false">I111-D111</f>
        <v>3306</v>
      </c>
      <c r="N111" s="153"/>
      <c r="O111" s="153"/>
      <c r="P111" s="153"/>
      <c r="Q111" s="153"/>
      <c r="R111" s="153"/>
    </row>
    <row r="112" customFormat="false" ht="15" hidden="false" customHeight="true" outlineLevel="0" collapsed="false">
      <c r="A112" s="558" t="s">
        <v>11854</v>
      </c>
      <c r="B112" s="559" t="s">
        <v>11855</v>
      </c>
      <c r="C112" s="559" t="n">
        <v>2014</v>
      </c>
      <c r="D112" s="560" t="n">
        <v>41708</v>
      </c>
      <c r="E112" s="559" t="s">
        <v>11856</v>
      </c>
      <c r="F112" s="559" t="s">
        <v>1097</v>
      </c>
      <c r="G112" s="559" t="s">
        <v>1174</v>
      </c>
      <c r="H112" s="559" t="s">
        <v>223</v>
      </c>
      <c r="I112" s="560" t="n">
        <v>44106</v>
      </c>
      <c r="J112" s="559" t="n">
        <v>10</v>
      </c>
      <c r="K112" s="561" t="s">
        <v>53</v>
      </c>
      <c r="L112" s="559" t="s">
        <v>60</v>
      </c>
      <c r="M112" s="545" t="n">
        <f aca="false">I112-D112</f>
        <v>2398</v>
      </c>
      <c r="N112" s="153"/>
      <c r="O112" s="153"/>
      <c r="P112" s="153"/>
      <c r="Q112" s="153"/>
      <c r="R112" s="153"/>
    </row>
    <row r="113" customFormat="false" ht="15" hidden="false" customHeight="true" outlineLevel="0" collapsed="false">
      <c r="A113" s="562" t="s">
        <v>11857</v>
      </c>
      <c r="B113" s="563" t="s">
        <v>11858</v>
      </c>
      <c r="C113" s="563" t="n">
        <v>2014</v>
      </c>
      <c r="D113" s="564" t="n">
        <v>41829</v>
      </c>
      <c r="E113" s="563" t="s">
        <v>11859</v>
      </c>
      <c r="F113" s="563" t="s">
        <v>1639</v>
      </c>
      <c r="G113" s="563" t="s">
        <v>1174</v>
      </c>
      <c r="H113" s="563" t="s">
        <v>1567</v>
      </c>
      <c r="I113" s="564" t="n">
        <v>44106</v>
      </c>
      <c r="J113" s="563" t="n">
        <v>10</v>
      </c>
      <c r="K113" s="561" t="s">
        <v>53</v>
      </c>
      <c r="L113" s="563" t="s">
        <v>60</v>
      </c>
      <c r="M113" s="546" t="n">
        <f aca="false">I113-D113</f>
        <v>2277</v>
      </c>
    </row>
    <row r="114" customFormat="false" ht="15" hidden="false" customHeight="true" outlineLevel="0" collapsed="false">
      <c r="A114" s="558" t="s">
        <v>11860</v>
      </c>
      <c r="B114" s="559" t="s">
        <v>11861</v>
      </c>
      <c r="C114" s="559" t="n">
        <v>2019</v>
      </c>
      <c r="D114" s="560" t="n">
        <v>43524</v>
      </c>
      <c r="E114" s="559" t="s">
        <v>11862</v>
      </c>
      <c r="F114" s="559" t="s">
        <v>1639</v>
      </c>
      <c r="G114" s="559" t="s">
        <v>1174</v>
      </c>
      <c r="H114" s="559" t="s">
        <v>522</v>
      </c>
      <c r="I114" s="560" t="n">
        <v>44106</v>
      </c>
      <c r="J114" s="559" t="n">
        <v>10</v>
      </c>
      <c r="K114" s="561" t="s">
        <v>53</v>
      </c>
      <c r="L114" s="559" t="s">
        <v>60</v>
      </c>
      <c r="M114" s="545" t="n">
        <f aca="false">I114-D114</f>
        <v>582</v>
      </c>
    </row>
    <row r="115" customFormat="false" ht="15" hidden="false" customHeight="true" outlineLevel="0" collapsed="false">
      <c r="A115" s="562" t="s">
        <v>11863</v>
      </c>
      <c r="B115" s="563" t="s">
        <v>11864</v>
      </c>
      <c r="C115" s="563" t="n">
        <v>2014</v>
      </c>
      <c r="D115" s="564" t="n">
        <v>41920</v>
      </c>
      <c r="E115" s="563" t="s">
        <v>11865</v>
      </c>
      <c r="F115" s="563" t="s">
        <v>1156</v>
      </c>
      <c r="G115" s="563" t="s">
        <v>1174</v>
      </c>
      <c r="H115" s="563" t="s">
        <v>2677</v>
      </c>
      <c r="I115" s="564" t="n">
        <v>44106</v>
      </c>
      <c r="J115" s="563" t="n">
        <v>10</v>
      </c>
      <c r="K115" s="561" t="s">
        <v>53</v>
      </c>
      <c r="L115" s="563" t="s">
        <v>57</v>
      </c>
      <c r="M115" s="546" t="n">
        <f aca="false">I115-D115</f>
        <v>2186</v>
      </c>
    </row>
    <row r="116" customFormat="false" ht="15" hidden="false" customHeight="true" outlineLevel="0" collapsed="false">
      <c r="A116" s="558" t="s">
        <v>11866</v>
      </c>
      <c r="B116" s="559" t="s">
        <v>11867</v>
      </c>
      <c r="C116" s="559" t="n">
        <v>2014</v>
      </c>
      <c r="D116" s="560" t="n">
        <v>41941</v>
      </c>
      <c r="E116" s="559" t="s">
        <v>11868</v>
      </c>
      <c r="F116" s="559" t="s">
        <v>1156</v>
      </c>
      <c r="G116" s="559" t="s">
        <v>1174</v>
      </c>
      <c r="H116" s="559" t="s">
        <v>350</v>
      </c>
      <c r="I116" s="560" t="n">
        <v>44106</v>
      </c>
      <c r="J116" s="559" t="n">
        <v>10</v>
      </c>
      <c r="K116" s="561" t="s">
        <v>53</v>
      </c>
      <c r="L116" s="559" t="s">
        <v>57</v>
      </c>
      <c r="M116" s="545" t="n">
        <f aca="false">I116-D116</f>
        <v>2165</v>
      </c>
    </row>
    <row r="117" customFormat="false" ht="15" hidden="false" customHeight="true" outlineLevel="0" collapsed="false">
      <c r="A117" s="562" t="s">
        <v>11869</v>
      </c>
      <c r="B117" s="563" t="s">
        <v>11870</v>
      </c>
      <c r="C117" s="563" t="n">
        <v>2014</v>
      </c>
      <c r="D117" s="564" t="n">
        <v>41953</v>
      </c>
      <c r="E117" s="563" t="s">
        <v>11871</v>
      </c>
      <c r="F117" s="563" t="s">
        <v>1156</v>
      </c>
      <c r="G117" s="563" t="s">
        <v>1174</v>
      </c>
      <c r="H117" s="563" t="s">
        <v>184</v>
      </c>
      <c r="I117" s="564" t="n">
        <v>44106</v>
      </c>
      <c r="J117" s="563" t="n">
        <v>10</v>
      </c>
      <c r="K117" s="561" t="s">
        <v>53</v>
      </c>
      <c r="L117" s="563" t="s">
        <v>57</v>
      </c>
      <c r="M117" s="546" t="n">
        <f aca="false">I117-D117</f>
        <v>2153</v>
      </c>
    </row>
    <row r="118" customFormat="false" ht="15" hidden="false" customHeight="true" outlineLevel="0" collapsed="false">
      <c r="A118" s="558" t="s">
        <v>11872</v>
      </c>
      <c r="B118" s="559" t="s">
        <v>11873</v>
      </c>
      <c r="C118" s="559" t="n">
        <v>2014</v>
      </c>
      <c r="D118" s="560" t="n">
        <v>41996</v>
      </c>
      <c r="E118" s="559" t="s">
        <v>11874</v>
      </c>
      <c r="F118" s="559" t="s">
        <v>1156</v>
      </c>
      <c r="G118" s="559" t="s">
        <v>1174</v>
      </c>
      <c r="H118" s="559" t="s">
        <v>1266</v>
      </c>
      <c r="I118" s="560" t="n">
        <v>44106</v>
      </c>
      <c r="J118" s="559" t="n">
        <v>10</v>
      </c>
      <c r="K118" s="561" t="s">
        <v>53</v>
      </c>
      <c r="L118" s="559" t="s">
        <v>57</v>
      </c>
      <c r="M118" s="545" t="n">
        <f aca="false">I118-D118</f>
        <v>2110</v>
      </c>
    </row>
    <row r="119" customFormat="false" ht="15" hidden="false" customHeight="true" outlineLevel="0" collapsed="false">
      <c r="A119" s="562" t="s">
        <v>11875</v>
      </c>
      <c r="B119" s="563" t="s">
        <v>11876</v>
      </c>
      <c r="C119" s="563" t="n">
        <v>2020</v>
      </c>
      <c r="D119" s="564" t="n">
        <v>43851</v>
      </c>
      <c r="E119" s="563" t="s">
        <v>11877</v>
      </c>
      <c r="F119" s="563" t="s">
        <v>509</v>
      </c>
      <c r="G119" s="563" t="s">
        <v>1174</v>
      </c>
      <c r="H119" s="563" t="s">
        <v>1266</v>
      </c>
      <c r="I119" s="564" t="n">
        <v>44106</v>
      </c>
      <c r="J119" s="563" t="n">
        <v>10</v>
      </c>
      <c r="K119" s="561" t="s">
        <v>53</v>
      </c>
      <c r="L119" s="563" t="s">
        <v>58</v>
      </c>
      <c r="M119" s="546" t="n">
        <f aca="false">I119-D119</f>
        <v>255</v>
      </c>
    </row>
    <row r="120" customFormat="false" ht="15" hidden="false" customHeight="true" outlineLevel="0" collapsed="false">
      <c r="A120" s="558" t="s">
        <v>11878</v>
      </c>
      <c r="B120" s="559" t="s">
        <v>11879</v>
      </c>
      <c r="C120" s="559" t="n">
        <v>2015</v>
      </c>
      <c r="D120" s="560" t="n">
        <v>42093</v>
      </c>
      <c r="E120" s="559" t="s">
        <v>11880</v>
      </c>
      <c r="F120" s="559" t="s">
        <v>7360</v>
      </c>
      <c r="G120" s="559" t="s">
        <v>1174</v>
      </c>
      <c r="H120" s="559" t="s">
        <v>192</v>
      </c>
      <c r="I120" s="560" t="n">
        <v>44110</v>
      </c>
      <c r="J120" s="559" t="n">
        <v>10</v>
      </c>
      <c r="K120" s="561" t="s">
        <v>53</v>
      </c>
      <c r="L120" s="559" t="s">
        <v>60</v>
      </c>
      <c r="M120" s="545" t="n">
        <f aca="false">I120-D120</f>
        <v>2017</v>
      </c>
    </row>
    <row r="121" customFormat="false" ht="15" hidden="false" customHeight="true" outlineLevel="0" collapsed="false">
      <c r="A121" s="562" t="s">
        <v>11881</v>
      </c>
      <c r="B121" s="563" t="s">
        <v>11882</v>
      </c>
      <c r="C121" s="563" t="n">
        <v>2015</v>
      </c>
      <c r="D121" s="564" t="n">
        <v>42338</v>
      </c>
      <c r="E121" s="563" t="s">
        <v>11883</v>
      </c>
      <c r="F121" s="563" t="s">
        <v>1273</v>
      </c>
      <c r="G121" s="563" t="s">
        <v>1174</v>
      </c>
      <c r="H121" s="563" t="s">
        <v>4752</v>
      </c>
      <c r="I121" s="564" t="n">
        <v>44121</v>
      </c>
      <c r="J121" s="563" t="n">
        <v>10</v>
      </c>
      <c r="K121" s="561" t="s">
        <v>53</v>
      </c>
      <c r="L121" s="563" t="s">
        <v>58</v>
      </c>
      <c r="M121" s="546" t="n">
        <f aca="false">I121-D121</f>
        <v>1783</v>
      </c>
    </row>
    <row r="122" customFormat="false" ht="15" hidden="false" customHeight="true" outlineLevel="0" collapsed="false">
      <c r="A122" s="558" t="s">
        <v>11884</v>
      </c>
      <c r="B122" s="559" t="s">
        <v>11885</v>
      </c>
      <c r="C122" s="559" t="n">
        <v>2017</v>
      </c>
      <c r="D122" s="560" t="n">
        <v>42919</v>
      </c>
      <c r="E122" s="559" t="s">
        <v>11886</v>
      </c>
      <c r="F122" s="559" t="s">
        <v>1817</v>
      </c>
      <c r="G122" s="559" t="s">
        <v>1174</v>
      </c>
      <c r="H122" s="559" t="s">
        <v>11617</v>
      </c>
      <c r="I122" s="560" t="n">
        <v>44121</v>
      </c>
      <c r="J122" s="559" t="n">
        <v>10</v>
      </c>
      <c r="K122" s="561" t="s">
        <v>53</v>
      </c>
      <c r="L122" s="559" t="s">
        <v>58</v>
      </c>
      <c r="M122" s="545" t="n">
        <f aca="false">I122-D122</f>
        <v>1202</v>
      </c>
    </row>
    <row r="123" customFormat="false" ht="15" hidden="false" customHeight="true" outlineLevel="0" collapsed="false">
      <c r="A123" s="562" t="s">
        <v>11887</v>
      </c>
      <c r="B123" s="563" t="s">
        <v>11888</v>
      </c>
      <c r="C123" s="563" t="n">
        <v>2015</v>
      </c>
      <c r="D123" s="564" t="n">
        <v>42206</v>
      </c>
      <c r="E123" s="563" t="s">
        <v>11889</v>
      </c>
      <c r="F123" s="563" t="s">
        <v>7360</v>
      </c>
      <c r="G123" s="563" t="s">
        <v>1174</v>
      </c>
      <c r="H123" s="563" t="s">
        <v>1266</v>
      </c>
      <c r="I123" s="564" t="n">
        <v>44144</v>
      </c>
      <c r="J123" s="563" t="n">
        <v>11</v>
      </c>
      <c r="K123" s="561" t="s">
        <v>53</v>
      </c>
      <c r="L123" s="563" t="s">
        <v>60</v>
      </c>
      <c r="M123" s="546" t="n">
        <f aca="false">I123-D123</f>
        <v>1938</v>
      </c>
    </row>
    <row r="124" customFormat="false" ht="15" hidden="false" customHeight="true" outlineLevel="0" collapsed="false">
      <c r="A124" s="558" t="s">
        <v>11890</v>
      </c>
      <c r="B124" s="559" t="s">
        <v>11891</v>
      </c>
      <c r="C124" s="559" t="n">
        <v>2015</v>
      </c>
      <c r="D124" s="560" t="n">
        <v>42250</v>
      </c>
      <c r="E124" s="559" t="s">
        <v>11892</v>
      </c>
      <c r="F124" s="559" t="s">
        <v>1200</v>
      </c>
      <c r="G124" s="559" t="s">
        <v>1174</v>
      </c>
      <c r="H124" s="559" t="s">
        <v>471</v>
      </c>
      <c r="I124" s="560" t="n">
        <v>44144</v>
      </c>
      <c r="J124" s="559" t="n">
        <v>11</v>
      </c>
      <c r="K124" s="561" t="s">
        <v>53</v>
      </c>
      <c r="L124" s="559" t="s">
        <v>58</v>
      </c>
      <c r="M124" s="545" t="n">
        <f aca="false">I124-D124</f>
        <v>1894</v>
      </c>
    </row>
    <row r="125" customFormat="false" ht="15" hidden="false" customHeight="true" outlineLevel="0" collapsed="false">
      <c r="A125" s="562" t="s">
        <v>11893</v>
      </c>
      <c r="B125" s="563" t="s">
        <v>11894</v>
      </c>
      <c r="C125" s="563" t="n">
        <v>2017</v>
      </c>
      <c r="D125" s="564" t="n">
        <v>42790</v>
      </c>
      <c r="E125" s="563" t="s">
        <v>11895</v>
      </c>
      <c r="F125" s="563" t="s">
        <v>3865</v>
      </c>
      <c r="G125" s="563" t="s">
        <v>1174</v>
      </c>
      <c r="H125" s="563" t="s">
        <v>354</v>
      </c>
      <c r="I125" s="564" t="n">
        <v>44144</v>
      </c>
      <c r="J125" s="563" t="n">
        <v>11</v>
      </c>
      <c r="K125" s="561" t="s">
        <v>53</v>
      </c>
      <c r="L125" s="563" t="s">
        <v>60</v>
      </c>
      <c r="M125" s="546" t="n">
        <f aca="false">I125-D125</f>
        <v>1354</v>
      </c>
    </row>
    <row r="126" customFormat="false" ht="15" hidden="false" customHeight="true" outlineLevel="0" collapsed="false">
      <c r="A126" s="558" t="s">
        <v>11896</v>
      </c>
      <c r="B126" s="559" t="s">
        <v>11897</v>
      </c>
      <c r="C126" s="559" t="n">
        <v>2018</v>
      </c>
      <c r="D126" s="560" t="n">
        <v>43250</v>
      </c>
      <c r="E126" s="559" t="s">
        <v>11898</v>
      </c>
      <c r="F126" s="559" t="s">
        <v>509</v>
      </c>
      <c r="G126" s="559" t="s">
        <v>1174</v>
      </c>
      <c r="H126" s="559" t="s">
        <v>522</v>
      </c>
      <c r="I126" s="560" t="n">
        <v>44144</v>
      </c>
      <c r="J126" s="559" t="n">
        <v>11</v>
      </c>
      <c r="K126" s="561" t="s">
        <v>53</v>
      </c>
      <c r="L126" s="559" t="s">
        <v>58</v>
      </c>
      <c r="M126" s="545" t="n">
        <f aca="false">I126-D126</f>
        <v>894</v>
      </c>
    </row>
    <row r="127" customFormat="false" ht="15" hidden="false" customHeight="true" outlineLevel="0" collapsed="false">
      <c r="A127" s="562" t="s">
        <v>11899</v>
      </c>
      <c r="B127" s="563" t="s">
        <v>11900</v>
      </c>
      <c r="C127" s="563" t="n">
        <v>2018</v>
      </c>
      <c r="D127" s="564" t="n">
        <v>43434</v>
      </c>
      <c r="E127" s="563" t="s">
        <v>11901</v>
      </c>
      <c r="F127" s="563" t="s">
        <v>11902</v>
      </c>
      <c r="G127" s="563" t="s">
        <v>1174</v>
      </c>
      <c r="H127" s="563" t="s">
        <v>522</v>
      </c>
      <c r="I127" s="564" t="n">
        <v>44144</v>
      </c>
      <c r="J127" s="563" t="n">
        <v>11</v>
      </c>
      <c r="K127" s="561" t="s">
        <v>53</v>
      </c>
      <c r="L127" s="563" t="s">
        <v>58</v>
      </c>
      <c r="M127" s="546" t="n">
        <f aca="false">I127-D127</f>
        <v>710</v>
      </c>
    </row>
    <row r="128" customFormat="false" ht="15" hidden="false" customHeight="true" outlineLevel="0" collapsed="false">
      <c r="A128" s="558" t="s">
        <v>11903</v>
      </c>
      <c r="B128" s="559" t="s">
        <v>11904</v>
      </c>
      <c r="C128" s="559" t="n">
        <v>2019</v>
      </c>
      <c r="D128" s="560" t="n">
        <v>43706</v>
      </c>
      <c r="E128" s="559" t="s">
        <v>11905</v>
      </c>
      <c r="F128" s="559" t="s">
        <v>211</v>
      </c>
      <c r="G128" s="559" t="s">
        <v>1174</v>
      </c>
      <c r="H128" s="559" t="s">
        <v>267</v>
      </c>
      <c r="I128" s="560" t="n">
        <v>44144</v>
      </c>
      <c r="J128" s="559" t="n">
        <v>11</v>
      </c>
      <c r="K128" s="561" t="s">
        <v>53</v>
      </c>
      <c r="L128" s="559" t="s">
        <v>58</v>
      </c>
      <c r="M128" s="545" t="n">
        <f aca="false">I128-D128</f>
        <v>438</v>
      </c>
    </row>
    <row r="129" customFormat="false" ht="15" hidden="false" customHeight="true" outlineLevel="0" collapsed="false">
      <c r="A129" s="562" t="s">
        <v>11906</v>
      </c>
      <c r="B129" s="563" t="s">
        <v>11907</v>
      </c>
      <c r="C129" s="563" t="n">
        <v>2015</v>
      </c>
      <c r="D129" s="564" t="n">
        <v>42261</v>
      </c>
      <c r="E129" s="563" t="s">
        <v>11908</v>
      </c>
      <c r="F129" s="563" t="s">
        <v>1373</v>
      </c>
      <c r="G129" s="563" t="s">
        <v>1174</v>
      </c>
      <c r="H129" s="563" t="s">
        <v>706</v>
      </c>
      <c r="I129" s="564" t="n">
        <v>44151</v>
      </c>
      <c r="J129" s="563" t="n">
        <v>11</v>
      </c>
      <c r="K129" s="561" t="s">
        <v>53</v>
      </c>
      <c r="L129" s="563" t="s">
        <v>60</v>
      </c>
      <c r="M129" s="546" t="n">
        <f aca="false">I129-D129</f>
        <v>1890</v>
      </c>
    </row>
    <row r="130" customFormat="false" ht="15" hidden="false" customHeight="true" outlineLevel="0" collapsed="false">
      <c r="A130" s="558" t="s">
        <v>11909</v>
      </c>
      <c r="B130" s="559" t="s">
        <v>11910</v>
      </c>
      <c r="C130" s="559" t="n">
        <v>2014</v>
      </c>
      <c r="D130" s="560" t="n">
        <v>41696</v>
      </c>
      <c r="E130" s="559" t="s">
        <v>11911</v>
      </c>
      <c r="F130" s="559" t="s">
        <v>6460</v>
      </c>
      <c r="G130" s="559" t="s">
        <v>1174</v>
      </c>
      <c r="H130" s="559" t="s">
        <v>267</v>
      </c>
      <c r="I130" s="560" t="n">
        <v>44151</v>
      </c>
      <c r="J130" s="559" t="n">
        <v>11</v>
      </c>
      <c r="K130" s="561" t="s">
        <v>53</v>
      </c>
      <c r="L130" s="559" t="s">
        <v>60</v>
      </c>
      <c r="M130" s="545" t="n">
        <f aca="false">I130-D130</f>
        <v>2455</v>
      </c>
    </row>
    <row r="131" customFormat="false" ht="15" hidden="false" customHeight="true" outlineLevel="0" collapsed="false">
      <c r="A131" s="562" t="s">
        <v>11912</v>
      </c>
      <c r="B131" s="563" t="s">
        <v>11913</v>
      </c>
      <c r="C131" s="563" t="n">
        <v>2016</v>
      </c>
      <c r="D131" s="564" t="n">
        <v>42618</v>
      </c>
      <c r="E131" s="563" t="s">
        <v>11914</v>
      </c>
      <c r="F131" s="563" t="s">
        <v>365</v>
      </c>
      <c r="G131" s="563" t="s">
        <v>1174</v>
      </c>
      <c r="H131" s="563" t="s">
        <v>471</v>
      </c>
      <c r="I131" s="564" t="n">
        <v>44151</v>
      </c>
      <c r="J131" s="563" t="n">
        <v>11</v>
      </c>
      <c r="K131" s="561" t="s">
        <v>53</v>
      </c>
      <c r="L131" s="563" t="s">
        <v>60</v>
      </c>
      <c r="M131" s="546" t="n">
        <f aca="false">I131-D131</f>
        <v>1533</v>
      </c>
    </row>
    <row r="132" customFormat="false" ht="15" hidden="false" customHeight="true" outlineLevel="0" collapsed="false">
      <c r="A132" s="558" t="s">
        <v>11915</v>
      </c>
      <c r="B132" s="559" t="s">
        <v>11916</v>
      </c>
      <c r="C132" s="559" t="n">
        <v>2019</v>
      </c>
      <c r="D132" s="560" t="n">
        <v>43580</v>
      </c>
      <c r="E132" s="559" t="s">
        <v>11917</v>
      </c>
      <c r="F132" s="559" t="s">
        <v>211</v>
      </c>
      <c r="G132" s="559" t="s">
        <v>1174</v>
      </c>
      <c r="H132" s="559" t="s">
        <v>10170</v>
      </c>
      <c r="I132" s="560" t="n">
        <v>44151</v>
      </c>
      <c r="J132" s="559" t="n">
        <v>11</v>
      </c>
      <c r="K132" s="561" t="s">
        <v>53</v>
      </c>
      <c r="L132" s="559" t="s">
        <v>58</v>
      </c>
      <c r="M132" s="545" t="n">
        <f aca="false">I132-D132</f>
        <v>571</v>
      </c>
    </row>
    <row r="133" customFormat="false" ht="15" hidden="false" customHeight="true" outlineLevel="0" collapsed="false">
      <c r="A133" s="562" t="s">
        <v>11918</v>
      </c>
      <c r="B133" s="563" t="s">
        <v>11919</v>
      </c>
      <c r="C133" s="563" t="n">
        <v>2015</v>
      </c>
      <c r="D133" s="564" t="n">
        <v>42263</v>
      </c>
      <c r="E133" s="563" t="s">
        <v>11920</v>
      </c>
      <c r="F133" s="563" t="s">
        <v>2151</v>
      </c>
      <c r="G133" s="563" t="s">
        <v>1174</v>
      </c>
      <c r="H133" s="563" t="s">
        <v>350</v>
      </c>
      <c r="I133" s="564" t="n">
        <v>44151</v>
      </c>
      <c r="J133" s="563" t="n">
        <v>11</v>
      </c>
      <c r="K133" s="561" t="s">
        <v>53</v>
      </c>
      <c r="L133" s="563" t="s">
        <v>60</v>
      </c>
      <c r="M133" s="546" t="n">
        <f aca="false">I133-D133</f>
        <v>1888</v>
      </c>
    </row>
    <row r="134" customFormat="false" ht="15" hidden="false" customHeight="true" outlineLevel="0" collapsed="false">
      <c r="A134" s="558" t="s">
        <v>11921</v>
      </c>
      <c r="B134" s="559" t="s">
        <v>11922</v>
      </c>
      <c r="C134" s="559" t="n">
        <v>2014</v>
      </c>
      <c r="D134" s="560" t="n">
        <v>41950</v>
      </c>
      <c r="E134" s="559" t="s">
        <v>11923</v>
      </c>
      <c r="F134" s="559" t="s">
        <v>3865</v>
      </c>
      <c r="G134" s="559" t="s">
        <v>1174</v>
      </c>
      <c r="H134" s="559" t="s">
        <v>350</v>
      </c>
      <c r="I134" s="560" t="n">
        <v>44151</v>
      </c>
      <c r="J134" s="559" t="n">
        <v>11</v>
      </c>
      <c r="K134" s="561" t="s">
        <v>53</v>
      </c>
      <c r="L134" s="559" t="s">
        <v>60</v>
      </c>
      <c r="M134" s="545" t="n">
        <f aca="false">I134-D134</f>
        <v>2201</v>
      </c>
    </row>
    <row r="135" customFormat="false" ht="15" hidden="false" customHeight="true" outlineLevel="0" collapsed="false">
      <c r="A135" s="562" t="s">
        <v>11924</v>
      </c>
      <c r="B135" s="563" t="s">
        <v>11925</v>
      </c>
      <c r="C135" s="563" t="n">
        <v>2019</v>
      </c>
      <c r="D135" s="564" t="n">
        <v>43524</v>
      </c>
      <c r="E135" s="563" t="s">
        <v>11926</v>
      </c>
      <c r="F135" s="563" t="s">
        <v>1609</v>
      </c>
      <c r="G135" s="563" t="s">
        <v>1174</v>
      </c>
      <c r="H135" s="563" t="s">
        <v>208</v>
      </c>
      <c r="I135" s="564" t="n">
        <v>44151</v>
      </c>
      <c r="J135" s="563" t="n">
        <v>11</v>
      </c>
      <c r="K135" s="561" t="s">
        <v>53</v>
      </c>
      <c r="L135" s="563" t="s">
        <v>57</v>
      </c>
      <c r="M135" s="546" t="n">
        <f aca="false">I135-D135</f>
        <v>627</v>
      </c>
    </row>
    <row r="136" customFormat="false" ht="15" hidden="false" customHeight="true" outlineLevel="0" collapsed="false">
      <c r="A136" s="558" t="s">
        <v>11927</v>
      </c>
      <c r="B136" s="559" t="s">
        <v>11928</v>
      </c>
      <c r="C136" s="559" t="n">
        <v>2018</v>
      </c>
      <c r="D136" s="560" t="n">
        <v>43451</v>
      </c>
      <c r="E136" s="559" t="s">
        <v>11929</v>
      </c>
      <c r="F136" s="559" t="s">
        <v>1609</v>
      </c>
      <c r="G136" s="559" t="s">
        <v>1174</v>
      </c>
      <c r="H136" s="559" t="s">
        <v>693</v>
      </c>
      <c r="I136" s="560" t="n">
        <v>44151</v>
      </c>
      <c r="J136" s="559" t="n">
        <v>11</v>
      </c>
      <c r="K136" s="561" t="s">
        <v>53</v>
      </c>
      <c r="L136" s="559" t="s">
        <v>57</v>
      </c>
      <c r="M136" s="545" t="n">
        <f aca="false">I136-D136</f>
        <v>700</v>
      </c>
    </row>
    <row r="137" customFormat="false" ht="15" hidden="false" customHeight="true" outlineLevel="0" collapsed="false">
      <c r="A137" s="562" t="s">
        <v>11930</v>
      </c>
      <c r="B137" s="563" t="s">
        <v>11931</v>
      </c>
      <c r="C137" s="563" t="n">
        <v>2017</v>
      </c>
      <c r="D137" s="564" t="n">
        <v>42947</v>
      </c>
      <c r="E137" s="563" t="s">
        <v>11932</v>
      </c>
      <c r="F137" s="563" t="s">
        <v>459</v>
      </c>
      <c r="G137" s="563" t="s">
        <v>1174</v>
      </c>
      <c r="H137" s="563" t="s">
        <v>1109</v>
      </c>
      <c r="I137" s="564" t="n">
        <v>44151</v>
      </c>
      <c r="J137" s="563" t="n">
        <v>11</v>
      </c>
      <c r="K137" s="561" t="s">
        <v>53</v>
      </c>
      <c r="L137" s="563" t="s">
        <v>58</v>
      </c>
      <c r="M137" s="546" t="n">
        <f aca="false">I137-D137</f>
        <v>1204</v>
      </c>
    </row>
    <row r="138" customFormat="false" ht="15" hidden="false" customHeight="true" outlineLevel="0" collapsed="false">
      <c r="A138" s="558" t="s">
        <v>11933</v>
      </c>
      <c r="B138" s="559" t="s">
        <v>11934</v>
      </c>
      <c r="C138" s="559" t="n">
        <v>2017</v>
      </c>
      <c r="D138" s="560" t="n">
        <v>42894</v>
      </c>
      <c r="E138" s="559" t="s">
        <v>11935</v>
      </c>
      <c r="F138" s="559" t="s">
        <v>459</v>
      </c>
      <c r="G138" s="559" t="s">
        <v>1174</v>
      </c>
      <c r="H138" s="559" t="s">
        <v>310</v>
      </c>
      <c r="I138" s="560" t="n">
        <v>44151</v>
      </c>
      <c r="J138" s="559" t="n">
        <v>11</v>
      </c>
      <c r="K138" s="561" t="s">
        <v>53</v>
      </c>
      <c r="L138" s="559" t="s">
        <v>58</v>
      </c>
      <c r="M138" s="545" t="n">
        <f aca="false">I138-D138</f>
        <v>1257</v>
      </c>
    </row>
    <row r="139" customFormat="false" ht="15" hidden="false" customHeight="true" outlineLevel="0" collapsed="false">
      <c r="A139" s="562" t="s">
        <v>11936</v>
      </c>
      <c r="B139" s="563" t="s">
        <v>11937</v>
      </c>
      <c r="C139" s="563" t="n">
        <v>2015</v>
      </c>
      <c r="D139" s="564" t="n">
        <v>42303</v>
      </c>
      <c r="E139" s="563" t="s">
        <v>11938</v>
      </c>
      <c r="F139" s="563" t="s">
        <v>459</v>
      </c>
      <c r="G139" s="563" t="s">
        <v>1174</v>
      </c>
      <c r="H139" s="563" t="s">
        <v>192</v>
      </c>
      <c r="I139" s="564" t="n">
        <v>44151</v>
      </c>
      <c r="J139" s="563" t="n">
        <v>11</v>
      </c>
      <c r="K139" s="561" t="s">
        <v>53</v>
      </c>
      <c r="L139" s="563" t="s">
        <v>58</v>
      </c>
      <c r="M139" s="546" t="n">
        <f aca="false">I139-D139</f>
        <v>1848</v>
      </c>
    </row>
    <row r="140" customFormat="false" ht="15" hidden="false" customHeight="true" outlineLevel="0" collapsed="false">
      <c r="A140" s="558" t="s">
        <v>11939</v>
      </c>
      <c r="B140" s="559" t="s">
        <v>11940</v>
      </c>
      <c r="C140" s="559" t="n">
        <v>2015</v>
      </c>
      <c r="D140" s="560" t="n">
        <v>42216</v>
      </c>
      <c r="E140" s="559" t="s">
        <v>11941</v>
      </c>
      <c r="F140" s="559" t="s">
        <v>459</v>
      </c>
      <c r="G140" s="559" t="s">
        <v>1174</v>
      </c>
      <c r="H140" s="559" t="s">
        <v>522</v>
      </c>
      <c r="I140" s="560" t="n">
        <v>44151</v>
      </c>
      <c r="J140" s="559" t="n">
        <v>11</v>
      </c>
      <c r="K140" s="561" t="s">
        <v>53</v>
      </c>
      <c r="L140" s="559" t="s">
        <v>58</v>
      </c>
      <c r="M140" s="545" t="n">
        <f aca="false">I140-D140</f>
        <v>1935</v>
      </c>
    </row>
    <row r="141" customFormat="false" ht="15" hidden="false" customHeight="true" outlineLevel="0" collapsed="false">
      <c r="A141" s="562" t="s">
        <v>11942</v>
      </c>
      <c r="B141" s="563" t="s">
        <v>11943</v>
      </c>
      <c r="C141" s="563" t="n">
        <v>2015</v>
      </c>
      <c r="D141" s="564" t="n">
        <v>42123</v>
      </c>
      <c r="E141" s="563" t="s">
        <v>11944</v>
      </c>
      <c r="F141" s="563" t="s">
        <v>459</v>
      </c>
      <c r="G141" s="563" t="s">
        <v>1174</v>
      </c>
      <c r="H141" s="563" t="s">
        <v>706</v>
      </c>
      <c r="I141" s="564" t="n">
        <v>44151</v>
      </c>
      <c r="J141" s="563" t="n">
        <v>11</v>
      </c>
      <c r="K141" s="561" t="s">
        <v>53</v>
      </c>
      <c r="L141" s="563" t="s">
        <v>58</v>
      </c>
      <c r="M141" s="546" t="n">
        <f aca="false">I141-D141</f>
        <v>2028</v>
      </c>
    </row>
    <row r="142" customFormat="false" ht="15" hidden="false" customHeight="true" outlineLevel="0" collapsed="false">
      <c r="A142" s="558" t="s">
        <v>11945</v>
      </c>
      <c r="B142" s="559" t="s">
        <v>10232</v>
      </c>
      <c r="C142" s="559" t="n">
        <v>2011</v>
      </c>
      <c r="D142" s="560" t="n">
        <v>40738</v>
      </c>
      <c r="E142" s="559" t="s">
        <v>11946</v>
      </c>
      <c r="F142" s="559" t="s">
        <v>3656</v>
      </c>
      <c r="G142" s="559" t="s">
        <v>1174</v>
      </c>
      <c r="H142" s="559" t="s">
        <v>2677</v>
      </c>
      <c r="I142" s="560" t="n">
        <v>44161</v>
      </c>
      <c r="J142" s="559" t="n">
        <v>11</v>
      </c>
      <c r="K142" s="561" t="s">
        <v>53</v>
      </c>
      <c r="L142" s="559" t="s">
        <v>60</v>
      </c>
      <c r="M142" s="545" t="n">
        <f aca="false">I142-D142</f>
        <v>3423</v>
      </c>
    </row>
    <row r="143" customFormat="false" ht="15" hidden="false" customHeight="true" outlineLevel="0" collapsed="false">
      <c r="A143" s="562" t="s">
        <v>11947</v>
      </c>
      <c r="B143" s="563" t="s">
        <v>11948</v>
      </c>
      <c r="C143" s="563" t="n">
        <v>2018</v>
      </c>
      <c r="D143" s="564" t="n">
        <v>43150</v>
      </c>
      <c r="E143" s="563" t="s">
        <v>11949</v>
      </c>
      <c r="F143" s="563" t="s">
        <v>3656</v>
      </c>
      <c r="G143" s="563" t="s">
        <v>1174</v>
      </c>
      <c r="H143" s="563" t="s">
        <v>706</v>
      </c>
      <c r="I143" s="564" t="n">
        <v>44161</v>
      </c>
      <c r="J143" s="563" t="n">
        <v>11</v>
      </c>
      <c r="K143" s="561" t="s">
        <v>53</v>
      </c>
      <c r="L143" s="563" t="s">
        <v>60</v>
      </c>
      <c r="M143" s="546" t="n">
        <f aca="false">I143-D143</f>
        <v>1011</v>
      </c>
    </row>
    <row r="144" customFormat="false" ht="15" hidden="false" customHeight="true" outlineLevel="0" collapsed="false">
      <c r="A144" s="558" t="s">
        <v>11950</v>
      </c>
      <c r="B144" s="559" t="s">
        <v>11951</v>
      </c>
      <c r="C144" s="559" t="n">
        <v>2014</v>
      </c>
      <c r="D144" s="560" t="n">
        <v>41974</v>
      </c>
      <c r="E144" s="559" t="s">
        <v>11952</v>
      </c>
      <c r="F144" s="559" t="s">
        <v>138</v>
      </c>
      <c r="G144" s="559" t="s">
        <v>1174</v>
      </c>
      <c r="H144" s="559" t="s">
        <v>471</v>
      </c>
      <c r="I144" s="560" t="n">
        <v>44161</v>
      </c>
      <c r="J144" s="559" t="n">
        <v>11</v>
      </c>
      <c r="K144" s="561" t="s">
        <v>53</v>
      </c>
      <c r="L144" s="559" t="s">
        <v>61</v>
      </c>
      <c r="M144" s="545" t="n">
        <f aca="false">I144-D144</f>
        <v>2187</v>
      </c>
    </row>
    <row r="145" customFormat="false" ht="15" hidden="false" customHeight="true" outlineLevel="0" collapsed="false">
      <c r="A145" s="562" t="s">
        <v>11953</v>
      </c>
      <c r="B145" s="563" t="s">
        <v>11954</v>
      </c>
      <c r="C145" s="563" t="n">
        <v>2017</v>
      </c>
      <c r="D145" s="564" t="n">
        <v>42998</v>
      </c>
      <c r="E145" s="563" t="s">
        <v>11955</v>
      </c>
      <c r="F145" s="563" t="s">
        <v>346</v>
      </c>
      <c r="G145" s="563" t="s">
        <v>1174</v>
      </c>
      <c r="H145" s="563" t="s">
        <v>1059</v>
      </c>
      <c r="I145" s="564" t="n">
        <v>44161</v>
      </c>
      <c r="J145" s="563" t="n">
        <v>11</v>
      </c>
      <c r="K145" s="561" t="s">
        <v>53</v>
      </c>
      <c r="L145" s="563" t="s">
        <v>58</v>
      </c>
      <c r="M145" s="546" t="n">
        <f aca="false">I145-D145</f>
        <v>1163</v>
      </c>
    </row>
    <row r="146" customFormat="false" ht="15" hidden="false" customHeight="true" outlineLevel="0" collapsed="false">
      <c r="A146" s="558" t="s">
        <v>11956</v>
      </c>
      <c r="B146" s="559" t="s">
        <v>11957</v>
      </c>
      <c r="C146" s="559" t="n">
        <v>2018</v>
      </c>
      <c r="D146" s="560" t="n">
        <v>43308</v>
      </c>
      <c r="E146" s="559" t="s">
        <v>11958</v>
      </c>
      <c r="F146" s="559" t="s">
        <v>123</v>
      </c>
      <c r="G146" s="559" t="s">
        <v>1174</v>
      </c>
      <c r="H146" s="559" t="s">
        <v>1244</v>
      </c>
      <c r="I146" s="560" t="n">
        <v>44161</v>
      </c>
      <c r="J146" s="559" t="n">
        <v>11</v>
      </c>
      <c r="K146" s="561" t="s">
        <v>53</v>
      </c>
      <c r="L146" s="559" t="s">
        <v>58</v>
      </c>
      <c r="M146" s="545" t="n">
        <f aca="false">I146-D146</f>
        <v>853</v>
      </c>
    </row>
    <row r="147" customFormat="false" ht="15" hidden="false" customHeight="true" outlineLevel="0" collapsed="false">
      <c r="A147" s="562" t="s">
        <v>11959</v>
      </c>
      <c r="B147" s="563" t="s">
        <v>11960</v>
      </c>
      <c r="C147" s="563" t="n">
        <v>2019</v>
      </c>
      <c r="D147" s="564" t="n">
        <v>43612</v>
      </c>
      <c r="E147" s="563" t="s">
        <v>11961</v>
      </c>
      <c r="F147" s="563" t="s">
        <v>3656</v>
      </c>
      <c r="G147" s="563" t="s">
        <v>1174</v>
      </c>
      <c r="H147" s="563" t="s">
        <v>192</v>
      </c>
      <c r="I147" s="564" t="n">
        <v>44161</v>
      </c>
      <c r="J147" s="563" t="n">
        <v>11</v>
      </c>
      <c r="K147" s="561" t="s">
        <v>53</v>
      </c>
      <c r="L147" s="563" t="s">
        <v>60</v>
      </c>
      <c r="M147" s="546" t="n">
        <f aca="false">I147-D147</f>
        <v>549</v>
      </c>
    </row>
    <row r="148" customFormat="false" ht="15" hidden="false" customHeight="true" outlineLevel="0" collapsed="false">
      <c r="A148" s="558" t="s">
        <v>11962</v>
      </c>
      <c r="B148" s="559" t="s">
        <v>11963</v>
      </c>
      <c r="C148" s="559" t="n">
        <v>2010</v>
      </c>
      <c r="D148" s="560" t="n">
        <v>40364</v>
      </c>
      <c r="E148" s="559" t="s">
        <v>11964</v>
      </c>
      <c r="F148" s="559" t="s">
        <v>1527</v>
      </c>
      <c r="G148" s="559" t="s">
        <v>1174</v>
      </c>
      <c r="H148" s="559" t="s">
        <v>706</v>
      </c>
      <c r="I148" s="560" t="n">
        <v>44174</v>
      </c>
      <c r="J148" s="559" t="n">
        <v>12</v>
      </c>
      <c r="K148" s="561" t="s">
        <v>53</v>
      </c>
      <c r="L148" s="559" t="s">
        <v>58</v>
      </c>
      <c r="M148" s="545" t="n">
        <f aca="false">I148-D148</f>
        <v>3810</v>
      </c>
    </row>
    <row r="149" customFormat="false" ht="15" hidden="false" customHeight="true" outlineLevel="0" collapsed="false">
      <c r="A149" s="562" t="s">
        <v>11965</v>
      </c>
      <c r="B149" s="563" t="s">
        <v>11966</v>
      </c>
      <c r="C149" s="563" t="n">
        <v>2015</v>
      </c>
      <c r="D149" s="564" t="n">
        <v>42320</v>
      </c>
      <c r="E149" s="563" t="s">
        <v>11967</v>
      </c>
      <c r="F149" s="563" t="s">
        <v>3656</v>
      </c>
      <c r="G149" s="563" t="s">
        <v>1174</v>
      </c>
      <c r="H149" s="563" t="s">
        <v>1567</v>
      </c>
      <c r="I149" s="564" t="n">
        <v>44174</v>
      </c>
      <c r="J149" s="563" t="n">
        <v>12</v>
      </c>
      <c r="K149" s="561" t="s">
        <v>53</v>
      </c>
      <c r="L149" s="563" t="s">
        <v>60</v>
      </c>
      <c r="M149" s="546" t="n">
        <f aca="false">I149-D149</f>
        <v>1854</v>
      </c>
    </row>
    <row r="150" customFormat="false" ht="15" hidden="false" customHeight="true" outlineLevel="0" collapsed="false">
      <c r="A150" s="558" t="s">
        <v>11968</v>
      </c>
      <c r="B150" s="559" t="s">
        <v>11969</v>
      </c>
      <c r="C150" s="559" t="n">
        <v>2015</v>
      </c>
      <c r="D150" s="560" t="n">
        <v>42361</v>
      </c>
      <c r="E150" s="559" t="s">
        <v>11970</v>
      </c>
      <c r="F150" s="559" t="s">
        <v>1200</v>
      </c>
      <c r="G150" s="559" t="s">
        <v>1174</v>
      </c>
      <c r="H150" s="559" t="s">
        <v>267</v>
      </c>
      <c r="I150" s="560" t="n">
        <v>44174</v>
      </c>
      <c r="J150" s="559" t="n">
        <v>12</v>
      </c>
      <c r="K150" s="561" t="s">
        <v>53</v>
      </c>
      <c r="L150" s="559" t="s">
        <v>58</v>
      </c>
      <c r="M150" s="545" t="n">
        <f aca="false">I150-D150</f>
        <v>1813</v>
      </c>
    </row>
    <row r="151" customFormat="false" ht="15" hidden="false" customHeight="true" outlineLevel="0" collapsed="false">
      <c r="A151" s="562" t="s">
        <v>11971</v>
      </c>
      <c r="B151" s="563" t="s">
        <v>11972</v>
      </c>
      <c r="C151" s="563" t="n">
        <v>2016</v>
      </c>
      <c r="D151" s="564" t="n">
        <v>42628</v>
      </c>
      <c r="E151" s="563" t="s">
        <v>11973</v>
      </c>
      <c r="F151" s="563" t="s">
        <v>3656</v>
      </c>
      <c r="G151" s="563" t="s">
        <v>1174</v>
      </c>
      <c r="H151" s="563" t="s">
        <v>267</v>
      </c>
      <c r="I151" s="564" t="n">
        <v>44174</v>
      </c>
      <c r="J151" s="563" t="n">
        <v>12</v>
      </c>
      <c r="K151" s="561" t="s">
        <v>53</v>
      </c>
      <c r="L151" s="563" t="s">
        <v>60</v>
      </c>
      <c r="M151" s="546" t="n">
        <f aca="false">I151-D151</f>
        <v>1546</v>
      </c>
    </row>
    <row r="152" customFormat="false" ht="15" hidden="false" customHeight="true" outlineLevel="0" collapsed="false">
      <c r="A152" s="558" t="s">
        <v>11974</v>
      </c>
      <c r="B152" s="559" t="s">
        <v>11975</v>
      </c>
      <c r="C152" s="559" t="n">
        <v>2017</v>
      </c>
      <c r="D152" s="560" t="n">
        <v>42908</v>
      </c>
      <c r="E152" s="559" t="s">
        <v>11976</v>
      </c>
      <c r="F152" s="559" t="s">
        <v>10347</v>
      </c>
      <c r="G152" s="559" t="s">
        <v>1174</v>
      </c>
      <c r="H152" s="559" t="s">
        <v>192</v>
      </c>
      <c r="I152" s="560" t="n">
        <v>44174</v>
      </c>
      <c r="J152" s="559" t="n">
        <v>12</v>
      </c>
      <c r="K152" s="561" t="s">
        <v>53</v>
      </c>
      <c r="L152" s="559" t="s">
        <v>58</v>
      </c>
      <c r="M152" s="545" t="n">
        <f aca="false">I152-D152</f>
        <v>1266</v>
      </c>
    </row>
    <row r="153" customFormat="false" ht="15" hidden="true" customHeight="true" outlineLevel="0" collapsed="false">
      <c r="A153" s="562" t="s">
        <v>11977</v>
      </c>
      <c r="B153" s="563" t="s">
        <v>11978</v>
      </c>
      <c r="C153" s="563" t="n">
        <v>2010</v>
      </c>
      <c r="D153" s="564" t="n">
        <v>40323</v>
      </c>
      <c r="E153" s="563" t="s">
        <v>11979</v>
      </c>
      <c r="F153" s="563" t="s">
        <v>11980</v>
      </c>
      <c r="G153" s="563" t="s">
        <v>1188</v>
      </c>
      <c r="H153" s="563" t="s">
        <v>5486</v>
      </c>
      <c r="I153" s="564" t="n">
        <v>44175</v>
      </c>
      <c r="J153" s="563" t="n">
        <v>12</v>
      </c>
      <c r="K153" s="565" t="s">
        <v>290</v>
      </c>
      <c r="L153" s="563" t="s">
        <v>58</v>
      </c>
      <c r="M153" s="546" t="n">
        <f aca="false">I153-D153</f>
        <v>3852</v>
      </c>
    </row>
    <row r="154" customFormat="false" ht="15" hidden="false" customHeight="true" outlineLevel="0" collapsed="false">
      <c r="A154" s="558" t="s">
        <v>11981</v>
      </c>
      <c r="B154" s="559" t="s">
        <v>11982</v>
      </c>
      <c r="C154" s="559" t="n">
        <v>2018</v>
      </c>
      <c r="D154" s="560" t="n">
        <v>43341</v>
      </c>
      <c r="E154" s="559" t="s">
        <v>11983</v>
      </c>
      <c r="F154" s="559" t="s">
        <v>1783</v>
      </c>
      <c r="G154" s="559" t="s">
        <v>1174</v>
      </c>
      <c r="H154" s="559" t="s">
        <v>208</v>
      </c>
      <c r="I154" s="560" t="n">
        <v>44175</v>
      </c>
      <c r="J154" s="559" t="n">
        <v>12</v>
      </c>
      <c r="K154" s="561" t="s">
        <v>53</v>
      </c>
      <c r="L154" s="559" t="s">
        <v>58</v>
      </c>
      <c r="M154" s="545" t="n">
        <f aca="false">I154-D154</f>
        <v>834</v>
      </c>
    </row>
    <row r="155" customFormat="false" ht="15" hidden="false" customHeight="true" outlineLevel="0" collapsed="false">
      <c r="A155" s="562" t="s">
        <v>11984</v>
      </c>
      <c r="B155" s="563" t="s">
        <v>11985</v>
      </c>
      <c r="C155" s="563" t="n">
        <v>2017</v>
      </c>
      <c r="D155" s="564" t="n">
        <v>42954</v>
      </c>
      <c r="E155" s="563" t="s">
        <v>11986</v>
      </c>
      <c r="F155" s="563" t="s">
        <v>211</v>
      </c>
      <c r="G155" s="563" t="s">
        <v>1174</v>
      </c>
      <c r="H155" s="563" t="s">
        <v>1059</v>
      </c>
      <c r="I155" s="564" t="n">
        <v>44186</v>
      </c>
      <c r="J155" s="563" t="n">
        <v>12</v>
      </c>
      <c r="K155" s="561" t="s">
        <v>53</v>
      </c>
      <c r="L155" s="563" t="s">
        <v>58</v>
      </c>
      <c r="M155" s="546" t="n">
        <f aca="false">I155-D155</f>
        <v>1232</v>
      </c>
    </row>
    <row r="156" customFormat="false" ht="15" hidden="false" customHeight="true" outlineLevel="0" collapsed="false">
      <c r="A156" s="558" t="s">
        <v>11987</v>
      </c>
      <c r="B156" s="559" t="s">
        <v>11988</v>
      </c>
      <c r="C156" s="559" t="n">
        <v>2014</v>
      </c>
      <c r="D156" s="560" t="n">
        <v>41876</v>
      </c>
      <c r="E156" s="559" t="s">
        <v>11989</v>
      </c>
      <c r="F156" s="559" t="s">
        <v>689</v>
      </c>
      <c r="G156" s="559" t="s">
        <v>1174</v>
      </c>
      <c r="H156" s="559" t="s">
        <v>192</v>
      </c>
      <c r="I156" s="560" t="n">
        <v>44186</v>
      </c>
      <c r="J156" s="559" t="n">
        <v>12</v>
      </c>
      <c r="K156" s="561" t="s">
        <v>53</v>
      </c>
      <c r="L156" s="559" t="s">
        <v>60</v>
      </c>
      <c r="M156" s="545" t="n">
        <f aca="false">I156-D156</f>
        <v>2310</v>
      </c>
    </row>
    <row r="157" customFormat="false" ht="15" hidden="false" customHeight="true" outlineLevel="0" collapsed="false">
      <c r="A157" s="562" t="s">
        <v>11990</v>
      </c>
      <c r="B157" s="563" t="s">
        <v>11991</v>
      </c>
      <c r="C157" s="563" t="n">
        <v>2018</v>
      </c>
      <c r="D157" s="564" t="n">
        <v>43378</v>
      </c>
      <c r="E157" s="563" t="s">
        <v>11992</v>
      </c>
      <c r="F157" s="563" t="s">
        <v>1783</v>
      </c>
      <c r="G157" s="563" t="s">
        <v>1174</v>
      </c>
      <c r="H157" s="563" t="s">
        <v>267</v>
      </c>
      <c r="I157" s="564" t="n">
        <v>44186</v>
      </c>
      <c r="J157" s="563" t="n">
        <v>12</v>
      </c>
      <c r="K157" s="561" t="s">
        <v>53</v>
      </c>
      <c r="L157" s="563" t="s">
        <v>58</v>
      </c>
      <c r="M157" s="546" t="n">
        <f aca="false">I157-D157</f>
        <v>808</v>
      </c>
    </row>
    <row r="158" customFormat="false" ht="15" hidden="false" customHeight="true" outlineLevel="0" collapsed="false">
      <c r="A158" s="558" t="s">
        <v>11993</v>
      </c>
      <c r="B158" s="559" t="s">
        <v>11994</v>
      </c>
      <c r="C158" s="559" t="n">
        <v>2017</v>
      </c>
      <c r="D158" s="560" t="n">
        <v>42814</v>
      </c>
      <c r="E158" s="559" t="s">
        <v>11995</v>
      </c>
      <c r="F158" s="559" t="s">
        <v>113</v>
      </c>
      <c r="G158" s="559" t="s">
        <v>1174</v>
      </c>
      <c r="H158" s="559" t="s">
        <v>1059</v>
      </c>
      <c r="I158" s="560" t="n">
        <v>44186</v>
      </c>
      <c r="J158" s="559" t="n">
        <v>12</v>
      </c>
      <c r="K158" s="561" t="s">
        <v>53</v>
      </c>
      <c r="L158" s="559" t="s">
        <v>60</v>
      </c>
      <c r="M158" s="545" t="n">
        <f aca="false">I158-D158</f>
        <v>1372</v>
      </c>
    </row>
    <row r="159" customFormat="false" ht="15" hidden="false" customHeight="true" outlineLevel="0" collapsed="false">
      <c r="A159" s="562" t="s">
        <v>11996</v>
      </c>
      <c r="B159" s="563" t="s">
        <v>11997</v>
      </c>
      <c r="C159" s="563" t="n">
        <v>2017</v>
      </c>
      <c r="D159" s="564" t="n">
        <v>42765</v>
      </c>
      <c r="E159" s="563" t="s">
        <v>11998</v>
      </c>
      <c r="F159" s="563" t="s">
        <v>689</v>
      </c>
      <c r="G159" s="563" t="s">
        <v>1174</v>
      </c>
      <c r="H159" s="563" t="s">
        <v>267</v>
      </c>
      <c r="I159" s="564" t="n">
        <v>44186</v>
      </c>
      <c r="J159" s="563" t="n">
        <v>12</v>
      </c>
      <c r="K159" s="561" t="s">
        <v>53</v>
      </c>
      <c r="L159" s="563" t="s">
        <v>60</v>
      </c>
      <c r="M159" s="546" t="n">
        <f aca="false">I159-D159</f>
        <v>1421</v>
      </c>
    </row>
    <row r="160" customFormat="false" ht="15" hidden="false" customHeight="true" outlineLevel="0" collapsed="false">
      <c r="A160" s="558" t="s">
        <v>11999</v>
      </c>
      <c r="B160" s="559" t="s">
        <v>12000</v>
      </c>
      <c r="C160" s="559" t="n">
        <v>2018</v>
      </c>
      <c r="D160" s="560" t="n">
        <v>43404</v>
      </c>
      <c r="E160" s="559" t="s">
        <v>12001</v>
      </c>
      <c r="F160" s="559" t="s">
        <v>1243</v>
      </c>
      <c r="G160" s="559" t="s">
        <v>1174</v>
      </c>
      <c r="H160" s="559" t="s">
        <v>267</v>
      </c>
      <c r="I160" s="560" t="n">
        <v>44186</v>
      </c>
      <c r="J160" s="559" t="n">
        <v>12</v>
      </c>
      <c r="K160" s="561" t="s">
        <v>53</v>
      </c>
      <c r="L160" s="559" t="s">
        <v>60</v>
      </c>
      <c r="M160" s="545" t="n">
        <f aca="false">I160-D160</f>
        <v>782</v>
      </c>
    </row>
    <row r="161" customFormat="false" ht="15" hidden="false" customHeight="true" outlineLevel="0" collapsed="false">
      <c r="A161" s="562" t="s">
        <v>12002</v>
      </c>
      <c r="B161" s="563" t="s">
        <v>12003</v>
      </c>
      <c r="C161" s="563" t="n">
        <v>2015</v>
      </c>
      <c r="D161" s="564" t="n">
        <v>42178</v>
      </c>
      <c r="E161" s="563" t="s">
        <v>12004</v>
      </c>
      <c r="F161" s="563" t="s">
        <v>1916</v>
      </c>
      <c r="G161" s="563" t="s">
        <v>1174</v>
      </c>
      <c r="H161" s="563" t="s">
        <v>706</v>
      </c>
      <c r="I161" s="564" t="n">
        <v>44186</v>
      </c>
      <c r="J161" s="563" t="n">
        <v>12</v>
      </c>
      <c r="K161" s="561" t="s">
        <v>53</v>
      </c>
      <c r="L161" s="563" t="s">
        <v>58</v>
      </c>
      <c r="M161" s="546" t="n">
        <f aca="false">I161-D161</f>
        <v>2008</v>
      </c>
    </row>
    <row r="162" customFormat="false" ht="15" hidden="false" customHeight="true" outlineLevel="0" collapsed="false">
      <c r="A162" s="558" t="s">
        <v>12005</v>
      </c>
      <c r="B162" s="559" t="s">
        <v>12006</v>
      </c>
      <c r="C162" s="559" t="n">
        <v>2017</v>
      </c>
      <c r="D162" s="560" t="n">
        <v>43055</v>
      </c>
      <c r="E162" s="559" t="s">
        <v>12007</v>
      </c>
      <c r="F162" s="559" t="s">
        <v>1916</v>
      </c>
      <c r="G162" s="559" t="s">
        <v>1174</v>
      </c>
      <c r="H162" s="559" t="s">
        <v>310</v>
      </c>
      <c r="I162" s="560" t="n">
        <v>44186</v>
      </c>
      <c r="J162" s="559" t="n">
        <v>12</v>
      </c>
      <c r="K162" s="561" t="s">
        <v>53</v>
      </c>
      <c r="L162" s="559" t="s">
        <v>58</v>
      </c>
      <c r="M162" s="545" t="n">
        <f aca="false">I162-D162</f>
        <v>1131</v>
      </c>
    </row>
    <row r="163" customFormat="false" ht="15" hidden="false" customHeight="true" outlineLevel="0" collapsed="false">
      <c r="A163" s="562" t="s">
        <v>12008</v>
      </c>
      <c r="B163" s="563" t="s">
        <v>12009</v>
      </c>
      <c r="C163" s="563" t="n">
        <v>2019</v>
      </c>
      <c r="D163" s="564" t="n">
        <v>43619</v>
      </c>
      <c r="E163" s="563" t="s">
        <v>12010</v>
      </c>
      <c r="F163" s="563" t="s">
        <v>2151</v>
      </c>
      <c r="G163" s="563" t="s">
        <v>1174</v>
      </c>
      <c r="H163" s="563" t="s">
        <v>706</v>
      </c>
      <c r="I163" s="564" t="n">
        <v>44186</v>
      </c>
      <c r="J163" s="563" t="n">
        <v>12</v>
      </c>
      <c r="K163" s="561" t="s">
        <v>53</v>
      </c>
      <c r="L163" s="563" t="s">
        <v>58</v>
      </c>
      <c r="M163" s="546" t="n">
        <f aca="false">I163-D163</f>
        <v>567</v>
      </c>
    </row>
    <row r="164" customFormat="false" ht="15" hidden="false" customHeight="true" outlineLevel="0" collapsed="false">
      <c r="A164" s="558" t="s">
        <v>12011</v>
      </c>
      <c r="B164" s="559" t="s">
        <v>12012</v>
      </c>
      <c r="C164" s="559" t="n">
        <v>2014</v>
      </c>
      <c r="D164" s="560" t="n">
        <v>41983</v>
      </c>
      <c r="E164" s="559" t="s">
        <v>12013</v>
      </c>
      <c r="F164" s="559" t="s">
        <v>689</v>
      </c>
      <c r="G164" s="559" t="s">
        <v>1174</v>
      </c>
      <c r="H164" s="559" t="s">
        <v>706</v>
      </c>
      <c r="I164" s="560" t="n">
        <v>44186</v>
      </c>
      <c r="J164" s="559" t="n">
        <v>12</v>
      </c>
      <c r="K164" s="561" t="s">
        <v>53</v>
      </c>
      <c r="L164" s="559" t="s">
        <v>60</v>
      </c>
      <c r="M164" s="545" t="n">
        <f aca="false">I164-D164</f>
        <v>2203</v>
      </c>
    </row>
    <row r="165" customFormat="false" ht="15" hidden="false" customHeight="true" outlineLevel="0" collapsed="false">
      <c r="A165" s="562" t="s">
        <v>12014</v>
      </c>
      <c r="B165" s="563" t="s">
        <v>12015</v>
      </c>
      <c r="C165" s="563" t="n">
        <v>2014</v>
      </c>
      <c r="D165" s="564" t="n">
        <v>41788</v>
      </c>
      <c r="E165" s="563" t="s">
        <v>12016</v>
      </c>
      <c r="F165" s="563" t="s">
        <v>211</v>
      </c>
      <c r="G165" s="563" t="s">
        <v>1174</v>
      </c>
      <c r="H165" s="563" t="s">
        <v>2677</v>
      </c>
      <c r="I165" s="564" t="n">
        <v>44186</v>
      </c>
      <c r="J165" s="563" t="n">
        <v>12</v>
      </c>
      <c r="K165" s="561" t="s">
        <v>53</v>
      </c>
      <c r="L165" s="563" t="s">
        <v>58</v>
      </c>
      <c r="M165" s="546" t="n">
        <f aca="false">I165-D165</f>
        <v>2398</v>
      </c>
    </row>
    <row r="166" customFormat="false" ht="15" hidden="false" customHeight="true" outlineLevel="0" collapsed="false">
      <c r="A166" s="558" t="s">
        <v>12017</v>
      </c>
      <c r="B166" s="559" t="s">
        <v>12018</v>
      </c>
      <c r="C166" s="559" t="n">
        <v>2017</v>
      </c>
      <c r="D166" s="560" t="n">
        <v>43039</v>
      </c>
      <c r="E166" s="559" t="s">
        <v>12019</v>
      </c>
      <c r="F166" s="559" t="s">
        <v>1783</v>
      </c>
      <c r="G166" s="559" t="s">
        <v>1174</v>
      </c>
      <c r="H166" s="559" t="s">
        <v>354</v>
      </c>
      <c r="I166" s="560" t="n">
        <v>44186</v>
      </c>
      <c r="J166" s="559" t="n">
        <v>12</v>
      </c>
      <c r="K166" s="561" t="s">
        <v>53</v>
      </c>
      <c r="L166" s="559" t="s">
        <v>58</v>
      </c>
      <c r="M166" s="545" t="n">
        <f aca="false">I166-D166</f>
        <v>1147</v>
      </c>
    </row>
    <row r="167" customFormat="false" ht="15" hidden="false" customHeight="true" outlineLevel="0" collapsed="false">
      <c r="A167" s="562" t="s">
        <v>12020</v>
      </c>
      <c r="B167" s="563" t="s">
        <v>12021</v>
      </c>
      <c r="C167" s="563" t="n">
        <v>2019</v>
      </c>
      <c r="D167" s="564" t="n">
        <v>43640</v>
      </c>
      <c r="E167" s="563" t="s">
        <v>12022</v>
      </c>
      <c r="F167" s="563" t="s">
        <v>449</v>
      </c>
      <c r="G167" s="563" t="s">
        <v>1174</v>
      </c>
      <c r="H167" s="563" t="s">
        <v>522</v>
      </c>
      <c r="I167" s="564" t="n">
        <v>44186</v>
      </c>
      <c r="J167" s="563" t="n">
        <v>12</v>
      </c>
      <c r="K167" s="561" t="s">
        <v>53</v>
      </c>
      <c r="L167" s="563" t="s">
        <v>58</v>
      </c>
      <c r="M167" s="546" t="n">
        <f aca="false">I167-D167</f>
        <v>546</v>
      </c>
    </row>
    <row r="168" customFormat="false" ht="15" hidden="false" customHeight="true" outlineLevel="0" collapsed="false">
      <c r="A168" s="558" t="s">
        <v>12023</v>
      </c>
      <c r="B168" s="559" t="s">
        <v>12024</v>
      </c>
      <c r="C168" s="559" t="n">
        <v>2015</v>
      </c>
      <c r="D168" s="560" t="n">
        <v>42132</v>
      </c>
      <c r="E168" s="559" t="s">
        <v>12025</v>
      </c>
      <c r="F168" s="559" t="s">
        <v>8437</v>
      </c>
      <c r="G168" s="559" t="s">
        <v>1174</v>
      </c>
      <c r="H168" s="559" t="s">
        <v>1072</v>
      </c>
      <c r="I168" s="560" t="n">
        <v>44187</v>
      </c>
      <c r="J168" s="559" t="n">
        <v>12</v>
      </c>
      <c r="K168" s="561" t="s">
        <v>53</v>
      </c>
      <c r="L168" s="559" t="s">
        <v>60</v>
      </c>
      <c r="M168" s="545" t="n">
        <f aca="false">I168-D168</f>
        <v>2055</v>
      </c>
    </row>
    <row r="169" customFormat="false" ht="15" hidden="false" customHeight="true" outlineLevel="0" collapsed="false">
      <c r="A169" s="562" t="s">
        <v>12026</v>
      </c>
      <c r="B169" s="563" t="s">
        <v>12027</v>
      </c>
      <c r="C169" s="563" t="n">
        <v>2014</v>
      </c>
      <c r="D169" s="564" t="n">
        <v>42002</v>
      </c>
      <c r="E169" s="563" t="s">
        <v>12028</v>
      </c>
      <c r="F169" s="563" t="s">
        <v>1916</v>
      </c>
      <c r="G169" s="563" t="s">
        <v>1174</v>
      </c>
      <c r="H169" s="563" t="s">
        <v>706</v>
      </c>
      <c r="I169" s="564" t="n">
        <v>44187</v>
      </c>
      <c r="J169" s="563" t="n">
        <v>12</v>
      </c>
      <c r="K169" s="561" t="s">
        <v>53</v>
      </c>
      <c r="L169" s="563" t="s">
        <v>58</v>
      </c>
      <c r="M169" s="546" t="n">
        <f aca="false">I169-D169</f>
        <v>2185</v>
      </c>
    </row>
    <row r="170" customFormat="false" ht="15" hidden="false" customHeight="true" outlineLevel="0" collapsed="false">
      <c r="A170" s="558" t="s">
        <v>12029</v>
      </c>
      <c r="B170" s="559" t="s">
        <v>12030</v>
      </c>
      <c r="C170" s="559" t="n">
        <v>2020</v>
      </c>
      <c r="D170" s="560" t="n">
        <v>43881</v>
      </c>
      <c r="E170" s="559" t="s">
        <v>12031</v>
      </c>
      <c r="F170" s="559" t="s">
        <v>449</v>
      </c>
      <c r="G170" s="559" t="s">
        <v>1174</v>
      </c>
      <c r="H170" s="559" t="s">
        <v>10151</v>
      </c>
      <c r="I170" s="560" t="n">
        <v>44187</v>
      </c>
      <c r="J170" s="559" t="n">
        <v>12</v>
      </c>
      <c r="K170" s="561" t="s">
        <v>53</v>
      </c>
      <c r="L170" s="559" t="s">
        <v>58</v>
      </c>
      <c r="M170" s="545" t="n">
        <f aca="false">I170-D170</f>
        <v>306</v>
      </c>
    </row>
    <row r="171" customFormat="false" ht="15" hidden="false" customHeight="true" outlineLevel="0" collapsed="false">
      <c r="A171" s="562" t="s">
        <v>12032</v>
      </c>
      <c r="B171" s="563" t="s">
        <v>12033</v>
      </c>
      <c r="C171" s="563" t="n">
        <v>2018</v>
      </c>
      <c r="D171" s="564" t="n">
        <v>43439</v>
      </c>
      <c r="E171" s="563" t="s">
        <v>12034</v>
      </c>
      <c r="F171" s="563" t="s">
        <v>1916</v>
      </c>
      <c r="G171" s="563" t="s">
        <v>1174</v>
      </c>
      <c r="H171" s="563" t="s">
        <v>706</v>
      </c>
      <c r="I171" s="564" t="n">
        <v>44187</v>
      </c>
      <c r="J171" s="563" t="n">
        <v>12</v>
      </c>
      <c r="K171" s="561" t="s">
        <v>53</v>
      </c>
      <c r="L171" s="563" t="s">
        <v>58</v>
      </c>
      <c r="M171" s="546" t="n">
        <f aca="false">I171-D171</f>
        <v>748</v>
      </c>
    </row>
    <row r="172" customFormat="false" ht="12.75" hidden="true" customHeight="true" outlineLevel="0" collapsed="false">
      <c r="A172" s="558" t="s">
        <v>12035</v>
      </c>
      <c r="B172" s="559" t="s">
        <v>12036</v>
      </c>
      <c r="C172" s="559" t="n">
        <v>2009</v>
      </c>
      <c r="D172" s="560" t="n">
        <v>39875</v>
      </c>
      <c r="E172" s="559" t="s">
        <v>12037</v>
      </c>
      <c r="F172" s="559" t="s">
        <v>12038</v>
      </c>
      <c r="G172" s="559" t="s">
        <v>1188</v>
      </c>
      <c r="H172" s="559" t="s">
        <v>134</v>
      </c>
      <c r="I172" s="560" t="n">
        <v>44188</v>
      </c>
      <c r="J172" s="559" t="n">
        <v>12</v>
      </c>
      <c r="K172" s="565" t="s">
        <v>290</v>
      </c>
      <c r="L172" s="559" t="s">
        <v>60</v>
      </c>
      <c r="M172" s="545" t="n">
        <f aca="false">I172-D172</f>
        <v>4313</v>
      </c>
    </row>
    <row r="173" customFormat="false" ht="12.75" hidden="true" customHeight="true" outlineLevel="0" collapsed="false">
      <c r="A173" s="562" t="s">
        <v>12039</v>
      </c>
      <c r="B173" s="563" t="s">
        <v>12040</v>
      </c>
      <c r="C173" s="563" t="n">
        <v>2013</v>
      </c>
      <c r="D173" s="564" t="n">
        <v>41360</v>
      </c>
      <c r="E173" s="563" t="s">
        <v>12041</v>
      </c>
      <c r="F173" s="563" t="s">
        <v>12042</v>
      </c>
      <c r="G173" s="563" t="s">
        <v>1188</v>
      </c>
      <c r="H173" s="563" t="s">
        <v>254</v>
      </c>
      <c r="I173" s="564" t="n">
        <v>44193</v>
      </c>
      <c r="J173" s="563" t="n">
        <v>12</v>
      </c>
      <c r="K173" s="565" t="s">
        <v>290</v>
      </c>
      <c r="L173" s="563" t="s">
        <v>60</v>
      </c>
      <c r="M173" s="546" t="n">
        <f aca="false">I173-D173</f>
        <v>2833</v>
      </c>
    </row>
    <row r="174" customFormat="false" ht="12.75" hidden="true" customHeight="true" outlineLevel="0" collapsed="false">
      <c r="A174" s="567" t="n">
        <v>120</v>
      </c>
      <c r="B174" s="568" t="s">
        <v>12043</v>
      </c>
      <c r="C174" s="568" t="n">
        <v>2015</v>
      </c>
      <c r="D174" s="569" t="n">
        <v>42146</v>
      </c>
      <c r="E174" s="568" t="s">
        <v>12044</v>
      </c>
      <c r="F174" s="568" t="s">
        <v>3190</v>
      </c>
      <c r="G174" s="568" t="s">
        <v>441</v>
      </c>
      <c r="H174" s="568" t="s">
        <v>471</v>
      </c>
      <c r="I174" s="569" t="n">
        <v>43836</v>
      </c>
      <c r="J174" s="568" t="n">
        <v>1</v>
      </c>
      <c r="K174" s="570" t="s">
        <v>49</v>
      </c>
      <c r="L174" s="559" t="s">
        <v>10013</v>
      </c>
      <c r="M174" s="545" t="n">
        <f aca="false">I174-D174</f>
        <v>1690</v>
      </c>
    </row>
    <row r="175" customFormat="false" ht="12.75" hidden="true" customHeight="true" outlineLevel="0" collapsed="false">
      <c r="A175" s="562" t="n">
        <v>220</v>
      </c>
      <c r="B175" s="563" t="s">
        <v>12045</v>
      </c>
      <c r="C175" s="563" t="n">
        <v>2016</v>
      </c>
      <c r="D175" s="564" t="n">
        <v>42515</v>
      </c>
      <c r="E175" s="563" t="s">
        <v>12046</v>
      </c>
      <c r="F175" s="563" t="s">
        <v>650</v>
      </c>
      <c r="G175" s="563" t="s">
        <v>441</v>
      </c>
      <c r="H175" s="563" t="s">
        <v>354</v>
      </c>
      <c r="I175" s="564" t="n">
        <v>43847</v>
      </c>
      <c r="J175" s="563" t="n">
        <v>1</v>
      </c>
      <c r="K175" s="571" t="s">
        <v>49</v>
      </c>
      <c r="L175" s="563" t="s">
        <v>10018</v>
      </c>
      <c r="M175" s="546" t="n">
        <f aca="false">I175-D175</f>
        <v>1332</v>
      </c>
    </row>
    <row r="176" customFormat="false" ht="12.75" hidden="true" customHeight="true" outlineLevel="0" collapsed="false">
      <c r="A176" s="558" t="n">
        <v>320</v>
      </c>
      <c r="B176" s="559" t="s">
        <v>12047</v>
      </c>
      <c r="C176" s="559" t="n">
        <v>2017</v>
      </c>
      <c r="D176" s="560" t="n">
        <v>43089</v>
      </c>
      <c r="E176" s="559" t="s">
        <v>12048</v>
      </c>
      <c r="F176" s="559" t="s">
        <v>346</v>
      </c>
      <c r="G176" s="559" t="s">
        <v>441</v>
      </c>
      <c r="H176" s="559" t="s">
        <v>350</v>
      </c>
      <c r="I176" s="560" t="n">
        <v>43865</v>
      </c>
      <c r="J176" s="559" t="n">
        <v>2</v>
      </c>
      <c r="K176" s="571" t="s">
        <v>47</v>
      </c>
      <c r="L176" s="559" t="s">
        <v>10018</v>
      </c>
      <c r="M176" s="545" t="n">
        <f aca="false">I176-D176</f>
        <v>776</v>
      </c>
    </row>
    <row r="177" customFormat="false" ht="15" hidden="true" customHeight="true" outlineLevel="0" collapsed="false">
      <c r="A177" s="562" t="n">
        <v>420</v>
      </c>
      <c r="B177" s="563" t="s">
        <v>12049</v>
      </c>
      <c r="C177" s="563" t="n">
        <v>2019</v>
      </c>
      <c r="D177" s="564" t="n">
        <v>43629</v>
      </c>
      <c r="E177" s="563" t="s">
        <v>12050</v>
      </c>
      <c r="F177" s="572" t="s">
        <v>12051</v>
      </c>
      <c r="G177" s="563" t="s">
        <v>125</v>
      </c>
      <c r="H177" s="563" t="s">
        <v>3472</v>
      </c>
      <c r="I177" s="564" t="n">
        <v>43865</v>
      </c>
      <c r="J177" s="563" t="n">
        <v>2</v>
      </c>
      <c r="K177" s="571" t="s">
        <v>49</v>
      </c>
      <c r="L177" s="563" t="s">
        <v>10445</v>
      </c>
      <c r="M177" s="546" t="n">
        <f aca="false">I177-D177</f>
        <v>236</v>
      </c>
    </row>
    <row r="178" customFormat="false" ht="15" hidden="true" customHeight="true" outlineLevel="0" collapsed="false">
      <c r="A178" s="558" t="n">
        <v>520</v>
      </c>
      <c r="B178" s="559" t="s">
        <v>12052</v>
      </c>
      <c r="C178" s="559" t="n">
        <v>2019</v>
      </c>
      <c r="D178" s="560" t="n">
        <v>43591</v>
      </c>
      <c r="E178" s="559" t="s">
        <v>12053</v>
      </c>
      <c r="F178" s="573" t="s">
        <v>12051</v>
      </c>
      <c r="G178" s="559" t="s">
        <v>125</v>
      </c>
      <c r="H178" s="559" t="s">
        <v>3472</v>
      </c>
      <c r="I178" s="560" t="n">
        <v>43865</v>
      </c>
      <c r="J178" s="559" t="n">
        <v>2</v>
      </c>
      <c r="K178" s="571" t="s">
        <v>49</v>
      </c>
      <c r="L178" s="559" t="s">
        <v>10445</v>
      </c>
      <c r="M178" s="545" t="n">
        <f aca="false">I178-D178</f>
        <v>274</v>
      </c>
    </row>
    <row r="179" customFormat="false" ht="12.75" hidden="true" customHeight="true" outlineLevel="0" collapsed="false">
      <c r="A179" s="562" t="n">
        <v>620</v>
      </c>
      <c r="B179" s="563" t="s">
        <v>12054</v>
      </c>
      <c r="C179" s="563" t="n">
        <v>2016</v>
      </c>
      <c r="D179" s="564" t="n">
        <v>42523</v>
      </c>
      <c r="E179" s="563" t="s">
        <v>12055</v>
      </c>
      <c r="F179" s="563" t="s">
        <v>477</v>
      </c>
      <c r="G179" s="563" t="s">
        <v>441</v>
      </c>
      <c r="H179" s="563" t="s">
        <v>1567</v>
      </c>
      <c r="I179" s="564" t="n">
        <v>43865</v>
      </c>
      <c r="J179" s="563" t="n">
        <v>2</v>
      </c>
      <c r="K179" s="571" t="s">
        <v>48</v>
      </c>
      <c r="L179" s="563" t="s">
        <v>10018</v>
      </c>
      <c r="M179" s="546" t="n">
        <f aca="false">I179-D179</f>
        <v>1342</v>
      </c>
    </row>
    <row r="180" customFormat="false" ht="12.75" hidden="true" customHeight="true" outlineLevel="0" collapsed="false">
      <c r="A180" s="558" t="n">
        <v>720</v>
      </c>
      <c r="B180" s="559" t="s">
        <v>12056</v>
      </c>
      <c r="C180" s="559" t="n">
        <v>2017</v>
      </c>
      <c r="D180" s="560" t="n">
        <v>43053</v>
      </c>
      <c r="E180" s="559" t="s">
        <v>12057</v>
      </c>
      <c r="F180" s="559" t="s">
        <v>446</v>
      </c>
      <c r="G180" s="559" t="s">
        <v>441</v>
      </c>
      <c r="H180" s="559" t="s">
        <v>5714</v>
      </c>
      <c r="I180" s="560" t="n">
        <v>43865</v>
      </c>
      <c r="J180" s="559" t="n">
        <v>2</v>
      </c>
      <c r="K180" s="571" t="s">
        <v>49</v>
      </c>
      <c r="L180" s="559" t="s">
        <v>10013</v>
      </c>
      <c r="M180" s="545" t="n">
        <f aca="false">I180-D180</f>
        <v>812</v>
      </c>
    </row>
    <row r="181" customFormat="false" ht="12.75" hidden="true" customHeight="true" outlineLevel="0" collapsed="false">
      <c r="A181" s="562" t="n">
        <v>820</v>
      </c>
      <c r="B181" s="563" t="s">
        <v>12058</v>
      </c>
      <c r="C181" s="563" t="n">
        <v>2016</v>
      </c>
      <c r="D181" s="564" t="n">
        <v>42705</v>
      </c>
      <c r="E181" s="563" t="s">
        <v>12059</v>
      </c>
      <c r="F181" s="563" t="s">
        <v>689</v>
      </c>
      <c r="G181" s="563" t="s">
        <v>441</v>
      </c>
      <c r="H181" s="563" t="s">
        <v>1567</v>
      </c>
      <c r="I181" s="564" t="n">
        <v>43878</v>
      </c>
      <c r="J181" s="563" t="n">
        <v>2</v>
      </c>
      <c r="K181" s="565" t="s">
        <v>51</v>
      </c>
      <c r="L181" s="563" t="s">
        <v>10013</v>
      </c>
      <c r="M181" s="546" t="n">
        <f aca="false">I181-D181</f>
        <v>1173</v>
      </c>
    </row>
    <row r="182" customFormat="false" ht="12.75" hidden="true" customHeight="true" outlineLevel="0" collapsed="false">
      <c r="A182" s="558" t="n">
        <v>920</v>
      </c>
      <c r="B182" s="574" t="s">
        <v>10996</v>
      </c>
      <c r="C182" s="574" t="s">
        <v>10996</v>
      </c>
      <c r="D182" s="575" t="s">
        <v>10996</v>
      </c>
      <c r="E182" s="574" t="s">
        <v>10996</v>
      </c>
      <c r="F182" s="574" t="s">
        <v>10996</v>
      </c>
      <c r="G182" s="574" t="s">
        <v>10996</v>
      </c>
      <c r="H182" s="574" t="s">
        <v>10996</v>
      </c>
      <c r="I182" s="575" t="s">
        <v>10996</v>
      </c>
      <c r="J182" s="574" t="s">
        <v>10996</v>
      </c>
      <c r="K182" s="574" t="s">
        <v>10996</v>
      </c>
      <c r="L182" s="574" t="s">
        <v>10996</v>
      </c>
      <c r="M182" s="576" t="s">
        <v>10996</v>
      </c>
    </row>
    <row r="183" customFormat="false" ht="12.75" hidden="true" customHeight="true" outlineLevel="0" collapsed="false">
      <c r="A183" s="562" t="n">
        <v>1020</v>
      </c>
      <c r="B183" s="563" t="s">
        <v>12060</v>
      </c>
      <c r="C183" s="563" t="n">
        <v>2013</v>
      </c>
      <c r="D183" s="564" t="n">
        <v>41605</v>
      </c>
      <c r="E183" s="563" t="s">
        <v>12061</v>
      </c>
      <c r="F183" s="563" t="s">
        <v>11094</v>
      </c>
      <c r="G183" s="563" t="s">
        <v>144</v>
      </c>
      <c r="H183" s="563" t="s">
        <v>119</v>
      </c>
      <c r="I183" s="564" t="n">
        <v>43878</v>
      </c>
      <c r="J183" s="563" t="n">
        <v>2</v>
      </c>
      <c r="K183" s="577" t="s">
        <v>46</v>
      </c>
      <c r="L183" s="563" t="s">
        <v>10018</v>
      </c>
      <c r="M183" s="546" t="n">
        <f aca="false">I183-D183</f>
        <v>2273</v>
      </c>
    </row>
    <row r="184" customFormat="false" ht="12.75" hidden="true" customHeight="true" outlineLevel="0" collapsed="false">
      <c r="A184" s="558" t="n">
        <v>1120</v>
      </c>
      <c r="B184" s="559" t="s">
        <v>12062</v>
      </c>
      <c r="C184" s="559" t="n">
        <v>2014</v>
      </c>
      <c r="D184" s="560" t="n">
        <v>41978</v>
      </c>
      <c r="E184" s="559" t="s">
        <v>12063</v>
      </c>
      <c r="F184" s="559" t="s">
        <v>793</v>
      </c>
      <c r="G184" s="559" t="s">
        <v>441</v>
      </c>
      <c r="H184" s="559" t="s">
        <v>471</v>
      </c>
      <c r="I184" s="560" t="n">
        <v>43878</v>
      </c>
      <c r="J184" s="559" t="n">
        <v>2</v>
      </c>
      <c r="K184" s="571" t="s">
        <v>49</v>
      </c>
      <c r="L184" s="559" t="s">
        <v>10018</v>
      </c>
      <c r="M184" s="545" t="n">
        <f aca="false">I184-D184</f>
        <v>1900</v>
      </c>
    </row>
    <row r="185" customFormat="false" ht="15.75" hidden="true" customHeight="true" outlineLevel="0" collapsed="false">
      <c r="A185" s="562" t="n">
        <v>1220</v>
      </c>
      <c r="B185" s="563" t="s">
        <v>12064</v>
      </c>
      <c r="C185" s="563" t="n">
        <v>2013</v>
      </c>
      <c r="D185" s="564" t="n">
        <v>41516</v>
      </c>
      <c r="E185" s="563" t="s">
        <v>12065</v>
      </c>
      <c r="F185" s="563" t="s">
        <v>823</v>
      </c>
      <c r="G185" s="563" t="s">
        <v>441</v>
      </c>
      <c r="H185" s="563" t="s">
        <v>706</v>
      </c>
      <c r="I185" s="564" t="n">
        <v>43878</v>
      </c>
      <c r="J185" s="563" t="n">
        <v>2</v>
      </c>
      <c r="K185" s="571" t="s">
        <v>49</v>
      </c>
      <c r="L185" s="563" t="s">
        <v>10013</v>
      </c>
      <c r="M185" s="546" t="n">
        <f aca="false">I185-D185</f>
        <v>2362</v>
      </c>
    </row>
    <row r="186" customFormat="false" ht="12.75" hidden="true" customHeight="true" outlineLevel="0" collapsed="false">
      <c r="A186" s="558" t="n">
        <v>1320</v>
      </c>
      <c r="B186" s="559" t="s">
        <v>12066</v>
      </c>
      <c r="C186" s="559" t="n">
        <v>2015</v>
      </c>
      <c r="D186" s="560" t="n">
        <v>42114</v>
      </c>
      <c r="E186" s="559" t="s">
        <v>12067</v>
      </c>
      <c r="F186" s="559" t="s">
        <v>382</v>
      </c>
      <c r="G186" s="559" t="s">
        <v>441</v>
      </c>
      <c r="H186" s="559" t="s">
        <v>471</v>
      </c>
      <c r="I186" s="560" t="n">
        <v>43878</v>
      </c>
      <c r="J186" s="559" t="n">
        <v>2</v>
      </c>
      <c r="K186" s="571" t="s">
        <v>49</v>
      </c>
      <c r="L186" s="559" t="s">
        <v>10013</v>
      </c>
      <c r="M186" s="545" t="n">
        <f aca="false">I186-D186</f>
        <v>1764</v>
      </c>
    </row>
    <row r="187" customFormat="false" ht="12.75" hidden="true" customHeight="true" outlineLevel="0" collapsed="false">
      <c r="A187" s="562" t="n">
        <v>1420</v>
      </c>
      <c r="B187" s="563" t="s">
        <v>12068</v>
      </c>
      <c r="C187" s="563" t="n">
        <v>2015</v>
      </c>
      <c r="D187" s="564" t="n">
        <v>42278</v>
      </c>
      <c r="E187" s="563" t="s">
        <v>12069</v>
      </c>
      <c r="F187" s="563" t="s">
        <v>798</v>
      </c>
      <c r="G187" s="563" t="s">
        <v>441</v>
      </c>
      <c r="H187" s="563" t="s">
        <v>350</v>
      </c>
      <c r="I187" s="564" t="n">
        <v>43878</v>
      </c>
      <c r="J187" s="563" t="n">
        <v>2</v>
      </c>
      <c r="K187" s="571" t="s">
        <v>49</v>
      </c>
      <c r="L187" s="563" t="s">
        <v>10013</v>
      </c>
      <c r="M187" s="546" t="n">
        <f aca="false">I187-D187</f>
        <v>1600</v>
      </c>
    </row>
    <row r="188" customFormat="false" ht="12.75" hidden="true" customHeight="true" outlineLevel="0" collapsed="false">
      <c r="A188" s="558" t="n">
        <v>1520</v>
      </c>
      <c r="B188" s="559" t="s">
        <v>12070</v>
      </c>
      <c r="C188" s="559" t="n">
        <v>2015</v>
      </c>
      <c r="D188" s="560" t="n">
        <v>42369</v>
      </c>
      <c r="E188" s="559" t="s">
        <v>12071</v>
      </c>
      <c r="F188" s="559" t="s">
        <v>12072</v>
      </c>
      <c r="G188" s="559" t="s">
        <v>441</v>
      </c>
      <c r="H188" s="559" t="s">
        <v>12073</v>
      </c>
      <c r="I188" s="560" t="n">
        <v>43878</v>
      </c>
      <c r="J188" s="559" t="n">
        <v>2</v>
      </c>
      <c r="K188" s="571" t="s">
        <v>48</v>
      </c>
      <c r="L188" s="559" t="s">
        <v>10018</v>
      </c>
      <c r="M188" s="545" t="n">
        <f aca="false">I188-D188</f>
        <v>1509</v>
      </c>
    </row>
    <row r="189" customFormat="false" ht="12.75" hidden="true" customHeight="true" outlineLevel="0" collapsed="false">
      <c r="A189" s="562" t="n">
        <v>1620</v>
      </c>
      <c r="B189" s="563" t="s">
        <v>12074</v>
      </c>
      <c r="C189" s="563" t="n">
        <v>2012</v>
      </c>
      <c r="D189" s="564" t="n">
        <v>41253</v>
      </c>
      <c r="E189" s="563" t="s">
        <v>12075</v>
      </c>
      <c r="F189" s="563" t="s">
        <v>12076</v>
      </c>
      <c r="G189" s="563" t="s">
        <v>144</v>
      </c>
      <c r="H189" s="563" t="s">
        <v>119</v>
      </c>
      <c r="I189" s="564" t="n">
        <v>43878</v>
      </c>
      <c r="J189" s="563" t="n">
        <v>2</v>
      </c>
      <c r="K189" s="578" t="s">
        <v>44</v>
      </c>
      <c r="L189" s="563" t="s">
        <v>10018</v>
      </c>
      <c r="M189" s="546" t="n">
        <f aca="false">I189-D189</f>
        <v>2625</v>
      </c>
    </row>
    <row r="190" customFormat="false" ht="12.75" hidden="true" customHeight="true" outlineLevel="0" collapsed="false">
      <c r="A190" s="558" t="n">
        <v>1720</v>
      </c>
      <c r="B190" s="559" t="s">
        <v>12077</v>
      </c>
      <c r="C190" s="559" t="n">
        <v>2019</v>
      </c>
      <c r="D190" s="560" t="n">
        <v>43693</v>
      </c>
      <c r="E190" s="559" t="s">
        <v>12078</v>
      </c>
      <c r="F190" s="573" t="s">
        <v>6303</v>
      </c>
      <c r="G190" s="559" t="s">
        <v>130</v>
      </c>
      <c r="H190" s="559" t="s">
        <v>12079</v>
      </c>
      <c r="I190" s="560" t="n">
        <v>43889</v>
      </c>
      <c r="J190" s="559" t="n">
        <v>2</v>
      </c>
      <c r="K190" s="571" t="s">
        <v>49</v>
      </c>
      <c r="L190" s="559" t="s">
        <v>10445</v>
      </c>
      <c r="M190" s="545" t="n">
        <f aca="false">I190-D190</f>
        <v>196</v>
      </c>
    </row>
    <row r="191" customFormat="false" ht="15" hidden="true" customHeight="true" outlineLevel="0" collapsed="false">
      <c r="A191" s="562" t="n">
        <v>1820</v>
      </c>
      <c r="B191" s="563" t="s">
        <v>12080</v>
      </c>
      <c r="C191" s="563" t="n">
        <v>2019</v>
      </c>
      <c r="D191" s="564" t="n">
        <v>43629</v>
      </c>
      <c r="E191" s="563" t="s">
        <v>12081</v>
      </c>
      <c r="F191" s="572" t="s">
        <v>12051</v>
      </c>
      <c r="G191" s="563" t="s">
        <v>125</v>
      </c>
      <c r="H191" s="563" t="s">
        <v>3472</v>
      </c>
      <c r="I191" s="564" t="n">
        <v>43889</v>
      </c>
      <c r="J191" s="563" t="n">
        <v>2</v>
      </c>
      <c r="K191" s="571" t="s">
        <v>49</v>
      </c>
      <c r="L191" s="563" t="s">
        <v>10445</v>
      </c>
      <c r="M191" s="546" t="n">
        <f aca="false">I191-D191</f>
        <v>260</v>
      </c>
    </row>
    <row r="192" customFormat="false" ht="12.75" hidden="true" customHeight="true" outlineLevel="0" collapsed="false">
      <c r="A192" s="558" t="n">
        <v>1920</v>
      </c>
      <c r="B192" s="559" t="s">
        <v>12082</v>
      </c>
      <c r="C192" s="559" t="n">
        <v>2016</v>
      </c>
      <c r="D192" s="560" t="n">
        <v>42577</v>
      </c>
      <c r="E192" s="559" t="s">
        <v>12083</v>
      </c>
      <c r="F192" s="559" t="s">
        <v>449</v>
      </c>
      <c r="G192" s="559" t="s">
        <v>441</v>
      </c>
      <c r="H192" s="559" t="s">
        <v>1567</v>
      </c>
      <c r="I192" s="560" t="n">
        <v>43889</v>
      </c>
      <c r="J192" s="559" t="n">
        <v>2</v>
      </c>
      <c r="K192" s="571" t="s">
        <v>48</v>
      </c>
      <c r="L192" s="559" t="s">
        <v>10018</v>
      </c>
      <c r="M192" s="545" t="n">
        <f aca="false">I192-D192</f>
        <v>1312</v>
      </c>
    </row>
    <row r="193" customFormat="false" ht="12.75" hidden="true" customHeight="true" outlineLevel="0" collapsed="false">
      <c r="A193" s="562" t="n">
        <v>2020</v>
      </c>
      <c r="B193" s="563" t="s">
        <v>12084</v>
      </c>
      <c r="C193" s="563" t="n">
        <v>2018</v>
      </c>
      <c r="D193" s="564" t="n">
        <v>43216</v>
      </c>
      <c r="E193" s="563" t="s">
        <v>12085</v>
      </c>
      <c r="F193" s="563" t="s">
        <v>671</v>
      </c>
      <c r="G193" s="563" t="s">
        <v>441</v>
      </c>
      <c r="H193" s="563" t="s">
        <v>1567</v>
      </c>
      <c r="I193" s="564" t="n">
        <v>43889</v>
      </c>
      <c r="J193" s="563" t="n">
        <v>2</v>
      </c>
      <c r="K193" s="577" t="s">
        <v>45</v>
      </c>
      <c r="L193" s="563" t="s">
        <v>10018</v>
      </c>
      <c r="M193" s="546" t="n">
        <f aca="false">I193-D193</f>
        <v>673</v>
      </c>
    </row>
    <row r="194" customFormat="false" ht="12.75" hidden="true" customHeight="true" outlineLevel="0" collapsed="false">
      <c r="A194" s="558" t="n">
        <v>2120</v>
      </c>
      <c r="B194" s="559" t="s">
        <v>12086</v>
      </c>
      <c r="C194" s="559" t="n">
        <v>2011</v>
      </c>
      <c r="D194" s="560" t="n">
        <v>40801</v>
      </c>
      <c r="E194" s="559" t="s">
        <v>12087</v>
      </c>
      <c r="F194" s="559" t="s">
        <v>12088</v>
      </c>
      <c r="G194" s="559" t="s">
        <v>144</v>
      </c>
      <c r="H194" s="559" t="s">
        <v>119</v>
      </c>
      <c r="I194" s="560" t="n">
        <v>43889</v>
      </c>
      <c r="J194" s="559" t="n">
        <v>2</v>
      </c>
      <c r="K194" s="571" t="s">
        <v>49</v>
      </c>
      <c r="L194" s="559" t="s">
        <v>10018</v>
      </c>
      <c r="M194" s="545" t="n">
        <f aca="false">I194-D194</f>
        <v>3088</v>
      </c>
    </row>
    <row r="195" customFormat="false" ht="12.75" hidden="true" customHeight="true" outlineLevel="0" collapsed="false">
      <c r="A195" s="562" t="n">
        <v>2220</v>
      </c>
      <c r="B195" s="563" t="s">
        <v>12089</v>
      </c>
      <c r="C195" s="563" t="n">
        <v>2011</v>
      </c>
      <c r="D195" s="564" t="n">
        <v>40646</v>
      </c>
      <c r="E195" s="563" t="s">
        <v>12090</v>
      </c>
      <c r="F195" s="563" t="s">
        <v>12091</v>
      </c>
      <c r="G195" s="563" t="s">
        <v>144</v>
      </c>
      <c r="H195" s="563" t="s">
        <v>6149</v>
      </c>
      <c r="I195" s="564" t="n">
        <v>43889</v>
      </c>
      <c r="J195" s="563" t="n">
        <v>2</v>
      </c>
      <c r="K195" s="571" t="s">
        <v>49</v>
      </c>
      <c r="L195" s="563" t="s">
        <v>10013</v>
      </c>
      <c r="M195" s="546" t="n">
        <f aca="false">I195-D195</f>
        <v>3243</v>
      </c>
    </row>
    <row r="196" customFormat="false" ht="12.75" hidden="true" customHeight="true" outlineLevel="0" collapsed="false">
      <c r="A196" s="558" t="n">
        <v>2320</v>
      </c>
      <c r="B196" s="559" t="s">
        <v>12092</v>
      </c>
      <c r="C196" s="559" t="n">
        <v>2017</v>
      </c>
      <c r="D196" s="560" t="n">
        <v>42758</v>
      </c>
      <c r="E196" s="559" t="s">
        <v>12093</v>
      </c>
      <c r="F196" s="559" t="s">
        <v>2014</v>
      </c>
      <c r="G196" s="559" t="s">
        <v>144</v>
      </c>
      <c r="H196" s="559" t="s">
        <v>1791</v>
      </c>
      <c r="I196" s="560" t="n">
        <v>43902</v>
      </c>
      <c r="J196" s="559" t="n">
        <v>3</v>
      </c>
      <c r="K196" s="578" t="s">
        <v>42</v>
      </c>
      <c r="L196" s="559" t="s">
        <v>10018</v>
      </c>
      <c r="M196" s="545" t="n">
        <f aca="false">I196-D196</f>
        <v>1144</v>
      </c>
    </row>
    <row r="197" customFormat="false" ht="15.75" hidden="true" customHeight="true" outlineLevel="0" collapsed="false">
      <c r="A197" s="562" t="n">
        <v>2420</v>
      </c>
      <c r="B197" s="563" t="s">
        <v>12094</v>
      </c>
      <c r="C197" s="563" t="n">
        <v>2019</v>
      </c>
      <c r="D197" s="564" t="n">
        <v>43698</v>
      </c>
      <c r="E197" s="563" t="s">
        <v>12095</v>
      </c>
      <c r="F197" s="572" t="s">
        <v>6361</v>
      </c>
      <c r="G197" s="563" t="s">
        <v>130</v>
      </c>
      <c r="H197" s="563" t="s">
        <v>9693</v>
      </c>
      <c r="I197" s="564" t="n">
        <v>43902</v>
      </c>
      <c r="J197" s="563" t="n">
        <v>3</v>
      </c>
      <c r="K197" s="571" t="s">
        <v>49</v>
      </c>
      <c r="L197" s="563" t="s">
        <v>10445</v>
      </c>
      <c r="M197" s="546" t="n">
        <f aca="false">I197-D197</f>
        <v>204</v>
      </c>
    </row>
    <row r="198" customFormat="false" ht="12.75" hidden="true" customHeight="true" outlineLevel="0" collapsed="false">
      <c r="A198" s="558" t="n">
        <v>2520</v>
      </c>
      <c r="B198" s="559" t="s">
        <v>12096</v>
      </c>
      <c r="C198" s="559" t="n">
        <v>2013</v>
      </c>
      <c r="D198" s="560" t="n">
        <v>41451</v>
      </c>
      <c r="E198" s="559" t="s">
        <v>12097</v>
      </c>
      <c r="F198" s="559" t="s">
        <v>1277</v>
      </c>
      <c r="G198" s="559" t="s">
        <v>441</v>
      </c>
      <c r="H198" s="559" t="s">
        <v>250</v>
      </c>
      <c r="I198" s="560" t="n">
        <v>43920</v>
      </c>
      <c r="J198" s="559" t="n">
        <v>3</v>
      </c>
      <c r="K198" s="577" t="s">
        <v>46</v>
      </c>
      <c r="L198" s="559" t="s">
        <v>10018</v>
      </c>
      <c r="M198" s="545" t="n">
        <f aca="false">I198-D198</f>
        <v>2469</v>
      </c>
    </row>
    <row r="199" customFormat="false" ht="15.75" hidden="true" customHeight="true" outlineLevel="0" collapsed="false">
      <c r="A199" s="562" t="n">
        <v>2620</v>
      </c>
      <c r="B199" s="563" t="s">
        <v>12098</v>
      </c>
      <c r="C199" s="563" t="n">
        <v>2018</v>
      </c>
      <c r="D199" s="564" t="n">
        <v>43342</v>
      </c>
      <c r="E199" s="563" t="s">
        <v>12099</v>
      </c>
      <c r="F199" s="563" t="s">
        <v>12100</v>
      </c>
      <c r="G199" s="563" t="s">
        <v>144</v>
      </c>
      <c r="H199" s="563" t="s">
        <v>12101</v>
      </c>
      <c r="I199" s="564" t="n">
        <v>43902</v>
      </c>
      <c r="J199" s="563" t="n">
        <v>3</v>
      </c>
      <c r="K199" s="565" t="s">
        <v>51</v>
      </c>
      <c r="L199" s="563" t="s">
        <v>10013</v>
      </c>
      <c r="M199" s="546" t="n">
        <f aca="false">I199-D199</f>
        <v>560</v>
      </c>
    </row>
    <row r="200" customFormat="false" ht="12.75" hidden="true" customHeight="true" outlineLevel="0" collapsed="false">
      <c r="A200" s="558" t="n">
        <v>2720</v>
      </c>
      <c r="B200" s="559" t="s">
        <v>12102</v>
      </c>
      <c r="C200" s="559" t="n">
        <v>2016</v>
      </c>
      <c r="D200" s="560" t="n">
        <v>42705</v>
      </c>
      <c r="E200" s="559" t="s">
        <v>12103</v>
      </c>
      <c r="F200" s="559" t="s">
        <v>3444</v>
      </c>
      <c r="G200" s="559" t="s">
        <v>144</v>
      </c>
      <c r="H200" s="559" t="s">
        <v>1109</v>
      </c>
      <c r="I200" s="560" t="n">
        <v>43902</v>
      </c>
      <c r="J200" s="559" t="n">
        <v>3</v>
      </c>
      <c r="K200" s="571" t="s">
        <v>49</v>
      </c>
      <c r="L200" s="559" t="s">
        <v>10018</v>
      </c>
      <c r="M200" s="545" t="n">
        <f aca="false">I200-D200</f>
        <v>1197</v>
      </c>
    </row>
    <row r="201" customFormat="false" ht="14.25" hidden="true" customHeight="true" outlineLevel="0" collapsed="false">
      <c r="A201" s="562" t="n">
        <v>2820</v>
      </c>
      <c r="B201" s="563" t="s">
        <v>12104</v>
      </c>
      <c r="C201" s="563" t="n">
        <v>2016</v>
      </c>
      <c r="D201" s="564" t="n">
        <v>42471</v>
      </c>
      <c r="E201" s="563" t="s">
        <v>12105</v>
      </c>
      <c r="F201" s="563" t="s">
        <v>180</v>
      </c>
      <c r="G201" s="563" t="s">
        <v>441</v>
      </c>
      <c r="H201" s="563" t="s">
        <v>12106</v>
      </c>
      <c r="I201" s="564" t="n">
        <v>43902</v>
      </c>
      <c r="J201" s="563" t="n">
        <v>3</v>
      </c>
      <c r="K201" s="571" t="s">
        <v>49</v>
      </c>
      <c r="L201" s="563" t="s">
        <v>10018</v>
      </c>
      <c r="M201" s="546" t="n">
        <f aca="false">I201-D201</f>
        <v>1431</v>
      </c>
    </row>
    <row r="202" customFormat="false" ht="12.75" hidden="true" customHeight="true" outlineLevel="0" collapsed="false">
      <c r="A202" s="558" t="n">
        <v>2920</v>
      </c>
      <c r="B202" s="559" t="s">
        <v>12107</v>
      </c>
      <c r="C202" s="559" t="n">
        <v>2014</v>
      </c>
      <c r="D202" s="560" t="n">
        <v>41807</v>
      </c>
      <c r="E202" s="559" t="s">
        <v>12108</v>
      </c>
      <c r="F202" s="559" t="s">
        <v>1097</v>
      </c>
      <c r="G202" s="559" t="s">
        <v>441</v>
      </c>
      <c r="H202" s="559" t="s">
        <v>192</v>
      </c>
      <c r="I202" s="560" t="n">
        <v>43903</v>
      </c>
      <c r="J202" s="559" t="n">
        <v>3</v>
      </c>
      <c r="K202" s="571" t="s">
        <v>48</v>
      </c>
      <c r="L202" s="559" t="s">
        <v>10013</v>
      </c>
      <c r="M202" s="545" t="n">
        <f aca="false">I202-D202</f>
        <v>2096</v>
      </c>
    </row>
    <row r="203" customFormat="false" ht="12.75" hidden="true" customHeight="true" outlineLevel="0" collapsed="false">
      <c r="A203" s="562" t="n">
        <v>3020</v>
      </c>
      <c r="B203" s="563" t="s">
        <v>12109</v>
      </c>
      <c r="C203" s="563" t="n">
        <v>2012</v>
      </c>
      <c r="D203" s="564" t="n">
        <v>41239</v>
      </c>
      <c r="E203" s="563" t="s">
        <v>12110</v>
      </c>
      <c r="F203" s="563" t="s">
        <v>1357</v>
      </c>
      <c r="G203" s="563" t="s">
        <v>441</v>
      </c>
      <c r="H203" s="563" t="s">
        <v>1567</v>
      </c>
      <c r="I203" s="564" t="n">
        <v>43906</v>
      </c>
      <c r="J203" s="563" t="n">
        <v>3</v>
      </c>
      <c r="K203" s="571" t="s">
        <v>49</v>
      </c>
      <c r="L203" s="563" t="s">
        <v>10013</v>
      </c>
      <c r="M203" s="546" t="n">
        <f aca="false">I203-D203</f>
        <v>2667</v>
      </c>
    </row>
    <row r="204" customFormat="false" ht="12.75" hidden="true" customHeight="true" outlineLevel="0" collapsed="false">
      <c r="A204" s="558" t="n">
        <v>3120</v>
      </c>
      <c r="B204" s="559" t="s">
        <v>12111</v>
      </c>
      <c r="C204" s="559" t="n">
        <v>2019</v>
      </c>
      <c r="D204" s="560" t="n">
        <v>43601</v>
      </c>
      <c r="E204" s="559" t="s">
        <v>12112</v>
      </c>
      <c r="F204" s="573" t="s">
        <v>10840</v>
      </c>
      <c r="G204" s="559" t="s">
        <v>125</v>
      </c>
      <c r="H204" s="559" t="s">
        <v>10913</v>
      </c>
      <c r="I204" s="560" t="n">
        <v>43906</v>
      </c>
      <c r="J204" s="559" t="n">
        <v>3</v>
      </c>
      <c r="K204" s="565" t="s">
        <v>51</v>
      </c>
      <c r="L204" s="559" t="s">
        <v>10445</v>
      </c>
      <c r="M204" s="545" t="n">
        <f aca="false">I204-D204</f>
        <v>305</v>
      </c>
    </row>
    <row r="205" customFormat="false" ht="12.75" hidden="true" customHeight="true" outlineLevel="0" collapsed="false">
      <c r="A205" s="562" t="n">
        <v>3220</v>
      </c>
      <c r="B205" s="563" t="s">
        <v>12113</v>
      </c>
      <c r="C205" s="563" t="n">
        <v>2019</v>
      </c>
      <c r="D205" s="564" t="n">
        <v>43601</v>
      </c>
      <c r="E205" s="563" t="s">
        <v>12114</v>
      </c>
      <c r="F205" s="572" t="s">
        <v>10840</v>
      </c>
      <c r="G205" s="563" t="s">
        <v>125</v>
      </c>
      <c r="H205" s="563" t="s">
        <v>10913</v>
      </c>
      <c r="I205" s="564" t="n">
        <v>43906</v>
      </c>
      <c r="J205" s="563" t="n">
        <v>3</v>
      </c>
      <c r="K205" s="565" t="s">
        <v>51</v>
      </c>
      <c r="L205" s="563" t="s">
        <v>10445</v>
      </c>
      <c r="M205" s="546" t="n">
        <f aca="false">I205-D205</f>
        <v>305</v>
      </c>
    </row>
    <row r="206" customFormat="false" ht="12.75" hidden="true" customHeight="true" outlineLevel="0" collapsed="false">
      <c r="A206" s="558" t="n">
        <v>3320</v>
      </c>
      <c r="B206" s="559" t="s">
        <v>12115</v>
      </c>
      <c r="C206" s="559" t="n">
        <v>2019</v>
      </c>
      <c r="D206" s="560" t="n">
        <v>43601</v>
      </c>
      <c r="E206" s="559" t="s">
        <v>12116</v>
      </c>
      <c r="F206" s="573" t="s">
        <v>10840</v>
      </c>
      <c r="G206" s="559" t="s">
        <v>125</v>
      </c>
      <c r="H206" s="559" t="s">
        <v>10913</v>
      </c>
      <c r="I206" s="560" t="n">
        <v>43906</v>
      </c>
      <c r="J206" s="559" t="n">
        <v>3</v>
      </c>
      <c r="K206" s="565" t="s">
        <v>51</v>
      </c>
      <c r="L206" s="559" t="s">
        <v>10445</v>
      </c>
      <c r="M206" s="545" t="n">
        <f aca="false">I206-D206</f>
        <v>305</v>
      </c>
    </row>
    <row r="207" customFormat="false" ht="12.75" hidden="true" customHeight="true" outlineLevel="0" collapsed="false">
      <c r="A207" s="562" t="n">
        <v>3420</v>
      </c>
      <c r="B207" s="563" t="s">
        <v>12117</v>
      </c>
      <c r="C207" s="563" t="n">
        <v>2019</v>
      </c>
      <c r="D207" s="564" t="n">
        <v>43601</v>
      </c>
      <c r="E207" s="563" t="s">
        <v>12118</v>
      </c>
      <c r="F207" s="572" t="s">
        <v>10840</v>
      </c>
      <c r="G207" s="563" t="s">
        <v>125</v>
      </c>
      <c r="H207" s="563" t="s">
        <v>10913</v>
      </c>
      <c r="I207" s="564" t="n">
        <v>43906</v>
      </c>
      <c r="J207" s="563" t="n">
        <v>3</v>
      </c>
      <c r="K207" s="565" t="s">
        <v>51</v>
      </c>
      <c r="L207" s="563" t="s">
        <v>10445</v>
      </c>
      <c r="M207" s="546" t="n">
        <f aca="false">I207-D207</f>
        <v>305</v>
      </c>
    </row>
    <row r="208" customFormat="false" ht="12.75" hidden="true" customHeight="true" outlineLevel="0" collapsed="false">
      <c r="A208" s="558" t="n">
        <v>3520</v>
      </c>
      <c r="B208" s="559" t="s">
        <v>12119</v>
      </c>
      <c r="C208" s="559" t="n">
        <v>2019</v>
      </c>
      <c r="D208" s="560" t="n">
        <v>43601</v>
      </c>
      <c r="E208" s="559" t="s">
        <v>12120</v>
      </c>
      <c r="F208" s="573" t="s">
        <v>10768</v>
      </c>
      <c r="G208" s="559" t="s">
        <v>125</v>
      </c>
      <c r="H208" s="559" t="s">
        <v>10913</v>
      </c>
      <c r="I208" s="560" t="n">
        <v>43906</v>
      </c>
      <c r="J208" s="559" t="n">
        <v>3</v>
      </c>
      <c r="K208" s="571" t="s">
        <v>49</v>
      </c>
      <c r="L208" s="559" t="s">
        <v>10445</v>
      </c>
      <c r="M208" s="545" t="n">
        <f aca="false">I208-D208</f>
        <v>305</v>
      </c>
    </row>
    <row r="209" customFormat="false" ht="12.75" hidden="true" customHeight="true" outlineLevel="0" collapsed="false">
      <c r="A209" s="562" t="n">
        <v>3620</v>
      </c>
      <c r="B209" s="563" t="s">
        <v>12121</v>
      </c>
      <c r="C209" s="563" t="n">
        <v>2019</v>
      </c>
      <c r="D209" s="564" t="n">
        <v>43626</v>
      </c>
      <c r="E209" s="563" t="s">
        <v>12122</v>
      </c>
      <c r="F209" s="572" t="s">
        <v>12123</v>
      </c>
      <c r="G209" s="563" t="s">
        <v>125</v>
      </c>
      <c r="H209" s="563" t="s">
        <v>10653</v>
      </c>
      <c r="I209" s="564" t="n">
        <v>43906</v>
      </c>
      <c r="J209" s="563" t="n">
        <v>3</v>
      </c>
      <c r="K209" s="565" t="s">
        <v>51</v>
      </c>
      <c r="L209" s="563" t="s">
        <v>61</v>
      </c>
      <c r="M209" s="546" t="n">
        <f aca="false">I209-D209</f>
        <v>280</v>
      </c>
    </row>
    <row r="210" customFormat="false" ht="12.75" hidden="true" customHeight="true" outlineLevel="0" collapsed="false">
      <c r="A210" s="558" t="n">
        <v>3720</v>
      </c>
      <c r="B210" s="559" t="s">
        <v>12124</v>
      </c>
      <c r="C210" s="559" t="n">
        <v>2019</v>
      </c>
      <c r="D210" s="560" t="n">
        <v>43706</v>
      </c>
      <c r="E210" s="559" t="s">
        <v>12125</v>
      </c>
      <c r="F210" s="559" t="s">
        <v>12126</v>
      </c>
      <c r="G210" s="559" t="s">
        <v>125</v>
      </c>
      <c r="H210" s="559" t="s">
        <v>12127</v>
      </c>
      <c r="I210" s="560" t="n">
        <v>43906</v>
      </c>
      <c r="J210" s="559" t="n">
        <v>3</v>
      </c>
      <c r="K210" s="571" t="s">
        <v>49</v>
      </c>
      <c r="L210" s="559" t="s">
        <v>10445</v>
      </c>
      <c r="M210" s="545" t="n">
        <f aca="false">I210-D210</f>
        <v>200</v>
      </c>
    </row>
    <row r="211" customFormat="false" ht="12.75" hidden="true" customHeight="true" outlineLevel="0" collapsed="false">
      <c r="A211" s="562" t="n">
        <v>3820</v>
      </c>
      <c r="B211" s="563" t="s">
        <v>12128</v>
      </c>
      <c r="C211" s="563" t="n">
        <v>2016</v>
      </c>
      <c r="D211" s="564" t="n">
        <v>42488</v>
      </c>
      <c r="E211" s="563" t="s">
        <v>12129</v>
      </c>
      <c r="F211" s="563" t="s">
        <v>346</v>
      </c>
      <c r="G211" s="563" t="s">
        <v>441</v>
      </c>
      <c r="H211" s="563" t="s">
        <v>2647</v>
      </c>
      <c r="I211" s="564" t="n">
        <v>43913</v>
      </c>
      <c r="J211" s="563" t="n">
        <v>3</v>
      </c>
      <c r="K211" s="571" t="s">
        <v>47</v>
      </c>
      <c r="L211" s="563" t="s">
        <v>10018</v>
      </c>
      <c r="M211" s="546" t="n">
        <f aca="false">I211-D211</f>
        <v>1425</v>
      </c>
    </row>
    <row r="212" customFormat="false" ht="12.75" hidden="true" customHeight="true" outlineLevel="0" collapsed="false">
      <c r="A212" s="558" t="n">
        <v>3920</v>
      </c>
      <c r="B212" s="559" t="s">
        <v>12130</v>
      </c>
      <c r="C212" s="559" t="n">
        <v>2019</v>
      </c>
      <c r="D212" s="560" t="n">
        <v>43601</v>
      </c>
      <c r="E212" s="559" t="s">
        <v>12131</v>
      </c>
      <c r="F212" s="573" t="s">
        <v>10768</v>
      </c>
      <c r="G212" s="559" t="s">
        <v>125</v>
      </c>
      <c r="H212" s="559" t="s">
        <v>10913</v>
      </c>
      <c r="I212" s="560" t="n">
        <v>43913</v>
      </c>
      <c r="J212" s="559" t="n">
        <v>3</v>
      </c>
      <c r="K212" s="571" t="s">
        <v>49</v>
      </c>
      <c r="L212" s="559" t="s">
        <v>10445</v>
      </c>
      <c r="M212" s="545" t="n">
        <f aca="false">I212-D212</f>
        <v>312</v>
      </c>
    </row>
    <row r="213" customFormat="false" ht="12.75" hidden="true" customHeight="true" outlineLevel="0" collapsed="false">
      <c r="A213" s="562" t="n">
        <v>4020</v>
      </c>
      <c r="B213" s="563" t="s">
        <v>12132</v>
      </c>
      <c r="C213" s="563" t="n">
        <v>2019</v>
      </c>
      <c r="D213" s="564" t="n">
        <v>43601</v>
      </c>
      <c r="E213" s="563" t="s">
        <v>12133</v>
      </c>
      <c r="F213" s="572" t="s">
        <v>6303</v>
      </c>
      <c r="G213" s="563" t="s">
        <v>125</v>
      </c>
      <c r="H213" s="563" t="s">
        <v>10913</v>
      </c>
      <c r="I213" s="564" t="n">
        <v>43913</v>
      </c>
      <c r="J213" s="563" t="n">
        <v>3</v>
      </c>
      <c r="K213" s="571" t="s">
        <v>49</v>
      </c>
      <c r="L213" s="563" t="s">
        <v>10445</v>
      </c>
      <c r="M213" s="546" t="n">
        <f aca="false">I213-D213</f>
        <v>312</v>
      </c>
    </row>
    <row r="214" customFormat="false" ht="12.75" hidden="true" customHeight="true" outlineLevel="0" collapsed="false">
      <c r="A214" s="558" t="n">
        <v>4120</v>
      </c>
      <c r="B214" s="559" t="s">
        <v>12134</v>
      </c>
      <c r="C214" s="559" t="n">
        <v>2018</v>
      </c>
      <c r="D214" s="560" t="n">
        <v>43374</v>
      </c>
      <c r="E214" s="559" t="s">
        <v>12135</v>
      </c>
      <c r="F214" s="573" t="s">
        <v>6315</v>
      </c>
      <c r="G214" s="559" t="s">
        <v>130</v>
      </c>
      <c r="H214" s="559" t="s">
        <v>12136</v>
      </c>
      <c r="I214" s="560" t="n">
        <v>43913</v>
      </c>
      <c r="J214" s="559" t="n">
        <v>3</v>
      </c>
      <c r="K214" s="571" t="s">
        <v>49</v>
      </c>
      <c r="L214" s="559" t="s">
        <v>10445</v>
      </c>
      <c r="M214" s="545" t="n">
        <f aca="false">I214-D214</f>
        <v>539</v>
      </c>
    </row>
    <row r="215" customFormat="false" ht="12.75" hidden="true" customHeight="true" outlineLevel="0" collapsed="false">
      <c r="A215" s="562" t="n">
        <v>4220</v>
      </c>
      <c r="B215" s="563" t="s">
        <v>12137</v>
      </c>
      <c r="C215" s="563" t="n">
        <v>2017</v>
      </c>
      <c r="D215" s="564" t="n">
        <v>43089</v>
      </c>
      <c r="E215" s="563" t="s">
        <v>12138</v>
      </c>
      <c r="F215" s="563" t="s">
        <v>3190</v>
      </c>
      <c r="G215" s="563" t="s">
        <v>441</v>
      </c>
      <c r="H215" s="563" t="s">
        <v>350</v>
      </c>
      <c r="I215" s="564" t="n">
        <v>43913</v>
      </c>
      <c r="J215" s="563" t="n">
        <v>3</v>
      </c>
      <c r="K215" s="571" t="s">
        <v>48</v>
      </c>
      <c r="L215" s="563" t="s">
        <v>10013</v>
      </c>
      <c r="M215" s="546" t="n">
        <f aca="false">I215-D215</f>
        <v>824</v>
      </c>
    </row>
    <row r="216" customFormat="false" ht="12.75" hidden="true" customHeight="true" outlineLevel="0" collapsed="false">
      <c r="A216" s="558" t="n">
        <v>4320</v>
      </c>
      <c r="B216" s="559" t="s">
        <v>12139</v>
      </c>
      <c r="C216" s="559" t="n">
        <v>2019</v>
      </c>
      <c r="D216" s="560" t="n">
        <v>43601</v>
      </c>
      <c r="E216" s="559" t="s">
        <v>12140</v>
      </c>
      <c r="F216" s="573" t="s">
        <v>6303</v>
      </c>
      <c r="G216" s="559" t="s">
        <v>130</v>
      </c>
      <c r="H216" s="559" t="s">
        <v>10913</v>
      </c>
      <c r="I216" s="560" t="n">
        <v>43914</v>
      </c>
      <c r="J216" s="559" t="n">
        <v>3</v>
      </c>
      <c r="K216" s="571" t="s">
        <v>49</v>
      </c>
      <c r="L216" s="559" t="s">
        <v>10445</v>
      </c>
      <c r="M216" s="545" t="n">
        <f aca="false">I216-D216</f>
        <v>313</v>
      </c>
    </row>
    <row r="217" customFormat="false" ht="12.75" hidden="true" customHeight="true" outlineLevel="0" collapsed="false">
      <c r="A217" s="562" t="n">
        <v>4420</v>
      </c>
      <c r="B217" s="563" t="s">
        <v>12141</v>
      </c>
      <c r="C217" s="563" t="n">
        <v>2013</v>
      </c>
      <c r="D217" s="564" t="n">
        <v>41408</v>
      </c>
      <c r="E217" s="563" t="s">
        <v>12142</v>
      </c>
      <c r="F217" s="563" t="s">
        <v>957</v>
      </c>
      <c r="G217" s="563" t="s">
        <v>144</v>
      </c>
      <c r="H217" s="563" t="s">
        <v>6149</v>
      </c>
      <c r="I217" s="564" t="n">
        <v>43915</v>
      </c>
      <c r="J217" s="563" t="n">
        <v>3</v>
      </c>
      <c r="K217" s="571" t="s">
        <v>48</v>
      </c>
      <c r="L217" s="563" t="s">
        <v>10013</v>
      </c>
      <c r="M217" s="546" t="n">
        <f aca="false">I217-D217</f>
        <v>2507</v>
      </c>
    </row>
    <row r="218" customFormat="false" ht="12.75" hidden="true" customHeight="true" outlineLevel="0" collapsed="false">
      <c r="A218" s="558" t="n">
        <v>4520</v>
      </c>
      <c r="B218" s="559" t="s">
        <v>12143</v>
      </c>
      <c r="C218" s="559" t="n">
        <v>2013</v>
      </c>
      <c r="D218" s="560" t="n">
        <v>41450</v>
      </c>
      <c r="E218" s="559" t="s">
        <v>12144</v>
      </c>
      <c r="F218" s="559" t="s">
        <v>957</v>
      </c>
      <c r="G218" s="559" t="s">
        <v>144</v>
      </c>
      <c r="H218" s="559" t="s">
        <v>6149</v>
      </c>
      <c r="I218" s="560" t="n">
        <v>43915</v>
      </c>
      <c r="J218" s="559" t="n">
        <v>3</v>
      </c>
      <c r="K218" s="571" t="s">
        <v>48</v>
      </c>
      <c r="L218" s="559" t="s">
        <v>10013</v>
      </c>
      <c r="M218" s="545" t="n">
        <f aca="false">I218-D218</f>
        <v>2465</v>
      </c>
    </row>
    <row r="219" customFormat="false" ht="12.75" hidden="true" customHeight="true" outlineLevel="0" collapsed="false">
      <c r="A219" s="562" t="n">
        <v>4620</v>
      </c>
      <c r="B219" s="563" t="s">
        <v>12145</v>
      </c>
      <c r="C219" s="563" t="n">
        <v>2013</v>
      </c>
      <c r="D219" s="564" t="n">
        <v>41470</v>
      </c>
      <c r="E219" s="563" t="s">
        <v>12146</v>
      </c>
      <c r="F219" s="563" t="s">
        <v>957</v>
      </c>
      <c r="G219" s="563" t="s">
        <v>144</v>
      </c>
      <c r="H219" s="563" t="s">
        <v>6149</v>
      </c>
      <c r="I219" s="564" t="n">
        <v>43915</v>
      </c>
      <c r="J219" s="563" t="n">
        <v>3</v>
      </c>
      <c r="K219" s="571" t="s">
        <v>48</v>
      </c>
      <c r="L219" s="563" t="s">
        <v>10013</v>
      </c>
      <c r="M219" s="546" t="n">
        <f aca="false">I219-D219</f>
        <v>2445</v>
      </c>
    </row>
    <row r="220" customFormat="false" ht="12.75" hidden="true" customHeight="true" outlineLevel="0" collapsed="false">
      <c r="A220" s="558" t="n">
        <v>4720</v>
      </c>
      <c r="B220" s="559" t="s">
        <v>12147</v>
      </c>
      <c r="C220" s="559" t="n">
        <v>2013</v>
      </c>
      <c r="D220" s="560" t="n">
        <v>41470</v>
      </c>
      <c r="E220" s="559" t="s">
        <v>12148</v>
      </c>
      <c r="F220" s="559" t="s">
        <v>957</v>
      </c>
      <c r="G220" s="559" t="s">
        <v>144</v>
      </c>
      <c r="H220" s="559" t="s">
        <v>6149</v>
      </c>
      <c r="I220" s="560" t="n">
        <v>43915</v>
      </c>
      <c r="J220" s="559" t="n">
        <v>3</v>
      </c>
      <c r="K220" s="571" t="s">
        <v>48</v>
      </c>
      <c r="L220" s="559" t="s">
        <v>10013</v>
      </c>
      <c r="M220" s="545" t="n">
        <f aca="false">I220-D220</f>
        <v>2445</v>
      </c>
    </row>
    <row r="221" customFormat="false" ht="12.75" hidden="true" customHeight="true" outlineLevel="0" collapsed="false">
      <c r="A221" s="562" t="n">
        <v>4820</v>
      </c>
      <c r="B221" s="563" t="s">
        <v>12149</v>
      </c>
      <c r="C221" s="563" t="n">
        <v>2013</v>
      </c>
      <c r="D221" s="564" t="n">
        <v>41543</v>
      </c>
      <c r="E221" s="563" t="s">
        <v>12150</v>
      </c>
      <c r="F221" s="563" t="s">
        <v>12151</v>
      </c>
      <c r="G221" s="563" t="s">
        <v>144</v>
      </c>
      <c r="H221" s="563" t="s">
        <v>6149</v>
      </c>
      <c r="I221" s="564" t="n">
        <v>43915</v>
      </c>
      <c r="J221" s="563" t="n">
        <v>3</v>
      </c>
      <c r="K221" s="565" t="s">
        <v>51</v>
      </c>
      <c r="L221" s="563" t="s">
        <v>10018</v>
      </c>
      <c r="M221" s="546" t="n">
        <f aca="false">I221-D221</f>
        <v>2372</v>
      </c>
    </row>
    <row r="222" customFormat="false" ht="12.75" hidden="true" customHeight="true" outlineLevel="0" collapsed="false">
      <c r="A222" s="558" t="n">
        <v>4920</v>
      </c>
      <c r="B222" s="559" t="s">
        <v>12152</v>
      </c>
      <c r="C222" s="559" t="n">
        <v>2013</v>
      </c>
      <c r="D222" s="560" t="n">
        <v>41561</v>
      </c>
      <c r="E222" s="559" t="s">
        <v>12153</v>
      </c>
      <c r="F222" s="559" t="s">
        <v>12151</v>
      </c>
      <c r="G222" s="559" t="s">
        <v>144</v>
      </c>
      <c r="H222" s="559" t="s">
        <v>6149</v>
      </c>
      <c r="I222" s="560" t="n">
        <v>43915</v>
      </c>
      <c r="J222" s="559" t="n">
        <v>3</v>
      </c>
      <c r="K222" s="565" t="s">
        <v>51</v>
      </c>
      <c r="L222" s="559" t="s">
        <v>10018</v>
      </c>
      <c r="M222" s="545" t="n">
        <f aca="false">I222-D222</f>
        <v>2354</v>
      </c>
    </row>
    <row r="223" customFormat="false" ht="12.75" hidden="true" customHeight="true" outlineLevel="0" collapsed="false">
      <c r="A223" s="562" t="n">
        <v>5020</v>
      </c>
      <c r="B223" s="563" t="s">
        <v>12154</v>
      </c>
      <c r="C223" s="563" t="n">
        <v>2013</v>
      </c>
      <c r="D223" s="564" t="n">
        <v>41561</v>
      </c>
      <c r="E223" s="563" t="s">
        <v>12155</v>
      </c>
      <c r="F223" s="563" t="s">
        <v>12151</v>
      </c>
      <c r="G223" s="563" t="s">
        <v>144</v>
      </c>
      <c r="H223" s="563" t="s">
        <v>6149</v>
      </c>
      <c r="I223" s="564" t="n">
        <v>43915</v>
      </c>
      <c r="J223" s="563" t="n">
        <v>3</v>
      </c>
      <c r="K223" s="565" t="s">
        <v>51</v>
      </c>
      <c r="L223" s="563" t="s">
        <v>10018</v>
      </c>
      <c r="M223" s="546" t="n">
        <f aca="false">I223-D223</f>
        <v>2354</v>
      </c>
    </row>
    <row r="224" customFormat="false" ht="12.75" hidden="true" customHeight="true" outlineLevel="0" collapsed="false">
      <c r="A224" s="558" t="n">
        <v>5120</v>
      </c>
      <c r="B224" s="559" t="s">
        <v>12156</v>
      </c>
      <c r="C224" s="559" t="n">
        <v>2018</v>
      </c>
      <c r="D224" s="560" t="n">
        <v>43305</v>
      </c>
      <c r="E224" s="559" t="s">
        <v>12157</v>
      </c>
      <c r="F224" s="573" t="s">
        <v>9790</v>
      </c>
      <c r="G224" s="559" t="s">
        <v>130</v>
      </c>
      <c r="H224" s="559" t="s">
        <v>12158</v>
      </c>
      <c r="I224" s="560" t="n">
        <v>43915</v>
      </c>
      <c r="J224" s="559" t="n">
        <v>3</v>
      </c>
      <c r="K224" s="565" t="s">
        <v>50</v>
      </c>
      <c r="L224" s="559" t="s">
        <v>10445</v>
      </c>
      <c r="M224" s="545" t="n">
        <f aca="false">I224-D224</f>
        <v>610</v>
      </c>
    </row>
    <row r="225" customFormat="false" ht="12.75" hidden="true" customHeight="true" outlineLevel="0" collapsed="false">
      <c r="A225" s="562" t="n">
        <v>5220</v>
      </c>
      <c r="B225" s="563" t="s">
        <v>12159</v>
      </c>
      <c r="C225" s="563" t="n">
        <v>2019</v>
      </c>
      <c r="D225" s="564" t="n">
        <v>43620</v>
      </c>
      <c r="E225" s="563" t="s">
        <v>12160</v>
      </c>
      <c r="F225" s="572" t="s">
        <v>6303</v>
      </c>
      <c r="G225" s="563" t="s">
        <v>130</v>
      </c>
      <c r="H225" s="563" t="s">
        <v>12136</v>
      </c>
      <c r="I225" s="564" t="n">
        <v>43915</v>
      </c>
      <c r="J225" s="563" t="n">
        <v>3</v>
      </c>
      <c r="K225" s="565" t="s">
        <v>50</v>
      </c>
      <c r="L225" s="563" t="s">
        <v>10445</v>
      </c>
      <c r="M225" s="546" t="n">
        <f aca="false">I225-D225</f>
        <v>295</v>
      </c>
    </row>
    <row r="226" customFormat="false" ht="12.75" hidden="true" customHeight="true" outlineLevel="0" collapsed="false">
      <c r="A226" s="558" t="n">
        <v>5320</v>
      </c>
      <c r="B226" s="559" t="s">
        <v>12161</v>
      </c>
      <c r="C226" s="559" t="n">
        <v>2019</v>
      </c>
      <c r="D226" s="560" t="n">
        <v>43698</v>
      </c>
      <c r="E226" s="559" t="s">
        <v>12162</v>
      </c>
      <c r="F226" s="573" t="s">
        <v>12163</v>
      </c>
      <c r="G226" s="559" t="s">
        <v>130</v>
      </c>
      <c r="H226" s="559" t="s">
        <v>980</v>
      </c>
      <c r="I226" s="560" t="n">
        <v>43915</v>
      </c>
      <c r="J226" s="559" t="n">
        <v>3</v>
      </c>
      <c r="K226" s="571" t="s">
        <v>49</v>
      </c>
      <c r="L226" s="559" t="s">
        <v>10445</v>
      </c>
      <c r="M226" s="545" t="n">
        <f aca="false">I226-D226</f>
        <v>217</v>
      </c>
    </row>
    <row r="227" customFormat="false" ht="12.75" hidden="true" customHeight="true" outlineLevel="0" collapsed="false">
      <c r="A227" s="562" t="n">
        <v>5420</v>
      </c>
      <c r="B227" s="563" t="s">
        <v>12164</v>
      </c>
      <c r="C227" s="563" t="n">
        <v>2019</v>
      </c>
      <c r="D227" s="564" t="n">
        <v>43565</v>
      </c>
      <c r="E227" s="563" t="s">
        <v>12165</v>
      </c>
      <c r="F227" s="563" t="s">
        <v>11477</v>
      </c>
      <c r="G227" s="563" t="s">
        <v>125</v>
      </c>
      <c r="H227" s="563" t="s">
        <v>6480</v>
      </c>
      <c r="I227" s="564" t="n">
        <v>43915</v>
      </c>
      <c r="J227" s="563" t="n">
        <v>3</v>
      </c>
      <c r="K227" s="571" t="s">
        <v>49</v>
      </c>
      <c r="L227" s="563" t="s">
        <v>10445</v>
      </c>
      <c r="M227" s="546" t="n">
        <f aca="false">I227-D227</f>
        <v>350</v>
      </c>
    </row>
    <row r="228" customFormat="false" ht="15" hidden="true" customHeight="true" outlineLevel="0" collapsed="false">
      <c r="A228" s="579" t="n">
        <v>5520</v>
      </c>
      <c r="B228" s="559" t="s">
        <v>12166</v>
      </c>
      <c r="C228" s="559" t="n">
        <v>2019</v>
      </c>
      <c r="D228" s="560" t="n">
        <v>43621</v>
      </c>
      <c r="E228" s="559" t="s">
        <v>12167</v>
      </c>
      <c r="F228" s="559" t="s">
        <v>10749</v>
      </c>
      <c r="G228" s="559" t="s">
        <v>125</v>
      </c>
      <c r="H228" s="559" t="s">
        <v>6480</v>
      </c>
      <c r="I228" s="560" t="n">
        <v>43915</v>
      </c>
      <c r="J228" s="559" t="n">
        <v>3</v>
      </c>
      <c r="K228" s="565" t="s">
        <v>51</v>
      </c>
      <c r="L228" s="559" t="s">
        <v>10445</v>
      </c>
      <c r="M228" s="545" t="n">
        <f aca="false">I228-D228</f>
        <v>294</v>
      </c>
    </row>
    <row r="229" customFormat="false" ht="12.75" hidden="true" customHeight="true" outlineLevel="0" collapsed="false">
      <c r="A229" s="580" t="n">
        <v>5620</v>
      </c>
      <c r="B229" s="563" t="s">
        <v>12168</v>
      </c>
      <c r="C229" s="563" t="n">
        <v>2019</v>
      </c>
      <c r="D229" s="564" t="n">
        <v>43698</v>
      </c>
      <c r="E229" s="563" t="s">
        <v>12169</v>
      </c>
      <c r="F229" s="572" t="s">
        <v>6303</v>
      </c>
      <c r="G229" s="563" t="s">
        <v>130</v>
      </c>
      <c r="H229" s="563" t="s">
        <v>9351</v>
      </c>
      <c r="I229" s="564" t="n">
        <v>43915</v>
      </c>
      <c r="J229" s="563" t="n">
        <v>3</v>
      </c>
      <c r="K229" s="571" t="s">
        <v>49</v>
      </c>
      <c r="L229" s="563" t="s">
        <v>10445</v>
      </c>
      <c r="M229" s="546" t="n">
        <f aca="false">I229-D229</f>
        <v>217</v>
      </c>
    </row>
    <row r="230" customFormat="false" ht="12.75" hidden="true" customHeight="true" outlineLevel="0" collapsed="false">
      <c r="A230" s="581" t="n">
        <v>5720</v>
      </c>
      <c r="B230" s="559" t="s">
        <v>12170</v>
      </c>
      <c r="C230" s="559" t="n">
        <v>2013</v>
      </c>
      <c r="D230" s="560" t="n">
        <v>41394</v>
      </c>
      <c r="E230" s="559" t="s">
        <v>12171</v>
      </c>
      <c r="F230" s="559" t="s">
        <v>957</v>
      </c>
      <c r="G230" s="559" t="s">
        <v>144</v>
      </c>
      <c r="H230" s="559" t="s">
        <v>6149</v>
      </c>
      <c r="I230" s="560" t="n">
        <v>43921</v>
      </c>
      <c r="J230" s="559" t="n">
        <v>3</v>
      </c>
      <c r="K230" s="571" t="s">
        <v>48</v>
      </c>
      <c r="L230" s="559" t="s">
        <v>10013</v>
      </c>
      <c r="M230" s="545" t="n">
        <f aca="false">I230-D230</f>
        <v>2527</v>
      </c>
    </row>
    <row r="231" customFormat="false" ht="12.75" hidden="true" customHeight="true" outlineLevel="0" collapsed="false">
      <c r="A231" s="562" t="n">
        <v>5820</v>
      </c>
      <c r="B231" s="563" t="s">
        <v>12172</v>
      </c>
      <c r="C231" s="563" t="n">
        <v>2013</v>
      </c>
      <c r="D231" s="564" t="n">
        <v>41408</v>
      </c>
      <c r="E231" s="563" t="s">
        <v>12173</v>
      </c>
      <c r="F231" s="563" t="s">
        <v>957</v>
      </c>
      <c r="G231" s="563" t="s">
        <v>144</v>
      </c>
      <c r="H231" s="563" t="s">
        <v>6149</v>
      </c>
      <c r="I231" s="564" t="n">
        <v>43921</v>
      </c>
      <c r="J231" s="563" t="n">
        <v>3</v>
      </c>
      <c r="K231" s="571" t="s">
        <v>48</v>
      </c>
      <c r="L231" s="563" t="s">
        <v>10013</v>
      </c>
      <c r="M231" s="546" t="n">
        <f aca="false">I231-D231</f>
        <v>2513</v>
      </c>
    </row>
    <row r="232" customFormat="false" ht="12.75" hidden="true" customHeight="true" outlineLevel="0" collapsed="false">
      <c r="A232" s="558" t="n">
        <v>5920</v>
      </c>
      <c r="B232" s="559" t="s">
        <v>12174</v>
      </c>
      <c r="C232" s="559" t="n">
        <v>2010</v>
      </c>
      <c r="D232" s="560" t="n">
        <v>40329</v>
      </c>
      <c r="E232" s="559" t="s">
        <v>12175</v>
      </c>
      <c r="F232" s="559" t="s">
        <v>12176</v>
      </c>
      <c r="G232" s="559" t="s">
        <v>144</v>
      </c>
      <c r="H232" s="559" t="s">
        <v>1791</v>
      </c>
      <c r="I232" s="560" t="n">
        <v>43921</v>
      </c>
      <c r="J232" s="559" t="n">
        <v>3</v>
      </c>
      <c r="K232" s="571" t="s">
        <v>48</v>
      </c>
      <c r="L232" s="559" t="s">
        <v>10018</v>
      </c>
      <c r="M232" s="545" t="n">
        <f aca="false">I232-D232</f>
        <v>3592</v>
      </c>
    </row>
    <row r="233" customFormat="false" ht="12.75" hidden="true" customHeight="true" outlineLevel="0" collapsed="false">
      <c r="A233" s="562" t="n">
        <v>6020</v>
      </c>
      <c r="B233" s="563" t="s">
        <v>12177</v>
      </c>
      <c r="C233" s="563" t="n">
        <v>2014</v>
      </c>
      <c r="D233" s="564" t="n">
        <v>41855</v>
      </c>
      <c r="E233" s="563" t="s">
        <v>12178</v>
      </c>
      <c r="F233" s="563" t="s">
        <v>4270</v>
      </c>
      <c r="G233" s="563" t="s">
        <v>441</v>
      </c>
      <c r="H233" s="563" t="s">
        <v>192</v>
      </c>
      <c r="I233" s="564" t="n">
        <v>43921</v>
      </c>
      <c r="J233" s="563" t="n">
        <v>3</v>
      </c>
      <c r="K233" s="578" t="s">
        <v>44</v>
      </c>
      <c r="L233" s="563" t="s">
        <v>10018</v>
      </c>
      <c r="M233" s="546" t="n">
        <f aca="false">I233-D233</f>
        <v>2066</v>
      </c>
    </row>
    <row r="234" customFormat="false" ht="12.75" hidden="true" customHeight="true" outlineLevel="0" collapsed="false">
      <c r="A234" s="558" t="n">
        <v>6120</v>
      </c>
      <c r="B234" s="559" t="s">
        <v>12179</v>
      </c>
      <c r="C234" s="559" t="n">
        <v>2012</v>
      </c>
      <c r="D234" s="560" t="n">
        <v>41108</v>
      </c>
      <c r="E234" s="559" t="s">
        <v>12180</v>
      </c>
      <c r="F234" s="559" t="s">
        <v>537</v>
      </c>
      <c r="G234" s="559" t="s">
        <v>441</v>
      </c>
      <c r="H234" s="559" t="s">
        <v>1072</v>
      </c>
      <c r="I234" s="560" t="n">
        <v>43921</v>
      </c>
      <c r="J234" s="559" t="n">
        <v>3</v>
      </c>
      <c r="K234" s="571" t="s">
        <v>49</v>
      </c>
      <c r="L234" s="559" t="s">
        <v>10018</v>
      </c>
      <c r="M234" s="545" t="n">
        <f aca="false">I234-D234</f>
        <v>2813</v>
      </c>
    </row>
    <row r="235" customFormat="false" ht="12.75" hidden="true" customHeight="true" outlineLevel="0" collapsed="false">
      <c r="A235" s="562" t="n">
        <v>6220</v>
      </c>
      <c r="B235" s="563" t="s">
        <v>12181</v>
      </c>
      <c r="C235" s="563" t="n">
        <v>2013</v>
      </c>
      <c r="D235" s="564" t="n">
        <v>41620</v>
      </c>
      <c r="E235" s="563" t="s">
        <v>12182</v>
      </c>
      <c r="F235" s="563" t="s">
        <v>238</v>
      </c>
      <c r="G235" s="563" t="s">
        <v>441</v>
      </c>
      <c r="H235" s="563" t="s">
        <v>12183</v>
      </c>
      <c r="I235" s="564" t="n">
        <v>43921</v>
      </c>
      <c r="J235" s="563" t="n">
        <v>3</v>
      </c>
      <c r="K235" s="571" t="s">
        <v>49</v>
      </c>
      <c r="L235" s="563" t="s">
        <v>10013</v>
      </c>
      <c r="M235" s="546" t="n">
        <f aca="false">I235-D235</f>
        <v>2301</v>
      </c>
    </row>
    <row r="236" customFormat="false" ht="12.75" hidden="true" customHeight="true" outlineLevel="0" collapsed="false">
      <c r="A236" s="558" t="n">
        <v>6320</v>
      </c>
      <c r="B236" s="559" t="s">
        <v>12184</v>
      </c>
      <c r="C236" s="559" t="n">
        <v>2019</v>
      </c>
      <c r="D236" s="560" t="n">
        <v>43798</v>
      </c>
      <c r="E236" s="559" t="s">
        <v>12185</v>
      </c>
      <c r="F236" s="573" t="s">
        <v>12186</v>
      </c>
      <c r="G236" s="559" t="s">
        <v>130</v>
      </c>
      <c r="H236" s="559" t="s">
        <v>1042</v>
      </c>
      <c r="I236" s="560" t="n">
        <v>43941</v>
      </c>
      <c r="J236" s="559" t="n">
        <v>4</v>
      </c>
      <c r="K236" s="571" t="s">
        <v>49</v>
      </c>
      <c r="L236" s="559" t="s">
        <v>10445</v>
      </c>
      <c r="M236" s="545" t="n">
        <f aca="false">I236-D236</f>
        <v>143</v>
      </c>
    </row>
    <row r="237" customFormat="false" ht="12.75" hidden="true" customHeight="true" outlineLevel="0" collapsed="false">
      <c r="A237" s="562" t="n">
        <v>6420</v>
      </c>
      <c r="B237" s="563" t="s">
        <v>12187</v>
      </c>
      <c r="C237" s="563" t="n">
        <v>2019</v>
      </c>
      <c r="D237" s="564" t="n">
        <v>43601</v>
      </c>
      <c r="E237" s="563" t="s">
        <v>12188</v>
      </c>
      <c r="F237" s="572" t="s">
        <v>10875</v>
      </c>
      <c r="G237" s="563" t="s">
        <v>125</v>
      </c>
      <c r="H237" s="563" t="s">
        <v>10913</v>
      </c>
      <c r="I237" s="564" t="n">
        <v>43941</v>
      </c>
      <c r="J237" s="563" t="n">
        <v>4</v>
      </c>
      <c r="K237" s="565" t="s">
        <v>51</v>
      </c>
      <c r="L237" s="563" t="s">
        <v>10445</v>
      </c>
      <c r="M237" s="546" t="n">
        <f aca="false">I237-D237</f>
        <v>340</v>
      </c>
    </row>
    <row r="238" customFormat="false" ht="12.75" hidden="true" customHeight="true" outlineLevel="0" collapsed="false">
      <c r="A238" s="558" t="n">
        <v>6520</v>
      </c>
      <c r="B238" s="559" t="s">
        <v>12189</v>
      </c>
      <c r="C238" s="559" t="n">
        <v>2016</v>
      </c>
      <c r="D238" s="560" t="n">
        <v>42509</v>
      </c>
      <c r="E238" s="559" t="s">
        <v>12190</v>
      </c>
      <c r="F238" s="559" t="s">
        <v>1693</v>
      </c>
      <c r="G238" s="559" t="s">
        <v>441</v>
      </c>
      <c r="H238" s="559" t="s">
        <v>471</v>
      </c>
      <c r="I238" s="560" t="n">
        <v>43941</v>
      </c>
      <c r="J238" s="559" t="n">
        <v>4</v>
      </c>
      <c r="K238" s="571" t="s">
        <v>48</v>
      </c>
      <c r="L238" s="559" t="s">
        <v>10018</v>
      </c>
      <c r="M238" s="545" t="n">
        <f aca="false">I238-D238</f>
        <v>1432</v>
      </c>
    </row>
    <row r="239" customFormat="false" ht="12.75" hidden="true" customHeight="true" outlineLevel="0" collapsed="false">
      <c r="A239" s="562" t="n">
        <v>6620</v>
      </c>
      <c r="B239" s="563" t="s">
        <v>12191</v>
      </c>
      <c r="C239" s="563" t="n">
        <v>2010</v>
      </c>
      <c r="D239" s="564" t="n">
        <v>40451</v>
      </c>
      <c r="E239" s="563" t="s">
        <v>12192</v>
      </c>
      <c r="F239" s="563" t="s">
        <v>12193</v>
      </c>
      <c r="G239" s="563" t="s">
        <v>144</v>
      </c>
      <c r="H239" s="563" t="s">
        <v>267</v>
      </c>
      <c r="I239" s="564" t="n">
        <v>43941</v>
      </c>
      <c r="J239" s="563" t="n">
        <v>4</v>
      </c>
      <c r="K239" s="571" t="s">
        <v>48</v>
      </c>
      <c r="L239" s="563" t="s">
        <v>10018</v>
      </c>
      <c r="M239" s="546" t="n">
        <f aca="false">I239-D239</f>
        <v>3490</v>
      </c>
    </row>
    <row r="240" customFormat="false" ht="12.75" hidden="true" customHeight="true" outlineLevel="0" collapsed="false">
      <c r="A240" s="558" t="n">
        <v>6720</v>
      </c>
      <c r="B240" s="559" t="s">
        <v>12194</v>
      </c>
      <c r="C240" s="559" t="n">
        <v>2011</v>
      </c>
      <c r="D240" s="560" t="n">
        <v>40695</v>
      </c>
      <c r="E240" s="559" t="s">
        <v>12195</v>
      </c>
      <c r="F240" s="559" t="s">
        <v>12196</v>
      </c>
      <c r="G240" s="559" t="s">
        <v>144</v>
      </c>
      <c r="H240" s="559" t="s">
        <v>6149</v>
      </c>
      <c r="I240" s="560" t="n">
        <v>43941</v>
      </c>
      <c r="J240" s="559" t="n">
        <v>4</v>
      </c>
      <c r="K240" s="571" t="s">
        <v>49</v>
      </c>
      <c r="L240" s="559" t="s">
        <v>10018</v>
      </c>
      <c r="M240" s="545" t="n">
        <f aca="false">I240-D240</f>
        <v>3246</v>
      </c>
    </row>
    <row r="241" customFormat="false" ht="12.75" hidden="true" customHeight="true" outlineLevel="0" collapsed="false">
      <c r="A241" s="562" t="n">
        <v>6820</v>
      </c>
      <c r="B241" s="563" t="s">
        <v>12197</v>
      </c>
      <c r="C241" s="563" t="n">
        <v>2014</v>
      </c>
      <c r="D241" s="564" t="n">
        <v>41992</v>
      </c>
      <c r="E241" s="563" t="s">
        <v>12198</v>
      </c>
      <c r="F241" s="563" t="s">
        <v>9647</v>
      </c>
      <c r="G241" s="563" t="s">
        <v>441</v>
      </c>
      <c r="H241" s="563" t="s">
        <v>354</v>
      </c>
      <c r="I241" s="564" t="n">
        <v>43941</v>
      </c>
      <c r="J241" s="563" t="n">
        <v>4</v>
      </c>
      <c r="K241" s="571" t="s">
        <v>48</v>
      </c>
      <c r="L241" s="563" t="s">
        <v>10013</v>
      </c>
      <c r="M241" s="546" t="n">
        <f aca="false">I241-D241</f>
        <v>1949</v>
      </c>
    </row>
    <row r="242" customFormat="false" ht="12.75" hidden="true" customHeight="true" outlineLevel="0" collapsed="false">
      <c r="A242" s="558" t="n">
        <v>6920</v>
      </c>
      <c r="B242" s="559" t="s">
        <v>12199</v>
      </c>
      <c r="C242" s="559" t="n">
        <v>2014</v>
      </c>
      <c r="D242" s="560" t="n">
        <v>41978</v>
      </c>
      <c r="E242" s="559" t="s">
        <v>12200</v>
      </c>
      <c r="F242" s="559" t="s">
        <v>1211</v>
      </c>
      <c r="G242" s="559" t="s">
        <v>441</v>
      </c>
      <c r="H242" s="559" t="s">
        <v>522</v>
      </c>
      <c r="I242" s="560" t="n">
        <v>43941</v>
      </c>
      <c r="J242" s="559" t="n">
        <v>4</v>
      </c>
      <c r="K242" s="571" t="s">
        <v>48</v>
      </c>
      <c r="L242" s="559" t="s">
        <v>10013</v>
      </c>
      <c r="M242" s="545" t="n">
        <f aca="false">I242-D242</f>
        <v>1963</v>
      </c>
    </row>
    <row r="243" customFormat="false" ht="12.75" hidden="true" customHeight="true" outlineLevel="0" collapsed="false">
      <c r="A243" s="562" t="n">
        <v>7020</v>
      </c>
      <c r="B243" s="563" t="s">
        <v>12201</v>
      </c>
      <c r="C243" s="563" t="n">
        <v>2014</v>
      </c>
      <c r="D243" s="564" t="n">
        <v>41978</v>
      </c>
      <c r="E243" s="563" t="s">
        <v>12202</v>
      </c>
      <c r="F243" s="563" t="s">
        <v>1211</v>
      </c>
      <c r="G243" s="563" t="s">
        <v>441</v>
      </c>
      <c r="H243" s="563" t="s">
        <v>354</v>
      </c>
      <c r="I243" s="564" t="n">
        <v>43941</v>
      </c>
      <c r="J243" s="563" t="n">
        <v>4</v>
      </c>
      <c r="K243" s="571" t="s">
        <v>48</v>
      </c>
      <c r="L243" s="563" t="s">
        <v>10013</v>
      </c>
      <c r="M243" s="546" t="n">
        <f aca="false">I243-D243</f>
        <v>1963</v>
      </c>
    </row>
    <row r="244" customFormat="false" ht="12.75" hidden="true" customHeight="true" outlineLevel="0" collapsed="false">
      <c r="A244" s="558" t="n">
        <v>7120</v>
      </c>
      <c r="B244" s="559" t="s">
        <v>12203</v>
      </c>
      <c r="C244" s="559" t="n">
        <v>2014</v>
      </c>
      <c r="D244" s="560" t="n">
        <v>41978</v>
      </c>
      <c r="E244" s="559" t="s">
        <v>12204</v>
      </c>
      <c r="F244" s="559" t="s">
        <v>793</v>
      </c>
      <c r="G244" s="559" t="s">
        <v>441</v>
      </c>
      <c r="H244" s="559" t="s">
        <v>471</v>
      </c>
      <c r="I244" s="560" t="n">
        <v>43941</v>
      </c>
      <c r="J244" s="559" t="n">
        <v>4</v>
      </c>
      <c r="K244" s="571" t="s">
        <v>49</v>
      </c>
      <c r="L244" s="559" t="s">
        <v>10018</v>
      </c>
      <c r="M244" s="545" t="n">
        <f aca="false">I244-D244</f>
        <v>1963</v>
      </c>
    </row>
    <row r="245" customFormat="false" ht="12.75" hidden="true" customHeight="true" outlineLevel="0" collapsed="false">
      <c r="A245" s="562" t="n">
        <v>7220</v>
      </c>
      <c r="B245" s="563" t="s">
        <v>12205</v>
      </c>
      <c r="C245" s="563" t="n">
        <v>2010</v>
      </c>
      <c r="D245" s="564" t="n">
        <v>40473</v>
      </c>
      <c r="E245" s="563" t="s">
        <v>12206</v>
      </c>
      <c r="F245" s="563" t="s">
        <v>12207</v>
      </c>
      <c r="G245" s="563" t="s">
        <v>144</v>
      </c>
      <c r="H245" s="563" t="s">
        <v>1791</v>
      </c>
      <c r="I245" s="564" t="n">
        <v>43941</v>
      </c>
      <c r="J245" s="563" t="n">
        <v>4</v>
      </c>
      <c r="K245" s="571" t="s">
        <v>48</v>
      </c>
      <c r="L245" s="563" t="s">
        <v>10018</v>
      </c>
      <c r="M245" s="546" t="n">
        <f aca="false">I245-D245</f>
        <v>3468</v>
      </c>
    </row>
    <row r="246" customFormat="false" ht="12.75" hidden="true" customHeight="true" outlineLevel="0" collapsed="false">
      <c r="A246" s="558" t="n">
        <v>7320</v>
      </c>
      <c r="B246" s="559" t="s">
        <v>12208</v>
      </c>
      <c r="C246" s="559" t="n">
        <v>2013</v>
      </c>
      <c r="D246" s="560" t="n">
        <v>41408</v>
      </c>
      <c r="E246" s="559" t="s">
        <v>12209</v>
      </c>
      <c r="F246" s="559" t="s">
        <v>168</v>
      </c>
      <c r="G246" s="559" t="s">
        <v>441</v>
      </c>
      <c r="H246" s="559" t="s">
        <v>693</v>
      </c>
      <c r="I246" s="560" t="n">
        <v>43941</v>
      </c>
      <c r="J246" s="559" t="n">
        <v>4</v>
      </c>
      <c r="K246" s="578" t="s">
        <v>44</v>
      </c>
      <c r="L246" s="559" t="s">
        <v>10018</v>
      </c>
      <c r="M246" s="545" t="n">
        <f aca="false">I246-D246</f>
        <v>2533</v>
      </c>
    </row>
    <row r="247" customFormat="false" ht="12.75" hidden="true" customHeight="true" outlineLevel="0" collapsed="false">
      <c r="A247" s="562" t="n">
        <v>7420</v>
      </c>
      <c r="B247" s="563" t="s">
        <v>12210</v>
      </c>
      <c r="C247" s="563" t="n">
        <v>2012</v>
      </c>
      <c r="D247" s="564" t="n">
        <v>41002</v>
      </c>
      <c r="E247" s="563" t="s">
        <v>12211</v>
      </c>
      <c r="F247" s="563" t="s">
        <v>12212</v>
      </c>
      <c r="G247" s="563" t="s">
        <v>144</v>
      </c>
      <c r="H247" s="563" t="s">
        <v>119</v>
      </c>
      <c r="I247" s="564" t="n">
        <v>43941</v>
      </c>
      <c r="J247" s="563" t="n">
        <v>4</v>
      </c>
      <c r="K247" s="571" t="s">
        <v>48</v>
      </c>
      <c r="L247" s="563" t="s">
        <v>10018</v>
      </c>
      <c r="M247" s="546" t="n">
        <f aca="false">I247-D247</f>
        <v>2939</v>
      </c>
    </row>
    <row r="248" customFormat="false" ht="12.75" hidden="true" customHeight="true" outlineLevel="0" collapsed="false">
      <c r="A248" s="558" t="n">
        <v>7520</v>
      </c>
      <c r="B248" s="559" t="s">
        <v>12213</v>
      </c>
      <c r="C248" s="559" t="n">
        <v>2015</v>
      </c>
      <c r="D248" s="560" t="n">
        <v>42153</v>
      </c>
      <c r="E248" s="559" t="s">
        <v>12214</v>
      </c>
      <c r="F248" s="559" t="s">
        <v>3190</v>
      </c>
      <c r="G248" s="559" t="s">
        <v>441</v>
      </c>
      <c r="H248" s="559" t="s">
        <v>471</v>
      </c>
      <c r="I248" s="560" t="n">
        <v>43941</v>
      </c>
      <c r="J248" s="559" t="n">
        <v>4</v>
      </c>
      <c r="K248" s="571" t="s">
        <v>49</v>
      </c>
      <c r="L248" s="559" t="s">
        <v>10013</v>
      </c>
      <c r="M248" s="545" t="n">
        <f aca="false">I248-D248</f>
        <v>1788</v>
      </c>
    </row>
    <row r="249" customFormat="false" ht="12.75" hidden="true" customHeight="true" outlineLevel="0" collapsed="false">
      <c r="A249" s="562" t="n">
        <v>7620</v>
      </c>
      <c r="B249" s="563" t="s">
        <v>12215</v>
      </c>
      <c r="C249" s="563" t="n">
        <v>2013</v>
      </c>
      <c r="D249" s="564" t="n">
        <v>41497</v>
      </c>
      <c r="E249" s="563" t="s">
        <v>12216</v>
      </c>
      <c r="F249" s="563" t="s">
        <v>1097</v>
      </c>
      <c r="G249" s="563" t="s">
        <v>441</v>
      </c>
      <c r="H249" s="563" t="s">
        <v>184</v>
      </c>
      <c r="I249" s="564" t="n">
        <v>43941</v>
      </c>
      <c r="J249" s="563" t="n">
        <v>4</v>
      </c>
      <c r="K249" s="571" t="s">
        <v>48</v>
      </c>
      <c r="L249" s="563" t="s">
        <v>10013</v>
      </c>
      <c r="M249" s="546" t="n">
        <f aca="false">I249-D249</f>
        <v>2444</v>
      </c>
    </row>
    <row r="250" customFormat="false" ht="12.75" hidden="true" customHeight="true" outlineLevel="0" collapsed="false">
      <c r="A250" s="558" t="n">
        <v>7720</v>
      </c>
      <c r="B250" s="559" t="s">
        <v>12217</v>
      </c>
      <c r="C250" s="559" t="n">
        <v>2017</v>
      </c>
      <c r="D250" s="560" t="n">
        <v>43069</v>
      </c>
      <c r="E250" s="559" t="s">
        <v>12218</v>
      </c>
      <c r="F250" s="559" t="s">
        <v>12219</v>
      </c>
      <c r="G250" s="559" t="s">
        <v>144</v>
      </c>
      <c r="H250" s="559" t="s">
        <v>972</v>
      </c>
      <c r="I250" s="560" t="n">
        <v>43941</v>
      </c>
      <c r="J250" s="559" t="n">
        <v>4</v>
      </c>
      <c r="K250" s="571" t="s">
        <v>48</v>
      </c>
      <c r="L250" s="559" t="s">
        <v>10018</v>
      </c>
      <c r="M250" s="545" t="n">
        <f aca="false">I250-D250</f>
        <v>872</v>
      </c>
    </row>
    <row r="251" customFormat="false" ht="12.75" hidden="true" customHeight="true" outlineLevel="0" collapsed="false">
      <c r="A251" s="562" t="n">
        <v>7820</v>
      </c>
      <c r="B251" s="563" t="s">
        <v>12220</v>
      </c>
      <c r="C251" s="563" t="n">
        <v>2019</v>
      </c>
      <c r="D251" s="564" t="n">
        <v>43565</v>
      </c>
      <c r="E251" s="563" t="s">
        <v>12221</v>
      </c>
      <c r="F251" s="563" t="s">
        <v>12222</v>
      </c>
      <c r="G251" s="563" t="s">
        <v>125</v>
      </c>
      <c r="H251" s="563" t="s">
        <v>6480</v>
      </c>
      <c r="I251" s="564" t="n">
        <v>43950</v>
      </c>
      <c r="J251" s="563" t="n">
        <v>4</v>
      </c>
      <c r="K251" s="565" t="s">
        <v>51</v>
      </c>
      <c r="L251" s="563" t="s">
        <v>10445</v>
      </c>
      <c r="M251" s="546" t="n">
        <f aca="false">I251-D251</f>
        <v>385</v>
      </c>
    </row>
    <row r="252" customFormat="false" ht="12.75" hidden="true" customHeight="true" outlineLevel="0" collapsed="false">
      <c r="A252" s="558" t="n">
        <v>7920</v>
      </c>
      <c r="B252" s="559" t="s">
        <v>12223</v>
      </c>
      <c r="C252" s="559" t="n">
        <v>2017</v>
      </c>
      <c r="D252" s="560" t="n">
        <v>42782</v>
      </c>
      <c r="E252" s="559" t="s">
        <v>12224</v>
      </c>
      <c r="F252" s="559" t="s">
        <v>4956</v>
      </c>
      <c r="G252" s="559" t="s">
        <v>441</v>
      </c>
      <c r="H252" s="559" t="s">
        <v>12106</v>
      </c>
      <c r="I252" s="560" t="n">
        <v>43950</v>
      </c>
      <c r="J252" s="559" t="n">
        <v>4</v>
      </c>
      <c r="K252" s="571" t="s">
        <v>49</v>
      </c>
      <c r="L252" s="559" t="s">
        <v>10018</v>
      </c>
      <c r="M252" s="545" t="n">
        <f aca="false">I252-D252</f>
        <v>1168</v>
      </c>
    </row>
    <row r="253" customFormat="false" ht="12.75" hidden="true" customHeight="true" outlineLevel="0" collapsed="false">
      <c r="A253" s="562" t="n">
        <v>8020</v>
      </c>
      <c r="B253" s="563" t="s">
        <v>12225</v>
      </c>
      <c r="C253" s="563" t="n">
        <v>2014</v>
      </c>
      <c r="D253" s="564" t="n">
        <v>41671</v>
      </c>
      <c r="E253" s="563" t="s">
        <v>12226</v>
      </c>
      <c r="F253" s="563" t="s">
        <v>699</v>
      </c>
      <c r="G253" s="563" t="s">
        <v>441</v>
      </c>
      <c r="H253" s="563" t="s">
        <v>3240</v>
      </c>
      <c r="I253" s="564" t="n">
        <v>43950</v>
      </c>
      <c r="J253" s="563" t="n">
        <v>4</v>
      </c>
      <c r="K253" s="578" t="s">
        <v>44</v>
      </c>
      <c r="L253" s="563" t="s">
        <v>10013</v>
      </c>
      <c r="M253" s="546" t="n">
        <f aca="false">I253-D253</f>
        <v>2279</v>
      </c>
    </row>
    <row r="254" customFormat="false" ht="12.75" hidden="true" customHeight="true" outlineLevel="0" collapsed="false">
      <c r="A254" s="558" t="n">
        <v>8120</v>
      </c>
      <c r="B254" s="559" t="s">
        <v>12227</v>
      </c>
      <c r="C254" s="559" t="n">
        <v>2015</v>
      </c>
      <c r="D254" s="560" t="n">
        <v>42251</v>
      </c>
      <c r="E254" s="559" t="s">
        <v>12228</v>
      </c>
      <c r="F254" s="559" t="s">
        <v>123</v>
      </c>
      <c r="G254" s="559" t="s">
        <v>144</v>
      </c>
      <c r="H254" s="559" t="s">
        <v>1791</v>
      </c>
      <c r="I254" s="560" t="n">
        <v>43950</v>
      </c>
      <c r="J254" s="559" t="n">
        <v>4</v>
      </c>
      <c r="K254" s="571" t="s">
        <v>49</v>
      </c>
      <c r="L254" s="559" t="s">
        <v>10013</v>
      </c>
      <c r="M254" s="545" t="n">
        <f aca="false">I254-D254</f>
        <v>1699</v>
      </c>
    </row>
    <row r="255" customFormat="false" ht="12.75" hidden="true" customHeight="true" outlineLevel="0" collapsed="false">
      <c r="A255" s="562" t="n">
        <v>8220</v>
      </c>
      <c r="B255" s="563" t="s">
        <v>12229</v>
      </c>
      <c r="C255" s="563" t="n">
        <v>2015</v>
      </c>
      <c r="D255" s="564" t="n">
        <v>42153</v>
      </c>
      <c r="E255" s="563" t="s">
        <v>12230</v>
      </c>
      <c r="F255" s="563" t="s">
        <v>3190</v>
      </c>
      <c r="G255" s="563" t="s">
        <v>441</v>
      </c>
      <c r="H255" s="563" t="s">
        <v>471</v>
      </c>
      <c r="I255" s="564" t="n">
        <v>43950</v>
      </c>
      <c r="J255" s="563" t="n">
        <v>4</v>
      </c>
      <c r="K255" s="571" t="s">
        <v>49</v>
      </c>
      <c r="L255" s="563" t="s">
        <v>10013</v>
      </c>
      <c r="M255" s="546" t="n">
        <f aca="false">I255-D255</f>
        <v>1797</v>
      </c>
    </row>
    <row r="256" customFormat="false" ht="12.75" hidden="true" customHeight="true" outlineLevel="0" collapsed="false">
      <c r="A256" s="558" t="n">
        <v>8320</v>
      </c>
      <c r="B256" s="559" t="s">
        <v>12231</v>
      </c>
      <c r="C256" s="559" t="n">
        <v>2020</v>
      </c>
      <c r="D256" s="560" t="n">
        <v>43839</v>
      </c>
      <c r="E256" s="559" t="s">
        <v>12232</v>
      </c>
      <c r="F256" s="573" t="s">
        <v>6315</v>
      </c>
      <c r="G256" s="559" t="s">
        <v>130</v>
      </c>
      <c r="H256" s="559" t="s">
        <v>10673</v>
      </c>
      <c r="I256" s="560" t="n">
        <v>43950</v>
      </c>
      <c r="J256" s="559" t="n">
        <v>4</v>
      </c>
      <c r="K256" s="571" t="s">
        <v>49</v>
      </c>
      <c r="L256" s="559" t="s">
        <v>10445</v>
      </c>
      <c r="M256" s="545" t="n">
        <f aca="false">I256-D256</f>
        <v>111</v>
      </c>
    </row>
    <row r="257" customFormat="false" ht="12.75" hidden="true" customHeight="true" outlineLevel="0" collapsed="false">
      <c r="A257" s="562" t="n">
        <v>8420</v>
      </c>
      <c r="B257" s="563" t="s">
        <v>12233</v>
      </c>
      <c r="C257" s="563" t="n">
        <v>2010</v>
      </c>
      <c r="D257" s="564" t="n">
        <v>40181</v>
      </c>
      <c r="E257" s="563" t="s">
        <v>12234</v>
      </c>
      <c r="F257" s="563" t="s">
        <v>1316</v>
      </c>
      <c r="G257" s="563" t="s">
        <v>144</v>
      </c>
      <c r="H257" s="563" t="s">
        <v>2421</v>
      </c>
      <c r="I257" s="564" t="n">
        <v>43950</v>
      </c>
      <c r="J257" s="563" t="n">
        <v>4</v>
      </c>
      <c r="K257" s="571" t="s">
        <v>49</v>
      </c>
      <c r="L257" s="563" t="s">
        <v>10018</v>
      </c>
      <c r="M257" s="546" t="n">
        <f aca="false">I257-D257</f>
        <v>3769</v>
      </c>
    </row>
    <row r="258" customFormat="false" ht="12.75" hidden="true" customHeight="true" outlineLevel="0" collapsed="false">
      <c r="A258" s="558" t="n">
        <v>8520</v>
      </c>
      <c r="B258" s="559" t="s">
        <v>12235</v>
      </c>
      <c r="C258" s="559" t="n">
        <v>2019</v>
      </c>
      <c r="D258" s="560" t="n">
        <v>43738</v>
      </c>
      <c r="E258" s="559" t="s">
        <v>12236</v>
      </c>
      <c r="F258" s="573" t="s">
        <v>12237</v>
      </c>
      <c r="G258" s="559" t="s">
        <v>125</v>
      </c>
      <c r="H258" s="559" t="s">
        <v>2288</v>
      </c>
      <c r="I258" s="560" t="n">
        <v>43955</v>
      </c>
      <c r="J258" s="559" t="n">
        <v>5</v>
      </c>
      <c r="K258" s="565" t="s">
        <v>51</v>
      </c>
      <c r="L258" s="559" t="s">
        <v>10445</v>
      </c>
      <c r="M258" s="545" t="n">
        <f aca="false">I258-D258</f>
        <v>217</v>
      </c>
    </row>
    <row r="259" customFormat="false" ht="12.75" hidden="true" customHeight="true" outlineLevel="0" collapsed="false">
      <c r="A259" s="562" t="n">
        <v>8620</v>
      </c>
      <c r="B259" s="563" t="s">
        <v>12238</v>
      </c>
      <c r="C259" s="563" t="n">
        <v>2008</v>
      </c>
      <c r="D259" s="564" t="n">
        <v>39521</v>
      </c>
      <c r="E259" s="563" t="s">
        <v>12239</v>
      </c>
      <c r="F259" s="563" t="s">
        <v>12240</v>
      </c>
      <c r="G259" s="563" t="s">
        <v>144</v>
      </c>
      <c r="H259" s="563" t="s">
        <v>267</v>
      </c>
      <c r="I259" s="564" t="n">
        <v>43957</v>
      </c>
      <c r="J259" s="563" t="n">
        <v>5</v>
      </c>
      <c r="K259" s="571" t="s">
        <v>48</v>
      </c>
      <c r="L259" s="563" t="s">
        <v>10018</v>
      </c>
      <c r="M259" s="546" t="n">
        <f aca="false">I259-D259</f>
        <v>4436</v>
      </c>
    </row>
    <row r="260" customFormat="false" ht="12.75" hidden="true" customHeight="true" outlineLevel="0" collapsed="false">
      <c r="A260" s="558" t="n">
        <v>8720</v>
      </c>
      <c r="B260" s="559" t="s">
        <v>12241</v>
      </c>
      <c r="C260" s="559" t="n">
        <v>2011</v>
      </c>
      <c r="D260" s="560" t="n">
        <v>40812</v>
      </c>
      <c r="E260" s="559" t="s">
        <v>12242</v>
      </c>
      <c r="F260" s="559" t="s">
        <v>566</v>
      </c>
      <c r="G260" s="559" t="s">
        <v>144</v>
      </c>
      <c r="H260" s="559" t="s">
        <v>119</v>
      </c>
      <c r="I260" s="560" t="n">
        <v>43957</v>
      </c>
      <c r="J260" s="559" t="n">
        <v>5</v>
      </c>
      <c r="K260" s="565" t="s">
        <v>51</v>
      </c>
      <c r="L260" s="559" t="s">
        <v>10013</v>
      </c>
      <c r="M260" s="545" t="n">
        <f aca="false">I260-D260</f>
        <v>3145</v>
      </c>
    </row>
    <row r="261" customFormat="false" ht="12.75" hidden="true" customHeight="true" outlineLevel="0" collapsed="false">
      <c r="A261" s="562" t="n">
        <v>8820</v>
      </c>
      <c r="B261" s="563" t="s">
        <v>12243</v>
      </c>
      <c r="C261" s="563" t="n">
        <v>2018</v>
      </c>
      <c r="D261" s="564" t="n">
        <v>43447</v>
      </c>
      <c r="E261" s="563" t="s">
        <v>12244</v>
      </c>
      <c r="F261" s="563" t="s">
        <v>12245</v>
      </c>
      <c r="G261" s="563" t="s">
        <v>125</v>
      </c>
      <c r="H261" s="563" t="s">
        <v>223</v>
      </c>
      <c r="I261" s="564" t="n">
        <v>43969</v>
      </c>
      <c r="J261" s="563" t="n">
        <v>5</v>
      </c>
      <c r="K261" s="565" t="s">
        <v>51</v>
      </c>
      <c r="L261" s="563" t="s">
        <v>10445</v>
      </c>
      <c r="M261" s="546" t="n">
        <f aca="false">I261-D261</f>
        <v>522</v>
      </c>
    </row>
    <row r="262" customFormat="false" ht="12.75" hidden="true" customHeight="true" outlineLevel="0" collapsed="false">
      <c r="A262" s="558" t="n">
        <v>8920</v>
      </c>
      <c r="B262" s="559" t="s">
        <v>12246</v>
      </c>
      <c r="C262" s="559" t="n">
        <v>2016</v>
      </c>
      <c r="D262" s="560" t="n">
        <v>42600</v>
      </c>
      <c r="E262" s="559" t="s">
        <v>12247</v>
      </c>
      <c r="F262" s="559" t="s">
        <v>12248</v>
      </c>
      <c r="G262" s="559" t="s">
        <v>144</v>
      </c>
      <c r="H262" s="559" t="s">
        <v>267</v>
      </c>
      <c r="I262" s="560" t="n">
        <v>43969</v>
      </c>
      <c r="J262" s="559" t="n">
        <v>5</v>
      </c>
      <c r="K262" s="571" t="s">
        <v>49</v>
      </c>
      <c r="L262" s="559" t="s">
        <v>10018</v>
      </c>
      <c r="M262" s="545" t="n">
        <f aca="false">I262-D262</f>
        <v>1369</v>
      </c>
    </row>
    <row r="263" customFormat="false" ht="12.75" hidden="true" customHeight="true" outlineLevel="0" collapsed="false">
      <c r="A263" s="562" t="n">
        <v>9020</v>
      </c>
      <c r="B263" s="563" t="s">
        <v>12249</v>
      </c>
      <c r="C263" s="563" t="n">
        <v>2019</v>
      </c>
      <c r="D263" s="564" t="n">
        <v>43693</v>
      </c>
      <c r="E263" s="563" t="s">
        <v>12250</v>
      </c>
      <c r="F263" s="572" t="s">
        <v>6315</v>
      </c>
      <c r="G263" s="563" t="s">
        <v>130</v>
      </c>
      <c r="H263" s="563" t="s">
        <v>12079</v>
      </c>
      <c r="I263" s="564" t="n">
        <v>43969</v>
      </c>
      <c r="J263" s="563" t="n">
        <v>5</v>
      </c>
      <c r="K263" s="571" t="s">
        <v>49</v>
      </c>
      <c r="L263" s="563" t="s">
        <v>10445</v>
      </c>
      <c r="M263" s="546" t="n">
        <f aca="false">I263-D263</f>
        <v>276</v>
      </c>
    </row>
    <row r="264" customFormat="false" ht="12.75" hidden="true" customHeight="true" outlineLevel="0" collapsed="false">
      <c r="A264" s="558" t="n">
        <v>9120</v>
      </c>
      <c r="B264" s="559" t="s">
        <v>12251</v>
      </c>
      <c r="C264" s="559" t="n">
        <v>2011</v>
      </c>
      <c r="D264" s="560" t="n">
        <v>40662</v>
      </c>
      <c r="E264" s="559" t="s">
        <v>12252</v>
      </c>
      <c r="F264" s="559" t="s">
        <v>1316</v>
      </c>
      <c r="G264" s="559" t="s">
        <v>144</v>
      </c>
      <c r="H264" s="559" t="s">
        <v>2421</v>
      </c>
      <c r="I264" s="560" t="n">
        <v>43973</v>
      </c>
      <c r="J264" s="559" t="n">
        <v>5</v>
      </c>
      <c r="K264" s="571" t="s">
        <v>49</v>
      </c>
      <c r="L264" s="559" t="s">
        <v>10018</v>
      </c>
      <c r="M264" s="545" t="n">
        <f aca="false">I264-D264</f>
        <v>3311</v>
      </c>
    </row>
    <row r="265" customFormat="false" ht="12.75" hidden="true" customHeight="true" outlineLevel="0" collapsed="false">
      <c r="A265" s="562" t="n">
        <v>9220</v>
      </c>
      <c r="B265" s="563" t="s">
        <v>12253</v>
      </c>
      <c r="C265" s="563" t="n">
        <v>2011</v>
      </c>
      <c r="D265" s="564" t="n">
        <v>40718</v>
      </c>
      <c r="E265" s="563" t="s">
        <v>12254</v>
      </c>
      <c r="F265" s="563" t="s">
        <v>6460</v>
      </c>
      <c r="G265" s="563" t="s">
        <v>441</v>
      </c>
      <c r="H265" s="563" t="s">
        <v>471</v>
      </c>
      <c r="I265" s="564" t="n">
        <v>43973</v>
      </c>
      <c r="J265" s="563" t="n">
        <v>5</v>
      </c>
      <c r="K265" s="571" t="s">
        <v>49</v>
      </c>
      <c r="L265" s="563" t="s">
        <v>10013</v>
      </c>
      <c r="M265" s="546" t="n">
        <f aca="false">I265-D265</f>
        <v>3255</v>
      </c>
    </row>
    <row r="266" customFormat="false" ht="12.75" hidden="true" customHeight="true" outlineLevel="0" collapsed="false">
      <c r="A266" s="558" t="n">
        <v>9320</v>
      </c>
      <c r="B266" s="559" t="s">
        <v>12255</v>
      </c>
      <c r="C266" s="559" t="n">
        <v>2011</v>
      </c>
      <c r="D266" s="560" t="n">
        <v>40731</v>
      </c>
      <c r="E266" s="559" t="s">
        <v>12256</v>
      </c>
      <c r="F266" s="559" t="s">
        <v>12257</v>
      </c>
      <c r="G266" s="559" t="s">
        <v>441</v>
      </c>
      <c r="H266" s="559" t="s">
        <v>6149</v>
      </c>
      <c r="I266" s="560" t="n">
        <v>43973</v>
      </c>
      <c r="J266" s="559" t="n">
        <v>5</v>
      </c>
      <c r="K266" s="571" t="s">
        <v>49</v>
      </c>
      <c r="L266" s="559" t="s">
        <v>10018</v>
      </c>
      <c r="M266" s="545" t="n">
        <f aca="false">I266-D266</f>
        <v>3242</v>
      </c>
    </row>
    <row r="267" customFormat="false" ht="12.75" hidden="true" customHeight="true" outlineLevel="0" collapsed="false">
      <c r="A267" s="562" t="n">
        <v>9420</v>
      </c>
      <c r="B267" s="563" t="s">
        <v>12258</v>
      </c>
      <c r="C267" s="563" t="n">
        <v>2017</v>
      </c>
      <c r="D267" s="564" t="n">
        <v>42858</v>
      </c>
      <c r="E267" s="563" t="s">
        <v>12259</v>
      </c>
      <c r="F267" s="563" t="s">
        <v>549</v>
      </c>
      <c r="G267" s="563" t="s">
        <v>441</v>
      </c>
      <c r="H267" s="563" t="s">
        <v>10614</v>
      </c>
      <c r="I267" s="564" t="n">
        <v>43971</v>
      </c>
      <c r="J267" s="563" t="n">
        <v>5</v>
      </c>
      <c r="K267" s="571" t="s">
        <v>49</v>
      </c>
      <c r="L267" s="563" t="s">
        <v>10018</v>
      </c>
      <c r="M267" s="546" t="n">
        <f aca="false">I267-D267</f>
        <v>1113</v>
      </c>
    </row>
    <row r="268" customFormat="false" ht="15" hidden="true" customHeight="true" outlineLevel="0" collapsed="false">
      <c r="A268" s="558" t="n">
        <v>9520</v>
      </c>
      <c r="B268" s="559" t="s">
        <v>12260</v>
      </c>
      <c r="C268" s="559" t="n">
        <v>2016</v>
      </c>
      <c r="D268" s="560" t="n">
        <v>42495</v>
      </c>
      <c r="E268" s="559" t="s">
        <v>12261</v>
      </c>
      <c r="F268" s="559" t="s">
        <v>180</v>
      </c>
      <c r="G268" s="559" t="s">
        <v>441</v>
      </c>
      <c r="H268" s="559" t="s">
        <v>12262</v>
      </c>
      <c r="I268" s="560" t="n">
        <v>43971</v>
      </c>
      <c r="J268" s="559" t="n">
        <v>5</v>
      </c>
      <c r="K268" s="571" t="s">
        <v>49</v>
      </c>
      <c r="L268" s="559" t="s">
        <v>10018</v>
      </c>
      <c r="M268" s="545" t="n">
        <f aca="false">I268-D268</f>
        <v>1476</v>
      </c>
    </row>
    <row r="269" customFormat="false" ht="12.75" hidden="true" customHeight="true" outlineLevel="0" collapsed="false">
      <c r="A269" s="562" t="n">
        <v>9620</v>
      </c>
      <c r="B269" s="563" t="s">
        <v>12263</v>
      </c>
      <c r="C269" s="563" t="n">
        <v>2019</v>
      </c>
      <c r="D269" s="564" t="n">
        <v>43511</v>
      </c>
      <c r="E269" s="563" t="s">
        <v>12264</v>
      </c>
      <c r="F269" s="563" t="s">
        <v>3946</v>
      </c>
      <c r="G269" s="563" t="s">
        <v>125</v>
      </c>
      <c r="H269" s="563" t="s">
        <v>522</v>
      </c>
      <c r="I269" s="564" t="n">
        <v>43971</v>
      </c>
      <c r="J269" s="563" t="n">
        <v>5</v>
      </c>
      <c r="K269" s="571" t="s">
        <v>49</v>
      </c>
      <c r="L269" s="563" t="s">
        <v>10445</v>
      </c>
      <c r="M269" s="546" t="n">
        <f aca="false">I269-D269</f>
        <v>460</v>
      </c>
    </row>
    <row r="270" customFormat="false" ht="12.75" hidden="true" customHeight="true" outlineLevel="0" collapsed="false">
      <c r="A270" s="558" t="n">
        <v>9720</v>
      </c>
      <c r="B270" s="559" t="s">
        <v>12265</v>
      </c>
      <c r="C270" s="559" t="n">
        <v>2014</v>
      </c>
      <c r="D270" s="560" t="n">
        <v>41971</v>
      </c>
      <c r="E270" s="559" t="s">
        <v>12266</v>
      </c>
      <c r="F270" s="559" t="s">
        <v>793</v>
      </c>
      <c r="G270" s="559" t="s">
        <v>441</v>
      </c>
      <c r="H270" s="559" t="s">
        <v>471</v>
      </c>
      <c r="I270" s="560" t="n">
        <v>43971</v>
      </c>
      <c r="J270" s="559" t="n">
        <v>5</v>
      </c>
      <c r="K270" s="571" t="s">
        <v>49</v>
      </c>
      <c r="L270" s="559" t="s">
        <v>10018</v>
      </c>
      <c r="M270" s="545" t="n">
        <f aca="false">I270-D270</f>
        <v>2000</v>
      </c>
    </row>
    <row r="271" customFormat="false" ht="12.75" hidden="true" customHeight="true" outlineLevel="0" collapsed="false">
      <c r="A271" s="562" t="n">
        <v>9820</v>
      </c>
      <c r="B271" s="563" t="s">
        <v>12267</v>
      </c>
      <c r="C271" s="563" t="n">
        <v>2010</v>
      </c>
      <c r="D271" s="564" t="n">
        <v>40422</v>
      </c>
      <c r="E271" s="563" t="s">
        <v>12268</v>
      </c>
      <c r="F271" s="563" t="s">
        <v>10822</v>
      </c>
      <c r="G271" s="563" t="s">
        <v>441</v>
      </c>
      <c r="H271" s="563" t="s">
        <v>3240</v>
      </c>
      <c r="I271" s="564" t="n">
        <v>43973</v>
      </c>
      <c r="J271" s="563" t="n">
        <v>5</v>
      </c>
      <c r="K271" s="571" t="s">
        <v>49</v>
      </c>
      <c r="L271" s="563" t="s">
        <v>10018</v>
      </c>
      <c r="M271" s="546" t="n">
        <f aca="false">I271-D271</f>
        <v>3551</v>
      </c>
    </row>
    <row r="272" customFormat="false" ht="12.75" hidden="true" customHeight="true" outlineLevel="0" collapsed="false">
      <c r="A272" s="558" t="n">
        <v>9920</v>
      </c>
      <c r="B272" s="559" t="s">
        <v>12269</v>
      </c>
      <c r="C272" s="559" t="n">
        <v>2014</v>
      </c>
      <c r="D272" s="560" t="n">
        <v>41981</v>
      </c>
      <c r="E272" s="559" t="s">
        <v>12270</v>
      </c>
      <c r="F272" s="559" t="s">
        <v>346</v>
      </c>
      <c r="G272" s="559" t="s">
        <v>441</v>
      </c>
      <c r="H272" s="559" t="s">
        <v>471</v>
      </c>
      <c r="I272" s="560" t="n">
        <v>43973</v>
      </c>
      <c r="J272" s="559" t="n">
        <v>5</v>
      </c>
      <c r="K272" s="571" t="s">
        <v>49</v>
      </c>
      <c r="L272" s="559" t="s">
        <v>10018</v>
      </c>
      <c r="M272" s="545" t="n">
        <f aca="false">I272-D272</f>
        <v>1992</v>
      </c>
    </row>
    <row r="273" customFormat="false" ht="12.75" hidden="true" customHeight="true" outlineLevel="0" collapsed="false">
      <c r="A273" s="562" t="n">
        <v>10020</v>
      </c>
      <c r="B273" s="563" t="s">
        <v>12271</v>
      </c>
      <c r="C273" s="563" t="n">
        <v>2013</v>
      </c>
      <c r="D273" s="564" t="n">
        <v>41607</v>
      </c>
      <c r="E273" s="563" t="s">
        <v>12272</v>
      </c>
      <c r="F273" s="563" t="s">
        <v>12273</v>
      </c>
      <c r="G273" s="563" t="s">
        <v>144</v>
      </c>
      <c r="H273" s="563" t="s">
        <v>9638</v>
      </c>
      <c r="I273" s="564" t="n">
        <v>43973</v>
      </c>
      <c r="J273" s="563" t="n">
        <v>5</v>
      </c>
      <c r="K273" s="578" t="s">
        <v>43</v>
      </c>
      <c r="L273" s="563" t="s">
        <v>10013</v>
      </c>
      <c r="M273" s="546" t="n">
        <f aca="false">I273-D273</f>
        <v>2366</v>
      </c>
    </row>
    <row r="274" customFormat="false" ht="15" hidden="true" customHeight="true" outlineLevel="0" collapsed="false">
      <c r="A274" s="558" t="n">
        <v>10120</v>
      </c>
      <c r="B274" s="559" t="s">
        <v>12274</v>
      </c>
      <c r="C274" s="559" t="n">
        <v>2019</v>
      </c>
      <c r="D274" s="560" t="n">
        <v>43745</v>
      </c>
      <c r="E274" s="559" t="s">
        <v>12275</v>
      </c>
      <c r="F274" s="573" t="s">
        <v>12276</v>
      </c>
      <c r="G274" s="559" t="s">
        <v>125</v>
      </c>
      <c r="H274" s="559" t="s">
        <v>980</v>
      </c>
      <c r="I274" s="560" t="n">
        <v>43973</v>
      </c>
      <c r="J274" s="559" t="n">
        <v>5</v>
      </c>
      <c r="K274" s="571" t="s">
        <v>49</v>
      </c>
      <c r="L274" s="559" t="s">
        <v>10445</v>
      </c>
      <c r="M274" s="545" t="n">
        <f aca="false">I274-D274</f>
        <v>228</v>
      </c>
    </row>
    <row r="275" customFormat="false" ht="12.75" hidden="true" customHeight="true" outlineLevel="0" collapsed="false">
      <c r="A275" s="562" t="n">
        <v>10220</v>
      </c>
      <c r="B275" s="563" t="s">
        <v>12277</v>
      </c>
      <c r="C275" s="563" t="n">
        <v>2016</v>
      </c>
      <c r="D275" s="564" t="n">
        <v>42374</v>
      </c>
      <c r="E275" s="563" t="s">
        <v>12278</v>
      </c>
      <c r="F275" s="563" t="s">
        <v>207</v>
      </c>
      <c r="G275" s="563" t="s">
        <v>441</v>
      </c>
      <c r="H275" s="563" t="s">
        <v>267</v>
      </c>
      <c r="I275" s="564" t="n">
        <v>43979</v>
      </c>
      <c r="J275" s="563" t="n">
        <v>5</v>
      </c>
      <c r="K275" s="571" t="s">
        <v>49</v>
      </c>
      <c r="L275" s="563" t="s">
        <v>10018</v>
      </c>
      <c r="M275" s="546" t="n">
        <f aca="false">I275-D275</f>
        <v>1605</v>
      </c>
    </row>
    <row r="276" customFormat="false" ht="12.75" hidden="true" customHeight="true" outlineLevel="0" collapsed="false">
      <c r="A276" s="558" t="n">
        <v>10320</v>
      </c>
      <c r="B276" s="559" t="s">
        <v>12279</v>
      </c>
      <c r="C276" s="559" t="n">
        <v>2015</v>
      </c>
      <c r="D276" s="560" t="n">
        <v>42250</v>
      </c>
      <c r="E276" s="559" t="s">
        <v>12280</v>
      </c>
      <c r="F276" s="559" t="s">
        <v>123</v>
      </c>
      <c r="G276" s="559" t="s">
        <v>441</v>
      </c>
      <c r="H276" s="559" t="s">
        <v>471</v>
      </c>
      <c r="I276" s="560" t="n">
        <v>43979</v>
      </c>
      <c r="J276" s="559" t="n">
        <v>5</v>
      </c>
      <c r="K276" s="571" t="s">
        <v>47</v>
      </c>
      <c r="L276" s="559" t="s">
        <v>10013</v>
      </c>
      <c r="M276" s="545" t="n">
        <f aca="false">I276-D276</f>
        <v>1729</v>
      </c>
    </row>
    <row r="277" customFormat="false" ht="12.75" hidden="true" customHeight="true" outlineLevel="0" collapsed="false">
      <c r="A277" s="562" t="n">
        <v>10420</v>
      </c>
      <c r="B277" s="563" t="s">
        <v>12281</v>
      </c>
      <c r="C277" s="563" t="n">
        <v>2013</v>
      </c>
      <c r="D277" s="564" t="n">
        <v>41479</v>
      </c>
      <c r="E277" s="563" t="s">
        <v>12282</v>
      </c>
      <c r="F277" s="563" t="s">
        <v>9757</v>
      </c>
      <c r="G277" s="563" t="s">
        <v>441</v>
      </c>
      <c r="H277" s="563" t="s">
        <v>12106</v>
      </c>
      <c r="I277" s="564" t="n">
        <v>43979</v>
      </c>
      <c r="J277" s="563" t="n">
        <v>5</v>
      </c>
      <c r="K277" s="571" t="s">
        <v>48</v>
      </c>
      <c r="L277" s="563" t="s">
        <v>10013</v>
      </c>
      <c r="M277" s="546" t="n">
        <f aca="false">I277-D277</f>
        <v>2500</v>
      </c>
    </row>
    <row r="278" customFormat="false" ht="12.75" hidden="true" customHeight="true" outlineLevel="0" collapsed="false">
      <c r="A278" s="558" t="n">
        <v>10520</v>
      </c>
      <c r="B278" s="559" t="s">
        <v>12283</v>
      </c>
      <c r="C278" s="559" t="n">
        <v>2016</v>
      </c>
      <c r="D278" s="560" t="n">
        <v>42566</v>
      </c>
      <c r="E278" s="559" t="s">
        <v>12284</v>
      </c>
      <c r="F278" s="559" t="s">
        <v>12285</v>
      </c>
      <c r="G278" s="559" t="s">
        <v>144</v>
      </c>
      <c r="H278" s="559" t="s">
        <v>119</v>
      </c>
      <c r="I278" s="560" t="n">
        <v>43979</v>
      </c>
      <c r="J278" s="559" t="n">
        <v>5</v>
      </c>
      <c r="K278" s="571" t="s">
        <v>48</v>
      </c>
      <c r="L278" s="559" t="s">
        <v>10018</v>
      </c>
      <c r="M278" s="545" t="n">
        <f aca="false">I278-D278</f>
        <v>1413</v>
      </c>
    </row>
    <row r="279" customFormat="false" ht="12.75" hidden="true" customHeight="true" outlineLevel="0" collapsed="false">
      <c r="A279" s="562" t="n">
        <v>10620</v>
      </c>
      <c r="B279" s="563" t="s">
        <v>12286</v>
      </c>
      <c r="C279" s="563" t="n">
        <v>2017</v>
      </c>
      <c r="D279" s="564" t="n">
        <v>42775</v>
      </c>
      <c r="E279" s="563" t="s">
        <v>12287</v>
      </c>
      <c r="F279" s="563" t="s">
        <v>3190</v>
      </c>
      <c r="G279" s="563" t="s">
        <v>441</v>
      </c>
      <c r="H279" s="563" t="s">
        <v>1567</v>
      </c>
      <c r="I279" s="564" t="n">
        <v>43984</v>
      </c>
      <c r="J279" s="563" t="n">
        <v>6</v>
      </c>
      <c r="K279" s="571" t="s">
        <v>49</v>
      </c>
      <c r="L279" s="563" t="s">
        <v>10013</v>
      </c>
      <c r="M279" s="546" t="n">
        <f aca="false">I279-D279</f>
        <v>1209</v>
      </c>
    </row>
    <row r="280" customFormat="false" ht="12.75" hidden="true" customHeight="true" outlineLevel="0" collapsed="false">
      <c r="A280" s="558" t="n">
        <v>10720</v>
      </c>
      <c r="B280" s="559" t="s">
        <v>12288</v>
      </c>
      <c r="C280" s="559" t="n">
        <v>2020</v>
      </c>
      <c r="D280" s="560" t="n">
        <v>43857</v>
      </c>
      <c r="E280" s="559" t="s">
        <v>12289</v>
      </c>
      <c r="F280" s="573" t="s">
        <v>11385</v>
      </c>
      <c r="G280" s="559" t="s">
        <v>130</v>
      </c>
      <c r="H280" s="559" t="s">
        <v>12290</v>
      </c>
      <c r="I280" s="560" t="n">
        <v>43985</v>
      </c>
      <c r="J280" s="559" t="n">
        <v>6</v>
      </c>
      <c r="K280" s="571" t="s">
        <v>49</v>
      </c>
      <c r="L280" s="559" t="s">
        <v>10445</v>
      </c>
      <c r="M280" s="545" t="n">
        <f aca="false">I280-D280</f>
        <v>128</v>
      </c>
    </row>
    <row r="281" customFormat="false" ht="12.75" hidden="true" customHeight="true" outlineLevel="0" collapsed="false">
      <c r="A281" s="562" t="n">
        <v>10820</v>
      </c>
      <c r="B281" s="563" t="s">
        <v>12291</v>
      </c>
      <c r="C281" s="563" t="n">
        <v>2018</v>
      </c>
      <c r="D281" s="564" t="n">
        <v>43252</v>
      </c>
      <c r="E281" s="563" t="s">
        <v>12292</v>
      </c>
      <c r="F281" s="563" t="s">
        <v>12293</v>
      </c>
      <c r="G281" s="563" t="s">
        <v>144</v>
      </c>
      <c r="H281" s="563" t="s">
        <v>1791</v>
      </c>
      <c r="I281" s="564" t="n">
        <v>43985</v>
      </c>
      <c r="J281" s="563" t="n">
        <v>6</v>
      </c>
      <c r="K281" s="571" t="s">
        <v>49</v>
      </c>
      <c r="L281" s="563" t="s">
        <v>10018</v>
      </c>
      <c r="M281" s="546" t="n">
        <f aca="false">I281-D281</f>
        <v>733</v>
      </c>
    </row>
    <row r="282" customFormat="false" ht="12.75" hidden="true" customHeight="true" outlineLevel="0" collapsed="false">
      <c r="A282" s="558" t="n">
        <v>10920</v>
      </c>
      <c r="B282" s="559" t="s">
        <v>12294</v>
      </c>
      <c r="C282" s="559" t="n">
        <v>2016</v>
      </c>
      <c r="D282" s="560" t="n">
        <v>42524</v>
      </c>
      <c r="E282" s="559" t="s">
        <v>12295</v>
      </c>
      <c r="F282" s="559" t="s">
        <v>379</v>
      </c>
      <c r="G282" s="559" t="s">
        <v>441</v>
      </c>
      <c r="H282" s="559" t="s">
        <v>350</v>
      </c>
      <c r="I282" s="560" t="n">
        <v>43985</v>
      </c>
      <c r="J282" s="559" t="n">
        <v>6</v>
      </c>
      <c r="K282" s="571" t="s">
        <v>49</v>
      </c>
      <c r="L282" s="559" t="s">
        <v>10018</v>
      </c>
      <c r="M282" s="545" t="n">
        <f aca="false">I282-D282</f>
        <v>1461</v>
      </c>
    </row>
    <row r="283" customFormat="false" ht="12.75" hidden="true" customHeight="true" outlineLevel="0" collapsed="false">
      <c r="A283" s="562" t="n">
        <v>11020</v>
      </c>
      <c r="B283" s="563" t="s">
        <v>12296</v>
      </c>
      <c r="C283" s="563" t="n">
        <v>2018</v>
      </c>
      <c r="D283" s="564" t="n">
        <v>43368</v>
      </c>
      <c r="E283" s="563" t="s">
        <v>12297</v>
      </c>
      <c r="F283" s="563" t="s">
        <v>537</v>
      </c>
      <c r="G283" s="563" t="s">
        <v>441</v>
      </c>
      <c r="H283" s="563" t="s">
        <v>350</v>
      </c>
      <c r="I283" s="564" t="n">
        <v>43985</v>
      </c>
      <c r="J283" s="563" t="n">
        <v>6</v>
      </c>
      <c r="K283" s="571" t="s">
        <v>49</v>
      </c>
      <c r="L283" s="563" t="s">
        <v>10013</v>
      </c>
      <c r="M283" s="546" t="n">
        <f aca="false">I283-D283</f>
        <v>617</v>
      </c>
    </row>
    <row r="284" customFormat="false" ht="12.75" hidden="true" customHeight="true" outlineLevel="0" collapsed="false">
      <c r="A284" s="558" t="n">
        <v>11120</v>
      </c>
      <c r="B284" s="559" t="s">
        <v>12298</v>
      </c>
      <c r="C284" s="559" t="n">
        <v>2016</v>
      </c>
      <c r="D284" s="560" t="n">
        <v>42616</v>
      </c>
      <c r="E284" s="559" t="s">
        <v>12299</v>
      </c>
      <c r="F284" s="559" t="s">
        <v>2560</v>
      </c>
      <c r="G284" s="559" t="s">
        <v>441</v>
      </c>
      <c r="H284" s="559" t="s">
        <v>522</v>
      </c>
      <c r="I284" s="560" t="n">
        <v>43985</v>
      </c>
      <c r="J284" s="559" t="n">
        <v>6</v>
      </c>
      <c r="K284" s="571" t="s">
        <v>49</v>
      </c>
      <c r="L284" s="559" t="s">
        <v>10013</v>
      </c>
      <c r="M284" s="545" t="n">
        <f aca="false">I284-D284</f>
        <v>1369</v>
      </c>
    </row>
    <row r="285" customFormat="false" ht="12.75" hidden="true" customHeight="true" outlineLevel="0" collapsed="false">
      <c r="A285" s="562" t="n">
        <v>11220</v>
      </c>
      <c r="B285" s="563" t="s">
        <v>12300</v>
      </c>
      <c r="C285" s="563" t="n">
        <v>2010</v>
      </c>
      <c r="D285" s="564" t="n">
        <v>40295</v>
      </c>
      <c r="E285" s="563" t="s">
        <v>12301</v>
      </c>
      <c r="F285" s="563" t="s">
        <v>12302</v>
      </c>
      <c r="G285" s="563" t="s">
        <v>144</v>
      </c>
      <c r="H285" s="563" t="s">
        <v>6633</v>
      </c>
      <c r="I285" s="564" t="n">
        <v>44014</v>
      </c>
      <c r="J285" s="563" t="n">
        <v>7</v>
      </c>
      <c r="K285" s="571" t="s">
        <v>48</v>
      </c>
      <c r="L285" s="563" t="s">
        <v>10018</v>
      </c>
      <c r="M285" s="546" t="n">
        <f aca="false">I285-D285</f>
        <v>3719</v>
      </c>
    </row>
    <row r="286" customFormat="false" ht="12.75" hidden="true" customHeight="true" outlineLevel="0" collapsed="false">
      <c r="A286" s="558" t="n">
        <v>11320</v>
      </c>
      <c r="B286" s="559" t="s">
        <v>12303</v>
      </c>
      <c r="C286" s="559" t="n">
        <v>2013</v>
      </c>
      <c r="D286" s="560" t="n">
        <v>41439</v>
      </c>
      <c r="E286" s="559" t="s">
        <v>12304</v>
      </c>
      <c r="F286" s="559" t="s">
        <v>1277</v>
      </c>
      <c r="G286" s="559" t="s">
        <v>441</v>
      </c>
      <c r="H286" s="559" t="s">
        <v>250</v>
      </c>
      <c r="I286" s="560" t="n">
        <v>44014</v>
      </c>
      <c r="J286" s="559" t="n">
        <v>7</v>
      </c>
      <c r="K286" s="577" t="s">
        <v>46</v>
      </c>
      <c r="L286" s="559" t="s">
        <v>10018</v>
      </c>
      <c r="M286" s="545" t="n">
        <f aca="false">I286-D286</f>
        <v>2575</v>
      </c>
    </row>
    <row r="287" customFormat="false" ht="12.75" hidden="true" customHeight="true" outlineLevel="0" collapsed="false">
      <c r="A287" s="562" t="n">
        <v>11420</v>
      </c>
      <c r="B287" s="563" t="s">
        <v>12305</v>
      </c>
      <c r="C287" s="563" t="n">
        <v>2017</v>
      </c>
      <c r="D287" s="564" t="n">
        <v>42786</v>
      </c>
      <c r="E287" s="563" t="s">
        <v>12306</v>
      </c>
      <c r="F287" s="563" t="s">
        <v>1277</v>
      </c>
      <c r="G287" s="563" t="s">
        <v>441</v>
      </c>
      <c r="H287" s="563" t="s">
        <v>354</v>
      </c>
      <c r="I287" s="564" t="n">
        <v>44014</v>
      </c>
      <c r="J287" s="563" t="n">
        <v>7</v>
      </c>
      <c r="K287" s="577" t="s">
        <v>46</v>
      </c>
      <c r="L287" s="563" t="s">
        <v>10018</v>
      </c>
      <c r="M287" s="546" t="n">
        <f aca="false">I287-D287</f>
        <v>1228</v>
      </c>
    </row>
    <row r="288" customFormat="false" ht="12.75" hidden="true" customHeight="true" outlineLevel="0" collapsed="false">
      <c r="A288" s="558" t="n">
        <v>11520</v>
      </c>
      <c r="B288" s="559" t="s">
        <v>12307</v>
      </c>
      <c r="C288" s="559" t="n">
        <v>2010</v>
      </c>
      <c r="D288" s="560" t="n">
        <v>40415</v>
      </c>
      <c r="E288" s="559" t="s">
        <v>12308</v>
      </c>
      <c r="F288" s="559" t="s">
        <v>12176</v>
      </c>
      <c r="G288" s="559" t="s">
        <v>144</v>
      </c>
      <c r="H288" s="559" t="s">
        <v>1791</v>
      </c>
      <c r="I288" s="560" t="n">
        <v>44015</v>
      </c>
      <c r="J288" s="559" t="n">
        <v>7</v>
      </c>
      <c r="K288" s="571" t="s">
        <v>48</v>
      </c>
      <c r="L288" s="559" t="s">
        <v>10018</v>
      </c>
      <c r="M288" s="545" t="n">
        <f aca="false">I288-D288</f>
        <v>3600</v>
      </c>
    </row>
    <row r="289" customFormat="false" ht="12.75" hidden="true" customHeight="true" outlineLevel="0" collapsed="false">
      <c r="A289" s="562" t="n">
        <v>11620</v>
      </c>
      <c r="B289" s="563" t="s">
        <v>12309</v>
      </c>
      <c r="C289" s="563" t="n">
        <v>2019</v>
      </c>
      <c r="D289" s="564" t="n">
        <v>43504</v>
      </c>
      <c r="E289" s="563" t="s">
        <v>12310</v>
      </c>
      <c r="F289" s="572" t="s">
        <v>10768</v>
      </c>
      <c r="G289" s="563" t="s">
        <v>125</v>
      </c>
      <c r="H289" s="563" t="s">
        <v>149</v>
      </c>
      <c r="I289" s="564" t="n">
        <v>44015</v>
      </c>
      <c r="J289" s="563" t="n">
        <v>7</v>
      </c>
      <c r="K289" s="565" t="s">
        <v>50</v>
      </c>
      <c r="L289" s="563" t="s">
        <v>10445</v>
      </c>
      <c r="M289" s="546" t="n">
        <f aca="false">I289-D289</f>
        <v>511</v>
      </c>
    </row>
    <row r="290" customFormat="false" ht="12.75" hidden="true" customHeight="true" outlineLevel="0" collapsed="false">
      <c r="A290" s="558" t="n">
        <v>11720</v>
      </c>
      <c r="B290" s="559" t="s">
        <v>12311</v>
      </c>
      <c r="C290" s="559" t="n">
        <v>2019</v>
      </c>
      <c r="D290" s="560" t="n">
        <v>43514</v>
      </c>
      <c r="E290" s="559" t="s">
        <v>12312</v>
      </c>
      <c r="F290" s="573" t="s">
        <v>10768</v>
      </c>
      <c r="G290" s="559" t="s">
        <v>125</v>
      </c>
      <c r="H290" s="559" t="s">
        <v>149</v>
      </c>
      <c r="I290" s="560" t="n">
        <v>44015</v>
      </c>
      <c r="J290" s="559" t="n">
        <v>7</v>
      </c>
      <c r="K290" s="565" t="s">
        <v>50</v>
      </c>
      <c r="L290" s="559" t="s">
        <v>10445</v>
      </c>
      <c r="M290" s="545" t="n">
        <f aca="false">I290-D290</f>
        <v>501</v>
      </c>
    </row>
    <row r="291" customFormat="false" ht="12.75" hidden="true" customHeight="true" outlineLevel="0" collapsed="false">
      <c r="A291" s="562" t="n">
        <v>11820</v>
      </c>
      <c r="B291" s="563" t="s">
        <v>12313</v>
      </c>
      <c r="C291" s="563" t="n">
        <v>2019</v>
      </c>
      <c r="D291" s="564" t="n">
        <v>43514</v>
      </c>
      <c r="E291" s="563" t="s">
        <v>12314</v>
      </c>
      <c r="F291" s="572" t="s">
        <v>10768</v>
      </c>
      <c r="G291" s="563" t="s">
        <v>125</v>
      </c>
      <c r="H291" s="563" t="s">
        <v>149</v>
      </c>
      <c r="I291" s="564" t="n">
        <v>44015</v>
      </c>
      <c r="J291" s="563" t="n">
        <v>7</v>
      </c>
      <c r="K291" s="565" t="s">
        <v>50</v>
      </c>
      <c r="L291" s="563" t="s">
        <v>10445</v>
      </c>
      <c r="M291" s="546" t="n">
        <f aca="false">I291-D291</f>
        <v>501</v>
      </c>
    </row>
    <row r="292" customFormat="false" ht="12.75" hidden="true" customHeight="true" outlineLevel="0" collapsed="false">
      <c r="A292" s="558" t="n">
        <v>11920</v>
      </c>
      <c r="B292" s="559" t="s">
        <v>12315</v>
      </c>
      <c r="C292" s="559" t="n">
        <v>2016</v>
      </c>
      <c r="D292" s="560" t="n">
        <v>42557</v>
      </c>
      <c r="E292" s="559" t="s">
        <v>12316</v>
      </c>
      <c r="F292" s="559" t="s">
        <v>1025</v>
      </c>
      <c r="G292" s="559" t="s">
        <v>441</v>
      </c>
      <c r="H292" s="559" t="s">
        <v>184</v>
      </c>
      <c r="I292" s="560" t="n">
        <v>44015</v>
      </c>
      <c r="J292" s="559" t="n">
        <v>7</v>
      </c>
      <c r="K292" s="565" t="s">
        <v>51</v>
      </c>
      <c r="L292" s="559" t="s">
        <v>10018</v>
      </c>
      <c r="M292" s="545" t="n">
        <f aca="false">I292-D292</f>
        <v>1458</v>
      </c>
    </row>
    <row r="293" customFormat="false" ht="12.75" hidden="true" customHeight="true" outlineLevel="0" collapsed="false">
      <c r="A293" s="562" t="n">
        <v>12020</v>
      </c>
      <c r="B293" s="563" t="s">
        <v>12317</v>
      </c>
      <c r="C293" s="563" t="n">
        <v>2019</v>
      </c>
      <c r="D293" s="564" t="n">
        <v>43748</v>
      </c>
      <c r="E293" s="563" t="s">
        <v>12318</v>
      </c>
      <c r="F293" s="572" t="s">
        <v>6315</v>
      </c>
      <c r="G293" s="563" t="s">
        <v>130</v>
      </c>
      <c r="H293" s="563" t="s">
        <v>9351</v>
      </c>
      <c r="I293" s="564" t="n">
        <v>44015</v>
      </c>
      <c r="J293" s="563" t="n">
        <v>7</v>
      </c>
      <c r="K293" s="571" t="s">
        <v>49</v>
      </c>
      <c r="L293" s="563" t="s">
        <v>10445</v>
      </c>
      <c r="M293" s="546" t="n">
        <f aca="false">I293-D293</f>
        <v>267</v>
      </c>
    </row>
    <row r="294" customFormat="false" ht="12.75" hidden="true" customHeight="true" outlineLevel="0" collapsed="false">
      <c r="A294" s="558" t="n">
        <v>12120</v>
      </c>
      <c r="B294" s="559" t="s">
        <v>12319</v>
      </c>
      <c r="C294" s="559" t="n">
        <v>2017</v>
      </c>
      <c r="D294" s="560" t="n">
        <v>43075</v>
      </c>
      <c r="E294" s="559" t="s">
        <v>12320</v>
      </c>
      <c r="F294" s="559" t="s">
        <v>1500</v>
      </c>
      <c r="G294" s="559" t="s">
        <v>441</v>
      </c>
      <c r="H294" s="559" t="s">
        <v>192</v>
      </c>
      <c r="I294" s="560" t="n">
        <v>44015</v>
      </c>
      <c r="J294" s="559" t="n">
        <v>7</v>
      </c>
      <c r="K294" s="571" t="s">
        <v>49</v>
      </c>
      <c r="L294" s="559" t="s">
        <v>10013</v>
      </c>
      <c r="M294" s="545" t="n">
        <f aca="false">I294-D294</f>
        <v>940</v>
      </c>
    </row>
    <row r="295" customFormat="false" ht="12.75" hidden="true" customHeight="true" outlineLevel="0" collapsed="false">
      <c r="A295" s="562" t="n">
        <v>12220</v>
      </c>
      <c r="B295" s="563" t="s">
        <v>12321</v>
      </c>
      <c r="C295" s="563" t="n">
        <v>2014</v>
      </c>
      <c r="D295" s="564" t="n">
        <v>41948</v>
      </c>
      <c r="E295" s="563" t="s">
        <v>12322</v>
      </c>
      <c r="F295" s="563" t="s">
        <v>12323</v>
      </c>
      <c r="G295" s="563" t="s">
        <v>441</v>
      </c>
      <c r="H295" s="563" t="s">
        <v>1567</v>
      </c>
      <c r="I295" s="564" t="n">
        <v>44015</v>
      </c>
      <c r="J295" s="563" t="n">
        <v>7</v>
      </c>
      <c r="K295" s="571" t="s">
        <v>49</v>
      </c>
      <c r="L295" s="563" t="s">
        <v>10018</v>
      </c>
      <c r="M295" s="546" t="n">
        <f aca="false">I295-D295</f>
        <v>2067</v>
      </c>
    </row>
    <row r="296" customFormat="false" ht="12.75" hidden="true" customHeight="true" outlineLevel="0" collapsed="false">
      <c r="A296" s="558" t="n">
        <v>12320</v>
      </c>
      <c r="B296" s="559" t="s">
        <v>12324</v>
      </c>
      <c r="C296" s="559" t="n">
        <v>2019</v>
      </c>
      <c r="D296" s="560" t="n">
        <v>43809</v>
      </c>
      <c r="E296" s="559" t="s">
        <v>12325</v>
      </c>
      <c r="F296" s="573" t="s">
        <v>10768</v>
      </c>
      <c r="G296" s="559" t="s">
        <v>125</v>
      </c>
      <c r="H296" s="559" t="s">
        <v>254</v>
      </c>
      <c r="I296" s="560" t="n">
        <v>44019</v>
      </c>
      <c r="J296" s="559" t="n">
        <v>7</v>
      </c>
      <c r="K296" s="565" t="s">
        <v>51</v>
      </c>
      <c r="L296" s="559" t="s">
        <v>10445</v>
      </c>
      <c r="M296" s="545" t="n">
        <f aca="false">I296-D296</f>
        <v>210</v>
      </c>
    </row>
    <row r="297" customFormat="false" ht="12.75" hidden="true" customHeight="true" outlineLevel="0" collapsed="false">
      <c r="A297" s="562" t="n">
        <v>12420</v>
      </c>
      <c r="B297" s="563" t="s">
        <v>12326</v>
      </c>
      <c r="C297" s="563" t="n">
        <v>2019</v>
      </c>
      <c r="D297" s="564" t="n">
        <v>43809</v>
      </c>
      <c r="E297" s="563" t="s">
        <v>12327</v>
      </c>
      <c r="F297" s="572" t="s">
        <v>10768</v>
      </c>
      <c r="G297" s="563" t="s">
        <v>125</v>
      </c>
      <c r="H297" s="563" t="s">
        <v>254</v>
      </c>
      <c r="I297" s="564" t="n">
        <v>44019</v>
      </c>
      <c r="J297" s="563" t="n">
        <v>7</v>
      </c>
      <c r="K297" s="565" t="s">
        <v>51</v>
      </c>
      <c r="L297" s="563" t="s">
        <v>10445</v>
      </c>
      <c r="M297" s="546" t="n">
        <f aca="false">I297-D297</f>
        <v>210</v>
      </c>
    </row>
    <row r="298" customFormat="false" ht="12.75" hidden="true" customHeight="true" outlineLevel="0" collapsed="false">
      <c r="A298" s="558" t="n">
        <v>12520</v>
      </c>
      <c r="B298" s="559" t="s">
        <v>12328</v>
      </c>
      <c r="C298" s="559" t="n">
        <v>2017</v>
      </c>
      <c r="D298" s="560" t="n">
        <v>43087</v>
      </c>
      <c r="E298" s="559" t="s">
        <v>12329</v>
      </c>
      <c r="F298" s="559" t="s">
        <v>12330</v>
      </c>
      <c r="G298" s="559" t="s">
        <v>441</v>
      </c>
      <c r="H298" s="559" t="s">
        <v>223</v>
      </c>
      <c r="I298" s="560" t="n">
        <v>44019</v>
      </c>
      <c r="J298" s="559" t="n">
        <v>7</v>
      </c>
      <c r="K298" s="571" t="s">
        <v>48</v>
      </c>
      <c r="L298" s="559" t="s">
        <v>10018</v>
      </c>
      <c r="M298" s="545" t="n">
        <f aca="false">I298-D298</f>
        <v>932</v>
      </c>
    </row>
    <row r="299" customFormat="false" ht="15" hidden="true" customHeight="true" outlineLevel="0" collapsed="false">
      <c r="A299" s="562" t="n">
        <v>12620</v>
      </c>
      <c r="B299" s="563" t="s">
        <v>12331</v>
      </c>
      <c r="C299" s="563" t="n">
        <v>2017</v>
      </c>
      <c r="D299" s="564" t="n">
        <v>42895</v>
      </c>
      <c r="E299" s="563" t="s">
        <v>12332</v>
      </c>
      <c r="F299" s="563" t="s">
        <v>4956</v>
      </c>
      <c r="G299" s="563" t="s">
        <v>441</v>
      </c>
      <c r="H299" s="563" t="s">
        <v>12262</v>
      </c>
      <c r="I299" s="564" t="n">
        <v>44022</v>
      </c>
      <c r="J299" s="563" t="n">
        <v>7</v>
      </c>
      <c r="K299" s="571" t="s">
        <v>49</v>
      </c>
      <c r="L299" s="563" t="s">
        <v>10018</v>
      </c>
      <c r="M299" s="546" t="n">
        <f aca="false">I299-D299</f>
        <v>1127</v>
      </c>
    </row>
    <row r="300" customFormat="false" ht="12.75" hidden="true" customHeight="true" outlineLevel="0" collapsed="false">
      <c r="A300" s="558" t="n">
        <v>12720</v>
      </c>
      <c r="B300" s="559" t="s">
        <v>12333</v>
      </c>
      <c r="C300" s="559" t="n">
        <v>2010</v>
      </c>
      <c r="D300" s="560" t="n">
        <v>40473</v>
      </c>
      <c r="E300" s="559" t="s">
        <v>12334</v>
      </c>
      <c r="F300" s="559" t="s">
        <v>537</v>
      </c>
      <c r="G300" s="559" t="s">
        <v>441</v>
      </c>
      <c r="H300" s="559" t="s">
        <v>2654</v>
      </c>
      <c r="I300" s="560" t="n">
        <v>44022</v>
      </c>
      <c r="J300" s="559" t="n">
        <v>7</v>
      </c>
      <c r="K300" s="571" t="s">
        <v>49</v>
      </c>
      <c r="L300" s="559" t="s">
        <v>10018</v>
      </c>
      <c r="M300" s="545" t="n">
        <f aca="false">I300-D300</f>
        <v>3549</v>
      </c>
    </row>
    <row r="301" customFormat="false" ht="12.75" hidden="true" customHeight="true" outlineLevel="0" collapsed="false">
      <c r="A301" s="562" t="n">
        <v>12820</v>
      </c>
      <c r="B301" s="563" t="s">
        <v>12335</v>
      </c>
      <c r="C301" s="563" t="n">
        <v>2016</v>
      </c>
      <c r="D301" s="564" t="n">
        <v>42446</v>
      </c>
      <c r="E301" s="563" t="s">
        <v>12336</v>
      </c>
      <c r="F301" s="563" t="s">
        <v>509</v>
      </c>
      <c r="G301" s="563" t="s">
        <v>441</v>
      </c>
      <c r="H301" s="563" t="s">
        <v>223</v>
      </c>
      <c r="I301" s="564" t="n">
        <v>44022</v>
      </c>
      <c r="J301" s="563" t="n">
        <v>7</v>
      </c>
      <c r="K301" s="578" t="s">
        <v>44</v>
      </c>
      <c r="L301" s="563" t="s">
        <v>10018</v>
      </c>
      <c r="M301" s="546" t="n">
        <f aca="false">I301-D301</f>
        <v>1576</v>
      </c>
    </row>
    <row r="302" customFormat="false" ht="12.75" hidden="true" customHeight="true" outlineLevel="0" collapsed="false">
      <c r="A302" s="558" t="n">
        <v>12920</v>
      </c>
      <c r="B302" s="559" t="s">
        <v>12337</v>
      </c>
      <c r="C302" s="559" t="n">
        <v>2012</v>
      </c>
      <c r="D302" s="560" t="n">
        <v>41264</v>
      </c>
      <c r="E302" s="559" t="s">
        <v>12338</v>
      </c>
      <c r="F302" s="559" t="s">
        <v>180</v>
      </c>
      <c r="G302" s="559" t="s">
        <v>441</v>
      </c>
      <c r="H302" s="559" t="s">
        <v>3727</v>
      </c>
      <c r="I302" s="560" t="n">
        <v>44022</v>
      </c>
      <c r="J302" s="559" t="n">
        <v>7</v>
      </c>
      <c r="K302" s="571" t="s">
        <v>49</v>
      </c>
      <c r="L302" s="559" t="s">
        <v>10018</v>
      </c>
      <c r="M302" s="545" t="n">
        <f aca="false">I302-D302</f>
        <v>2758</v>
      </c>
    </row>
    <row r="303" customFormat="false" ht="12.75" hidden="true" customHeight="true" outlineLevel="0" collapsed="false">
      <c r="A303" s="562" t="n">
        <v>13020</v>
      </c>
      <c r="B303" s="563" t="s">
        <v>12339</v>
      </c>
      <c r="C303" s="563" t="n">
        <v>2013</v>
      </c>
      <c r="D303" s="564" t="n">
        <v>41583</v>
      </c>
      <c r="E303" s="563" t="s">
        <v>12340</v>
      </c>
      <c r="F303" s="563" t="s">
        <v>2920</v>
      </c>
      <c r="G303" s="563" t="s">
        <v>144</v>
      </c>
      <c r="H303" s="563" t="s">
        <v>4657</v>
      </c>
      <c r="I303" s="564" t="n">
        <v>44022</v>
      </c>
      <c r="J303" s="563" t="n">
        <v>7</v>
      </c>
      <c r="K303" s="571" t="s">
        <v>49</v>
      </c>
      <c r="L303" s="563" t="s">
        <v>10013</v>
      </c>
      <c r="M303" s="546" t="n">
        <f aca="false">I303-D303</f>
        <v>2439</v>
      </c>
    </row>
    <row r="304" customFormat="false" ht="12.75" hidden="true" customHeight="true" outlineLevel="0" collapsed="false">
      <c r="A304" s="558" t="n">
        <v>13120</v>
      </c>
      <c r="B304" s="559" t="s">
        <v>12341</v>
      </c>
      <c r="C304" s="559" t="n">
        <v>2015</v>
      </c>
      <c r="D304" s="560" t="n">
        <v>42311</v>
      </c>
      <c r="E304" s="559" t="s">
        <v>12342</v>
      </c>
      <c r="F304" s="559" t="s">
        <v>477</v>
      </c>
      <c r="G304" s="559" t="s">
        <v>441</v>
      </c>
      <c r="H304" s="559" t="s">
        <v>192</v>
      </c>
      <c r="I304" s="560" t="n">
        <v>44022</v>
      </c>
      <c r="J304" s="559" t="n">
        <v>7</v>
      </c>
      <c r="K304" s="571" t="s">
        <v>48</v>
      </c>
      <c r="L304" s="559" t="s">
        <v>10018</v>
      </c>
      <c r="M304" s="545" t="n">
        <f aca="false">I304-D304</f>
        <v>1711</v>
      </c>
    </row>
    <row r="305" customFormat="false" ht="12.75" hidden="true" customHeight="true" outlineLevel="0" collapsed="false">
      <c r="A305" s="562" t="n">
        <v>13220</v>
      </c>
      <c r="B305" s="563" t="s">
        <v>12343</v>
      </c>
      <c r="C305" s="563" t="n">
        <v>2020</v>
      </c>
      <c r="D305" s="564" t="n">
        <v>43854</v>
      </c>
      <c r="E305" s="563" t="s">
        <v>12344</v>
      </c>
      <c r="F305" s="572" t="s">
        <v>9785</v>
      </c>
      <c r="G305" s="563" t="s">
        <v>125</v>
      </c>
      <c r="H305" s="563" t="s">
        <v>980</v>
      </c>
      <c r="I305" s="564" t="n">
        <v>44022</v>
      </c>
      <c r="J305" s="563" t="n">
        <v>7</v>
      </c>
      <c r="K305" s="571" t="s">
        <v>49</v>
      </c>
      <c r="L305" s="563" t="s">
        <v>10445</v>
      </c>
      <c r="M305" s="546" t="n">
        <f aca="false">I305-D305</f>
        <v>168</v>
      </c>
    </row>
    <row r="306" customFormat="false" ht="12.75" hidden="true" customHeight="true" outlineLevel="0" collapsed="false">
      <c r="A306" s="558" t="n">
        <v>13320</v>
      </c>
      <c r="B306" s="559" t="s">
        <v>12345</v>
      </c>
      <c r="C306" s="559" t="n">
        <v>2012</v>
      </c>
      <c r="D306" s="560" t="n">
        <v>40931</v>
      </c>
      <c r="E306" s="559" t="s">
        <v>12346</v>
      </c>
      <c r="F306" s="559" t="s">
        <v>12347</v>
      </c>
      <c r="G306" s="559" t="s">
        <v>441</v>
      </c>
      <c r="H306" s="559" t="s">
        <v>6149</v>
      </c>
      <c r="I306" s="560" t="n">
        <v>44022</v>
      </c>
      <c r="J306" s="559" t="n">
        <v>7</v>
      </c>
      <c r="K306" s="571" t="s">
        <v>48</v>
      </c>
      <c r="L306" s="559" t="s">
        <v>10018</v>
      </c>
      <c r="M306" s="545" t="n">
        <f aca="false">I306-D306</f>
        <v>3091</v>
      </c>
    </row>
    <row r="307" customFormat="false" ht="12.75" hidden="true" customHeight="true" outlineLevel="0" collapsed="false">
      <c r="A307" s="562" t="n">
        <v>13420</v>
      </c>
      <c r="B307" s="563" t="s">
        <v>12348</v>
      </c>
      <c r="C307" s="563" t="n">
        <v>2015</v>
      </c>
      <c r="D307" s="564" t="n">
        <v>42060</v>
      </c>
      <c r="E307" s="563" t="s">
        <v>12349</v>
      </c>
      <c r="F307" s="563" t="s">
        <v>4369</v>
      </c>
      <c r="G307" s="563" t="s">
        <v>144</v>
      </c>
      <c r="H307" s="563" t="s">
        <v>2421</v>
      </c>
      <c r="I307" s="564" t="n">
        <v>44022</v>
      </c>
      <c r="J307" s="563" t="n">
        <v>7</v>
      </c>
      <c r="K307" s="571" t="s">
        <v>48</v>
      </c>
      <c r="L307" s="563" t="s">
        <v>2848</v>
      </c>
      <c r="M307" s="546" t="n">
        <f aca="false">I307-D307</f>
        <v>1962</v>
      </c>
    </row>
    <row r="308" customFormat="false" ht="12.75" hidden="true" customHeight="true" outlineLevel="0" collapsed="false">
      <c r="A308" s="558" t="n">
        <v>13520</v>
      </c>
      <c r="B308" s="559" t="s">
        <v>12350</v>
      </c>
      <c r="C308" s="559" t="n">
        <v>2013</v>
      </c>
      <c r="D308" s="560" t="n">
        <v>41339</v>
      </c>
      <c r="E308" s="559" t="s">
        <v>12351</v>
      </c>
      <c r="F308" s="559" t="s">
        <v>10822</v>
      </c>
      <c r="G308" s="559" t="s">
        <v>441</v>
      </c>
      <c r="H308" s="559" t="s">
        <v>471</v>
      </c>
      <c r="I308" s="560" t="n">
        <v>44027</v>
      </c>
      <c r="J308" s="559" t="n">
        <v>7</v>
      </c>
      <c r="K308" s="571" t="s">
        <v>49</v>
      </c>
      <c r="L308" s="559" t="s">
        <v>10013</v>
      </c>
      <c r="M308" s="545" t="n">
        <f aca="false">I308-D308</f>
        <v>2688</v>
      </c>
    </row>
    <row r="309" customFormat="false" ht="12.75" hidden="true" customHeight="true" outlineLevel="0" collapsed="false">
      <c r="A309" s="562" t="n">
        <v>13620</v>
      </c>
      <c r="B309" s="563" t="s">
        <v>12352</v>
      </c>
      <c r="C309" s="563" t="n">
        <v>2013</v>
      </c>
      <c r="D309" s="564" t="n">
        <v>41344</v>
      </c>
      <c r="E309" s="563" t="s">
        <v>12353</v>
      </c>
      <c r="F309" s="563" t="s">
        <v>10822</v>
      </c>
      <c r="G309" s="563" t="s">
        <v>441</v>
      </c>
      <c r="H309" s="563" t="s">
        <v>471</v>
      </c>
      <c r="I309" s="564" t="n">
        <v>44027</v>
      </c>
      <c r="J309" s="563" t="n">
        <v>7</v>
      </c>
      <c r="K309" s="571" t="s">
        <v>49</v>
      </c>
      <c r="L309" s="563" t="s">
        <v>10013</v>
      </c>
      <c r="M309" s="546" t="n">
        <f aca="false">I309-D309</f>
        <v>2683</v>
      </c>
    </row>
    <row r="310" customFormat="false" ht="12.75" hidden="true" customHeight="true" outlineLevel="0" collapsed="false">
      <c r="A310" s="558" t="n">
        <v>13720</v>
      </c>
      <c r="B310" s="559" t="s">
        <v>12354</v>
      </c>
      <c r="C310" s="559" t="n">
        <v>2013</v>
      </c>
      <c r="D310" s="560" t="n">
        <v>41376</v>
      </c>
      <c r="E310" s="559" t="s">
        <v>12355</v>
      </c>
      <c r="F310" s="559" t="s">
        <v>10637</v>
      </c>
      <c r="G310" s="559" t="s">
        <v>441</v>
      </c>
      <c r="H310" s="559" t="s">
        <v>471</v>
      </c>
      <c r="I310" s="560" t="n">
        <v>44027</v>
      </c>
      <c r="J310" s="559" t="n">
        <v>7</v>
      </c>
      <c r="K310" s="571" t="s">
        <v>49</v>
      </c>
      <c r="L310" s="559" t="s">
        <v>10018</v>
      </c>
      <c r="M310" s="545" t="n">
        <f aca="false">I310-D310</f>
        <v>2651</v>
      </c>
    </row>
    <row r="311" customFormat="false" ht="12.75" hidden="true" customHeight="true" outlineLevel="0" collapsed="false">
      <c r="A311" s="562" t="n">
        <v>13820</v>
      </c>
      <c r="B311" s="563" t="s">
        <v>12356</v>
      </c>
      <c r="C311" s="563" t="n">
        <v>2020</v>
      </c>
      <c r="D311" s="564" t="n">
        <v>43846</v>
      </c>
      <c r="E311" s="563" t="s">
        <v>12357</v>
      </c>
      <c r="F311" s="572" t="s">
        <v>12358</v>
      </c>
      <c r="G311" s="563" t="s">
        <v>130</v>
      </c>
      <c r="H311" s="563" t="s">
        <v>7263</v>
      </c>
      <c r="I311" s="564" t="n">
        <v>44027</v>
      </c>
      <c r="J311" s="563" t="n">
        <v>7</v>
      </c>
      <c r="K311" s="571" t="s">
        <v>49</v>
      </c>
      <c r="L311" s="563" t="s">
        <v>10445</v>
      </c>
      <c r="M311" s="546" t="n">
        <f aca="false">I311-D311</f>
        <v>181</v>
      </c>
    </row>
    <row r="312" customFormat="false" ht="12.75" hidden="true" customHeight="true" outlineLevel="0" collapsed="false">
      <c r="A312" s="558" t="n">
        <v>13920</v>
      </c>
      <c r="B312" s="559" t="s">
        <v>12359</v>
      </c>
      <c r="C312" s="559" t="n">
        <v>2012</v>
      </c>
      <c r="D312" s="560" t="n">
        <v>41061</v>
      </c>
      <c r="E312" s="559" t="s">
        <v>12360</v>
      </c>
      <c r="F312" s="559" t="s">
        <v>12361</v>
      </c>
      <c r="G312" s="559" t="s">
        <v>144</v>
      </c>
      <c r="H312" s="559" t="s">
        <v>1791</v>
      </c>
      <c r="I312" s="560" t="n">
        <v>44027</v>
      </c>
      <c r="J312" s="559" t="n">
        <v>7</v>
      </c>
      <c r="K312" s="571" t="s">
        <v>48</v>
      </c>
      <c r="L312" s="559" t="s">
        <v>10018</v>
      </c>
      <c r="M312" s="545" t="n">
        <f aca="false">I312-D312</f>
        <v>2966</v>
      </c>
    </row>
    <row r="313" customFormat="false" ht="12.75" hidden="true" customHeight="true" outlineLevel="0" collapsed="false">
      <c r="A313" s="562" t="n">
        <v>14020</v>
      </c>
      <c r="B313" s="563" t="s">
        <v>12362</v>
      </c>
      <c r="C313" s="563" t="n">
        <v>2011</v>
      </c>
      <c r="D313" s="564" t="n">
        <v>40800</v>
      </c>
      <c r="E313" s="563" t="s">
        <v>12363</v>
      </c>
      <c r="F313" s="563" t="s">
        <v>12364</v>
      </c>
      <c r="G313" s="563" t="s">
        <v>144</v>
      </c>
      <c r="H313" s="563" t="s">
        <v>1791</v>
      </c>
      <c r="I313" s="564" t="n">
        <v>44027</v>
      </c>
      <c r="J313" s="563" t="n">
        <v>7</v>
      </c>
      <c r="K313" s="565" t="s">
        <v>51</v>
      </c>
      <c r="L313" s="563" t="s">
        <v>10013</v>
      </c>
      <c r="M313" s="546" t="n">
        <f aca="false">I313-D313</f>
        <v>3227</v>
      </c>
    </row>
    <row r="314" customFormat="false" ht="12.75" hidden="true" customHeight="true" outlineLevel="0" collapsed="false">
      <c r="A314" s="558" t="n">
        <v>14120</v>
      </c>
      <c r="B314" s="559" t="s">
        <v>12365</v>
      </c>
      <c r="C314" s="559" t="n">
        <v>2020</v>
      </c>
      <c r="D314" s="560" t="n">
        <v>43893</v>
      </c>
      <c r="E314" s="559" t="s">
        <v>12366</v>
      </c>
      <c r="F314" s="573" t="s">
        <v>6303</v>
      </c>
      <c r="G314" s="559" t="s">
        <v>130</v>
      </c>
      <c r="H314" s="559" t="s">
        <v>7786</v>
      </c>
      <c r="I314" s="560" t="n">
        <v>44027</v>
      </c>
      <c r="J314" s="559" t="n">
        <v>7</v>
      </c>
      <c r="K314" s="571" t="s">
        <v>49</v>
      </c>
      <c r="L314" s="559" t="s">
        <v>10445</v>
      </c>
      <c r="M314" s="545" t="n">
        <f aca="false">I314-D314</f>
        <v>134</v>
      </c>
    </row>
    <row r="315" customFormat="false" ht="15" hidden="true" customHeight="true" outlineLevel="0" collapsed="false">
      <c r="A315" s="562" t="n">
        <v>14220</v>
      </c>
      <c r="B315" s="563" t="s">
        <v>12367</v>
      </c>
      <c r="C315" s="563" t="n">
        <v>2019</v>
      </c>
      <c r="D315" s="564" t="n">
        <v>43718</v>
      </c>
      <c r="E315" s="563" t="s">
        <v>12368</v>
      </c>
      <c r="F315" s="572" t="s">
        <v>12369</v>
      </c>
      <c r="G315" s="563" t="s">
        <v>130</v>
      </c>
      <c r="H315" s="563" t="s">
        <v>3553</v>
      </c>
      <c r="I315" s="564" t="n">
        <v>44027</v>
      </c>
      <c r="J315" s="563" t="n">
        <v>7</v>
      </c>
      <c r="K315" s="565" t="s">
        <v>51</v>
      </c>
      <c r="L315" s="563" t="s">
        <v>10445</v>
      </c>
      <c r="M315" s="546" t="n">
        <f aca="false">I315-D315</f>
        <v>309</v>
      </c>
    </row>
    <row r="316" customFormat="false" ht="12.75" hidden="true" customHeight="true" outlineLevel="0" collapsed="false">
      <c r="A316" s="558" t="n">
        <v>14320</v>
      </c>
      <c r="B316" s="559" t="s">
        <v>12370</v>
      </c>
      <c r="C316" s="559" t="n">
        <v>2019</v>
      </c>
      <c r="D316" s="560" t="n">
        <v>43692</v>
      </c>
      <c r="E316" s="559" t="s">
        <v>12371</v>
      </c>
      <c r="F316" s="573" t="s">
        <v>6361</v>
      </c>
      <c r="G316" s="559" t="s">
        <v>125</v>
      </c>
      <c r="H316" s="559" t="s">
        <v>3472</v>
      </c>
      <c r="I316" s="560" t="n">
        <v>44027</v>
      </c>
      <c r="J316" s="559" t="n">
        <v>7</v>
      </c>
      <c r="K316" s="571" t="s">
        <v>49</v>
      </c>
      <c r="L316" s="559" t="s">
        <v>61</v>
      </c>
      <c r="M316" s="545" t="n">
        <f aca="false">I316-D316</f>
        <v>335</v>
      </c>
    </row>
    <row r="317" customFormat="false" ht="12.75" hidden="true" customHeight="true" outlineLevel="0" collapsed="false">
      <c r="A317" s="562" t="n">
        <v>14420</v>
      </c>
      <c r="B317" s="563" t="s">
        <v>12372</v>
      </c>
      <c r="C317" s="563" t="n">
        <v>2010</v>
      </c>
      <c r="D317" s="564" t="n">
        <v>40443</v>
      </c>
      <c r="E317" s="563" t="s">
        <v>12373</v>
      </c>
      <c r="F317" s="563" t="s">
        <v>12374</v>
      </c>
      <c r="G317" s="563" t="s">
        <v>144</v>
      </c>
      <c r="H317" s="563" t="s">
        <v>267</v>
      </c>
      <c r="I317" s="564" t="n">
        <v>44029</v>
      </c>
      <c r="J317" s="563" t="n">
        <v>7</v>
      </c>
      <c r="K317" s="571" t="s">
        <v>48</v>
      </c>
      <c r="L317" s="563" t="s">
        <v>10013</v>
      </c>
      <c r="M317" s="546" t="n">
        <f aca="false">I317-D317</f>
        <v>3586</v>
      </c>
    </row>
    <row r="318" customFormat="false" ht="12.75" hidden="true" customHeight="true" outlineLevel="0" collapsed="false">
      <c r="A318" s="558" t="n">
        <v>14520</v>
      </c>
      <c r="B318" s="559" t="s">
        <v>12375</v>
      </c>
      <c r="C318" s="559" t="n">
        <v>2013</v>
      </c>
      <c r="D318" s="560" t="n">
        <v>41537</v>
      </c>
      <c r="E318" s="559" t="s">
        <v>12376</v>
      </c>
      <c r="F318" s="559" t="s">
        <v>537</v>
      </c>
      <c r="G318" s="559" t="s">
        <v>441</v>
      </c>
      <c r="H318" s="559" t="s">
        <v>1567</v>
      </c>
      <c r="I318" s="560" t="n">
        <v>44029</v>
      </c>
      <c r="J318" s="559" t="n">
        <v>7</v>
      </c>
      <c r="K318" s="571" t="s">
        <v>49</v>
      </c>
      <c r="L318" s="559" t="s">
        <v>10018</v>
      </c>
      <c r="M318" s="545" t="n">
        <f aca="false">I318-D318</f>
        <v>2492</v>
      </c>
    </row>
    <row r="319" customFormat="false" ht="12.75" hidden="true" customHeight="true" outlineLevel="0" collapsed="false">
      <c r="A319" s="562" t="n">
        <v>14620</v>
      </c>
      <c r="B319" s="563" t="s">
        <v>12377</v>
      </c>
      <c r="C319" s="563" t="n">
        <v>2013</v>
      </c>
      <c r="D319" s="564" t="n">
        <v>41628</v>
      </c>
      <c r="E319" s="563" t="s">
        <v>12378</v>
      </c>
      <c r="F319" s="563" t="s">
        <v>1693</v>
      </c>
      <c r="G319" s="563" t="s">
        <v>441</v>
      </c>
      <c r="H319" s="563" t="s">
        <v>192</v>
      </c>
      <c r="I319" s="564" t="n">
        <v>44029</v>
      </c>
      <c r="J319" s="563" t="n">
        <v>7</v>
      </c>
      <c r="K319" s="571" t="s">
        <v>48</v>
      </c>
      <c r="L319" s="563" t="s">
        <v>10018</v>
      </c>
      <c r="M319" s="546" t="n">
        <f aca="false">I319-D319</f>
        <v>2401</v>
      </c>
    </row>
    <row r="320" customFormat="false" ht="15" hidden="true" customHeight="true" outlineLevel="0" collapsed="false">
      <c r="A320" s="558" t="n">
        <v>14720</v>
      </c>
      <c r="B320" s="559" t="s">
        <v>12379</v>
      </c>
      <c r="C320" s="559" t="n">
        <v>2019</v>
      </c>
      <c r="D320" s="560" t="n">
        <v>43815</v>
      </c>
      <c r="E320" s="559" t="s">
        <v>12380</v>
      </c>
      <c r="F320" s="573" t="s">
        <v>288</v>
      </c>
      <c r="G320" s="559" t="s">
        <v>130</v>
      </c>
      <c r="H320" s="559" t="s">
        <v>12381</v>
      </c>
      <c r="I320" s="560" t="n">
        <v>44029</v>
      </c>
      <c r="J320" s="559" t="n">
        <v>7</v>
      </c>
      <c r="K320" s="565" t="s">
        <v>51</v>
      </c>
      <c r="L320" s="559" t="s">
        <v>10445</v>
      </c>
      <c r="M320" s="545" t="n">
        <f aca="false">I320-D320</f>
        <v>214</v>
      </c>
    </row>
    <row r="321" customFormat="false" ht="12.75" hidden="true" customHeight="true" outlineLevel="0" collapsed="false">
      <c r="A321" s="562" t="n">
        <v>14820</v>
      </c>
      <c r="B321" s="563" t="s">
        <v>12382</v>
      </c>
      <c r="C321" s="563" t="n">
        <v>2019</v>
      </c>
      <c r="D321" s="564" t="n">
        <v>43699</v>
      </c>
      <c r="E321" s="563" t="s">
        <v>12383</v>
      </c>
      <c r="F321" s="572" t="s">
        <v>6361</v>
      </c>
      <c r="G321" s="563" t="s">
        <v>125</v>
      </c>
      <c r="H321" s="563" t="s">
        <v>3472</v>
      </c>
      <c r="I321" s="564" t="n">
        <v>44029</v>
      </c>
      <c r="J321" s="563" t="n">
        <v>7</v>
      </c>
      <c r="K321" s="571" t="s">
        <v>49</v>
      </c>
      <c r="L321" s="563" t="s">
        <v>10445</v>
      </c>
      <c r="M321" s="546" t="n">
        <f aca="false">I321-D321</f>
        <v>330</v>
      </c>
    </row>
    <row r="322" customFormat="false" ht="12.75" hidden="true" customHeight="true" outlineLevel="0" collapsed="false">
      <c r="A322" s="558" t="n">
        <v>14920</v>
      </c>
      <c r="B322" s="559" t="s">
        <v>12384</v>
      </c>
      <c r="C322" s="559" t="n">
        <v>2012</v>
      </c>
      <c r="D322" s="560" t="n">
        <v>41078</v>
      </c>
      <c r="E322" s="559" t="s">
        <v>12385</v>
      </c>
      <c r="F322" s="559" t="s">
        <v>12386</v>
      </c>
      <c r="G322" s="559" t="s">
        <v>441</v>
      </c>
      <c r="H322" s="559" t="s">
        <v>184</v>
      </c>
      <c r="I322" s="560" t="n">
        <v>44032</v>
      </c>
      <c r="J322" s="559" t="n">
        <v>7</v>
      </c>
      <c r="K322" s="571" t="s">
        <v>48</v>
      </c>
      <c r="L322" s="559" t="s">
        <v>10013</v>
      </c>
      <c r="M322" s="545" t="n">
        <f aca="false">I322-D322</f>
        <v>2954</v>
      </c>
    </row>
    <row r="323" customFormat="false" ht="12.75" hidden="true" customHeight="true" outlineLevel="0" collapsed="false">
      <c r="A323" s="562" t="n">
        <v>15020</v>
      </c>
      <c r="B323" s="563" t="s">
        <v>12387</v>
      </c>
      <c r="C323" s="563" t="n">
        <v>2013</v>
      </c>
      <c r="D323" s="564" t="n">
        <v>41501</v>
      </c>
      <c r="E323" s="563" t="s">
        <v>12388</v>
      </c>
      <c r="F323" s="563" t="s">
        <v>3844</v>
      </c>
      <c r="G323" s="563" t="s">
        <v>441</v>
      </c>
      <c r="H323" s="563" t="s">
        <v>12073</v>
      </c>
      <c r="I323" s="564" t="n">
        <v>44040</v>
      </c>
      <c r="J323" s="563" t="n">
        <v>7</v>
      </c>
      <c r="K323" s="571" t="s">
        <v>49</v>
      </c>
      <c r="L323" s="563" t="s">
        <v>10018</v>
      </c>
      <c r="M323" s="546" t="n">
        <f aca="false">I323-D323</f>
        <v>2539</v>
      </c>
    </row>
    <row r="324" customFormat="false" ht="12.75" hidden="true" customHeight="true" outlineLevel="0" collapsed="false">
      <c r="A324" s="558" t="n">
        <v>15120</v>
      </c>
      <c r="B324" s="559" t="s">
        <v>12389</v>
      </c>
      <c r="C324" s="559" t="n">
        <v>2020</v>
      </c>
      <c r="D324" s="560" t="n">
        <v>43895</v>
      </c>
      <c r="E324" s="559" t="s">
        <v>12390</v>
      </c>
      <c r="F324" s="573" t="s">
        <v>11142</v>
      </c>
      <c r="G324" s="559" t="s">
        <v>125</v>
      </c>
      <c r="H324" s="559" t="s">
        <v>980</v>
      </c>
      <c r="I324" s="560" t="n">
        <v>44040</v>
      </c>
      <c r="J324" s="559" t="n">
        <v>7</v>
      </c>
      <c r="K324" s="571" t="s">
        <v>49</v>
      </c>
      <c r="L324" s="559" t="s">
        <v>10445</v>
      </c>
      <c r="M324" s="545" t="n">
        <f aca="false">I324-D324</f>
        <v>145</v>
      </c>
    </row>
    <row r="325" customFormat="false" ht="12.75" hidden="true" customHeight="true" outlineLevel="0" collapsed="false">
      <c r="A325" s="562" t="n">
        <v>15220</v>
      </c>
      <c r="B325" s="563" t="s">
        <v>12391</v>
      </c>
      <c r="C325" s="563" t="n">
        <v>2020</v>
      </c>
      <c r="D325" s="564" t="n">
        <v>43879</v>
      </c>
      <c r="E325" s="563" t="s">
        <v>12392</v>
      </c>
      <c r="F325" s="572" t="s">
        <v>10840</v>
      </c>
      <c r="G325" s="563" t="s">
        <v>125</v>
      </c>
      <c r="H325" s="563" t="s">
        <v>7263</v>
      </c>
      <c r="I325" s="564" t="n">
        <v>44041</v>
      </c>
      <c r="J325" s="563" t="n">
        <v>7</v>
      </c>
      <c r="K325" s="565" t="s">
        <v>51</v>
      </c>
      <c r="L325" s="563" t="s">
        <v>10445</v>
      </c>
      <c r="M325" s="546" t="n">
        <f aca="false">I325-D325</f>
        <v>162</v>
      </c>
    </row>
    <row r="326" customFormat="false" ht="12.75" hidden="true" customHeight="true" outlineLevel="0" collapsed="false">
      <c r="A326" s="558" t="n">
        <v>15320</v>
      </c>
      <c r="B326" s="559" t="s">
        <v>12393</v>
      </c>
      <c r="C326" s="559" t="n">
        <v>2014</v>
      </c>
      <c r="D326" s="560" t="n">
        <v>41729</v>
      </c>
      <c r="E326" s="559" t="s">
        <v>12394</v>
      </c>
      <c r="F326" s="559" t="s">
        <v>11801</v>
      </c>
      <c r="G326" s="559" t="s">
        <v>115</v>
      </c>
      <c r="H326" s="559" t="s">
        <v>1109</v>
      </c>
      <c r="I326" s="560" t="n">
        <v>44043</v>
      </c>
      <c r="J326" s="559" t="n">
        <v>7</v>
      </c>
      <c r="K326" s="571" t="s">
        <v>49</v>
      </c>
      <c r="L326" s="559" t="s">
        <v>10013</v>
      </c>
      <c r="M326" s="545" t="n">
        <f aca="false">I326-D326</f>
        <v>2314</v>
      </c>
    </row>
    <row r="327" customFormat="false" ht="12.75" hidden="true" customHeight="true" outlineLevel="0" collapsed="false">
      <c r="A327" s="562" t="n">
        <v>15420</v>
      </c>
      <c r="B327" s="563" t="s">
        <v>12395</v>
      </c>
      <c r="C327" s="563" t="n">
        <v>2015</v>
      </c>
      <c r="D327" s="564" t="n">
        <v>42153</v>
      </c>
      <c r="E327" s="563" t="s">
        <v>12396</v>
      </c>
      <c r="F327" s="563" t="s">
        <v>12397</v>
      </c>
      <c r="G327" s="563" t="s">
        <v>115</v>
      </c>
      <c r="H327" s="563" t="s">
        <v>1109</v>
      </c>
      <c r="I327" s="564" t="n">
        <v>44043</v>
      </c>
      <c r="J327" s="563" t="n">
        <v>7</v>
      </c>
      <c r="K327" s="571" t="s">
        <v>49</v>
      </c>
      <c r="L327" s="563" t="s">
        <v>10013</v>
      </c>
      <c r="M327" s="546" t="n">
        <f aca="false">I327-D327</f>
        <v>1890</v>
      </c>
    </row>
    <row r="328" customFormat="false" ht="12.75" hidden="true" customHeight="true" outlineLevel="0" collapsed="false">
      <c r="A328" s="558" t="n">
        <v>15520</v>
      </c>
      <c r="B328" s="559" t="s">
        <v>12398</v>
      </c>
      <c r="C328" s="559" t="n">
        <v>2015</v>
      </c>
      <c r="D328" s="560" t="n">
        <v>42311</v>
      </c>
      <c r="E328" s="559" t="s">
        <v>12399</v>
      </c>
      <c r="F328" s="559" t="s">
        <v>12400</v>
      </c>
      <c r="G328" s="559" t="s">
        <v>115</v>
      </c>
      <c r="H328" s="559" t="s">
        <v>1109</v>
      </c>
      <c r="I328" s="560" t="n">
        <v>44043</v>
      </c>
      <c r="J328" s="559" t="n">
        <v>7</v>
      </c>
      <c r="K328" s="571" t="s">
        <v>49</v>
      </c>
      <c r="L328" s="559" t="s">
        <v>10013</v>
      </c>
      <c r="M328" s="545" t="n">
        <f aca="false">I328-D328</f>
        <v>1732</v>
      </c>
    </row>
    <row r="329" customFormat="false" ht="12.75" hidden="true" customHeight="true" outlineLevel="0" collapsed="false">
      <c r="A329" s="562" t="n">
        <v>15620</v>
      </c>
      <c r="B329" s="563" t="s">
        <v>12401</v>
      </c>
      <c r="C329" s="563" t="n">
        <v>2015</v>
      </c>
      <c r="D329" s="564" t="n">
        <v>42311</v>
      </c>
      <c r="E329" s="563" t="s">
        <v>12402</v>
      </c>
      <c r="F329" s="563" t="s">
        <v>12397</v>
      </c>
      <c r="G329" s="563" t="s">
        <v>115</v>
      </c>
      <c r="H329" s="563" t="s">
        <v>1109</v>
      </c>
      <c r="I329" s="564" t="n">
        <v>44043</v>
      </c>
      <c r="J329" s="563" t="n">
        <v>7</v>
      </c>
      <c r="K329" s="571" t="s">
        <v>49</v>
      </c>
      <c r="L329" s="563" t="s">
        <v>10013</v>
      </c>
      <c r="M329" s="546" t="n">
        <f aca="false">I329-D329</f>
        <v>1732</v>
      </c>
    </row>
    <row r="330" customFormat="false" ht="12.75" hidden="true" customHeight="true" outlineLevel="0" collapsed="false">
      <c r="A330" s="558" t="n">
        <v>15720</v>
      </c>
      <c r="B330" s="559" t="s">
        <v>12403</v>
      </c>
      <c r="C330" s="559" t="n">
        <v>2016</v>
      </c>
      <c r="D330" s="560" t="n">
        <v>42733</v>
      </c>
      <c r="E330" s="559" t="s">
        <v>12404</v>
      </c>
      <c r="F330" s="559" t="s">
        <v>12405</v>
      </c>
      <c r="G330" s="559" t="s">
        <v>115</v>
      </c>
      <c r="H330" s="559" t="s">
        <v>1109</v>
      </c>
      <c r="I330" s="560" t="n">
        <v>44043</v>
      </c>
      <c r="J330" s="559" t="n">
        <v>7</v>
      </c>
      <c r="K330" s="571" t="s">
        <v>48</v>
      </c>
      <c r="L330" s="559" t="s">
        <v>10018</v>
      </c>
      <c r="M330" s="545" t="n">
        <f aca="false">I330-D330</f>
        <v>1310</v>
      </c>
    </row>
    <row r="331" customFormat="false" ht="12.75" hidden="true" customHeight="true" outlineLevel="0" collapsed="false">
      <c r="A331" s="562" t="n">
        <v>15820</v>
      </c>
      <c r="B331" s="563" t="s">
        <v>12406</v>
      </c>
      <c r="C331" s="563" t="n">
        <v>2011</v>
      </c>
      <c r="D331" s="564" t="n">
        <v>40819</v>
      </c>
      <c r="E331" s="563" t="s">
        <v>12407</v>
      </c>
      <c r="F331" s="563" t="s">
        <v>12408</v>
      </c>
      <c r="G331" s="563" t="s">
        <v>144</v>
      </c>
      <c r="H331" s="563" t="s">
        <v>267</v>
      </c>
      <c r="I331" s="564" t="n">
        <v>44043</v>
      </c>
      <c r="J331" s="563" t="n">
        <v>7</v>
      </c>
      <c r="K331" s="571" t="s">
        <v>49</v>
      </c>
      <c r="L331" s="563" t="s">
        <v>10018</v>
      </c>
      <c r="M331" s="546" t="n">
        <f aca="false">I331-D331</f>
        <v>3224</v>
      </c>
    </row>
    <row r="332" customFormat="false" ht="12.75" hidden="true" customHeight="true" outlineLevel="0" collapsed="false">
      <c r="A332" s="558" t="n">
        <v>15920</v>
      </c>
      <c r="B332" s="559" t="s">
        <v>12409</v>
      </c>
      <c r="C332" s="559" t="n">
        <v>2017</v>
      </c>
      <c r="D332" s="560" t="n">
        <v>42797</v>
      </c>
      <c r="E332" s="559" t="s">
        <v>12410</v>
      </c>
      <c r="F332" s="559" t="s">
        <v>12411</v>
      </c>
      <c r="G332" s="559" t="s">
        <v>441</v>
      </c>
      <c r="H332" s="559" t="s">
        <v>192</v>
      </c>
      <c r="I332" s="560" t="n">
        <v>44043</v>
      </c>
      <c r="J332" s="559" t="n">
        <v>7</v>
      </c>
      <c r="K332" s="571" t="s">
        <v>49</v>
      </c>
      <c r="L332" s="559" t="s">
        <v>10018</v>
      </c>
      <c r="M332" s="545" t="n">
        <f aca="false">I332-D332</f>
        <v>1246</v>
      </c>
    </row>
    <row r="333" customFormat="false" ht="12.75" hidden="true" customHeight="true" outlineLevel="0" collapsed="false">
      <c r="A333" s="562" t="n">
        <v>16020</v>
      </c>
      <c r="B333" s="563" t="s">
        <v>12412</v>
      </c>
      <c r="C333" s="563" t="n">
        <v>2017</v>
      </c>
      <c r="D333" s="564" t="n">
        <v>43091</v>
      </c>
      <c r="E333" s="563" t="s">
        <v>12413</v>
      </c>
      <c r="F333" s="563" t="s">
        <v>650</v>
      </c>
      <c r="G333" s="563" t="s">
        <v>441</v>
      </c>
      <c r="H333" s="563" t="s">
        <v>354</v>
      </c>
      <c r="I333" s="564" t="n">
        <v>44046</v>
      </c>
      <c r="J333" s="563" t="n">
        <v>8</v>
      </c>
      <c r="K333" s="571" t="s">
        <v>48</v>
      </c>
      <c r="L333" s="563" t="s">
        <v>10018</v>
      </c>
      <c r="M333" s="546" t="n">
        <f aca="false">I333-D333</f>
        <v>955</v>
      </c>
    </row>
    <row r="334" customFormat="false" ht="12.75" hidden="true" customHeight="true" outlineLevel="0" collapsed="false">
      <c r="A334" s="558" t="n">
        <v>16120</v>
      </c>
      <c r="B334" s="559" t="s">
        <v>12414</v>
      </c>
      <c r="C334" s="559" t="n">
        <v>2011</v>
      </c>
      <c r="D334" s="560" t="n">
        <v>40900</v>
      </c>
      <c r="E334" s="559" t="s">
        <v>12415</v>
      </c>
      <c r="F334" s="559" t="s">
        <v>12416</v>
      </c>
      <c r="G334" s="559" t="s">
        <v>144</v>
      </c>
      <c r="H334" s="559" t="s">
        <v>139</v>
      </c>
      <c r="I334" s="560" t="n">
        <v>44047</v>
      </c>
      <c r="J334" s="559" t="n">
        <v>8</v>
      </c>
      <c r="K334" s="571" t="s">
        <v>49</v>
      </c>
      <c r="L334" s="559" t="s">
        <v>10013</v>
      </c>
      <c r="M334" s="545" t="n">
        <f aca="false">I334-D334</f>
        <v>3147</v>
      </c>
    </row>
    <row r="335" customFormat="false" ht="12.75" hidden="true" customHeight="true" outlineLevel="0" collapsed="false">
      <c r="A335" s="562" t="n">
        <v>16220</v>
      </c>
      <c r="B335" s="563" t="s">
        <v>12417</v>
      </c>
      <c r="C335" s="563" t="n">
        <v>2016</v>
      </c>
      <c r="D335" s="564" t="n">
        <v>42571</v>
      </c>
      <c r="E335" s="563" t="s">
        <v>12418</v>
      </c>
      <c r="F335" s="563" t="s">
        <v>1025</v>
      </c>
      <c r="G335" s="563" t="s">
        <v>441</v>
      </c>
      <c r="H335" s="563" t="s">
        <v>192</v>
      </c>
      <c r="I335" s="564" t="n">
        <v>44048</v>
      </c>
      <c r="J335" s="563" t="n">
        <v>8</v>
      </c>
      <c r="K335" s="571" t="s">
        <v>49</v>
      </c>
      <c r="L335" s="563" t="s">
        <v>10018</v>
      </c>
      <c r="M335" s="546" t="n">
        <f aca="false">I335-D335</f>
        <v>1477</v>
      </c>
    </row>
    <row r="336" customFormat="false" ht="12.75" hidden="true" customHeight="true" outlineLevel="0" collapsed="false">
      <c r="A336" s="558" t="n">
        <v>16320</v>
      </c>
      <c r="B336" s="559" t="s">
        <v>12419</v>
      </c>
      <c r="C336" s="559" t="n">
        <v>2016</v>
      </c>
      <c r="D336" s="560" t="n">
        <v>42580</v>
      </c>
      <c r="E336" s="559" t="s">
        <v>12420</v>
      </c>
      <c r="F336" s="559" t="s">
        <v>2459</v>
      </c>
      <c r="G336" s="559" t="s">
        <v>441</v>
      </c>
      <c r="H336" s="559" t="s">
        <v>5486</v>
      </c>
      <c r="I336" s="560" t="n">
        <v>44048</v>
      </c>
      <c r="J336" s="559" t="n">
        <v>8</v>
      </c>
      <c r="K336" s="571" t="s">
        <v>49</v>
      </c>
      <c r="L336" s="559" t="s">
        <v>10013</v>
      </c>
      <c r="M336" s="545" t="n">
        <f aca="false">I336-D336</f>
        <v>1468</v>
      </c>
    </row>
    <row r="337" customFormat="false" ht="12.75" hidden="true" customHeight="true" outlineLevel="0" collapsed="false">
      <c r="A337" s="562" t="n">
        <v>16420</v>
      </c>
      <c r="B337" s="563" t="s">
        <v>12421</v>
      </c>
      <c r="C337" s="563" t="n">
        <v>2019</v>
      </c>
      <c r="D337" s="564" t="n">
        <v>43808</v>
      </c>
      <c r="E337" s="563" t="s">
        <v>12422</v>
      </c>
      <c r="F337" s="572" t="s">
        <v>6303</v>
      </c>
      <c r="G337" s="563" t="s">
        <v>125</v>
      </c>
      <c r="H337" s="563" t="s">
        <v>980</v>
      </c>
      <c r="I337" s="564" t="n">
        <v>44049</v>
      </c>
      <c r="J337" s="563" t="n">
        <v>8</v>
      </c>
      <c r="K337" s="571" t="s">
        <v>49</v>
      </c>
      <c r="L337" s="563" t="s">
        <v>10445</v>
      </c>
      <c r="M337" s="546" t="n">
        <f aca="false">I337-D337</f>
        <v>241</v>
      </c>
    </row>
    <row r="338" customFormat="false" ht="15" hidden="true" customHeight="true" outlineLevel="0" collapsed="false">
      <c r="A338" s="558" t="n">
        <v>16520</v>
      </c>
      <c r="B338" s="559" t="s">
        <v>12423</v>
      </c>
      <c r="C338" s="559" t="n">
        <v>2020</v>
      </c>
      <c r="D338" s="560" t="n">
        <v>43859</v>
      </c>
      <c r="E338" s="559" t="s">
        <v>12424</v>
      </c>
      <c r="F338" s="559" t="s">
        <v>6001</v>
      </c>
      <c r="G338" s="559" t="s">
        <v>125</v>
      </c>
      <c r="H338" s="559" t="s">
        <v>6002</v>
      </c>
      <c r="I338" s="560" t="n">
        <v>44049</v>
      </c>
      <c r="J338" s="559" t="n">
        <v>8</v>
      </c>
      <c r="K338" s="565" t="s">
        <v>51</v>
      </c>
      <c r="L338" s="559" t="s">
        <v>10445</v>
      </c>
      <c r="M338" s="545" t="n">
        <f aca="false">I338-D338</f>
        <v>190</v>
      </c>
    </row>
    <row r="339" customFormat="false" ht="12.75" hidden="true" customHeight="true" outlineLevel="0" collapsed="false">
      <c r="A339" s="562" t="n">
        <v>16620</v>
      </c>
      <c r="B339" s="563" t="s">
        <v>12425</v>
      </c>
      <c r="C339" s="563" t="n">
        <v>2015</v>
      </c>
      <c r="D339" s="564" t="n">
        <v>42341</v>
      </c>
      <c r="E339" s="563" t="s">
        <v>12426</v>
      </c>
      <c r="F339" s="563" t="s">
        <v>780</v>
      </c>
      <c r="G339" s="563" t="s">
        <v>441</v>
      </c>
      <c r="H339" s="563" t="s">
        <v>192</v>
      </c>
      <c r="I339" s="564" t="n">
        <v>44049</v>
      </c>
      <c r="J339" s="563" t="n">
        <v>8</v>
      </c>
      <c r="K339" s="571" t="s">
        <v>49</v>
      </c>
      <c r="L339" s="563" t="s">
        <v>10013</v>
      </c>
      <c r="M339" s="546" t="n">
        <f aca="false">I339-D339</f>
        <v>1708</v>
      </c>
    </row>
    <row r="340" customFormat="false" ht="12.75" hidden="true" customHeight="true" outlineLevel="0" collapsed="false">
      <c r="A340" s="558" t="n">
        <v>16720</v>
      </c>
      <c r="B340" s="559" t="s">
        <v>12427</v>
      </c>
      <c r="C340" s="559" t="n">
        <v>2012</v>
      </c>
      <c r="D340" s="560" t="n">
        <v>40998</v>
      </c>
      <c r="E340" s="559" t="s">
        <v>12428</v>
      </c>
      <c r="F340" s="559" t="s">
        <v>12416</v>
      </c>
      <c r="G340" s="559" t="s">
        <v>144</v>
      </c>
      <c r="H340" s="559" t="s">
        <v>6610</v>
      </c>
      <c r="I340" s="560" t="n">
        <v>44049</v>
      </c>
      <c r="J340" s="559" t="n">
        <v>8</v>
      </c>
      <c r="K340" s="571" t="s">
        <v>49</v>
      </c>
      <c r="L340" s="559" t="s">
        <v>10013</v>
      </c>
      <c r="M340" s="545" t="n">
        <f aca="false">I340-D340</f>
        <v>3051</v>
      </c>
    </row>
    <row r="341" customFormat="false" ht="12.75" hidden="true" customHeight="true" outlineLevel="0" collapsed="false">
      <c r="A341" s="562" t="n">
        <v>16820</v>
      </c>
      <c r="B341" s="563" t="s">
        <v>12429</v>
      </c>
      <c r="C341" s="563" t="n">
        <v>2011</v>
      </c>
      <c r="D341" s="564" t="n">
        <v>40742</v>
      </c>
      <c r="E341" s="563" t="s">
        <v>12430</v>
      </c>
      <c r="F341" s="563" t="s">
        <v>3844</v>
      </c>
      <c r="G341" s="563" t="s">
        <v>441</v>
      </c>
      <c r="H341" s="563" t="s">
        <v>471</v>
      </c>
      <c r="I341" s="564" t="n">
        <v>44054</v>
      </c>
      <c r="J341" s="563" t="n">
        <v>8</v>
      </c>
      <c r="K341" s="571" t="s">
        <v>49</v>
      </c>
      <c r="L341" s="563" t="s">
        <v>10018</v>
      </c>
      <c r="M341" s="546" t="n">
        <f aca="false">I341-D341</f>
        <v>3312</v>
      </c>
    </row>
    <row r="342" customFormat="false" ht="12.75" hidden="true" customHeight="true" outlineLevel="0" collapsed="false">
      <c r="A342" s="558" t="n">
        <v>16920</v>
      </c>
      <c r="B342" s="559" t="s">
        <v>12431</v>
      </c>
      <c r="C342" s="559" t="n">
        <v>2020</v>
      </c>
      <c r="D342" s="560" t="n">
        <v>43916</v>
      </c>
      <c r="E342" s="559" t="s">
        <v>12432</v>
      </c>
      <c r="F342" s="573" t="s">
        <v>10840</v>
      </c>
      <c r="G342" s="559" t="s">
        <v>125</v>
      </c>
      <c r="H342" s="559" t="s">
        <v>7263</v>
      </c>
      <c r="I342" s="560" t="n">
        <v>44054</v>
      </c>
      <c r="J342" s="559" t="n">
        <v>8</v>
      </c>
      <c r="K342" s="565" t="s">
        <v>51</v>
      </c>
      <c r="L342" s="559" t="s">
        <v>10445</v>
      </c>
      <c r="M342" s="545" t="n">
        <f aca="false">I342-D342</f>
        <v>138</v>
      </c>
    </row>
    <row r="343" customFormat="false" ht="12.75" hidden="true" customHeight="true" outlineLevel="0" collapsed="false">
      <c r="A343" s="562" t="n">
        <v>17020</v>
      </c>
      <c r="B343" s="563" t="s">
        <v>12433</v>
      </c>
      <c r="C343" s="563" t="n">
        <v>2020</v>
      </c>
      <c r="D343" s="564" t="n">
        <v>43920</v>
      </c>
      <c r="E343" s="563" t="s">
        <v>12434</v>
      </c>
      <c r="F343" s="572" t="s">
        <v>10840</v>
      </c>
      <c r="G343" s="563" t="s">
        <v>125</v>
      </c>
      <c r="H343" s="563" t="s">
        <v>7263</v>
      </c>
      <c r="I343" s="564" t="n">
        <v>44054</v>
      </c>
      <c r="J343" s="563" t="n">
        <v>8</v>
      </c>
      <c r="K343" s="565" t="s">
        <v>51</v>
      </c>
      <c r="L343" s="563" t="s">
        <v>10445</v>
      </c>
      <c r="M343" s="546" t="n">
        <f aca="false">I343-D343</f>
        <v>134</v>
      </c>
    </row>
    <row r="344" customFormat="false" ht="15" hidden="true" customHeight="true" outlineLevel="0" collapsed="false">
      <c r="A344" s="558" t="n">
        <v>17120</v>
      </c>
      <c r="B344" s="559" t="s">
        <v>12435</v>
      </c>
      <c r="C344" s="559" t="n">
        <v>2020</v>
      </c>
      <c r="D344" s="560" t="n">
        <v>43934</v>
      </c>
      <c r="E344" s="559" t="s">
        <v>12436</v>
      </c>
      <c r="F344" s="573" t="s">
        <v>12437</v>
      </c>
      <c r="G344" s="559" t="s">
        <v>125</v>
      </c>
      <c r="H344" s="559" t="s">
        <v>3707</v>
      </c>
      <c r="I344" s="560" t="n">
        <v>44054</v>
      </c>
      <c r="J344" s="559" t="n">
        <v>8</v>
      </c>
      <c r="K344" s="571" t="s">
        <v>49</v>
      </c>
      <c r="L344" s="559" t="s">
        <v>10445</v>
      </c>
      <c r="M344" s="545" t="n">
        <f aca="false">I344-D344</f>
        <v>120</v>
      </c>
    </row>
    <row r="345" customFormat="false" ht="15" hidden="true" customHeight="true" outlineLevel="0" collapsed="false">
      <c r="A345" s="562" t="n">
        <v>17220</v>
      </c>
      <c r="B345" s="563" t="s">
        <v>12438</v>
      </c>
      <c r="C345" s="563" t="n">
        <v>2020</v>
      </c>
      <c r="D345" s="564" t="n">
        <v>43936</v>
      </c>
      <c r="E345" s="563" t="s">
        <v>12439</v>
      </c>
      <c r="F345" s="572" t="s">
        <v>12437</v>
      </c>
      <c r="G345" s="563" t="s">
        <v>125</v>
      </c>
      <c r="H345" s="563" t="s">
        <v>3707</v>
      </c>
      <c r="I345" s="564" t="n">
        <v>44054</v>
      </c>
      <c r="J345" s="563" t="n">
        <v>8</v>
      </c>
      <c r="K345" s="571" t="s">
        <v>49</v>
      </c>
      <c r="L345" s="563" t="s">
        <v>10445</v>
      </c>
      <c r="M345" s="546" t="n">
        <f aca="false">I345-D345</f>
        <v>118</v>
      </c>
    </row>
    <row r="346" customFormat="false" ht="15" hidden="true" customHeight="true" outlineLevel="0" collapsed="false">
      <c r="A346" s="558" t="n">
        <v>17320</v>
      </c>
      <c r="B346" s="559" t="s">
        <v>12440</v>
      </c>
      <c r="C346" s="559" t="n">
        <v>2020</v>
      </c>
      <c r="D346" s="560" t="n">
        <v>43941</v>
      </c>
      <c r="E346" s="559" t="s">
        <v>12441</v>
      </c>
      <c r="F346" s="573" t="s">
        <v>12437</v>
      </c>
      <c r="G346" s="559" t="s">
        <v>125</v>
      </c>
      <c r="H346" s="559" t="s">
        <v>3707</v>
      </c>
      <c r="I346" s="560" t="n">
        <v>44054</v>
      </c>
      <c r="J346" s="559" t="n">
        <v>8</v>
      </c>
      <c r="K346" s="571" t="s">
        <v>49</v>
      </c>
      <c r="L346" s="559" t="s">
        <v>10445</v>
      </c>
      <c r="M346" s="545" t="n">
        <f aca="false">I346-D346</f>
        <v>113</v>
      </c>
    </row>
    <row r="347" customFormat="false" ht="15" hidden="true" customHeight="true" outlineLevel="0" collapsed="false">
      <c r="A347" s="562" t="n">
        <v>17420</v>
      </c>
      <c r="B347" s="563" t="s">
        <v>12442</v>
      </c>
      <c r="C347" s="563" t="n">
        <v>2019</v>
      </c>
      <c r="D347" s="564" t="n">
        <v>43790</v>
      </c>
      <c r="E347" s="563" t="s">
        <v>12443</v>
      </c>
      <c r="F347" s="572" t="s">
        <v>10935</v>
      </c>
      <c r="G347" s="563" t="s">
        <v>125</v>
      </c>
      <c r="H347" s="563" t="s">
        <v>6469</v>
      </c>
      <c r="I347" s="564" t="n">
        <v>44054</v>
      </c>
      <c r="J347" s="563" t="n">
        <v>8</v>
      </c>
      <c r="K347" s="565" t="s">
        <v>51</v>
      </c>
      <c r="L347" s="563" t="s">
        <v>10445</v>
      </c>
      <c r="M347" s="546" t="n">
        <f aca="false">I347-D347</f>
        <v>264</v>
      </c>
    </row>
    <row r="348" customFormat="false" ht="12.75" hidden="true" customHeight="true" outlineLevel="0" collapsed="false">
      <c r="A348" s="558" t="n">
        <v>17520</v>
      </c>
      <c r="B348" s="559" t="s">
        <v>12444</v>
      </c>
      <c r="C348" s="559" t="n">
        <v>2019</v>
      </c>
      <c r="D348" s="560" t="n">
        <v>43790</v>
      </c>
      <c r="E348" s="559" t="s">
        <v>12445</v>
      </c>
      <c r="F348" s="573" t="s">
        <v>6315</v>
      </c>
      <c r="G348" s="559" t="s">
        <v>125</v>
      </c>
      <c r="H348" s="559" t="s">
        <v>149</v>
      </c>
      <c r="I348" s="560" t="n">
        <v>44054</v>
      </c>
      <c r="J348" s="559" t="n">
        <v>8</v>
      </c>
      <c r="K348" s="571" t="s">
        <v>49</v>
      </c>
      <c r="L348" s="559" t="s">
        <v>10445</v>
      </c>
      <c r="M348" s="545" t="s">
        <v>10996</v>
      </c>
    </row>
    <row r="349" customFormat="false" ht="12.75" hidden="true" customHeight="true" outlineLevel="0" collapsed="false">
      <c r="A349" s="562" t="n">
        <v>17620</v>
      </c>
      <c r="B349" s="563" t="s">
        <v>12446</v>
      </c>
      <c r="C349" s="563" t="n">
        <v>2015</v>
      </c>
      <c r="D349" s="564" t="n">
        <v>42121</v>
      </c>
      <c r="E349" s="563" t="s">
        <v>12447</v>
      </c>
      <c r="F349" s="563" t="s">
        <v>107</v>
      </c>
      <c r="G349" s="563" t="s">
        <v>441</v>
      </c>
      <c r="H349" s="563" t="s">
        <v>8003</v>
      </c>
      <c r="I349" s="564" t="n">
        <v>44055</v>
      </c>
      <c r="J349" s="563" t="n">
        <v>8</v>
      </c>
      <c r="K349" s="571" t="s">
        <v>48</v>
      </c>
      <c r="L349" s="563" t="s">
        <v>10013</v>
      </c>
      <c r="M349" s="546" t="n">
        <f aca="false">I349-D349</f>
        <v>1934</v>
      </c>
    </row>
    <row r="350" customFormat="false" ht="12.75" hidden="true" customHeight="true" outlineLevel="0" collapsed="false">
      <c r="A350" s="558" t="n">
        <v>17720</v>
      </c>
      <c r="B350" s="559" t="s">
        <v>12448</v>
      </c>
      <c r="C350" s="559" t="n">
        <v>2013</v>
      </c>
      <c r="D350" s="560" t="n">
        <v>41393</v>
      </c>
      <c r="E350" s="559" t="s">
        <v>12449</v>
      </c>
      <c r="F350" s="559" t="s">
        <v>12450</v>
      </c>
      <c r="G350" s="559" t="s">
        <v>441</v>
      </c>
      <c r="H350" s="559" t="s">
        <v>471</v>
      </c>
      <c r="I350" s="560" t="n">
        <v>44055</v>
      </c>
      <c r="J350" s="559" t="n">
        <v>8</v>
      </c>
      <c r="K350" s="571" t="s">
        <v>49</v>
      </c>
      <c r="L350" s="559" t="s">
        <v>10018</v>
      </c>
      <c r="M350" s="545" t="n">
        <f aca="false">I350-D350</f>
        <v>2662</v>
      </c>
    </row>
    <row r="351" customFormat="false" ht="12.75" hidden="true" customHeight="true" outlineLevel="0" collapsed="false">
      <c r="A351" s="562" t="n">
        <v>17820</v>
      </c>
      <c r="B351" s="563" t="s">
        <v>12451</v>
      </c>
      <c r="C351" s="563" t="n">
        <v>2012</v>
      </c>
      <c r="D351" s="564" t="n">
        <v>40970</v>
      </c>
      <c r="E351" s="563" t="s">
        <v>12452</v>
      </c>
      <c r="F351" s="563" t="s">
        <v>446</v>
      </c>
      <c r="G351" s="563" t="s">
        <v>441</v>
      </c>
      <c r="H351" s="563" t="s">
        <v>1258</v>
      </c>
      <c r="I351" s="564" t="n">
        <v>44060</v>
      </c>
      <c r="J351" s="563" t="n">
        <v>8</v>
      </c>
      <c r="K351" s="571" t="s">
        <v>49</v>
      </c>
      <c r="L351" s="563" t="s">
        <v>10013</v>
      </c>
      <c r="M351" s="546" t="n">
        <f aca="false">I351-D351</f>
        <v>3090</v>
      </c>
    </row>
    <row r="352" customFormat="false" ht="12.75" hidden="true" customHeight="true" outlineLevel="0" collapsed="false">
      <c r="A352" s="558" t="n">
        <v>17920</v>
      </c>
      <c r="B352" s="559" t="s">
        <v>12453</v>
      </c>
      <c r="C352" s="559" t="n">
        <v>2013</v>
      </c>
      <c r="D352" s="560" t="n">
        <v>41513</v>
      </c>
      <c r="E352" s="559" t="s">
        <v>12454</v>
      </c>
      <c r="F352" s="559" t="s">
        <v>7528</v>
      </c>
      <c r="G352" s="559" t="s">
        <v>441</v>
      </c>
      <c r="H352" s="559" t="s">
        <v>354</v>
      </c>
      <c r="I352" s="560" t="n">
        <v>44060</v>
      </c>
      <c r="J352" s="559" t="n">
        <v>8</v>
      </c>
      <c r="K352" s="571" t="s">
        <v>48</v>
      </c>
      <c r="L352" s="559" t="s">
        <v>10018</v>
      </c>
      <c r="M352" s="545" t="n">
        <f aca="false">I352-D352</f>
        <v>2547</v>
      </c>
    </row>
    <row r="353" customFormat="false" ht="12.75" hidden="true" customHeight="true" outlineLevel="0" collapsed="false">
      <c r="A353" s="562" t="n">
        <v>18020</v>
      </c>
      <c r="B353" s="563" t="s">
        <v>12455</v>
      </c>
      <c r="C353" s="563" t="n">
        <v>2010</v>
      </c>
      <c r="D353" s="564" t="n">
        <v>40477</v>
      </c>
      <c r="E353" s="563" t="s">
        <v>12456</v>
      </c>
      <c r="F353" s="563" t="s">
        <v>467</v>
      </c>
      <c r="G353" s="563" t="s">
        <v>144</v>
      </c>
      <c r="H353" s="563" t="s">
        <v>254</v>
      </c>
      <c r="I353" s="564" t="n">
        <v>44060</v>
      </c>
      <c r="J353" s="563" t="n">
        <v>8</v>
      </c>
      <c r="K353" s="571" t="s">
        <v>49</v>
      </c>
      <c r="L353" s="563" t="s">
        <v>10013</v>
      </c>
      <c r="M353" s="546" t="n">
        <f aca="false">I353-D353</f>
        <v>3583</v>
      </c>
    </row>
    <row r="354" customFormat="false" ht="12.75" hidden="true" customHeight="true" outlineLevel="0" collapsed="false">
      <c r="A354" s="558" t="n">
        <v>18120</v>
      </c>
      <c r="B354" s="559" t="s">
        <v>12457</v>
      </c>
      <c r="C354" s="559" t="n">
        <v>2016</v>
      </c>
      <c r="D354" s="560" t="n">
        <v>42461</v>
      </c>
      <c r="E354" s="559" t="s">
        <v>12458</v>
      </c>
      <c r="F354" s="559" t="s">
        <v>12459</v>
      </c>
      <c r="G354" s="559" t="s">
        <v>441</v>
      </c>
      <c r="H354" s="559" t="s">
        <v>192</v>
      </c>
      <c r="I354" s="560" t="n">
        <v>44060</v>
      </c>
      <c r="J354" s="559" t="n">
        <v>8</v>
      </c>
      <c r="K354" s="571" t="s">
        <v>48</v>
      </c>
      <c r="L354" s="559" t="s">
        <v>10013</v>
      </c>
      <c r="M354" s="545" t="n">
        <f aca="false">I354-D354</f>
        <v>1599</v>
      </c>
    </row>
    <row r="355" customFormat="false" ht="12.75" hidden="true" customHeight="true" outlineLevel="0" collapsed="false">
      <c r="A355" s="562" t="n">
        <v>18220</v>
      </c>
      <c r="B355" s="563" t="s">
        <v>12460</v>
      </c>
      <c r="C355" s="563" t="n">
        <v>2017</v>
      </c>
      <c r="D355" s="564" t="n">
        <v>43052</v>
      </c>
      <c r="E355" s="563" t="s">
        <v>12461</v>
      </c>
      <c r="F355" s="563" t="s">
        <v>650</v>
      </c>
      <c r="G355" s="563" t="s">
        <v>441</v>
      </c>
      <c r="H355" s="563" t="s">
        <v>12106</v>
      </c>
      <c r="I355" s="564" t="n">
        <v>44060</v>
      </c>
      <c r="J355" s="563" t="n">
        <v>8</v>
      </c>
      <c r="K355" s="571" t="s">
        <v>48</v>
      </c>
      <c r="L355" s="563" t="s">
        <v>10018</v>
      </c>
      <c r="M355" s="546" t="n">
        <f aca="false">I355-D355</f>
        <v>1008</v>
      </c>
    </row>
    <row r="356" customFormat="false" ht="15" hidden="true" customHeight="true" outlineLevel="0" collapsed="false">
      <c r="A356" s="558" t="n">
        <v>18320</v>
      </c>
      <c r="B356" s="559" t="s">
        <v>12462</v>
      </c>
      <c r="C356" s="559" t="n">
        <v>2019</v>
      </c>
      <c r="D356" s="560" t="n">
        <v>43718</v>
      </c>
      <c r="E356" s="559" t="s">
        <v>12463</v>
      </c>
      <c r="F356" s="573" t="s">
        <v>12464</v>
      </c>
      <c r="G356" s="559" t="s">
        <v>125</v>
      </c>
      <c r="H356" s="559" t="s">
        <v>1063</v>
      </c>
      <c r="I356" s="560" t="n">
        <v>44060</v>
      </c>
      <c r="J356" s="559" t="n">
        <v>8</v>
      </c>
      <c r="K356" s="571" t="s">
        <v>49</v>
      </c>
      <c r="L356" s="559" t="s">
        <v>10445</v>
      </c>
      <c r="M356" s="545" t="n">
        <f aca="false">I356-D356</f>
        <v>342</v>
      </c>
    </row>
    <row r="357" customFormat="false" ht="12.75" hidden="true" customHeight="true" outlineLevel="0" collapsed="false">
      <c r="A357" s="562" t="n">
        <v>18420</v>
      </c>
      <c r="B357" s="563" t="s">
        <v>12465</v>
      </c>
      <c r="C357" s="563" t="n">
        <v>2012</v>
      </c>
      <c r="D357" s="564" t="n">
        <v>41057</v>
      </c>
      <c r="E357" s="563" t="s">
        <v>12466</v>
      </c>
      <c r="F357" s="563" t="s">
        <v>12467</v>
      </c>
      <c r="G357" s="563" t="s">
        <v>144</v>
      </c>
      <c r="H357" s="563" t="s">
        <v>254</v>
      </c>
      <c r="I357" s="564" t="n">
        <v>44062</v>
      </c>
      <c r="J357" s="563" t="n">
        <v>8</v>
      </c>
      <c r="K357" s="571" t="s">
        <v>49</v>
      </c>
      <c r="L357" s="563" t="s">
        <v>10013</v>
      </c>
      <c r="M357" s="546" t="n">
        <f aca="false">I357-D357</f>
        <v>3005</v>
      </c>
    </row>
    <row r="358" customFormat="false" ht="12.75" hidden="true" customHeight="true" outlineLevel="0" collapsed="false">
      <c r="A358" s="558" t="n">
        <v>18520</v>
      </c>
      <c r="B358" s="559" t="s">
        <v>12468</v>
      </c>
      <c r="C358" s="559" t="n">
        <v>2012</v>
      </c>
      <c r="D358" s="560" t="n">
        <v>41050</v>
      </c>
      <c r="E358" s="559" t="s">
        <v>12469</v>
      </c>
      <c r="F358" s="559" t="s">
        <v>668</v>
      </c>
      <c r="G358" s="559" t="s">
        <v>441</v>
      </c>
      <c r="H358" s="559" t="s">
        <v>223</v>
      </c>
      <c r="I358" s="560" t="n">
        <v>44062</v>
      </c>
      <c r="J358" s="559" t="n">
        <v>8</v>
      </c>
      <c r="K358" s="571" t="s">
        <v>44</v>
      </c>
      <c r="L358" s="559" t="s">
        <v>10018</v>
      </c>
      <c r="M358" s="545" t="n">
        <f aca="false">I358-D358</f>
        <v>3012</v>
      </c>
    </row>
    <row r="359" customFormat="false" ht="12.75" hidden="true" customHeight="true" outlineLevel="0" collapsed="false">
      <c r="A359" s="562" t="n">
        <v>18620</v>
      </c>
      <c r="B359" s="563" t="s">
        <v>12470</v>
      </c>
      <c r="C359" s="563" t="n">
        <v>2015</v>
      </c>
      <c r="D359" s="564" t="n">
        <v>42207</v>
      </c>
      <c r="E359" s="563" t="s">
        <v>12471</v>
      </c>
      <c r="F359" s="563" t="s">
        <v>1243</v>
      </c>
      <c r="G359" s="563" t="s">
        <v>441</v>
      </c>
      <c r="H359" s="563" t="s">
        <v>4850</v>
      </c>
      <c r="I359" s="564" t="n">
        <v>44062</v>
      </c>
      <c r="J359" s="563" t="n">
        <v>8</v>
      </c>
      <c r="K359" s="565" t="s">
        <v>51</v>
      </c>
      <c r="L359" s="563" t="s">
        <v>10013</v>
      </c>
      <c r="M359" s="546" t="n">
        <f aca="false">I359-D359</f>
        <v>1855</v>
      </c>
    </row>
    <row r="360" customFormat="false" ht="15" hidden="true" customHeight="true" outlineLevel="0" collapsed="false">
      <c r="A360" s="558" t="n">
        <v>18720</v>
      </c>
      <c r="B360" s="559" t="s">
        <v>12472</v>
      </c>
      <c r="C360" s="559" t="n">
        <v>2010</v>
      </c>
      <c r="D360" s="560" t="n">
        <v>40204</v>
      </c>
      <c r="E360" s="559" t="s">
        <v>12473</v>
      </c>
      <c r="F360" s="559" t="s">
        <v>12474</v>
      </c>
      <c r="G360" s="559" t="s">
        <v>144</v>
      </c>
      <c r="H360" s="559" t="s">
        <v>119</v>
      </c>
      <c r="I360" s="560" t="n">
        <v>44062</v>
      </c>
      <c r="J360" s="559" t="n">
        <v>8</v>
      </c>
      <c r="K360" s="571" t="s">
        <v>48</v>
      </c>
      <c r="L360" s="559" t="s">
        <v>10018</v>
      </c>
      <c r="M360" s="545" t="n">
        <f aca="false">I360-D360</f>
        <v>3858</v>
      </c>
    </row>
    <row r="361" customFormat="false" ht="12.75" hidden="true" customHeight="true" outlineLevel="0" collapsed="false">
      <c r="A361" s="562" t="n">
        <v>18820</v>
      </c>
      <c r="B361" s="563" t="s">
        <v>12475</v>
      </c>
      <c r="C361" s="563" t="n">
        <v>2010</v>
      </c>
      <c r="D361" s="564" t="n">
        <v>40473</v>
      </c>
      <c r="E361" s="563" t="s">
        <v>12476</v>
      </c>
      <c r="F361" s="563" t="s">
        <v>12477</v>
      </c>
      <c r="G361" s="563" t="s">
        <v>144</v>
      </c>
      <c r="H361" s="563" t="s">
        <v>134</v>
      </c>
      <c r="I361" s="564" t="n">
        <v>44062</v>
      </c>
      <c r="J361" s="563" t="n">
        <v>8</v>
      </c>
      <c r="K361" s="577" t="s">
        <v>46</v>
      </c>
      <c r="L361" s="563" t="s">
        <v>10013</v>
      </c>
      <c r="M361" s="546" t="n">
        <f aca="false">I361-D361</f>
        <v>3589</v>
      </c>
    </row>
    <row r="362" customFormat="false" ht="12.75" hidden="true" customHeight="true" outlineLevel="0" collapsed="false">
      <c r="A362" s="558" t="n">
        <v>18920</v>
      </c>
      <c r="B362" s="559" t="s">
        <v>12478</v>
      </c>
      <c r="C362" s="559" t="n">
        <v>2011</v>
      </c>
      <c r="D362" s="560" t="n">
        <v>40711</v>
      </c>
      <c r="E362" s="559" t="s">
        <v>12479</v>
      </c>
      <c r="F362" s="559" t="s">
        <v>4956</v>
      </c>
      <c r="G362" s="559" t="s">
        <v>441</v>
      </c>
      <c r="H362" s="559" t="s">
        <v>471</v>
      </c>
      <c r="I362" s="560" t="n">
        <v>44062</v>
      </c>
      <c r="J362" s="559" t="n">
        <v>8</v>
      </c>
      <c r="K362" s="571" t="s">
        <v>48</v>
      </c>
      <c r="L362" s="559" t="s">
        <v>10018</v>
      </c>
      <c r="M362" s="545" t="n">
        <f aca="false">I362-D362</f>
        <v>3351</v>
      </c>
    </row>
    <row r="363" customFormat="false" ht="12.75" hidden="true" customHeight="true" outlineLevel="0" collapsed="false">
      <c r="A363" s="562" t="n">
        <v>19020</v>
      </c>
      <c r="B363" s="563" t="s">
        <v>12480</v>
      </c>
      <c r="C363" s="563" t="n">
        <v>2016</v>
      </c>
      <c r="D363" s="564" t="n">
        <v>42405</v>
      </c>
      <c r="E363" s="563" t="s">
        <v>12481</v>
      </c>
      <c r="F363" s="563" t="s">
        <v>509</v>
      </c>
      <c r="G363" s="563" t="s">
        <v>441</v>
      </c>
      <c r="H363" s="563" t="s">
        <v>192</v>
      </c>
      <c r="I363" s="564" t="n">
        <v>44062</v>
      </c>
      <c r="J363" s="563" t="n">
        <v>8</v>
      </c>
      <c r="K363" s="571" t="s">
        <v>48</v>
      </c>
      <c r="L363" s="563" t="s">
        <v>10018</v>
      </c>
      <c r="M363" s="546" t="n">
        <f aca="false">I363-D363</f>
        <v>1657</v>
      </c>
    </row>
    <row r="364" customFormat="false" ht="12.75" hidden="true" customHeight="true" outlineLevel="0" collapsed="false">
      <c r="A364" s="558" t="n">
        <v>19120</v>
      </c>
      <c r="B364" s="559" t="s">
        <v>12482</v>
      </c>
      <c r="C364" s="559" t="n">
        <v>2016</v>
      </c>
      <c r="D364" s="560" t="n">
        <v>42587</v>
      </c>
      <c r="E364" s="559" t="s">
        <v>12483</v>
      </c>
      <c r="F364" s="559" t="s">
        <v>509</v>
      </c>
      <c r="G364" s="559" t="s">
        <v>441</v>
      </c>
      <c r="H364" s="559" t="s">
        <v>184</v>
      </c>
      <c r="I364" s="560" t="n">
        <v>44062</v>
      </c>
      <c r="J364" s="559" t="n">
        <v>8</v>
      </c>
      <c r="K364" s="571" t="s">
        <v>48</v>
      </c>
      <c r="L364" s="559" t="s">
        <v>10018</v>
      </c>
      <c r="M364" s="545" t="n">
        <f aca="false">I364-D364</f>
        <v>1475</v>
      </c>
    </row>
    <row r="365" customFormat="false" ht="12.75" hidden="true" customHeight="true" outlineLevel="0" collapsed="false">
      <c r="A365" s="562" t="n">
        <v>19220</v>
      </c>
      <c r="B365" s="563" t="s">
        <v>12484</v>
      </c>
      <c r="C365" s="563" t="n">
        <v>2015</v>
      </c>
      <c r="D365" s="564" t="n">
        <v>42090</v>
      </c>
      <c r="E365" s="563" t="s">
        <v>12485</v>
      </c>
      <c r="F365" s="563" t="s">
        <v>353</v>
      </c>
      <c r="G365" s="563" t="s">
        <v>441</v>
      </c>
      <c r="H365" s="563" t="s">
        <v>2654</v>
      </c>
      <c r="I365" s="564" t="n">
        <v>44082</v>
      </c>
      <c r="J365" s="563" t="n">
        <v>9</v>
      </c>
      <c r="K365" s="571" t="s">
        <v>48</v>
      </c>
      <c r="L365" s="563" t="s">
        <v>10013</v>
      </c>
      <c r="M365" s="546" t="n">
        <f aca="false">I365-D365</f>
        <v>1992</v>
      </c>
    </row>
    <row r="366" customFormat="false" ht="12.75" hidden="true" customHeight="true" outlineLevel="0" collapsed="false">
      <c r="A366" s="558" t="n">
        <v>19320</v>
      </c>
      <c r="B366" s="559" t="s">
        <v>12486</v>
      </c>
      <c r="C366" s="559" t="n">
        <v>2010</v>
      </c>
      <c r="D366" s="560" t="n">
        <v>40295</v>
      </c>
      <c r="E366" s="559" t="s">
        <v>12487</v>
      </c>
      <c r="F366" s="559" t="s">
        <v>12488</v>
      </c>
      <c r="G366" s="559" t="s">
        <v>144</v>
      </c>
      <c r="H366" s="559" t="s">
        <v>6633</v>
      </c>
      <c r="I366" s="560" t="n">
        <v>44082</v>
      </c>
      <c r="J366" s="559" t="n">
        <v>9</v>
      </c>
      <c r="K366" s="577" t="s">
        <v>46</v>
      </c>
      <c r="L366" s="559" t="s">
        <v>10018</v>
      </c>
      <c r="M366" s="545" t="n">
        <f aca="false">I366-D366</f>
        <v>3787</v>
      </c>
    </row>
    <row r="367" customFormat="false" ht="12.75" hidden="true" customHeight="true" outlineLevel="0" collapsed="false">
      <c r="A367" s="562" t="n">
        <v>19420</v>
      </c>
      <c r="B367" s="563" t="s">
        <v>12489</v>
      </c>
      <c r="C367" s="563" t="n">
        <v>2012</v>
      </c>
      <c r="D367" s="564" t="n">
        <v>41094</v>
      </c>
      <c r="E367" s="563" t="s">
        <v>12490</v>
      </c>
      <c r="F367" s="563" t="s">
        <v>4956</v>
      </c>
      <c r="G367" s="563" t="s">
        <v>441</v>
      </c>
      <c r="H367" s="563" t="s">
        <v>471</v>
      </c>
      <c r="I367" s="564" t="n">
        <v>44082</v>
      </c>
      <c r="J367" s="563" t="n">
        <v>9</v>
      </c>
      <c r="K367" s="571" t="s">
        <v>48</v>
      </c>
      <c r="L367" s="563" t="s">
        <v>10018</v>
      </c>
      <c r="M367" s="546" t="n">
        <f aca="false">I367-D367</f>
        <v>2988</v>
      </c>
    </row>
    <row r="368" customFormat="false" ht="12.75" hidden="true" customHeight="true" outlineLevel="0" collapsed="false">
      <c r="A368" s="558" t="n">
        <v>19520</v>
      </c>
      <c r="B368" s="559" t="s">
        <v>12491</v>
      </c>
      <c r="C368" s="559" t="n">
        <v>2019</v>
      </c>
      <c r="D368" s="560" t="n">
        <v>43647</v>
      </c>
      <c r="E368" s="559" t="s">
        <v>12492</v>
      </c>
      <c r="F368" s="559" t="s">
        <v>549</v>
      </c>
      <c r="G368" s="559" t="s">
        <v>441</v>
      </c>
      <c r="H368" s="559" t="s">
        <v>350</v>
      </c>
      <c r="I368" s="560" t="n">
        <v>44082</v>
      </c>
      <c r="J368" s="559" t="n">
        <v>9</v>
      </c>
      <c r="K368" s="571" t="s">
        <v>48</v>
      </c>
      <c r="L368" s="559" t="s">
        <v>10018</v>
      </c>
      <c r="M368" s="545" t="n">
        <f aca="false">I368-D368</f>
        <v>435</v>
      </c>
    </row>
    <row r="369" customFormat="false" ht="12.75" hidden="true" customHeight="true" outlineLevel="0" collapsed="false">
      <c r="A369" s="562" t="n">
        <v>19620</v>
      </c>
      <c r="B369" s="563" t="s">
        <v>12493</v>
      </c>
      <c r="C369" s="563" t="n">
        <v>2012</v>
      </c>
      <c r="D369" s="564" t="n">
        <v>41254</v>
      </c>
      <c r="E369" s="563" t="s">
        <v>12494</v>
      </c>
      <c r="F369" s="563" t="s">
        <v>12495</v>
      </c>
      <c r="G369" s="563" t="s">
        <v>144</v>
      </c>
      <c r="H369" s="563" t="s">
        <v>119</v>
      </c>
      <c r="I369" s="564" t="n">
        <v>44082</v>
      </c>
      <c r="J369" s="563" t="n">
        <v>9</v>
      </c>
      <c r="K369" s="571" t="s">
        <v>44</v>
      </c>
      <c r="L369" s="563" t="s">
        <v>10018</v>
      </c>
      <c r="M369" s="546" t="n">
        <f aca="false">I369-D369</f>
        <v>2828</v>
      </c>
    </row>
    <row r="370" customFormat="false" ht="12.75" hidden="true" customHeight="true" outlineLevel="0" collapsed="false">
      <c r="A370" s="558" t="n">
        <v>19720</v>
      </c>
      <c r="B370" s="559" t="s">
        <v>12496</v>
      </c>
      <c r="C370" s="559" t="n">
        <v>2015</v>
      </c>
      <c r="D370" s="560" t="n">
        <v>42306</v>
      </c>
      <c r="E370" s="559" t="s">
        <v>12497</v>
      </c>
      <c r="F370" s="559" t="s">
        <v>12498</v>
      </c>
      <c r="G370" s="559" t="s">
        <v>144</v>
      </c>
      <c r="H370" s="559" t="s">
        <v>1791</v>
      </c>
      <c r="I370" s="560" t="n">
        <v>44082</v>
      </c>
      <c r="J370" s="559" t="n">
        <v>9</v>
      </c>
      <c r="K370" s="565" t="s">
        <v>51</v>
      </c>
      <c r="L370" s="559" t="s">
        <v>10013</v>
      </c>
      <c r="M370" s="545" t="n">
        <f aca="false">I370-D370</f>
        <v>1776</v>
      </c>
    </row>
    <row r="371" customFormat="false" ht="12.75" hidden="true" customHeight="true" outlineLevel="0" collapsed="false">
      <c r="A371" s="562" t="n">
        <v>19820</v>
      </c>
      <c r="B371" s="563" t="s">
        <v>12499</v>
      </c>
      <c r="C371" s="563" t="n">
        <v>2012</v>
      </c>
      <c r="D371" s="564" t="n">
        <v>41094</v>
      </c>
      <c r="E371" s="563" t="s">
        <v>12500</v>
      </c>
      <c r="F371" s="563" t="s">
        <v>763</v>
      </c>
      <c r="G371" s="563" t="s">
        <v>441</v>
      </c>
      <c r="H371" s="563" t="s">
        <v>471</v>
      </c>
      <c r="I371" s="564" t="n">
        <v>44082</v>
      </c>
      <c r="J371" s="563" t="n">
        <v>9</v>
      </c>
      <c r="K371" s="571" t="s">
        <v>48</v>
      </c>
      <c r="L371" s="563" t="s">
        <v>10018</v>
      </c>
      <c r="M371" s="546" t="n">
        <f aca="false">I371-D371</f>
        <v>2988</v>
      </c>
    </row>
    <row r="372" customFormat="false" ht="15" hidden="true" customHeight="true" outlineLevel="0" collapsed="false">
      <c r="A372" s="558" t="n">
        <v>19920</v>
      </c>
      <c r="B372" s="559" t="s">
        <v>12501</v>
      </c>
      <c r="C372" s="559" t="n">
        <v>2019</v>
      </c>
      <c r="D372" s="560" t="n">
        <v>43790</v>
      </c>
      <c r="E372" s="559" t="s">
        <v>12502</v>
      </c>
      <c r="F372" s="573" t="s">
        <v>12503</v>
      </c>
      <c r="G372" s="559" t="s">
        <v>125</v>
      </c>
      <c r="H372" s="559" t="s">
        <v>4176</v>
      </c>
      <c r="I372" s="560" t="n">
        <v>44082</v>
      </c>
      <c r="J372" s="559" t="n">
        <v>9</v>
      </c>
      <c r="K372" s="565" t="s">
        <v>51</v>
      </c>
      <c r="L372" s="559" t="s">
        <v>10445</v>
      </c>
      <c r="M372" s="545" t="n">
        <f aca="false">I372-D372</f>
        <v>292</v>
      </c>
    </row>
    <row r="373" customFormat="false" ht="12.75" hidden="true" customHeight="true" outlineLevel="0" collapsed="false">
      <c r="A373" s="562" t="n">
        <v>20020</v>
      </c>
      <c r="B373" s="563" t="s">
        <v>12504</v>
      </c>
      <c r="C373" s="563" t="n">
        <v>2017</v>
      </c>
      <c r="D373" s="564" t="n">
        <v>43098</v>
      </c>
      <c r="E373" s="563" t="s">
        <v>12505</v>
      </c>
      <c r="F373" s="563" t="s">
        <v>12506</v>
      </c>
      <c r="G373" s="563" t="s">
        <v>441</v>
      </c>
      <c r="H373" s="563" t="s">
        <v>267</v>
      </c>
      <c r="I373" s="564" t="n">
        <v>44082</v>
      </c>
      <c r="J373" s="563" t="n">
        <v>9</v>
      </c>
      <c r="K373" s="571" t="s">
        <v>49</v>
      </c>
      <c r="L373" s="563" t="s">
        <v>10018</v>
      </c>
      <c r="M373" s="546" t="n">
        <f aca="false">I373-D373</f>
        <v>984</v>
      </c>
    </row>
    <row r="374" customFormat="false" ht="12.75" hidden="true" customHeight="true" outlineLevel="0" collapsed="false">
      <c r="A374" s="558" t="n">
        <v>20120</v>
      </c>
      <c r="B374" s="559" t="s">
        <v>12507</v>
      </c>
      <c r="C374" s="559" t="n">
        <v>2019</v>
      </c>
      <c r="D374" s="560" t="n">
        <v>43762</v>
      </c>
      <c r="E374" s="559" t="s">
        <v>12508</v>
      </c>
      <c r="F374" s="573" t="s">
        <v>11385</v>
      </c>
      <c r="G374" s="559" t="s">
        <v>130</v>
      </c>
      <c r="H374" s="559" t="s">
        <v>12509</v>
      </c>
      <c r="I374" s="560" t="n">
        <v>44082</v>
      </c>
      <c r="J374" s="559" t="n">
        <v>9</v>
      </c>
      <c r="K374" s="571" t="s">
        <v>49</v>
      </c>
      <c r="L374" s="559" t="s">
        <v>10445</v>
      </c>
      <c r="M374" s="545" t="n">
        <f aca="false">I374-D374</f>
        <v>320</v>
      </c>
    </row>
    <row r="375" customFormat="false" ht="12.75" hidden="true" customHeight="true" outlineLevel="0" collapsed="false">
      <c r="A375" s="562" t="n">
        <v>20220</v>
      </c>
      <c r="B375" s="563" t="s">
        <v>12510</v>
      </c>
      <c r="C375" s="563" t="n">
        <v>2019</v>
      </c>
      <c r="D375" s="564" t="n">
        <v>43669</v>
      </c>
      <c r="E375" s="563" t="s">
        <v>12511</v>
      </c>
      <c r="F375" s="572" t="s">
        <v>12512</v>
      </c>
      <c r="G375" s="563" t="s">
        <v>130</v>
      </c>
      <c r="H375" s="563" t="s">
        <v>9602</v>
      </c>
      <c r="I375" s="564" t="n">
        <v>44082</v>
      </c>
      <c r="J375" s="563" t="n">
        <v>9</v>
      </c>
      <c r="K375" s="565" t="s">
        <v>51</v>
      </c>
      <c r="L375" s="563" t="s">
        <v>10445</v>
      </c>
      <c r="M375" s="546" t="n">
        <f aca="false">I375-D375</f>
        <v>413</v>
      </c>
    </row>
    <row r="376" customFormat="false" ht="12.75" hidden="true" customHeight="true" outlineLevel="0" collapsed="false">
      <c r="A376" s="558" t="n">
        <v>20320</v>
      </c>
      <c r="B376" s="559" t="s">
        <v>12513</v>
      </c>
      <c r="C376" s="559" t="n">
        <v>2016</v>
      </c>
      <c r="D376" s="560" t="n">
        <v>42725</v>
      </c>
      <c r="E376" s="559" t="s">
        <v>12514</v>
      </c>
      <c r="F376" s="559" t="s">
        <v>12515</v>
      </c>
      <c r="G376" s="559" t="s">
        <v>441</v>
      </c>
      <c r="H376" s="559" t="s">
        <v>3339</v>
      </c>
      <c r="I376" s="560" t="n">
        <v>44082</v>
      </c>
      <c r="J376" s="559" t="n">
        <v>9</v>
      </c>
      <c r="K376" s="571" t="s">
        <v>48</v>
      </c>
      <c r="L376" s="559" t="s">
        <v>10018</v>
      </c>
      <c r="M376" s="545" t="n">
        <f aca="false">I376-D376</f>
        <v>1357</v>
      </c>
    </row>
    <row r="377" customFormat="false" ht="12.75" hidden="true" customHeight="true" outlineLevel="0" collapsed="false">
      <c r="A377" s="562" t="n">
        <v>20420</v>
      </c>
      <c r="B377" s="563" t="s">
        <v>12516</v>
      </c>
      <c r="C377" s="563" t="n">
        <v>2014</v>
      </c>
      <c r="D377" s="564" t="n">
        <v>42002</v>
      </c>
      <c r="E377" s="563" t="s">
        <v>12517</v>
      </c>
      <c r="F377" s="563" t="s">
        <v>9644</v>
      </c>
      <c r="G377" s="563" t="s">
        <v>441</v>
      </c>
      <c r="H377" s="563" t="s">
        <v>350</v>
      </c>
      <c r="I377" s="564" t="n">
        <v>44082</v>
      </c>
      <c r="J377" s="563" t="n">
        <v>9</v>
      </c>
      <c r="K377" s="571" t="s">
        <v>48</v>
      </c>
      <c r="L377" s="563" t="s">
        <v>10018</v>
      </c>
      <c r="M377" s="546" t="n">
        <f aca="false">I377-D377</f>
        <v>2080</v>
      </c>
    </row>
    <row r="378" customFormat="false" ht="12.75" hidden="true" customHeight="true" outlineLevel="0" collapsed="false">
      <c r="A378" s="558" t="n">
        <v>20520</v>
      </c>
      <c r="B378" s="559" t="s">
        <v>12518</v>
      </c>
      <c r="C378" s="559" t="n">
        <v>2015</v>
      </c>
      <c r="D378" s="560" t="n">
        <v>42298</v>
      </c>
      <c r="E378" s="559" t="s">
        <v>12519</v>
      </c>
      <c r="F378" s="559" t="s">
        <v>346</v>
      </c>
      <c r="G378" s="559" t="s">
        <v>441</v>
      </c>
      <c r="H378" s="559" t="s">
        <v>1501</v>
      </c>
      <c r="I378" s="560" t="n">
        <v>44082</v>
      </c>
      <c r="J378" s="559" t="n">
        <v>9</v>
      </c>
      <c r="K378" s="571" t="s">
        <v>49</v>
      </c>
      <c r="L378" s="559" t="s">
        <v>10018</v>
      </c>
      <c r="M378" s="545" t="n">
        <f aca="false">I378-D378</f>
        <v>1784</v>
      </c>
    </row>
    <row r="379" customFormat="false" ht="12.75" hidden="true" customHeight="true" outlineLevel="0" collapsed="false">
      <c r="A379" s="562" t="n">
        <v>20620</v>
      </c>
      <c r="B379" s="563" t="s">
        <v>12520</v>
      </c>
      <c r="C379" s="563" t="n">
        <v>2018</v>
      </c>
      <c r="D379" s="564" t="n">
        <v>43396</v>
      </c>
      <c r="E379" s="563" t="s">
        <v>12521</v>
      </c>
      <c r="F379" s="563" t="s">
        <v>1511</v>
      </c>
      <c r="G379" s="563" t="s">
        <v>441</v>
      </c>
      <c r="H379" s="563" t="s">
        <v>350</v>
      </c>
      <c r="I379" s="564" t="n">
        <v>44082</v>
      </c>
      <c r="J379" s="563" t="n">
        <v>9</v>
      </c>
      <c r="K379" s="571" t="s">
        <v>49</v>
      </c>
      <c r="L379" s="563" t="s">
        <v>10013</v>
      </c>
      <c r="M379" s="546" t="n">
        <f aca="false">I379-D379</f>
        <v>686</v>
      </c>
    </row>
    <row r="380" customFormat="false" ht="12.75" hidden="true" customHeight="true" outlineLevel="0" collapsed="false">
      <c r="A380" s="558" t="n">
        <v>20720</v>
      </c>
      <c r="B380" s="559" t="s">
        <v>12522</v>
      </c>
      <c r="C380" s="559" t="n">
        <v>2017</v>
      </c>
      <c r="D380" s="560" t="n">
        <v>42964</v>
      </c>
      <c r="E380" s="559" t="s">
        <v>12523</v>
      </c>
      <c r="F380" s="559" t="s">
        <v>382</v>
      </c>
      <c r="G380" s="559" t="s">
        <v>441</v>
      </c>
      <c r="H380" s="559" t="s">
        <v>2677</v>
      </c>
      <c r="I380" s="560" t="n">
        <v>44082</v>
      </c>
      <c r="J380" s="559" t="n">
        <v>9</v>
      </c>
      <c r="K380" s="565" t="s">
        <v>51</v>
      </c>
      <c r="L380" s="559" t="s">
        <v>10013</v>
      </c>
      <c r="M380" s="545" t="n">
        <f aca="false">I380-D380</f>
        <v>1118</v>
      </c>
    </row>
    <row r="381" customFormat="false" ht="12.75" hidden="true" customHeight="true" outlineLevel="0" collapsed="false">
      <c r="A381" s="562" t="n">
        <v>20820</v>
      </c>
      <c r="B381" s="563" t="s">
        <v>12524</v>
      </c>
      <c r="C381" s="563" t="n">
        <v>2012</v>
      </c>
      <c r="D381" s="564" t="n">
        <v>41124</v>
      </c>
      <c r="E381" s="563" t="s">
        <v>12525</v>
      </c>
      <c r="F381" s="563" t="s">
        <v>699</v>
      </c>
      <c r="G381" s="563" t="s">
        <v>441</v>
      </c>
      <c r="H381" s="563" t="s">
        <v>267</v>
      </c>
      <c r="I381" s="564" t="n">
        <v>44088</v>
      </c>
      <c r="J381" s="563" t="n">
        <v>9</v>
      </c>
      <c r="K381" s="571" t="s">
        <v>49</v>
      </c>
      <c r="L381" s="563" t="s">
        <v>10013</v>
      </c>
      <c r="M381" s="546" t="n">
        <f aca="false">I381-D381</f>
        <v>2964</v>
      </c>
    </row>
    <row r="382" customFormat="false" ht="12.75" hidden="true" customHeight="true" outlineLevel="0" collapsed="false">
      <c r="A382" s="558" t="n">
        <v>20920</v>
      </c>
      <c r="B382" s="559" t="s">
        <v>12526</v>
      </c>
      <c r="C382" s="559" t="n">
        <v>2016</v>
      </c>
      <c r="D382" s="560" t="n">
        <v>42607</v>
      </c>
      <c r="E382" s="559" t="s">
        <v>12527</v>
      </c>
      <c r="F382" s="559" t="s">
        <v>1273</v>
      </c>
      <c r="G382" s="559" t="s">
        <v>441</v>
      </c>
      <c r="H382" s="559" t="s">
        <v>1072</v>
      </c>
      <c r="I382" s="560" t="n">
        <v>44106</v>
      </c>
      <c r="J382" s="559" t="n">
        <v>10</v>
      </c>
      <c r="K382" s="571" t="s">
        <v>48</v>
      </c>
      <c r="L382" s="559" t="s">
        <v>10018</v>
      </c>
      <c r="M382" s="545" t="n">
        <f aca="false">I382-D382</f>
        <v>1499</v>
      </c>
    </row>
    <row r="383" customFormat="false" ht="12.75" hidden="true" customHeight="true" outlineLevel="0" collapsed="false">
      <c r="A383" s="562" t="n">
        <v>21020</v>
      </c>
      <c r="B383" s="563" t="s">
        <v>12528</v>
      </c>
      <c r="C383" s="563" t="n">
        <v>2020</v>
      </c>
      <c r="D383" s="564" t="n">
        <v>43983</v>
      </c>
      <c r="E383" s="563" t="s">
        <v>12529</v>
      </c>
      <c r="F383" s="572" t="s">
        <v>11385</v>
      </c>
      <c r="G383" s="563" t="s">
        <v>130</v>
      </c>
      <c r="H383" s="563" t="s">
        <v>12530</v>
      </c>
      <c r="I383" s="564" t="n">
        <v>44106</v>
      </c>
      <c r="J383" s="563" t="n">
        <v>10</v>
      </c>
      <c r="K383" s="571" t="s">
        <v>49</v>
      </c>
      <c r="L383" s="563" t="s">
        <v>10445</v>
      </c>
      <c r="M383" s="546" t="n">
        <f aca="false">I383-D383</f>
        <v>123</v>
      </c>
    </row>
    <row r="384" customFormat="false" ht="15" hidden="true" customHeight="true" outlineLevel="0" collapsed="false">
      <c r="A384" s="558" t="n">
        <v>21120</v>
      </c>
      <c r="B384" s="559" t="s">
        <v>12531</v>
      </c>
      <c r="C384" s="559" t="n">
        <v>2020</v>
      </c>
      <c r="D384" s="560" t="n">
        <v>43950</v>
      </c>
      <c r="E384" s="559" t="s">
        <v>12532</v>
      </c>
      <c r="F384" s="573" t="s">
        <v>12533</v>
      </c>
      <c r="G384" s="559" t="s">
        <v>125</v>
      </c>
      <c r="H384" s="559" t="s">
        <v>3707</v>
      </c>
      <c r="I384" s="560" t="n">
        <v>44106</v>
      </c>
      <c r="J384" s="559" t="n">
        <v>10</v>
      </c>
      <c r="K384" s="565" t="s">
        <v>51</v>
      </c>
      <c r="L384" s="559" t="s">
        <v>10445</v>
      </c>
      <c r="M384" s="545" t="n">
        <f aca="false">I384-D384</f>
        <v>156</v>
      </c>
    </row>
    <row r="385" customFormat="false" ht="15" hidden="true" customHeight="true" outlineLevel="0" collapsed="false">
      <c r="A385" s="562" t="n">
        <v>21220</v>
      </c>
      <c r="B385" s="563" t="s">
        <v>12534</v>
      </c>
      <c r="C385" s="563" t="n">
        <v>2020</v>
      </c>
      <c r="D385" s="564" t="n">
        <v>43945</v>
      </c>
      <c r="E385" s="563" t="s">
        <v>12535</v>
      </c>
      <c r="F385" s="572" t="s">
        <v>12533</v>
      </c>
      <c r="G385" s="563" t="s">
        <v>125</v>
      </c>
      <c r="H385" s="563" t="s">
        <v>3707</v>
      </c>
      <c r="I385" s="564" t="n">
        <v>44106</v>
      </c>
      <c r="J385" s="563" t="n">
        <v>10</v>
      </c>
      <c r="K385" s="565" t="s">
        <v>51</v>
      </c>
      <c r="L385" s="563" t="s">
        <v>10445</v>
      </c>
      <c r="M385" s="546" t="n">
        <f aca="false">I385-D385</f>
        <v>161</v>
      </c>
    </row>
    <row r="386" customFormat="false" ht="12.75" hidden="true" customHeight="true" outlineLevel="0" collapsed="false">
      <c r="A386" s="558" t="n">
        <v>21320</v>
      </c>
      <c r="B386" s="559" t="s">
        <v>12536</v>
      </c>
      <c r="C386" s="559" t="n">
        <v>2018</v>
      </c>
      <c r="D386" s="560" t="n">
        <v>43919</v>
      </c>
      <c r="E386" s="559" t="s">
        <v>12537</v>
      </c>
      <c r="F386" s="559" t="s">
        <v>12538</v>
      </c>
      <c r="G386" s="559" t="s">
        <v>144</v>
      </c>
      <c r="H386" s="559" t="s">
        <v>134</v>
      </c>
      <c r="I386" s="560" t="n">
        <v>44106</v>
      </c>
      <c r="J386" s="559" t="n">
        <v>10</v>
      </c>
      <c r="K386" s="571" t="s">
        <v>49</v>
      </c>
      <c r="L386" s="559" t="s">
        <v>10013</v>
      </c>
      <c r="M386" s="545" t="n">
        <f aca="false">I386-D386</f>
        <v>187</v>
      </c>
    </row>
    <row r="387" customFormat="false" ht="12.75" hidden="true" customHeight="true" outlineLevel="0" collapsed="false">
      <c r="A387" s="562" t="n">
        <v>21420</v>
      </c>
      <c r="B387" s="563" t="s">
        <v>12539</v>
      </c>
      <c r="C387" s="563" t="n">
        <v>2018</v>
      </c>
      <c r="D387" s="564" t="n">
        <v>43237</v>
      </c>
      <c r="E387" s="563" t="s">
        <v>12540</v>
      </c>
      <c r="F387" s="563" t="s">
        <v>12541</v>
      </c>
      <c r="G387" s="563" t="s">
        <v>441</v>
      </c>
      <c r="H387" s="563" t="s">
        <v>544</v>
      </c>
      <c r="I387" s="564" t="n">
        <v>44106</v>
      </c>
      <c r="J387" s="563" t="n">
        <v>10</v>
      </c>
      <c r="K387" s="571" t="s">
        <v>49</v>
      </c>
      <c r="L387" s="563" t="s">
        <v>10018</v>
      </c>
      <c r="M387" s="546" t="n">
        <f aca="false">I387-D387</f>
        <v>869</v>
      </c>
    </row>
    <row r="388" customFormat="false" ht="12.75" hidden="true" customHeight="true" outlineLevel="0" collapsed="false">
      <c r="A388" s="558" t="n">
        <v>21520</v>
      </c>
      <c r="B388" s="559" t="s">
        <v>12542</v>
      </c>
      <c r="C388" s="559" t="n">
        <v>2018</v>
      </c>
      <c r="D388" s="560" t="n">
        <v>43236</v>
      </c>
      <c r="E388" s="559" t="s">
        <v>12543</v>
      </c>
      <c r="F388" s="559" t="s">
        <v>12544</v>
      </c>
      <c r="G388" s="559" t="s">
        <v>441</v>
      </c>
      <c r="H388" s="559" t="s">
        <v>5486</v>
      </c>
      <c r="I388" s="560" t="n">
        <v>44106</v>
      </c>
      <c r="J388" s="559" t="n">
        <v>10</v>
      </c>
      <c r="K388" s="571" t="s">
        <v>49</v>
      </c>
      <c r="L388" s="559" t="s">
        <v>10013</v>
      </c>
      <c r="M388" s="545" t="n">
        <f aca="false">I388-D388</f>
        <v>870</v>
      </c>
    </row>
    <row r="389" customFormat="false" ht="12.75" hidden="true" customHeight="true" outlineLevel="0" collapsed="false">
      <c r="A389" s="562" t="n">
        <v>21620</v>
      </c>
      <c r="B389" s="563" t="s">
        <v>12545</v>
      </c>
      <c r="C389" s="563" t="n">
        <v>2013</v>
      </c>
      <c r="D389" s="564" t="n">
        <v>41411</v>
      </c>
      <c r="E389" s="563" t="s">
        <v>12546</v>
      </c>
      <c r="F389" s="563" t="s">
        <v>12547</v>
      </c>
      <c r="G389" s="563" t="s">
        <v>441</v>
      </c>
      <c r="H389" s="563" t="s">
        <v>254</v>
      </c>
      <c r="I389" s="564" t="n">
        <v>44109</v>
      </c>
      <c r="J389" s="563" t="n">
        <v>10</v>
      </c>
      <c r="K389" s="571" t="s">
        <v>49</v>
      </c>
      <c r="L389" s="563" t="s">
        <v>10018</v>
      </c>
      <c r="M389" s="546" t="n">
        <f aca="false">I389-D389</f>
        <v>2698</v>
      </c>
    </row>
    <row r="390" customFormat="false" ht="12.75" hidden="true" customHeight="true" outlineLevel="0" collapsed="false">
      <c r="A390" s="558" t="n">
        <v>21720</v>
      </c>
      <c r="B390" s="559" t="s">
        <v>12548</v>
      </c>
      <c r="C390" s="559" t="n">
        <v>2013</v>
      </c>
      <c r="D390" s="560" t="n">
        <v>41415</v>
      </c>
      <c r="E390" s="559" t="s">
        <v>12549</v>
      </c>
      <c r="F390" s="559" t="s">
        <v>180</v>
      </c>
      <c r="G390" s="559" t="s">
        <v>441</v>
      </c>
      <c r="H390" s="559" t="s">
        <v>12550</v>
      </c>
      <c r="I390" s="560" t="n">
        <v>44109</v>
      </c>
      <c r="J390" s="559" t="n">
        <v>10</v>
      </c>
      <c r="K390" s="571" t="s">
        <v>48</v>
      </c>
      <c r="L390" s="559" t="s">
        <v>10018</v>
      </c>
      <c r="M390" s="545" t="n">
        <f aca="false">I390-D390</f>
        <v>2694</v>
      </c>
    </row>
    <row r="391" customFormat="false" ht="12.75" hidden="true" customHeight="true" outlineLevel="0" collapsed="false">
      <c r="A391" s="562" t="n">
        <v>21820</v>
      </c>
      <c r="B391" s="563" t="s">
        <v>12551</v>
      </c>
      <c r="C391" s="563" t="n">
        <v>2014</v>
      </c>
      <c r="D391" s="564" t="n">
        <v>41963</v>
      </c>
      <c r="E391" s="563" t="s">
        <v>12552</v>
      </c>
      <c r="F391" s="563" t="s">
        <v>4819</v>
      </c>
      <c r="G391" s="563" t="s">
        <v>441</v>
      </c>
      <c r="H391" s="563" t="s">
        <v>239</v>
      </c>
      <c r="I391" s="564" t="n">
        <v>44109</v>
      </c>
      <c r="J391" s="563" t="n">
        <v>10</v>
      </c>
      <c r="K391" s="571" t="s">
        <v>48</v>
      </c>
      <c r="L391" s="563" t="s">
        <v>10013</v>
      </c>
      <c r="M391" s="546" t="n">
        <f aca="false">I391-D391</f>
        <v>2146</v>
      </c>
    </row>
    <row r="392" customFormat="false" ht="12.75" hidden="true" customHeight="true" outlineLevel="0" collapsed="false">
      <c r="A392" s="558" t="n">
        <v>21920</v>
      </c>
      <c r="B392" s="559" t="s">
        <v>12553</v>
      </c>
      <c r="C392" s="559" t="n">
        <v>2014</v>
      </c>
      <c r="D392" s="560" t="n">
        <v>41983</v>
      </c>
      <c r="E392" s="559" t="s">
        <v>12554</v>
      </c>
      <c r="F392" s="559" t="s">
        <v>12555</v>
      </c>
      <c r="G392" s="559" t="s">
        <v>441</v>
      </c>
      <c r="H392" s="559" t="s">
        <v>350</v>
      </c>
      <c r="I392" s="560" t="n">
        <v>44109</v>
      </c>
      <c r="J392" s="559" t="n">
        <v>10</v>
      </c>
      <c r="K392" s="571" t="s">
        <v>49</v>
      </c>
      <c r="L392" s="559" t="s">
        <v>10013</v>
      </c>
      <c r="M392" s="545" t="n">
        <f aca="false">I392-D392</f>
        <v>2126</v>
      </c>
    </row>
    <row r="393" customFormat="false" ht="12.75" hidden="true" customHeight="true" outlineLevel="0" collapsed="false">
      <c r="A393" s="562" t="n">
        <v>22020</v>
      </c>
      <c r="B393" s="563" t="s">
        <v>12556</v>
      </c>
      <c r="C393" s="563" t="n">
        <v>2011</v>
      </c>
      <c r="D393" s="564" t="n">
        <v>40806</v>
      </c>
      <c r="E393" s="563" t="s">
        <v>12557</v>
      </c>
      <c r="F393" s="563" t="s">
        <v>12558</v>
      </c>
      <c r="G393" s="563" t="s">
        <v>144</v>
      </c>
      <c r="H393" s="563" t="s">
        <v>119</v>
      </c>
      <c r="I393" s="564" t="n">
        <v>44111</v>
      </c>
      <c r="J393" s="563" t="n">
        <v>10</v>
      </c>
      <c r="K393" s="571" t="s">
        <v>49</v>
      </c>
      <c r="L393" s="563" t="s">
        <v>10018</v>
      </c>
      <c r="M393" s="546" t="n">
        <f aca="false">I393-D393</f>
        <v>3305</v>
      </c>
    </row>
    <row r="394" customFormat="false" ht="12.75" hidden="true" customHeight="true" outlineLevel="0" collapsed="false">
      <c r="A394" s="558" t="n">
        <v>22120</v>
      </c>
      <c r="B394" s="559" t="s">
        <v>12559</v>
      </c>
      <c r="C394" s="559" t="n">
        <v>2012</v>
      </c>
      <c r="D394" s="560" t="n">
        <v>41262</v>
      </c>
      <c r="E394" s="559" t="s">
        <v>12560</v>
      </c>
      <c r="F394" s="559" t="s">
        <v>12561</v>
      </c>
      <c r="G394" s="559" t="s">
        <v>144</v>
      </c>
      <c r="H394" s="559" t="s">
        <v>119</v>
      </c>
      <c r="I394" s="560" t="n">
        <v>44109</v>
      </c>
      <c r="J394" s="559" t="n">
        <v>10</v>
      </c>
      <c r="K394" s="565" t="s">
        <v>51</v>
      </c>
      <c r="L394" s="559" t="s">
        <v>10018</v>
      </c>
      <c r="M394" s="545" t="n">
        <f aca="false">I394-D394</f>
        <v>2847</v>
      </c>
    </row>
    <row r="395" customFormat="false" ht="12.75" hidden="true" customHeight="true" outlineLevel="0" collapsed="false">
      <c r="A395" s="562" t="n">
        <v>22220</v>
      </c>
      <c r="B395" s="563" t="s">
        <v>12562</v>
      </c>
      <c r="C395" s="563" t="n">
        <v>2012</v>
      </c>
      <c r="D395" s="564" t="n">
        <v>41218</v>
      </c>
      <c r="E395" s="563" t="s">
        <v>12563</v>
      </c>
      <c r="F395" s="563" t="s">
        <v>12564</v>
      </c>
      <c r="G395" s="563" t="s">
        <v>144</v>
      </c>
      <c r="H395" s="563" t="s">
        <v>6149</v>
      </c>
      <c r="I395" s="564" t="n">
        <v>44109</v>
      </c>
      <c r="J395" s="563" t="n">
        <v>10</v>
      </c>
      <c r="K395" s="571" t="s">
        <v>48</v>
      </c>
      <c r="L395" s="563" t="s">
        <v>10018</v>
      </c>
      <c r="M395" s="546" t="n">
        <f aca="false">I395-D395</f>
        <v>2891</v>
      </c>
    </row>
    <row r="396" customFormat="false" ht="12.75" hidden="true" customHeight="true" outlineLevel="0" collapsed="false">
      <c r="A396" s="558" t="n">
        <v>22320</v>
      </c>
      <c r="B396" s="559" t="s">
        <v>12565</v>
      </c>
      <c r="C396" s="559" t="n">
        <v>2010</v>
      </c>
      <c r="D396" s="560" t="n">
        <v>40441</v>
      </c>
      <c r="E396" s="559" t="s">
        <v>12566</v>
      </c>
      <c r="F396" s="559" t="s">
        <v>4491</v>
      </c>
      <c r="G396" s="559" t="s">
        <v>441</v>
      </c>
      <c r="H396" s="559" t="s">
        <v>12567</v>
      </c>
      <c r="I396" s="560" t="n">
        <v>44109</v>
      </c>
      <c r="J396" s="559" t="n">
        <v>10</v>
      </c>
      <c r="K396" s="571" t="s">
        <v>48</v>
      </c>
      <c r="L396" s="559" t="s">
        <v>10013</v>
      </c>
      <c r="M396" s="545" t="n">
        <f aca="false">I396-D396</f>
        <v>3668</v>
      </c>
    </row>
    <row r="397" customFormat="false" ht="12.75" hidden="true" customHeight="true" outlineLevel="0" collapsed="false">
      <c r="A397" s="562" t="n">
        <v>22420</v>
      </c>
      <c r="B397" s="563" t="s">
        <v>12568</v>
      </c>
      <c r="C397" s="563" t="n">
        <v>2018</v>
      </c>
      <c r="D397" s="564" t="n">
        <v>43250</v>
      </c>
      <c r="E397" s="563" t="s">
        <v>12569</v>
      </c>
      <c r="F397" s="563" t="s">
        <v>12570</v>
      </c>
      <c r="G397" s="563" t="s">
        <v>144</v>
      </c>
      <c r="H397" s="563" t="s">
        <v>1791</v>
      </c>
      <c r="I397" s="564" t="n">
        <v>44117</v>
      </c>
      <c r="J397" s="563" t="n">
        <v>10</v>
      </c>
      <c r="K397" s="577" t="s">
        <v>46</v>
      </c>
      <c r="L397" s="563" t="s">
        <v>2848</v>
      </c>
      <c r="M397" s="546" t="n">
        <f aca="false">I397-D397</f>
        <v>867</v>
      </c>
    </row>
    <row r="398" customFormat="false" ht="12.75" hidden="true" customHeight="true" outlineLevel="0" collapsed="false">
      <c r="A398" s="558" t="n">
        <v>22520</v>
      </c>
      <c r="B398" s="559" t="s">
        <v>12571</v>
      </c>
      <c r="C398" s="559" t="n">
        <v>2017</v>
      </c>
      <c r="D398" s="560" t="n">
        <v>42844</v>
      </c>
      <c r="E398" s="559" t="s">
        <v>12572</v>
      </c>
      <c r="F398" s="559" t="s">
        <v>650</v>
      </c>
      <c r="G398" s="559" t="s">
        <v>441</v>
      </c>
      <c r="H398" s="559" t="s">
        <v>12573</v>
      </c>
      <c r="I398" s="560" t="n">
        <v>44124</v>
      </c>
      <c r="J398" s="559" t="n">
        <v>10</v>
      </c>
      <c r="K398" s="571" t="s">
        <v>48</v>
      </c>
      <c r="L398" s="559" t="s">
        <v>10018</v>
      </c>
      <c r="M398" s="545" t="n">
        <f aca="false">I398-D398</f>
        <v>1280</v>
      </c>
    </row>
    <row r="399" customFormat="false" ht="12.75" hidden="true" customHeight="true" outlineLevel="0" collapsed="false">
      <c r="A399" s="562" t="n">
        <v>22620</v>
      </c>
      <c r="B399" s="563" t="s">
        <v>12574</v>
      </c>
      <c r="C399" s="563" t="n">
        <v>2020</v>
      </c>
      <c r="D399" s="564" t="n">
        <v>43949</v>
      </c>
      <c r="E399" s="563" t="s">
        <v>12575</v>
      </c>
      <c r="F399" s="572" t="s">
        <v>10768</v>
      </c>
      <c r="G399" s="563" t="s">
        <v>130</v>
      </c>
      <c r="H399" s="563" t="s">
        <v>12290</v>
      </c>
      <c r="I399" s="564" t="n">
        <v>44126</v>
      </c>
      <c r="J399" s="563" t="n">
        <v>10</v>
      </c>
      <c r="K399" s="571" t="s">
        <v>49</v>
      </c>
      <c r="L399" s="563" t="s">
        <v>10445</v>
      </c>
      <c r="M399" s="546" t="n">
        <f aca="false">I399-D399</f>
        <v>177</v>
      </c>
    </row>
    <row r="400" customFormat="false" ht="12.75" hidden="true" customHeight="true" outlineLevel="0" collapsed="false">
      <c r="A400" s="558" t="n">
        <v>22720</v>
      </c>
      <c r="B400" s="559" t="s">
        <v>12576</v>
      </c>
      <c r="C400" s="559" t="n">
        <v>2017</v>
      </c>
      <c r="D400" s="560" t="n">
        <v>43098</v>
      </c>
      <c r="E400" s="559" t="s">
        <v>12577</v>
      </c>
      <c r="F400" s="559" t="s">
        <v>12578</v>
      </c>
      <c r="G400" s="559" t="s">
        <v>144</v>
      </c>
      <c r="H400" s="559" t="s">
        <v>2421</v>
      </c>
      <c r="I400" s="560" t="n">
        <v>44139</v>
      </c>
      <c r="J400" s="559" t="n">
        <v>11</v>
      </c>
      <c r="K400" s="565" t="s">
        <v>51</v>
      </c>
      <c r="L400" s="559" t="s">
        <v>10018</v>
      </c>
      <c r="M400" s="545" t="n">
        <f aca="false">I400-D400</f>
        <v>1041</v>
      </c>
    </row>
    <row r="401" customFormat="false" ht="12.75" hidden="true" customHeight="true" outlineLevel="0" collapsed="false">
      <c r="A401" s="562" t="n">
        <v>22820</v>
      </c>
      <c r="B401" s="563" t="s">
        <v>12579</v>
      </c>
      <c r="C401" s="563" t="n">
        <v>2017</v>
      </c>
      <c r="D401" s="564" t="n">
        <v>43069</v>
      </c>
      <c r="E401" s="563" t="s">
        <v>12580</v>
      </c>
      <c r="F401" s="563" t="s">
        <v>12581</v>
      </c>
      <c r="G401" s="563" t="s">
        <v>441</v>
      </c>
      <c r="H401" s="563" t="s">
        <v>267</v>
      </c>
      <c r="I401" s="564" t="n">
        <v>44133</v>
      </c>
      <c r="J401" s="563" t="n">
        <v>10</v>
      </c>
      <c r="K401" s="571" t="s">
        <v>49</v>
      </c>
      <c r="L401" s="563" t="s">
        <v>10018</v>
      </c>
      <c r="M401" s="546" t="n">
        <f aca="false">I401-D401</f>
        <v>1064</v>
      </c>
    </row>
    <row r="402" customFormat="false" ht="12.75" hidden="true" customHeight="true" outlineLevel="0" collapsed="false">
      <c r="A402" s="558" t="n">
        <v>22920</v>
      </c>
      <c r="B402" s="559" t="s">
        <v>12582</v>
      </c>
      <c r="C402" s="559" t="n">
        <v>2019</v>
      </c>
      <c r="D402" s="560" t="n">
        <v>43665</v>
      </c>
      <c r="E402" s="559" t="s">
        <v>12583</v>
      </c>
      <c r="F402" s="573" t="s">
        <v>6315</v>
      </c>
      <c r="G402" s="559" t="s">
        <v>125</v>
      </c>
      <c r="H402" s="559" t="s">
        <v>149</v>
      </c>
      <c r="I402" s="560" t="n">
        <v>44133</v>
      </c>
      <c r="J402" s="559" t="n">
        <v>10</v>
      </c>
      <c r="K402" s="571" t="s">
        <v>49</v>
      </c>
      <c r="L402" s="559" t="s">
        <v>10445</v>
      </c>
      <c r="M402" s="545" t="n">
        <f aca="false">I402-D402</f>
        <v>468</v>
      </c>
    </row>
    <row r="403" customFormat="false" ht="12.75" hidden="true" customHeight="true" outlineLevel="0" collapsed="false">
      <c r="A403" s="562" t="n">
        <v>23020</v>
      </c>
      <c r="B403" s="563" t="s">
        <v>12584</v>
      </c>
      <c r="C403" s="563" t="n">
        <v>2011</v>
      </c>
      <c r="D403" s="564" t="n">
        <v>40906</v>
      </c>
      <c r="E403" s="563" t="s">
        <v>12585</v>
      </c>
      <c r="F403" s="563" t="s">
        <v>12586</v>
      </c>
      <c r="G403" s="563" t="s">
        <v>144</v>
      </c>
      <c r="H403" s="563" t="s">
        <v>6149</v>
      </c>
      <c r="I403" s="564" t="n">
        <v>44133</v>
      </c>
      <c r="J403" s="563" t="n">
        <v>10</v>
      </c>
      <c r="K403" s="571" t="s">
        <v>48</v>
      </c>
      <c r="L403" s="563" t="s">
        <v>10018</v>
      </c>
      <c r="M403" s="546" t="n">
        <f aca="false">I403-D403</f>
        <v>3227</v>
      </c>
    </row>
    <row r="404" customFormat="false" ht="12.75" hidden="true" customHeight="true" outlineLevel="0" collapsed="false">
      <c r="A404" s="558" t="n">
        <v>23120</v>
      </c>
      <c r="B404" s="559" t="s">
        <v>12587</v>
      </c>
      <c r="C404" s="559" t="n">
        <v>2008</v>
      </c>
      <c r="D404" s="560" t="n">
        <v>39811</v>
      </c>
      <c r="E404" s="559" t="s">
        <v>12588</v>
      </c>
      <c r="F404" s="559" t="s">
        <v>11580</v>
      </c>
      <c r="G404" s="559" t="s">
        <v>125</v>
      </c>
      <c r="H404" s="559" t="s">
        <v>1567</v>
      </c>
      <c r="I404" s="560" t="n">
        <v>44133</v>
      </c>
      <c r="J404" s="559" t="n">
        <v>10</v>
      </c>
      <c r="K404" s="571" t="s">
        <v>49</v>
      </c>
      <c r="L404" s="559" t="s">
        <v>10445</v>
      </c>
      <c r="M404" s="545" t="n">
        <f aca="false">I404-D404</f>
        <v>4322</v>
      </c>
    </row>
    <row r="405" customFormat="false" ht="15" hidden="true" customHeight="true" outlineLevel="0" collapsed="false">
      <c r="A405" s="562" t="n">
        <v>23220</v>
      </c>
      <c r="B405" s="563" t="s">
        <v>12589</v>
      </c>
      <c r="C405" s="563" t="n">
        <v>2011</v>
      </c>
      <c r="D405" s="564" t="n">
        <v>40792</v>
      </c>
      <c r="E405" s="563" t="s">
        <v>12590</v>
      </c>
      <c r="F405" s="563" t="s">
        <v>11580</v>
      </c>
      <c r="G405" s="563" t="s">
        <v>125</v>
      </c>
      <c r="H405" s="563" t="s">
        <v>12591</v>
      </c>
      <c r="I405" s="564" t="n">
        <v>44133</v>
      </c>
      <c r="J405" s="563" t="n">
        <v>10</v>
      </c>
      <c r="K405" s="571" t="s">
        <v>49</v>
      </c>
      <c r="L405" s="563" t="s">
        <v>10445</v>
      </c>
      <c r="M405" s="546" t="n">
        <f aca="false">I405-D405</f>
        <v>3341</v>
      </c>
    </row>
    <row r="406" customFormat="false" ht="15" hidden="true" customHeight="true" outlineLevel="0" collapsed="false">
      <c r="A406" s="558" t="n">
        <v>23320</v>
      </c>
      <c r="B406" s="559" t="s">
        <v>12592</v>
      </c>
      <c r="C406" s="559" t="n">
        <v>2012</v>
      </c>
      <c r="D406" s="560" t="n">
        <v>41256</v>
      </c>
      <c r="E406" s="559" t="s">
        <v>12593</v>
      </c>
      <c r="F406" s="559" t="s">
        <v>10822</v>
      </c>
      <c r="G406" s="559" t="s">
        <v>441</v>
      </c>
      <c r="H406" s="559" t="s">
        <v>1059</v>
      </c>
      <c r="I406" s="560" t="n">
        <v>44133</v>
      </c>
      <c r="J406" s="559" t="n">
        <v>10</v>
      </c>
      <c r="K406" s="571" t="s">
        <v>49</v>
      </c>
      <c r="L406" s="559" t="s">
        <v>10013</v>
      </c>
      <c r="M406" s="545" t="n">
        <f aca="false">I406-D406</f>
        <v>2877</v>
      </c>
    </row>
    <row r="407" customFormat="false" ht="15" hidden="true" customHeight="true" outlineLevel="0" collapsed="false">
      <c r="A407" s="562" t="n">
        <v>23420</v>
      </c>
      <c r="B407" s="563" t="s">
        <v>12594</v>
      </c>
      <c r="C407" s="563" t="n">
        <v>2013</v>
      </c>
      <c r="D407" s="564" t="n">
        <v>41309</v>
      </c>
      <c r="E407" s="563" t="s">
        <v>12595</v>
      </c>
      <c r="F407" s="563" t="s">
        <v>12596</v>
      </c>
      <c r="G407" s="563" t="s">
        <v>144</v>
      </c>
      <c r="H407" s="563" t="s">
        <v>1791</v>
      </c>
      <c r="I407" s="564" t="n">
        <v>44138</v>
      </c>
      <c r="J407" s="563" t="n">
        <v>11</v>
      </c>
      <c r="K407" s="571" t="s">
        <v>48</v>
      </c>
      <c r="L407" s="563" t="s">
        <v>10018</v>
      </c>
      <c r="M407" s="546" t="n">
        <f aca="false">I407-D407</f>
        <v>2829</v>
      </c>
    </row>
    <row r="408" customFormat="false" ht="15" hidden="true" customHeight="true" outlineLevel="0" collapsed="false">
      <c r="A408" s="558" t="n">
        <v>23520</v>
      </c>
      <c r="B408" s="559" t="s">
        <v>12597</v>
      </c>
      <c r="C408" s="559" t="n">
        <v>2012</v>
      </c>
      <c r="D408" s="560" t="n">
        <v>41089</v>
      </c>
      <c r="E408" s="559" t="s">
        <v>12598</v>
      </c>
      <c r="F408" s="559" t="s">
        <v>12474</v>
      </c>
      <c r="G408" s="559" t="s">
        <v>144</v>
      </c>
      <c r="H408" s="559" t="s">
        <v>119</v>
      </c>
      <c r="I408" s="560" t="n">
        <v>44138</v>
      </c>
      <c r="J408" s="559" t="n">
        <v>11</v>
      </c>
      <c r="K408" s="571" t="s">
        <v>49</v>
      </c>
      <c r="L408" s="559" t="s">
        <v>10018</v>
      </c>
      <c r="M408" s="545" t="n">
        <f aca="false">I408-D408</f>
        <v>3049</v>
      </c>
    </row>
    <row r="409" customFormat="false" ht="12.75" hidden="true" customHeight="true" outlineLevel="0" collapsed="false">
      <c r="A409" s="562" t="n">
        <v>23620</v>
      </c>
      <c r="B409" s="563" t="s">
        <v>12599</v>
      </c>
      <c r="C409" s="563" t="n">
        <v>2014</v>
      </c>
      <c r="D409" s="564" t="n">
        <v>41704</v>
      </c>
      <c r="E409" s="563" t="s">
        <v>12600</v>
      </c>
      <c r="F409" s="563" t="s">
        <v>823</v>
      </c>
      <c r="G409" s="563" t="s">
        <v>441</v>
      </c>
      <c r="H409" s="563" t="s">
        <v>192</v>
      </c>
      <c r="I409" s="564" t="n">
        <v>44138</v>
      </c>
      <c r="J409" s="563" t="n">
        <v>11</v>
      </c>
      <c r="K409" s="571" t="s">
        <v>49</v>
      </c>
      <c r="L409" s="563" t="s">
        <v>10013</v>
      </c>
      <c r="M409" s="546" t="n">
        <f aca="false">I409-D409</f>
        <v>2434</v>
      </c>
    </row>
    <row r="410" customFormat="false" ht="12.75" hidden="true" customHeight="true" outlineLevel="0" collapsed="false">
      <c r="A410" s="558" t="n">
        <v>23720</v>
      </c>
      <c r="B410" s="559" t="s">
        <v>12601</v>
      </c>
      <c r="C410" s="559" t="n">
        <v>2013</v>
      </c>
      <c r="D410" s="560" t="n">
        <v>41368</v>
      </c>
      <c r="E410" s="559" t="s">
        <v>12602</v>
      </c>
      <c r="F410" s="559" t="s">
        <v>823</v>
      </c>
      <c r="G410" s="559" t="s">
        <v>441</v>
      </c>
      <c r="H410" s="559" t="s">
        <v>192</v>
      </c>
      <c r="I410" s="560" t="n">
        <v>44138</v>
      </c>
      <c r="J410" s="559" t="n">
        <v>11</v>
      </c>
      <c r="K410" s="571" t="s">
        <v>49</v>
      </c>
      <c r="L410" s="559" t="s">
        <v>10013</v>
      </c>
      <c r="M410" s="545" t="n">
        <f aca="false">I410-D410</f>
        <v>2770</v>
      </c>
    </row>
    <row r="411" customFormat="false" ht="12.75" hidden="true" customHeight="true" outlineLevel="0" collapsed="false">
      <c r="A411" s="562" t="n">
        <v>23820</v>
      </c>
      <c r="B411" s="563" t="s">
        <v>12603</v>
      </c>
      <c r="C411" s="563" t="n">
        <v>2014</v>
      </c>
      <c r="D411" s="564" t="n">
        <v>41852</v>
      </c>
      <c r="E411" s="563" t="s">
        <v>12604</v>
      </c>
      <c r="F411" s="563" t="s">
        <v>4369</v>
      </c>
      <c r="G411" s="563" t="s">
        <v>144</v>
      </c>
      <c r="H411" s="563" t="s">
        <v>2421</v>
      </c>
      <c r="I411" s="564" t="n">
        <v>44138</v>
      </c>
      <c r="J411" s="563" t="n">
        <v>11</v>
      </c>
      <c r="K411" s="571" t="s">
        <v>48</v>
      </c>
      <c r="L411" s="563" t="s">
        <v>2848</v>
      </c>
      <c r="M411" s="546" t="n">
        <f aca="false">I411-D411</f>
        <v>2286</v>
      </c>
    </row>
    <row r="412" customFormat="false" ht="12.75" hidden="true" customHeight="true" outlineLevel="0" collapsed="false">
      <c r="A412" s="558" t="n">
        <v>23920</v>
      </c>
      <c r="B412" s="559" t="s">
        <v>12605</v>
      </c>
      <c r="C412" s="559" t="n">
        <v>2014</v>
      </c>
      <c r="D412" s="560" t="n">
        <v>42002</v>
      </c>
      <c r="E412" s="559" t="s">
        <v>12606</v>
      </c>
      <c r="F412" s="559" t="s">
        <v>668</v>
      </c>
      <c r="G412" s="559" t="s">
        <v>441</v>
      </c>
      <c r="H412" s="559" t="s">
        <v>192</v>
      </c>
      <c r="I412" s="560" t="n">
        <v>44140</v>
      </c>
      <c r="J412" s="559" t="n">
        <v>11</v>
      </c>
      <c r="K412" s="571" t="s">
        <v>44</v>
      </c>
      <c r="L412" s="559" t="s">
        <v>10018</v>
      </c>
      <c r="M412" s="545" t="n">
        <f aca="false">I412-D412</f>
        <v>2138</v>
      </c>
    </row>
    <row r="413" customFormat="false" ht="12.75" hidden="true" customHeight="true" outlineLevel="0" collapsed="false">
      <c r="A413" s="562" t="n">
        <v>24020</v>
      </c>
      <c r="B413" s="563" t="s">
        <v>12607</v>
      </c>
      <c r="C413" s="563" t="n">
        <v>2020</v>
      </c>
      <c r="D413" s="564" t="n">
        <v>44023</v>
      </c>
      <c r="E413" s="563" t="s">
        <v>12608</v>
      </c>
      <c r="F413" s="572" t="s">
        <v>6315</v>
      </c>
      <c r="G413" s="563" t="s">
        <v>130</v>
      </c>
      <c r="H413" s="563" t="s">
        <v>10653</v>
      </c>
      <c r="I413" s="564" t="n">
        <v>44140</v>
      </c>
      <c r="J413" s="563" t="n">
        <v>11</v>
      </c>
      <c r="K413" s="571" t="s">
        <v>49</v>
      </c>
      <c r="L413" s="563" t="s">
        <v>10445</v>
      </c>
      <c r="M413" s="546" t="n">
        <f aca="false">I413-D413</f>
        <v>117</v>
      </c>
    </row>
    <row r="414" customFormat="false" ht="12.75" hidden="true" customHeight="true" outlineLevel="0" collapsed="false">
      <c r="A414" s="558" t="n">
        <v>24120</v>
      </c>
      <c r="B414" s="559" t="s">
        <v>12609</v>
      </c>
      <c r="C414" s="559" t="n">
        <v>2020</v>
      </c>
      <c r="D414" s="560" t="n">
        <v>44023</v>
      </c>
      <c r="E414" s="559" t="s">
        <v>12610</v>
      </c>
      <c r="F414" s="573" t="s">
        <v>6303</v>
      </c>
      <c r="G414" s="559" t="s">
        <v>130</v>
      </c>
      <c r="H414" s="559" t="s">
        <v>10653</v>
      </c>
      <c r="I414" s="560" t="n">
        <v>44140</v>
      </c>
      <c r="J414" s="559" t="n">
        <v>11</v>
      </c>
      <c r="K414" s="571" t="s">
        <v>49</v>
      </c>
      <c r="L414" s="559" t="s">
        <v>10445</v>
      </c>
      <c r="M414" s="545" t="n">
        <f aca="false">I414-D414</f>
        <v>117</v>
      </c>
    </row>
    <row r="415" customFormat="false" ht="12.75" hidden="true" customHeight="true" outlineLevel="0" collapsed="false">
      <c r="A415" s="562" t="n">
        <v>24220</v>
      </c>
      <c r="B415" s="563" t="s">
        <v>12611</v>
      </c>
      <c r="C415" s="563" t="n">
        <v>2020</v>
      </c>
      <c r="D415" s="564" t="n">
        <v>44014</v>
      </c>
      <c r="E415" s="563" t="s">
        <v>12612</v>
      </c>
      <c r="F415" s="572" t="s">
        <v>12613</v>
      </c>
      <c r="G415" s="563" t="s">
        <v>130</v>
      </c>
      <c r="H415" s="563" t="s">
        <v>398</v>
      </c>
      <c r="I415" s="564" t="n">
        <v>44140</v>
      </c>
      <c r="J415" s="563" t="n">
        <v>11</v>
      </c>
      <c r="K415" s="565" t="s">
        <v>51</v>
      </c>
      <c r="L415" s="563" t="s">
        <v>10445</v>
      </c>
      <c r="M415" s="546" t="n">
        <f aca="false">I415-D415</f>
        <v>126</v>
      </c>
    </row>
    <row r="416" customFormat="false" ht="12.75" hidden="true" customHeight="true" outlineLevel="0" collapsed="false">
      <c r="A416" s="558" t="n">
        <v>24320</v>
      </c>
      <c r="B416" s="559" t="s">
        <v>12614</v>
      </c>
      <c r="C416" s="559" t="n">
        <v>2020</v>
      </c>
      <c r="D416" s="560" t="n">
        <v>43453</v>
      </c>
      <c r="E416" s="559" t="s">
        <v>12615</v>
      </c>
      <c r="F416" s="559" t="s">
        <v>1916</v>
      </c>
      <c r="G416" s="559" t="s">
        <v>441</v>
      </c>
      <c r="H416" s="559" t="s">
        <v>471</v>
      </c>
      <c r="I416" s="560" t="n">
        <v>44140</v>
      </c>
      <c r="J416" s="559" t="n">
        <v>11</v>
      </c>
      <c r="K416" s="571" t="s">
        <v>48</v>
      </c>
      <c r="L416" s="559" t="s">
        <v>10018</v>
      </c>
      <c r="M416" s="545" t="n">
        <f aca="false">I416-D416</f>
        <v>687</v>
      </c>
    </row>
    <row r="417" customFormat="false" ht="12.75" hidden="true" customHeight="true" outlineLevel="0" collapsed="false">
      <c r="A417" s="562" t="n">
        <v>24420</v>
      </c>
      <c r="B417" s="563" t="s">
        <v>12616</v>
      </c>
      <c r="C417" s="563" t="n">
        <v>2018</v>
      </c>
      <c r="D417" s="564" t="n">
        <v>43376</v>
      </c>
      <c r="E417" s="563" t="s">
        <v>12617</v>
      </c>
      <c r="F417" s="563" t="s">
        <v>3664</v>
      </c>
      <c r="G417" s="563" t="s">
        <v>441</v>
      </c>
      <c r="H417" s="563" t="s">
        <v>267</v>
      </c>
      <c r="I417" s="564" t="n">
        <v>44140</v>
      </c>
      <c r="J417" s="563" t="n">
        <v>11</v>
      </c>
      <c r="K417" s="571" t="s">
        <v>48</v>
      </c>
      <c r="L417" s="563" t="s">
        <v>10018</v>
      </c>
      <c r="M417" s="546" t="n">
        <f aca="false">I417-D417</f>
        <v>764</v>
      </c>
    </row>
    <row r="418" customFormat="false" ht="12.75" hidden="true" customHeight="true" outlineLevel="0" collapsed="false">
      <c r="A418" s="558" t="n">
        <v>24520</v>
      </c>
      <c r="B418" s="559" t="s">
        <v>12618</v>
      </c>
      <c r="C418" s="559" t="n">
        <v>2012</v>
      </c>
      <c r="D418" s="560" t="n">
        <v>41262</v>
      </c>
      <c r="E418" s="559" t="s">
        <v>12619</v>
      </c>
      <c r="F418" s="559" t="s">
        <v>12620</v>
      </c>
      <c r="G418" s="559" t="s">
        <v>144</v>
      </c>
      <c r="H418" s="559" t="s">
        <v>119</v>
      </c>
      <c r="I418" s="560" t="n">
        <v>44140</v>
      </c>
      <c r="J418" s="559" t="n">
        <v>11</v>
      </c>
      <c r="K418" s="565" t="s">
        <v>51</v>
      </c>
      <c r="L418" s="559" t="s">
        <v>10013</v>
      </c>
      <c r="M418" s="545" t="n">
        <f aca="false">I418-D418</f>
        <v>2878</v>
      </c>
    </row>
    <row r="419" customFormat="false" ht="12.75" hidden="true" customHeight="true" outlineLevel="0" collapsed="false">
      <c r="A419" s="562" t="n">
        <v>24620</v>
      </c>
      <c r="B419" s="563" t="s">
        <v>12621</v>
      </c>
      <c r="C419" s="563" t="n">
        <v>2019</v>
      </c>
      <c r="D419" s="564" t="n">
        <v>43741</v>
      </c>
      <c r="E419" s="563" t="s">
        <v>12622</v>
      </c>
      <c r="F419" s="572" t="s">
        <v>6315</v>
      </c>
      <c r="G419" s="563" t="s">
        <v>130</v>
      </c>
      <c r="H419" s="563" t="s">
        <v>10913</v>
      </c>
      <c r="I419" s="564" t="n">
        <v>44144</v>
      </c>
      <c r="J419" s="563" t="n">
        <v>11</v>
      </c>
      <c r="K419" s="565" t="s">
        <v>51</v>
      </c>
      <c r="L419" s="563" t="s">
        <v>10445</v>
      </c>
      <c r="M419" s="546" t="n">
        <f aca="false">I419-D419</f>
        <v>403</v>
      </c>
    </row>
    <row r="420" customFormat="false" ht="12.75" hidden="true" customHeight="true" outlineLevel="0" collapsed="false">
      <c r="A420" s="558" t="n">
        <v>24720</v>
      </c>
      <c r="B420" s="559" t="s">
        <v>12623</v>
      </c>
      <c r="C420" s="559" t="n">
        <v>2020</v>
      </c>
      <c r="D420" s="560" t="n">
        <v>43987</v>
      </c>
      <c r="E420" s="559" t="s">
        <v>12624</v>
      </c>
      <c r="F420" s="573" t="s">
        <v>12625</v>
      </c>
      <c r="G420" s="559" t="s">
        <v>130</v>
      </c>
      <c r="H420" s="559" t="s">
        <v>12626</v>
      </c>
      <c r="I420" s="560" t="n">
        <v>44144</v>
      </c>
      <c r="J420" s="559" t="n">
        <v>11</v>
      </c>
      <c r="K420" s="571" t="s">
        <v>49</v>
      </c>
      <c r="L420" s="559" t="s">
        <v>10445</v>
      </c>
      <c r="M420" s="545" t="n">
        <f aca="false">I420-D420</f>
        <v>157</v>
      </c>
    </row>
    <row r="421" customFormat="false" ht="12.75" hidden="true" customHeight="true" outlineLevel="0" collapsed="false">
      <c r="A421" s="562" t="n">
        <v>24820</v>
      </c>
      <c r="B421" s="563" t="s">
        <v>12627</v>
      </c>
      <c r="C421" s="563" t="n">
        <v>2020</v>
      </c>
      <c r="D421" s="564" t="n">
        <v>43962</v>
      </c>
      <c r="E421" s="563" t="s">
        <v>12628</v>
      </c>
      <c r="F421" s="572" t="s">
        <v>10768</v>
      </c>
      <c r="G421" s="563" t="s">
        <v>125</v>
      </c>
      <c r="H421" s="563" t="s">
        <v>12626</v>
      </c>
      <c r="I421" s="564" t="n">
        <v>44144</v>
      </c>
      <c r="J421" s="563" t="n">
        <v>11</v>
      </c>
      <c r="K421" s="565" t="s">
        <v>51</v>
      </c>
      <c r="L421" s="563" t="s">
        <v>10445</v>
      </c>
      <c r="M421" s="546" t="n">
        <f aca="false">I421-D421</f>
        <v>182</v>
      </c>
    </row>
    <row r="422" customFormat="false" ht="12.75" hidden="true" customHeight="true" outlineLevel="0" collapsed="false">
      <c r="A422" s="558" t="n">
        <v>24920</v>
      </c>
      <c r="B422" s="559" t="s">
        <v>12629</v>
      </c>
      <c r="C422" s="559" t="n">
        <v>2020</v>
      </c>
      <c r="D422" s="560" t="n">
        <v>43973</v>
      </c>
      <c r="E422" s="559" t="s">
        <v>12630</v>
      </c>
      <c r="F422" s="573" t="s">
        <v>12631</v>
      </c>
      <c r="G422" s="559" t="s">
        <v>125</v>
      </c>
      <c r="H422" s="559" t="s">
        <v>12530</v>
      </c>
      <c r="I422" s="560" t="n">
        <v>44144</v>
      </c>
      <c r="J422" s="559" t="n">
        <v>11</v>
      </c>
      <c r="K422" s="565" t="s">
        <v>51</v>
      </c>
      <c r="L422" s="559" t="s">
        <v>10445</v>
      </c>
      <c r="M422" s="545" t="n">
        <f aca="false">I422-D422</f>
        <v>171</v>
      </c>
    </row>
    <row r="423" customFormat="false" ht="12.75" hidden="true" customHeight="true" outlineLevel="0" collapsed="false">
      <c r="A423" s="562" t="n">
        <v>25020</v>
      </c>
      <c r="B423" s="563" t="s">
        <v>12632</v>
      </c>
      <c r="C423" s="563" t="n">
        <v>2012</v>
      </c>
      <c r="D423" s="564" t="n">
        <v>41246</v>
      </c>
      <c r="E423" s="563" t="s">
        <v>12633</v>
      </c>
      <c r="F423" s="563" t="s">
        <v>379</v>
      </c>
      <c r="G423" s="563" t="s">
        <v>441</v>
      </c>
      <c r="H423" s="563" t="s">
        <v>208</v>
      </c>
      <c r="I423" s="564" t="n">
        <v>44144</v>
      </c>
      <c r="J423" s="563" t="n">
        <v>11</v>
      </c>
      <c r="K423" s="571" t="s">
        <v>49</v>
      </c>
      <c r="L423" s="563" t="s">
        <v>10013</v>
      </c>
      <c r="M423" s="546" t="n">
        <f aca="false">I423-D423</f>
        <v>2898</v>
      </c>
    </row>
    <row r="424" customFormat="false" ht="12.75" hidden="true" customHeight="true" outlineLevel="0" collapsed="false">
      <c r="A424" s="558" t="n">
        <v>25120</v>
      </c>
      <c r="B424" s="559" t="s">
        <v>12634</v>
      </c>
      <c r="C424" s="559" t="n">
        <v>2020</v>
      </c>
      <c r="D424" s="560" t="n">
        <v>43959</v>
      </c>
      <c r="E424" s="559" t="s">
        <v>12635</v>
      </c>
      <c r="F424" s="573" t="s">
        <v>10768</v>
      </c>
      <c r="G424" s="559" t="s">
        <v>125</v>
      </c>
      <c r="H424" s="559" t="s">
        <v>12626</v>
      </c>
      <c r="I424" s="560" t="n">
        <v>44146</v>
      </c>
      <c r="J424" s="559" t="n">
        <v>11</v>
      </c>
      <c r="K424" s="565" t="s">
        <v>51</v>
      </c>
      <c r="L424" s="559" t="s">
        <v>10445</v>
      </c>
      <c r="M424" s="545" t="n">
        <f aca="false">I424-D424</f>
        <v>187</v>
      </c>
    </row>
    <row r="425" customFormat="false" ht="12.75" hidden="true" customHeight="true" outlineLevel="0" collapsed="false">
      <c r="A425" s="562" t="n">
        <v>25220</v>
      </c>
      <c r="B425" s="563" t="s">
        <v>12636</v>
      </c>
      <c r="C425" s="563" t="n">
        <v>2018</v>
      </c>
      <c r="D425" s="564" t="n">
        <v>43237</v>
      </c>
      <c r="E425" s="563" t="s">
        <v>12637</v>
      </c>
      <c r="F425" s="563" t="s">
        <v>12638</v>
      </c>
      <c r="G425" s="563" t="s">
        <v>441</v>
      </c>
      <c r="H425" s="563" t="s">
        <v>544</v>
      </c>
      <c r="I425" s="564" t="n">
        <v>44146</v>
      </c>
      <c r="J425" s="563" t="n">
        <v>11</v>
      </c>
      <c r="K425" s="571" t="s">
        <v>49</v>
      </c>
      <c r="L425" s="563" t="s">
        <v>10018</v>
      </c>
      <c r="M425" s="546" t="n">
        <f aca="false">I425-D425</f>
        <v>909</v>
      </c>
    </row>
    <row r="426" customFormat="false" ht="12.75" hidden="true" customHeight="true" outlineLevel="0" collapsed="false">
      <c r="A426" s="558" t="n">
        <v>25320</v>
      </c>
      <c r="B426" s="559" t="s">
        <v>12639</v>
      </c>
      <c r="C426" s="559" t="n">
        <v>2017</v>
      </c>
      <c r="D426" s="560" t="n">
        <v>43052</v>
      </c>
      <c r="E426" s="559" t="s">
        <v>12640</v>
      </c>
      <c r="F426" s="559" t="s">
        <v>346</v>
      </c>
      <c r="G426" s="559" t="s">
        <v>441</v>
      </c>
      <c r="H426" s="559" t="s">
        <v>2647</v>
      </c>
      <c r="I426" s="560" t="n">
        <v>44146</v>
      </c>
      <c r="J426" s="559" t="n">
        <v>11</v>
      </c>
      <c r="K426" s="565" t="s">
        <v>51</v>
      </c>
      <c r="L426" s="559" t="s">
        <v>10018</v>
      </c>
      <c r="M426" s="545" t="n">
        <f aca="false">I426-D426</f>
        <v>1094</v>
      </c>
    </row>
    <row r="427" customFormat="false" ht="12.75" hidden="true" customHeight="true" outlineLevel="0" collapsed="false">
      <c r="A427" s="562" t="n">
        <v>25420</v>
      </c>
      <c r="B427" s="563" t="s">
        <v>12641</v>
      </c>
      <c r="C427" s="563" t="n">
        <v>2017</v>
      </c>
      <c r="D427" s="564" t="n">
        <v>43049</v>
      </c>
      <c r="E427" s="563" t="s">
        <v>12642</v>
      </c>
      <c r="F427" s="563" t="s">
        <v>346</v>
      </c>
      <c r="G427" s="563" t="s">
        <v>441</v>
      </c>
      <c r="H427" s="563" t="s">
        <v>2647</v>
      </c>
      <c r="I427" s="564" t="n">
        <v>44146</v>
      </c>
      <c r="J427" s="563" t="n">
        <v>11</v>
      </c>
      <c r="K427" s="565" t="s">
        <v>51</v>
      </c>
      <c r="L427" s="563" t="s">
        <v>10018</v>
      </c>
      <c r="M427" s="546" t="n">
        <f aca="false">I427-D427</f>
        <v>1097</v>
      </c>
    </row>
    <row r="428" customFormat="false" ht="12.75" hidden="true" customHeight="true" outlineLevel="0" collapsed="false">
      <c r="A428" s="558" t="n">
        <v>25520</v>
      </c>
      <c r="B428" s="559" t="s">
        <v>12643</v>
      </c>
      <c r="C428" s="559" t="n">
        <v>2015</v>
      </c>
      <c r="D428" s="560" t="n">
        <v>42221</v>
      </c>
      <c r="E428" s="559" t="s">
        <v>12644</v>
      </c>
      <c r="F428" s="559" t="s">
        <v>12645</v>
      </c>
      <c r="G428" s="559" t="s">
        <v>441</v>
      </c>
      <c r="H428" s="559" t="s">
        <v>250</v>
      </c>
      <c r="I428" s="560" t="n">
        <v>44146</v>
      </c>
      <c r="J428" s="559" t="n">
        <v>11</v>
      </c>
      <c r="K428" s="577" t="s">
        <v>46</v>
      </c>
      <c r="L428" s="559" t="s">
        <v>10018</v>
      </c>
      <c r="M428" s="545" t="n">
        <f aca="false">I428-D428</f>
        <v>1925</v>
      </c>
    </row>
    <row r="429" customFormat="false" ht="12.75" hidden="true" customHeight="true" outlineLevel="0" collapsed="false">
      <c r="A429" s="562" t="n">
        <v>25620</v>
      </c>
      <c r="B429" s="563" t="s">
        <v>12646</v>
      </c>
      <c r="C429" s="563" t="n">
        <v>2018</v>
      </c>
      <c r="D429" s="564" t="n">
        <v>43138</v>
      </c>
      <c r="E429" s="563" t="s">
        <v>12647</v>
      </c>
      <c r="F429" s="563" t="s">
        <v>12648</v>
      </c>
      <c r="G429" s="563" t="s">
        <v>441</v>
      </c>
      <c r="H429" s="563" t="s">
        <v>1434</v>
      </c>
      <c r="I429" s="564" t="n">
        <v>44146</v>
      </c>
      <c r="J429" s="563" t="n">
        <v>11</v>
      </c>
      <c r="K429" s="571" t="s">
        <v>48</v>
      </c>
      <c r="L429" s="563" t="s">
        <v>10018</v>
      </c>
      <c r="M429" s="546" t="n">
        <f aca="false">I429-D429</f>
        <v>1008</v>
      </c>
    </row>
    <row r="430" customFormat="false" ht="12.75" hidden="true" customHeight="true" outlineLevel="0" collapsed="false">
      <c r="A430" s="558" t="n">
        <v>25720</v>
      </c>
      <c r="B430" s="559" t="s">
        <v>12649</v>
      </c>
      <c r="C430" s="559" t="n">
        <v>2020</v>
      </c>
      <c r="D430" s="560" t="n">
        <v>43993</v>
      </c>
      <c r="E430" s="559" t="s">
        <v>12650</v>
      </c>
      <c r="F430" s="573" t="s">
        <v>10768</v>
      </c>
      <c r="G430" s="559" t="s">
        <v>130</v>
      </c>
      <c r="H430" s="559" t="s">
        <v>980</v>
      </c>
      <c r="I430" s="560" t="n">
        <v>44146</v>
      </c>
      <c r="J430" s="559" t="n">
        <v>11</v>
      </c>
      <c r="K430" s="571" t="s">
        <v>49</v>
      </c>
      <c r="L430" s="559" t="s">
        <v>10445</v>
      </c>
      <c r="M430" s="545" t="n">
        <f aca="false">I430-D430</f>
        <v>153</v>
      </c>
    </row>
    <row r="431" customFormat="false" ht="12.75" hidden="true" customHeight="true" outlineLevel="0" collapsed="false">
      <c r="A431" s="562" t="n">
        <v>25820</v>
      </c>
      <c r="B431" s="563" t="s">
        <v>12651</v>
      </c>
      <c r="C431" s="563" t="n">
        <v>2013</v>
      </c>
      <c r="D431" s="564" t="n">
        <v>43131</v>
      </c>
      <c r="E431" s="563" t="s">
        <v>12652</v>
      </c>
      <c r="F431" s="563" t="s">
        <v>6246</v>
      </c>
      <c r="G431" s="563" t="s">
        <v>441</v>
      </c>
      <c r="H431" s="563" t="s">
        <v>7363</v>
      </c>
      <c r="I431" s="564" t="n">
        <v>44146</v>
      </c>
      <c r="J431" s="563" t="n">
        <v>11</v>
      </c>
      <c r="K431" s="571" t="s">
        <v>48</v>
      </c>
      <c r="L431" s="563" t="s">
        <v>10013</v>
      </c>
      <c r="M431" s="546" t="n">
        <f aca="false">I431-D431</f>
        <v>1015</v>
      </c>
    </row>
    <row r="432" customFormat="false" ht="12.75" hidden="true" customHeight="true" outlineLevel="0" collapsed="false">
      <c r="A432" s="558" t="n">
        <v>25920</v>
      </c>
      <c r="B432" s="559" t="s">
        <v>12653</v>
      </c>
      <c r="C432" s="559" t="n">
        <v>2013</v>
      </c>
      <c r="D432" s="560" t="n">
        <v>41291</v>
      </c>
      <c r="E432" s="559" t="s">
        <v>12654</v>
      </c>
      <c r="F432" s="559" t="s">
        <v>8456</v>
      </c>
      <c r="G432" s="559" t="s">
        <v>441</v>
      </c>
      <c r="H432" s="559" t="s">
        <v>184</v>
      </c>
      <c r="I432" s="560" t="n">
        <v>44148</v>
      </c>
      <c r="J432" s="559" t="n">
        <v>11</v>
      </c>
      <c r="K432" s="571" t="s">
        <v>49</v>
      </c>
      <c r="L432" s="559" t="s">
        <v>10018</v>
      </c>
      <c r="M432" s="545" t="n">
        <f aca="false">I432-D432</f>
        <v>2857</v>
      </c>
    </row>
    <row r="433" customFormat="false" ht="12.75" hidden="true" customHeight="true" outlineLevel="0" collapsed="false">
      <c r="A433" s="562" t="n">
        <v>26020</v>
      </c>
      <c r="B433" s="563" t="s">
        <v>12655</v>
      </c>
      <c r="C433" s="563" t="n">
        <v>2015</v>
      </c>
      <c r="D433" s="564" t="n">
        <v>42339</v>
      </c>
      <c r="E433" s="563" t="s">
        <v>12656</v>
      </c>
      <c r="F433" s="563" t="s">
        <v>449</v>
      </c>
      <c r="G433" s="563" t="s">
        <v>441</v>
      </c>
      <c r="H433" s="563" t="s">
        <v>354</v>
      </c>
      <c r="I433" s="564" t="n">
        <v>44148</v>
      </c>
      <c r="J433" s="563" t="n">
        <v>11</v>
      </c>
      <c r="K433" s="571" t="s">
        <v>48</v>
      </c>
      <c r="L433" s="563" t="s">
        <v>10018</v>
      </c>
      <c r="M433" s="546" t="n">
        <f aca="false">I433-D433</f>
        <v>1809</v>
      </c>
    </row>
    <row r="434" customFormat="false" ht="12.75" hidden="true" customHeight="true" outlineLevel="0" collapsed="false">
      <c r="A434" s="558" t="n">
        <v>26120</v>
      </c>
      <c r="B434" s="559" t="s">
        <v>12657</v>
      </c>
      <c r="C434" s="559" t="n">
        <v>2018</v>
      </c>
      <c r="D434" s="560" t="n">
        <v>43236</v>
      </c>
      <c r="E434" s="559" t="s">
        <v>12658</v>
      </c>
      <c r="F434" s="559" t="s">
        <v>2459</v>
      </c>
      <c r="G434" s="559" t="s">
        <v>441</v>
      </c>
      <c r="H434" s="559" t="s">
        <v>5486</v>
      </c>
      <c r="I434" s="560" t="n">
        <v>44148</v>
      </c>
      <c r="J434" s="559" t="n">
        <v>11</v>
      </c>
      <c r="K434" s="571" t="s">
        <v>49</v>
      </c>
      <c r="L434" s="559" t="s">
        <v>10013</v>
      </c>
      <c r="M434" s="545" t="n">
        <f aca="false">I434-D434</f>
        <v>912</v>
      </c>
    </row>
    <row r="435" customFormat="false" ht="12.75" hidden="true" customHeight="true" outlineLevel="0" collapsed="false">
      <c r="A435" s="562" t="n">
        <v>26220</v>
      </c>
      <c r="B435" s="563" t="s">
        <v>12659</v>
      </c>
      <c r="C435" s="563" t="n">
        <v>2018</v>
      </c>
      <c r="D435" s="564" t="n">
        <v>43431</v>
      </c>
      <c r="E435" s="563" t="s">
        <v>12660</v>
      </c>
      <c r="F435" s="563" t="s">
        <v>1243</v>
      </c>
      <c r="G435" s="563" t="s">
        <v>441</v>
      </c>
      <c r="H435" s="563" t="s">
        <v>350</v>
      </c>
      <c r="I435" s="564" t="n">
        <v>44151</v>
      </c>
      <c r="J435" s="563" t="n">
        <v>11</v>
      </c>
      <c r="K435" s="571" t="s">
        <v>48</v>
      </c>
      <c r="L435" s="563" t="s">
        <v>10013</v>
      </c>
      <c r="M435" s="546" t="n">
        <f aca="false">I435-D435</f>
        <v>720</v>
      </c>
    </row>
    <row r="436" customFormat="false" ht="12.75" hidden="true" customHeight="true" outlineLevel="0" collapsed="false">
      <c r="A436" s="558" t="n">
        <v>26320</v>
      </c>
      <c r="B436" s="559" t="s">
        <v>12661</v>
      </c>
      <c r="C436" s="559" t="n">
        <v>2017</v>
      </c>
      <c r="D436" s="560" t="n">
        <v>42895</v>
      </c>
      <c r="E436" s="559" t="s">
        <v>12662</v>
      </c>
      <c r="F436" s="559" t="s">
        <v>180</v>
      </c>
      <c r="G436" s="559" t="s">
        <v>441</v>
      </c>
      <c r="H436" s="559" t="s">
        <v>513</v>
      </c>
      <c r="I436" s="560" t="n">
        <v>44151</v>
      </c>
      <c r="J436" s="559" t="n">
        <v>11</v>
      </c>
      <c r="K436" s="571" t="s">
        <v>49</v>
      </c>
      <c r="L436" s="559" t="s">
        <v>10018</v>
      </c>
      <c r="M436" s="545" t="n">
        <f aca="false">I436-D436</f>
        <v>1256</v>
      </c>
    </row>
    <row r="437" customFormat="false" ht="12.75" hidden="true" customHeight="true" outlineLevel="0" collapsed="false">
      <c r="A437" s="562" t="n">
        <v>26420</v>
      </c>
      <c r="B437" s="563" t="s">
        <v>12663</v>
      </c>
      <c r="C437" s="563" t="n">
        <v>2017</v>
      </c>
      <c r="D437" s="564" t="n">
        <v>42895</v>
      </c>
      <c r="E437" s="563" t="s">
        <v>12664</v>
      </c>
      <c r="F437" s="563" t="s">
        <v>180</v>
      </c>
      <c r="G437" s="563" t="s">
        <v>441</v>
      </c>
      <c r="H437" s="563" t="s">
        <v>513</v>
      </c>
      <c r="I437" s="564" t="n">
        <v>44151</v>
      </c>
      <c r="J437" s="563" t="n">
        <v>11</v>
      </c>
      <c r="K437" s="571" t="s">
        <v>49</v>
      </c>
      <c r="L437" s="563" t="s">
        <v>10018</v>
      </c>
      <c r="M437" s="546" t="n">
        <f aca="false">I437-D437</f>
        <v>1256</v>
      </c>
    </row>
    <row r="438" customFormat="false" ht="12.75" hidden="true" customHeight="true" outlineLevel="0" collapsed="false">
      <c r="A438" s="558" t="n">
        <v>26520</v>
      </c>
      <c r="B438" s="559" t="s">
        <v>12665</v>
      </c>
      <c r="C438" s="559" t="n">
        <v>2017</v>
      </c>
      <c r="D438" s="560" t="n">
        <v>42895</v>
      </c>
      <c r="E438" s="559" t="s">
        <v>12666</v>
      </c>
      <c r="F438" s="559" t="s">
        <v>180</v>
      </c>
      <c r="G438" s="559" t="s">
        <v>441</v>
      </c>
      <c r="H438" s="559" t="s">
        <v>513</v>
      </c>
      <c r="I438" s="560" t="n">
        <v>44151</v>
      </c>
      <c r="J438" s="559" t="n">
        <v>11</v>
      </c>
      <c r="K438" s="571" t="s">
        <v>49</v>
      </c>
      <c r="L438" s="559" t="s">
        <v>10018</v>
      </c>
      <c r="M438" s="545" t="n">
        <f aca="false">I438-D438</f>
        <v>1256</v>
      </c>
    </row>
    <row r="439" customFormat="false" ht="12.75" hidden="true" customHeight="true" outlineLevel="0" collapsed="false">
      <c r="A439" s="562" t="n">
        <v>26620</v>
      </c>
      <c r="B439" s="563" t="s">
        <v>12667</v>
      </c>
      <c r="C439" s="563" t="n">
        <v>2012</v>
      </c>
      <c r="D439" s="564" t="n">
        <v>43272</v>
      </c>
      <c r="E439" s="563" t="s">
        <v>12668</v>
      </c>
      <c r="F439" s="563" t="s">
        <v>168</v>
      </c>
      <c r="G439" s="563" t="s">
        <v>144</v>
      </c>
      <c r="H439" s="563" t="s">
        <v>267</v>
      </c>
      <c r="I439" s="564" t="n">
        <v>44151</v>
      </c>
      <c r="J439" s="563" t="n">
        <v>11</v>
      </c>
      <c r="K439" s="578" t="s">
        <v>44</v>
      </c>
      <c r="L439" s="563" t="s">
        <v>10018</v>
      </c>
      <c r="M439" s="546" t="n">
        <f aca="false">I439-D439</f>
        <v>879</v>
      </c>
    </row>
    <row r="440" customFormat="false" ht="12.75" hidden="true" customHeight="true" outlineLevel="0" collapsed="false">
      <c r="A440" s="558" t="n">
        <v>26720</v>
      </c>
      <c r="B440" s="559" t="s">
        <v>12669</v>
      </c>
      <c r="C440" s="559" t="n">
        <v>2019</v>
      </c>
      <c r="D440" s="560" t="n">
        <v>43795</v>
      </c>
      <c r="E440" s="559" t="s">
        <v>12670</v>
      </c>
      <c r="F440" s="573" t="s">
        <v>12671</v>
      </c>
      <c r="G440" s="559" t="s">
        <v>125</v>
      </c>
      <c r="H440" s="559" t="s">
        <v>10832</v>
      </c>
      <c r="I440" s="560" t="n">
        <v>44172</v>
      </c>
      <c r="J440" s="559" t="n">
        <v>12</v>
      </c>
      <c r="K440" s="571" t="s">
        <v>49</v>
      </c>
      <c r="L440" s="559" t="s">
        <v>10445</v>
      </c>
      <c r="M440" s="545" t="n">
        <f aca="false">I440-D440</f>
        <v>377</v>
      </c>
    </row>
    <row r="441" customFormat="false" ht="12.75" hidden="true" customHeight="true" outlineLevel="0" collapsed="false">
      <c r="A441" s="562" t="n">
        <v>26820</v>
      </c>
      <c r="B441" s="563" t="s">
        <v>12672</v>
      </c>
      <c r="C441" s="563" t="n">
        <v>2013</v>
      </c>
      <c r="D441" s="564" t="n">
        <v>41400</v>
      </c>
      <c r="E441" s="563" t="s">
        <v>12673</v>
      </c>
      <c r="F441" s="563" t="s">
        <v>172</v>
      </c>
      <c r="G441" s="563" t="s">
        <v>441</v>
      </c>
      <c r="H441" s="563" t="s">
        <v>2278</v>
      </c>
      <c r="I441" s="564" t="n">
        <v>44172</v>
      </c>
      <c r="J441" s="563" t="n">
        <v>12</v>
      </c>
      <c r="K441" s="571" t="s">
        <v>48</v>
      </c>
      <c r="L441" s="563" t="s">
        <v>10018</v>
      </c>
      <c r="M441" s="546" t="n">
        <f aca="false">I441-D441</f>
        <v>2772</v>
      </c>
    </row>
    <row r="442" customFormat="false" ht="12.75" hidden="true" customHeight="true" outlineLevel="0" collapsed="false">
      <c r="A442" s="558" t="n">
        <v>26920</v>
      </c>
      <c r="B442" s="559" t="s">
        <v>12674</v>
      </c>
      <c r="C442" s="559" t="n">
        <v>2012</v>
      </c>
      <c r="D442" s="560" t="n">
        <v>41269</v>
      </c>
      <c r="E442" s="559" t="s">
        <v>12675</v>
      </c>
      <c r="F442" s="559" t="s">
        <v>12676</v>
      </c>
      <c r="G442" s="559" t="s">
        <v>441</v>
      </c>
      <c r="H442" s="559" t="s">
        <v>119</v>
      </c>
      <c r="I442" s="560" t="n">
        <v>44172</v>
      </c>
      <c r="J442" s="559" t="n">
        <v>12</v>
      </c>
      <c r="K442" s="571" t="s">
        <v>49</v>
      </c>
      <c r="L442" s="559" t="s">
        <v>10013</v>
      </c>
      <c r="M442" s="545" t="n">
        <f aca="false">I442-D442</f>
        <v>2903</v>
      </c>
    </row>
    <row r="443" customFormat="false" ht="15" hidden="true" customHeight="true" outlineLevel="0" collapsed="false">
      <c r="A443" s="562" t="n">
        <v>27020</v>
      </c>
      <c r="B443" s="563" t="s">
        <v>12677</v>
      </c>
      <c r="C443" s="563" t="n">
        <v>2020</v>
      </c>
      <c r="D443" s="564" t="n">
        <v>44018</v>
      </c>
      <c r="E443" s="563" t="s">
        <v>12678</v>
      </c>
      <c r="F443" s="563" t="s">
        <v>6315</v>
      </c>
      <c r="G443" s="563" t="s">
        <v>12679</v>
      </c>
      <c r="H443" s="563" t="s">
        <v>10678</v>
      </c>
      <c r="I443" s="564" t="n">
        <v>44172</v>
      </c>
      <c r="J443" s="563" t="n">
        <v>12</v>
      </c>
      <c r="K443" s="571" t="s">
        <v>49</v>
      </c>
      <c r="L443" s="563" t="s">
        <v>10445</v>
      </c>
      <c r="M443" s="546" t="n">
        <f aca="false">I443-D443</f>
        <v>154</v>
      </c>
    </row>
    <row r="444" customFormat="false" ht="12.75" hidden="true" customHeight="true" outlineLevel="0" collapsed="false">
      <c r="A444" s="558" t="n">
        <v>27120</v>
      </c>
      <c r="B444" s="559" t="s">
        <v>12680</v>
      </c>
      <c r="C444" s="559" t="n">
        <v>2013</v>
      </c>
      <c r="D444" s="560" t="n">
        <v>41632</v>
      </c>
      <c r="E444" s="559" t="s">
        <v>12681</v>
      </c>
      <c r="F444" s="559" t="s">
        <v>168</v>
      </c>
      <c r="G444" s="559" t="s">
        <v>144</v>
      </c>
      <c r="H444" s="559" t="s">
        <v>544</v>
      </c>
      <c r="I444" s="560" t="n">
        <v>44172</v>
      </c>
      <c r="J444" s="559" t="n">
        <v>12</v>
      </c>
      <c r="K444" s="571" t="s">
        <v>49</v>
      </c>
      <c r="L444" s="559" t="s">
        <v>10018</v>
      </c>
      <c r="M444" s="545" t="n">
        <f aca="false">I444-D444</f>
        <v>2540</v>
      </c>
    </row>
    <row r="445" customFormat="false" ht="12.75" hidden="true" customHeight="true" outlineLevel="0" collapsed="false">
      <c r="A445" s="562" t="n">
        <v>27220</v>
      </c>
      <c r="B445" s="563" t="s">
        <v>12682</v>
      </c>
      <c r="C445" s="563" t="n">
        <v>2020</v>
      </c>
      <c r="D445" s="564" t="n">
        <v>44013</v>
      </c>
      <c r="E445" s="563" t="s">
        <v>12683</v>
      </c>
      <c r="F445" s="563" t="s">
        <v>10875</v>
      </c>
      <c r="G445" s="563" t="s">
        <v>130</v>
      </c>
      <c r="H445" s="563" t="s">
        <v>12684</v>
      </c>
      <c r="I445" s="564" t="n">
        <v>44172</v>
      </c>
      <c r="J445" s="563" t="n">
        <v>12</v>
      </c>
      <c r="K445" s="565" t="s">
        <v>51</v>
      </c>
      <c r="L445" s="563" t="s">
        <v>10445</v>
      </c>
      <c r="M445" s="546" t="n">
        <f aca="false">I445-D445</f>
        <v>159</v>
      </c>
    </row>
    <row r="446" customFormat="false" ht="12.75" hidden="true" customHeight="true" outlineLevel="0" collapsed="false">
      <c r="A446" s="558" t="n">
        <v>27320</v>
      </c>
      <c r="B446" s="559" t="s">
        <v>12685</v>
      </c>
      <c r="C446" s="559" t="n">
        <v>2014</v>
      </c>
      <c r="D446" s="560" t="n">
        <v>41737</v>
      </c>
      <c r="E446" s="559" t="s">
        <v>12686</v>
      </c>
      <c r="F446" s="559" t="s">
        <v>11091</v>
      </c>
      <c r="G446" s="559" t="s">
        <v>441</v>
      </c>
      <c r="H446" s="559" t="s">
        <v>471</v>
      </c>
      <c r="I446" s="560" t="n">
        <v>44172</v>
      </c>
      <c r="J446" s="559" t="n">
        <v>12</v>
      </c>
      <c r="K446" s="571" t="s">
        <v>49</v>
      </c>
      <c r="L446" s="559" t="s">
        <v>10013</v>
      </c>
      <c r="M446" s="545" t="n">
        <f aca="false">I446-D446</f>
        <v>2435</v>
      </c>
    </row>
    <row r="447" customFormat="false" ht="15" hidden="true" customHeight="true" outlineLevel="0" collapsed="false">
      <c r="A447" s="562" t="n">
        <v>27420</v>
      </c>
      <c r="B447" s="563" t="s">
        <v>12687</v>
      </c>
      <c r="C447" s="563" t="n">
        <v>2011</v>
      </c>
      <c r="D447" s="564" t="n">
        <v>40560</v>
      </c>
      <c r="E447" s="563" t="s">
        <v>12688</v>
      </c>
      <c r="F447" s="563" t="s">
        <v>521</v>
      </c>
      <c r="G447" s="563" t="s">
        <v>441</v>
      </c>
      <c r="H447" s="563" t="s">
        <v>12689</v>
      </c>
      <c r="I447" s="564" t="n">
        <v>44172</v>
      </c>
      <c r="J447" s="563" t="n">
        <v>12</v>
      </c>
      <c r="K447" s="571" t="s">
        <v>48</v>
      </c>
      <c r="L447" s="563" t="s">
        <v>10013</v>
      </c>
      <c r="M447" s="546" t="n">
        <f aca="false">I447-D447</f>
        <v>3612</v>
      </c>
    </row>
    <row r="448" customFormat="false" ht="12.75" hidden="true" customHeight="true" outlineLevel="0" collapsed="false">
      <c r="A448" s="558" t="n">
        <v>27520</v>
      </c>
      <c r="B448" s="559" t="s">
        <v>12690</v>
      </c>
      <c r="C448" s="559" t="n">
        <v>2019</v>
      </c>
      <c r="D448" s="560" t="n">
        <v>43670</v>
      </c>
      <c r="E448" s="559" t="s">
        <v>12691</v>
      </c>
      <c r="F448" s="559" t="s">
        <v>12692</v>
      </c>
      <c r="G448" s="559" t="s">
        <v>130</v>
      </c>
      <c r="H448" s="559" t="s">
        <v>3707</v>
      </c>
      <c r="I448" s="560" t="n">
        <v>44172</v>
      </c>
      <c r="J448" s="559" t="n">
        <v>12</v>
      </c>
      <c r="K448" s="565" t="s">
        <v>51</v>
      </c>
      <c r="L448" s="559" t="s">
        <v>10445</v>
      </c>
      <c r="M448" s="545" t="n">
        <f aca="false">I448-D448</f>
        <v>502</v>
      </c>
    </row>
    <row r="449" customFormat="false" ht="12.75" hidden="true" customHeight="true" outlineLevel="0" collapsed="false">
      <c r="A449" s="562" t="n">
        <v>27620</v>
      </c>
      <c r="B449" s="563" t="s">
        <v>12693</v>
      </c>
      <c r="C449" s="563" t="n">
        <v>2015</v>
      </c>
      <c r="D449" s="564" t="n">
        <v>42118</v>
      </c>
      <c r="E449" s="563" t="s">
        <v>12694</v>
      </c>
      <c r="F449" s="563" t="s">
        <v>668</v>
      </c>
      <c r="G449" s="563" t="s">
        <v>441</v>
      </c>
      <c r="H449" s="563" t="s">
        <v>2654</v>
      </c>
      <c r="I449" s="564" t="n">
        <v>44172</v>
      </c>
      <c r="J449" s="563" t="n">
        <v>12</v>
      </c>
      <c r="K449" s="577" t="s">
        <v>46</v>
      </c>
      <c r="L449" s="563" t="s">
        <v>10018</v>
      </c>
      <c r="M449" s="546" t="n">
        <f aca="false">I449-D449</f>
        <v>2054</v>
      </c>
    </row>
    <row r="450" customFormat="false" ht="12.75" hidden="true" customHeight="true" outlineLevel="0" collapsed="false">
      <c r="A450" s="558" t="n">
        <v>27720</v>
      </c>
      <c r="B450" s="559" t="s">
        <v>12695</v>
      </c>
      <c r="C450" s="559" t="n">
        <v>2016</v>
      </c>
      <c r="D450" s="560" t="n">
        <v>42580</v>
      </c>
      <c r="E450" s="559" t="s">
        <v>12696</v>
      </c>
      <c r="F450" s="559" t="s">
        <v>12697</v>
      </c>
      <c r="G450" s="559" t="s">
        <v>441</v>
      </c>
      <c r="H450" s="559" t="s">
        <v>114</v>
      </c>
      <c r="I450" s="560" t="n">
        <v>44172</v>
      </c>
      <c r="J450" s="559" t="n">
        <v>12</v>
      </c>
      <c r="K450" s="571" t="s">
        <v>49</v>
      </c>
      <c r="L450" s="559" t="s">
        <v>10013</v>
      </c>
      <c r="M450" s="545" t="n">
        <f aca="false">I450-D450</f>
        <v>1592</v>
      </c>
    </row>
    <row r="451" customFormat="false" ht="12.75" hidden="true" customHeight="true" outlineLevel="0" collapsed="false">
      <c r="A451" s="562" t="n">
        <v>27820</v>
      </c>
      <c r="B451" s="563" t="s">
        <v>12698</v>
      </c>
      <c r="C451" s="563" t="n">
        <v>2014</v>
      </c>
      <c r="D451" s="564" t="n">
        <v>41848</v>
      </c>
      <c r="E451" s="563" t="s">
        <v>12699</v>
      </c>
      <c r="F451" s="563" t="s">
        <v>12700</v>
      </c>
      <c r="G451" s="563" t="s">
        <v>441</v>
      </c>
      <c r="H451" s="563" t="s">
        <v>208</v>
      </c>
      <c r="I451" s="564" t="n">
        <v>44172</v>
      </c>
      <c r="J451" s="563" t="n">
        <v>12</v>
      </c>
      <c r="K451" s="571" t="s">
        <v>49</v>
      </c>
      <c r="L451" s="563" t="s">
        <v>10018</v>
      </c>
      <c r="M451" s="546" t="n">
        <f aca="false">I451-D451</f>
        <v>2324</v>
      </c>
    </row>
    <row r="452" customFormat="false" ht="12.75" hidden="true" customHeight="true" outlineLevel="0" collapsed="false">
      <c r="A452" s="558" t="n">
        <v>27920</v>
      </c>
      <c r="B452" s="559" t="s">
        <v>12701</v>
      </c>
      <c r="C452" s="559" t="n">
        <v>2012</v>
      </c>
      <c r="D452" s="560" t="n">
        <v>41185</v>
      </c>
      <c r="E452" s="559" t="s">
        <v>12702</v>
      </c>
      <c r="F452" s="559" t="s">
        <v>2151</v>
      </c>
      <c r="G452" s="559" t="s">
        <v>441</v>
      </c>
      <c r="H452" s="559" t="s">
        <v>4205</v>
      </c>
      <c r="I452" s="560" t="n">
        <v>44172</v>
      </c>
      <c r="J452" s="559" t="n">
        <v>12</v>
      </c>
      <c r="K452" s="571" t="s">
        <v>49</v>
      </c>
      <c r="L452" s="559" t="s">
        <v>10018</v>
      </c>
      <c r="M452" s="545" t="n">
        <f aca="false">I452-D452</f>
        <v>2987</v>
      </c>
    </row>
    <row r="453" customFormat="false" ht="12.75" hidden="true" customHeight="true" outlineLevel="0" collapsed="false">
      <c r="A453" s="562" t="n">
        <v>28020</v>
      </c>
      <c r="B453" s="563" t="s">
        <v>12703</v>
      </c>
      <c r="C453" s="563" t="n">
        <v>2012</v>
      </c>
      <c r="D453" s="564" t="n">
        <v>41128</v>
      </c>
      <c r="E453" s="563" t="s">
        <v>12704</v>
      </c>
      <c r="F453" s="563" t="s">
        <v>6460</v>
      </c>
      <c r="G453" s="563" t="s">
        <v>441</v>
      </c>
      <c r="H453" s="563" t="s">
        <v>471</v>
      </c>
      <c r="I453" s="564" t="n">
        <v>44172</v>
      </c>
      <c r="J453" s="563" t="n">
        <v>12</v>
      </c>
      <c r="K453" s="571" t="s">
        <v>49</v>
      </c>
      <c r="L453" s="563" t="s">
        <v>10013</v>
      </c>
      <c r="M453" s="546" t="n">
        <f aca="false">I453-D453</f>
        <v>3044</v>
      </c>
    </row>
    <row r="454" customFormat="false" ht="12.75" hidden="true" customHeight="true" outlineLevel="0" collapsed="false">
      <c r="A454" s="558" t="n">
        <v>28120</v>
      </c>
      <c r="B454" s="559" t="s">
        <v>12705</v>
      </c>
      <c r="C454" s="559" t="n">
        <v>2013</v>
      </c>
      <c r="D454" s="560" t="n">
        <v>41631</v>
      </c>
      <c r="E454" s="559" t="s">
        <v>12706</v>
      </c>
      <c r="F454" s="559" t="s">
        <v>12707</v>
      </c>
      <c r="G454" s="559" t="s">
        <v>441</v>
      </c>
      <c r="H454" s="559" t="s">
        <v>471</v>
      </c>
      <c r="I454" s="560" t="n">
        <v>44172</v>
      </c>
      <c r="J454" s="559" t="n">
        <v>12</v>
      </c>
      <c r="K454" s="571" t="s">
        <v>49</v>
      </c>
      <c r="L454" s="559" t="s">
        <v>10013</v>
      </c>
      <c r="M454" s="545" t="n">
        <f aca="false">I454-D454</f>
        <v>2541</v>
      </c>
    </row>
    <row r="455" customFormat="false" ht="12.75" hidden="true" customHeight="true" outlineLevel="0" collapsed="false">
      <c r="A455" s="562" t="n">
        <v>28220</v>
      </c>
      <c r="B455" s="563" t="s">
        <v>12708</v>
      </c>
      <c r="C455" s="563" t="n">
        <v>2011</v>
      </c>
      <c r="D455" s="564" t="n">
        <v>40743</v>
      </c>
      <c r="E455" s="563" t="s">
        <v>12709</v>
      </c>
      <c r="F455" s="563" t="s">
        <v>1490</v>
      </c>
      <c r="G455" s="563" t="s">
        <v>441</v>
      </c>
      <c r="H455" s="563" t="s">
        <v>12710</v>
      </c>
      <c r="I455" s="564" t="n">
        <v>44172</v>
      </c>
      <c r="J455" s="563" t="n">
        <v>12</v>
      </c>
      <c r="K455" s="571" t="s">
        <v>48</v>
      </c>
      <c r="L455" s="563" t="s">
        <v>10018</v>
      </c>
      <c r="M455" s="546" t="n">
        <f aca="false">I455-D455</f>
        <v>3429</v>
      </c>
    </row>
    <row r="456" customFormat="false" ht="12.75" hidden="true" customHeight="true" outlineLevel="0" collapsed="false">
      <c r="A456" s="558" t="n">
        <v>28320</v>
      </c>
      <c r="B456" s="559" t="s">
        <v>12711</v>
      </c>
      <c r="C456" s="559" t="n">
        <v>2017</v>
      </c>
      <c r="D456" s="560" t="n">
        <v>43096</v>
      </c>
      <c r="E456" s="559" t="s">
        <v>12712</v>
      </c>
      <c r="F456" s="559" t="s">
        <v>12713</v>
      </c>
      <c r="G456" s="559" t="s">
        <v>441</v>
      </c>
      <c r="H456" s="559" t="s">
        <v>1059</v>
      </c>
      <c r="I456" s="560" t="n">
        <v>44172</v>
      </c>
      <c r="J456" s="559" t="n">
        <v>12</v>
      </c>
      <c r="K456" s="571" t="s">
        <v>49</v>
      </c>
      <c r="L456" s="559" t="s">
        <v>10018</v>
      </c>
      <c r="M456" s="545" t="n">
        <f aca="false">I456-D456</f>
        <v>1076</v>
      </c>
    </row>
    <row r="457" customFormat="false" ht="12.75" hidden="true" customHeight="true" outlineLevel="0" collapsed="false">
      <c r="A457" s="562" t="n">
        <v>28420</v>
      </c>
      <c r="B457" s="563" t="s">
        <v>12714</v>
      </c>
      <c r="C457" s="563" t="n">
        <v>2020</v>
      </c>
      <c r="D457" s="564" t="n">
        <v>44011</v>
      </c>
      <c r="E457" s="563" t="s">
        <v>12715</v>
      </c>
      <c r="F457" s="572" t="s">
        <v>6303</v>
      </c>
      <c r="G457" s="563" t="s">
        <v>130</v>
      </c>
      <c r="H457" s="563" t="s">
        <v>684</v>
      </c>
      <c r="I457" s="564" t="n">
        <v>44172</v>
      </c>
      <c r="J457" s="563" t="n">
        <v>12</v>
      </c>
      <c r="K457" s="571" t="s">
        <v>49</v>
      </c>
      <c r="L457" s="563" t="s">
        <v>10445</v>
      </c>
      <c r="M457" s="546" t="n">
        <f aca="false">I457-D457</f>
        <v>161</v>
      </c>
    </row>
    <row r="458" customFormat="false" ht="12.75" hidden="true" customHeight="true" outlineLevel="0" collapsed="false">
      <c r="A458" s="558" t="n">
        <v>28520</v>
      </c>
      <c r="B458" s="559" t="s">
        <v>12716</v>
      </c>
      <c r="C458" s="559" t="n">
        <v>2018</v>
      </c>
      <c r="D458" s="560" t="n">
        <v>43461</v>
      </c>
      <c r="E458" s="559" t="s">
        <v>12717</v>
      </c>
      <c r="F458" s="559" t="s">
        <v>699</v>
      </c>
      <c r="G458" s="559" t="s">
        <v>441</v>
      </c>
      <c r="H458" s="559" t="s">
        <v>4668</v>
      </c>
      <c r="I458" s="560" t="n">
        <v>44172</v>
      </c>
      <c r="J458" s="559" t="n">
        <v>12</v>
      </c>
      <c r="K458" s="571" t="s">
        <v>49</v>
      </c>
      <c r="L458" s="559" t="s">
        <v>10013</v>
      </c>
      <c r="M458" s="545" t="n">
        <f aca="false">I458-D458</f>
        <v>711</v>
      </c>
    </row>
    <row r="459" customFormat="false" ht="12.75" hidden="true" customHeight="true" outlineLevel="0" collapsed="false">
      <c r="A459" s="562" t="n">
        <v>28620</v>
      </c>
      <c r="B459" s="563" t="s">
        <v>12718</v>
      </c>
      <c r="C459" s="563" t="n">
        <v>2019</v>
      </c>
      <c r="D459" s="564" t="n">
        <v>43543</v>
      </c>
      <c r="E459" s="563" t="s">
        <v>12719</v>
      </c>
      <c r="F459" s="563" t="s">
        <v>4103</v>
      </c>
      <c r="G459" s="563" t="s">
        <v>441</v>
      </c>
      <c r="H459" s="563" t="s">
        <v>471</v>
      </c>
      <c r="I459" s="564" t="n">
        <v>44172</v>
      </c>
      <c r="J459" s="563" t="n">
        <v>12</v>
      </c>
      <c r="K459" s="571" t="s">
        <v>48</v>
      </c>
      <c r="L459" s="563" t="s">
        <v>10018</v>
      </c>
      <c r="M459" s="546" t="n">
        <f aca="false">I459-D459</f>
        <v>629</v>
      </c>
    </row>
    <row r="460" customFormat="false" ht="12.75" hidden="true" customHeight="true" outlineLevel="0" collapsed="false">
      <c r="A460" s="558" t="n">
        <v>28720</v>
      </c>
      <c r="B460" s="559" t="s">
        <v>12720</v>
      </c>
      <c r="C460" s="559" t="n">
        <v>2016</v>
      </c>
      <c r="D460" s="560" t="n">
        <v>42503</v>
      </c>
      <c r="E460" s="559" t="s">
        <v>12721</v>
      </c>
      <c r="F460" s="559" t="s">
        <v>3190</v>
      </c>
      <c r="G460" s="559" t="s">
        <v>441</v>
      </c>
      <c r="H460" s="559" t="s">
        <v>9385</v>
      </c>
      <c r="I460" s="560" t="n">
        <v>44172</v>
      </c>
      <c r="J460" s="559" t="n">
        <v>12</v>
      </c>
      <c r="K460" s="571" t="s">
        <v>49</v>
      </c>
      <c r="L460" s="559" t="s">
        <v>10013</v>
      </c>
      <c r="M460" s="545" t="n">
        <f aca="false">I460-D460</f>
        <v>1669</v>
      </c>
    </row>
    <row r="461" customFormat="false" ht="12.75" hidden="true" customHeight="true" outlineLevel="0" collapsed="false">
      <c r="A461" s="562" t="n">
        <v>28820</v>
      </c>
      <c r="B461" s="563" t="s">
        <v>12722</v>
      </c>
      <c r="C461" s="563" t="n">
        <v>2018</v>
      </c>
      <c r="D461" s="564" t="n">
        <v>43331</v>
      </c>
      <c r="E461" s="563" t="s">
        <v>12723</v>
      </c>
      <c r="F461" s="563" t="s">
        <v>12724</v>
      </c>
      <c r="G461" s="563" t="s">
        <v>144</v>
      </c>
      <c r="H461" s="563" t="s">
        <v>119</v>
      </c>
      <c r="I461" s="564" t="n">
        <v>44172</v>
      </c>
      <c r="J461" s="563" t="n">
        <v>12</v>
      </c>
      <c r="K461" s="571" t="s">
        <v>49</v>
      </c>
      <c r="L461" s="563" t="s">
        <v>10018</v>
      </c>
      <c r="M461" s="546" t="n">
        <f aca="false">I461-D461</f>
        <v>841</v>
      </c>
    </row>
    <row r="462" customFormat="false" ht="12.75" hidden="true" customHeight="true" outlineLevel="0" collapsed="false">
      <c r="A462" s="558" t="n">
        <v>28920</v>
      </c>
      <c r="B462" s="559" t="s">
        <v>12725</v>
      </c>
      <c r="C462" s="559" t="n">
        <v>2016</v>
      </c>
      <c r="D462" s="560" t="n">
        <v>42733</v>
      </c>
      <c r="E462" s="559" t="s">
        <v>12726</v>
      </c>
      <c r="F462" s="559" t="s">
        <v>1273</v>
      </c>
      <c r="G462" s="559" t="s">
        <v>441</v>
      </c>
      <c r="H462" s="559" t="s">
        <v>1109</v>
      </c>
      <c r="I462" s="560" t="n">
        <v>44173</v>
      </c>
      <c r="J462" s="559" t="n">
        <v>12</v>
      </c>
      <c r="K462" s="571" t="s">
        <v>48</v>
      </c>
      <c r="L462" s="559" t="s">
        <v>10018</v>
      </c>
      <c r="M462" s="545" t="n">
        <f aca="false">I462-D462</f>
        <v>1440</v>
      </c>
    </row>
    <row r="463" customFormat="false" ht="12.75" hidden="true" customHeight="true" outlineLevel="0" collapsed="false">
      <c r="A463" s="562" t="n">
        <v>29020</v>
      </c>
      <c r="B463" s="563" t="s">
        <v>12727</v>
      </c>
      <c r="C463" s="563" t="n">
        <v>2019</v>
      </c>
      <c r="D463" s="564" t="n">
        <v>43790</v>
      </c>
      <c r="E463" s="563" t="s">
        <v>12728</v>
      </c>
      <c r="F463" s="572" t="s">
        <v>6315</v>
      </c>
      <c r="G463" s="563" t="s">
        <v>125</v>
      </c>
      <c r="H463" s="563" t="s">
        <v>149</v>
      </c>
      <c r="I463" s="564" t="n">
        <v>44173</v>
      </c>
      <c r="J463" s="563" t="n">
        <v>12</v>
      </c>
      <c r="K463" s="571" t="s">
        <v>49</v>
      </c>
      <c r="L463" s="563" t="s">
        <v>10445</v>
      </c>
      <c r="M463" s="546" t="n">
        <f aca="false">I463-D463</f>
        <v>383</v>
      </c>
    </row>
    <row r="464" customFormat="false" ht="12.75" hidden="true" customHeight="true" outlineLevel="0" collapsed="false">
      <c r="A464" s="558" t="n">
        <v>29120</v>
      </c>
      <c r="B464" s="559" t="s">
        <v>12729</v>
      </c>
      <c r="C464" s="559" t="n">
        <v>2016</v>
      </c>
      <c r="D464" s="560" t="n">
        <v>42418</v>
      </c>
      <c r="E464" s="559" t="s">
        <v>12730</v>
      </c>
      <c r="F464" s="559" t="s">
        <v>3190</v>
      </c>
      <c r="G464" s="559" t="s">
        <v>441</v>
      </c>
      <c r="H464" s="559" t="s">
        <v>192</v>
      </c>
      <c r="I464" s="560" t="n">
        <v>44174</v>
      </c>
      <c r="J464" s="559" t="n">
        <v>12</v>
      </c>
      <c r="K464" s="571" t="s">
        <v>49</v>
      </c>
      <c r="L464" s="559" t="s">
        <v>10013</v>
      </c>
      <c r="M464" s="545" t="n">
        <f aca="false">I464-D464</f>
        <v>1756</v>
      </c>
    </row>
    <row r="465" customFormat="false" ht="12.75" hidden="true" customHeight="true" outlineLevel="0" collapsed="false">
      <c r="A465" s="562" t="n">
        <v>29220</v>
      </c>
      <c r="B465" s="563" t="s">
        <v>12731</v>
      </c>
      <c r="C465" s="563" t="n">
        <v>2018</v>
      </c>
      <c r="D465" s="564" t="n">
        <v>43241</v>
      </c>
      <c r="E465" s="563" t="s">
        <v>12732</v>
      </c>
      <c r="F465" s="563" t="s">
        <v>491</v>
      </c>
      <c r="G465" s="563" t="s">
        <v>441</v>
      </c>
      <c r="H465" s="563" t="s">
        <v>184</v>
      </c>
      <c r="I465" s="564" t="n">
        <v>44175</v>
      </c>
      <c r="J465" s="563" t="n">
        <v>12</v>
      </c>
      <c r="K465" s="571" t="s">
        <v>49</v>
      </c>
      <c r="L465" s="563" t="s">
        <v>10013</v>
      </c>
      <c r="M465" s="546" t="n">
        <f aca="false">I465-D465</f>
        <v>934</v>
      </c>
    </row>
    <row r="466" customFormat="false" ht="12.75" hidden="true" customHeight="true" outlineLevel="0" collapsed="false">
      <c r="A466" s="558" t="n">
        <v>29320</v>
      </c>
      <c r="B466" s="559" t="s">
        <v>12733</v>
      </c>
      <c r="C466" s="559" t="n">
        <v>2014</v>
      </c>
      <c r="D466" s="560" t="n">
        <v>41729</v>
      </c>
      <c r="E466" s="559" t="s">
        <v>12734</v>
      </c>
      <c r="F466" s="559" t="s">
        <v>11980</v>
      </c>
      <c r="G466" s="559" t="s">
        <v>115</v>
      </c>
      <c r="H466" s="559" t="s">
        <v>5486</v>
      </c>
      <c r="I466" s="560" t="n">
        <v>44176</v>
      </c>
      <c r="J466" s="559" t="n">
        <v>12</v>
      </c>
      <c r="K466" s="578" t="s">
        <v>44</v>
      </c>
      <c r="L466" s="559" t="s">
        <v>10018</v>
      </c>
      <c r="M466" s="545" t="n">
        <f aca="false">I466-D466</f>
        <v>2447</v>
      </c>
    </row>
    <row r="467" customFormat="false" ht="12.75" hidden="true" customHeight="true" outlineLevel="0" collapsed="false">
      <c r="A467" s="562" t="n">
        <v>29420</v>
      </c>
      <c r="B467" s="563" t="s">
        <v>12735</v>
      </c>
      <c r="C467" s="563" t="n">
        <v>2015</v>
      </c>
      <c r="D467" s="564" t="n">
        <v>42153</v>
      </c>
      <c r="E467" s="563" t="s">
        <v>12736</v>
      </c>
      <c r="F467" s="563" t="s">
        <v>11980</v>
      </c>
      <c r="G467" s="563" t="s">
        <v>115</v>
      </c>
      <c r="H467" s="563" t="s">
        <v>5486</v>
      </c>
      <c r="I467" s="564" t="n">
        <v>44176</v>
      </c>
      <c r="J467" s="563" t="n">
        <v>12</v>
      </c>
      <c r="K467" s="578" t="s">
        <v>44</v>
      </c>
      <c r="L467" s="563" t="s">
        <v>10018</v>
      </c>
      <c r="M467" s="546" t="n">
        <f aca="false">I467-D467</f>
        <v>2023</v>
      </c>
    </row>
    <row r="468" customFormat="false" ht="12.75" hidden="true" customHeight="true" outlineLevel="0" collapsed="false">
      <c r="A468" s="558" t="n">
        <v>29520</v>
      </c>
      <c r="B468" s="559" t="s">
        <v>12737</v>
      </c>
      <c r="C468" s="559" t="n">
        <v>2015</v>
      </c>
      <c r="D468" s="560" t="n">
        <v>42297</v>
      </c>
      <c r="E468" s="559" t="s">
        <v>12738</v>
      </c>
      <c r="F468" s="559" t="s">
        <v>12739</v>
      </c>
      <c r="G468" s="559" t="s">
        <v>115</v>
      </c>
      <c r="H468" s="559" t="s">
        <v>5486</v>
      </c>
      <c r="I468" s="560" t="n">
        <v>44176</v>
      </c>
      <c r="J468" s="559" t="n">
        <v>12</v>
      </c>
      <c r="K468" s="578" t="s">
        <v>44</v>
      </c>
      <c r="L468" s="559" t="s">
        <v>10018</v>
      </c>
      <c r="M468" s="545" t="n">
        <f aca="false">I468-D468</f>
        <v>1879</v>
      </c>
    </row>
    <row r="469" customFormat="false" ht="12.75" hidden="true" customHeight="true" outlineLevel="0" collapsed="false">
      <c r="A469" s="562" t="n">
        <v>29620</v>
      </c>
      <c r="B469" s="563" t="s">
        <v>12740</v>
      </c>
      <c r="C469" s="563" t="n">
        <v>2010</v>
      </c>
      <c r="D469" s="564" t="n">
        <v>40506</v>
      </c>
      <c r="E469" s="563" t="s">
        <v>12741</v>
      </c>
      <c r="F469" s="563" t="s">
        <v>11980</v>
      </c>
      <c r="G469" s="563" t="s">
        <v>115</v>
      </c>
      <c r="H469" s="563" t="s">
        <v>5486</v>
      </c>
      <c r="I469" s="564" t="n">
        <v>44176</v>
      </c>
      <c r="J469" s="563" t="n">
        <v>12</v>
      </c>
      <c r="K469" s="578" t="s">
        <v>44</v>
      </c>
      <c r="L469" s="563" t="s">
        <v>10018</v>
      </c>
      <c r="M469" s="546" t="n">
        <f aca="false">I469-D469</f>
        <v>3670</v>
      </c>
    </row>
    <row r="470" customFormat="false" ht="12.75" hidden="true" customHeight="true" outlineLevel="0" collapsed="false">
      <c r="A470" s="558" t="n">
        <v>29720</v>
      </c>
      <c r="B470" s="559" t="s">
        <v>12742</v>
      </c>
      <c r="C470" s="559" t="n">
        <v>2020</v>
      </c>
      <c r="D470" s="560" t="n">
        <v>44090</v>
      </c>
      <c r="E470" s="559" t="s">
        <v>12743</v>
      </c>
      <c r="F470" s="573" t="s">
        <v>10932</v>
      </c>
      <c r="G470" s="559" t="s">
        <v>130</v>
      </c>
      <c r="H470" s="559" t="s">
        <v>629</v>
      </c>
      <c r="I470" s="560" t="n">
        <v>44176</v>
      </c>
      <c r="J470" s="559" t="n">
        <v>12</v>
      </c>
      <c r="K470" s="571" t="s">
        <v>49</v>
      </c>
      <c r="L470" s="559" t="s">
        <v>10445</v>
      </c>
      <c r="M470" s="545" t="n">
        <f aca="false">I470-D470</f>
        <v>86</v>
      </c>
    </row>
    <row r="471" customFormat="false" ht="12.75" hidden="true" customHeight="true" outlineLevel="0" collapsed="false">
      <c r="A471" s="562" t="n">
        <v>29820</v>
      </c>
      <c r="B471" s="563" t="s">
        <v>12744</v>
      </c>
      <c r="C471" s="563" t="n">
        <v>2011</v>
      </c>
      <c r="D471" s="564" t="n">
        <v>44089</v>
      </c>
      <c r="E471" s="563" t="s">
        <v>12745</v>
      </c>
      <c r="F471" s="563" t="s">
        <v>12746</v>
      </c>
      <c r="G471" s="563" t="s">
        <v>144</v>
      </c>
      <c r="H471" s="563" t="s">
        <v>119</v>
      </c>
      <c r="I471" s="564" t="n">
        <v>44180</v>
      </c>
      <c r="J471" s="563" t="n">
        <v>12</v>
      </c>
      <c r="K471" s="571" t="s">
        <v>49</v>
      </c>
      <c r="L471" s="563" t="s">
        <v>10018</v>
      </c>
      <c r="M471" s="546" t="n">
        <f aca="false">I471-D471</f>
        <v>91</v>
      </c>
    </row>
    <row r="472" customFormat="false" ht="12.75" hidden="true" customHeight="true" outlineLevel="0" collapsed="false">
      <c r="A472" s="558" t="n">
        <v>29920</v>
      </c>
      <c r="B472" s="559" t="s">
        <v>12747</v>
      </c>
      <c r="C472" s="559" t="n">
        <v>2020</v>
      </c>
      <c r="D472" s="560" t="n">
        <v>43973</v>
      </c>
      <c r="E472" s="559" t="s">
        <v>12748</v>
      </c>
      <c r="F472" s="573" t="s">
        <v>12749</v>
      </c>
      <c r="G472" s="559" t="s">
        <v>125</v>
      </c>
      <c r="H472" s="559" t="s">
        <v>10913</v>
      </c>
      <c r="I472" s="560" t="n">
        <v>44180</v>
      </c>
      <c r="J472" s="559" t="n">
        <v>12</v>
      </c>
      <c r="K472" s="565" t="s">
        <v>51</v>
      </c>
      <c r="L472" s="559" t="s">
        <v>10445</v>
      </c>
      <c r="M472" s="545" t="n">
        <f aca="false">I472-D472</f>
        <v>207</v>
      </c>
    </row>
    <row r="473" customFormat="false" ht="12.75" hidden="true" customHeight="true" outlineLevel="0" collapsed="false">
      <c r="A473" s="562" t="n">
        <v>30020</v>
      </c>
      <c r="B473" s="563" t="s">
        <v>12750</v>
      </c>
      <c r="C473" s="563" t="n">
        <v>2020</v>
      </c>
      <c r="D473" s="564" t="n">
        <v>43984</v>
      </c>
      <c r="E473" s="563" t="s">
        <v>12751</v>
      </c>
      <c r="F473" s="572" t="s">
        <v>12752</v>
      </c>
      <c r="G473" s="563" t="s">
        <v>125</v>
      </c>
      <c r="H473" s="563" t="s">
        <v>10913</v>
      </c>
      <c r="I473" s="564" t="n">
        <v>44180</v>
      </c>
      <c r="J473" s="563" t="n">
        <v>12</v>
      </c>
      <c r="K473" s="565" t="s">
        <v>51</v>
      </c>
      <c r="L473" s="563" t="s">
        <v>10445</v>
      </c>
      <c r="M473" s="546" t="n">
        <f aca="false">I473-D473</f>
        <v>196</v>
      </c>
    </row>
    <row r="474" customFormat="false" ht="12.75" hidden="true" customHeight="true" outlineLevel="0" collapsed="false">
      <c r="A474" s="558" t="n">
        <v>30120</v>
      </c>
      <c r="B474" s="559" t="s">
        <v>12753</v>
      </c>
      <c r="C474" s="559" t="n">
        <v>2020</v>
      </c>
      <c r="D474" s="560" t="n">
        <v>43984</v>
      </c>
      <c r="E474" s="559" t="s">
        <v>12754</v>
      </c>
      <c r="F474" s="573" t="s">
        <v>12749</v>
      </c>
      <c r="G474" s="559" t="s">
        <v>125</v>
      </c>
      <c r="H474" s="559" t="s">
        <v>10913</v>
      </c>
      <c r="I474" s="560" t="n">
        <v>44180</v>
      </c>
      <c r="J474" s="559" t="n">
        <v>12</v>
      </c>
      <c r="K474" s="565" t="s">
        <v>51</v>
      </c>
      <c r="L474" s="559" t="s">
        <v>10445</v>
      </c>
      <c r="M474" s="545" t="n">
        <f aca="false">I474-D474</f>
        <v>196</v>
      </c>
    </row>
    <row r="475" customFormat="false" ht="12.75" hidden="true" customHeight="true" outlineLevel="0" collapsed="false">
      <c r="A475" s="562" t="n">
        <v>30220</v>
      </c>
      <c r="B475" s="563" t="s">
        <v>12755</v>
      </c>
      <c r="C475" s="563" t="n">
        <v>2020</v>
      </c>
      <c r="D475" s="564" t="n">
        <v>44055</v>
      </c>
      <c r="E475" s="563" t="s">
        <v>12756</v>
      </c>
      <c r="F475" s="572" t="s">
        <v>6315</v>
      </c>
      <c r="G475" s="563" t="s">
        <v>130</v>
      </c>
      <c r="H475" s="563" t="s">
        <v>629</v>
      </c>
      <c r="I475" s="564" t="n">
        <v>44180</v>
      </c>
      <c r="J475" s="563" t="n">
        <v>12</v>
      </c>
      <c r="K475" s="571" t="s">
        <v>49</v>
      </c>
      <c r="L475" s="563" t="s">
        <v>10445</v>
      </c>
      <c r="M475" s="546" t="n">
        <f aca="false">I475-D475</f>
        <v>125</v>
      </c>
    </row>
    <row r="476" customFormat="false" ht="12.75" hidden="true" customHeight="true" outlineLevel="0" collapsed="false">
      <c r="A476" s="558" t="n">
        <v>30320</v>
      </c>
      <c r="B476" s="559" t="s">
        <v>12757</v>
      </c>
      <c r="C476" s="559" t="n">
        <v>2020</v>
      </c>
      <c r="D476" s="560" t="n">
        <v>44096</v>
      </c>
      <c r="E476" s="559" t="s">
        <v>12758</v>
      </c>
      <c r="F476" s="573" t="s">
        <v>6315</v>
      </c>
      <c r="G476" s="559" t="s">
        <v>125</v>
      </c>
      <c r="H476" s="559" t="s">
        <v>11487</v>
      </c>
      <c r="I476" s="560" t="n">
        <v>44180</v>
      </c>
      <c r="J476" s="559" t="n">
        <v>12</v>
      </c>
      <c r="K476" s="571" t="s">
        <v>49</v>
      </c>
      <c r="L476" s="559" t="s">
        <v>10445</v>
      </c>
      <c r="M476" s="545" t="n">
        <f aca="false">I476-D476</f>
        <v>84</v>
      </c>
    </row>
    <row r="477" customFormat="false" ht="12.75" hidden="true" customHeight="true" outlineLevel="0" collapsed="false">
      <c r="A477" s="562" t="n">
        <v>30420</v>
      </c>
      <c r="B477" s="563" t="s">
        <v>12759</v>
      </c>
      <c r="C477" s="563" t="n">
        <v>2015</v>
      </c>
      <c r="D477" s="564" t="n">
        <v>42103</v>
      </c>
      <c r="E477" s="563" t="s">
        <v>12760</v>
      </c>
      <c r="F477" s="563" t="s">
        <v>3924</v>
      </c>
      <c r="G477" s="563" t="s">
        <v>441</v>
      </c>
      <c r="H477" s="563" t="s">
        <v>1567</v>
      </c>
      <c r="I477" s="564" t="n">
        <v>44180</v>
      </c>
      <c r="J477" s="563" t="n">
        <v>12</v>
      </c>
      <c r="K477" s="571" t="s">
        <v>49</v>
      </c>
      <c r="L477" s="563" t="s">
        <v>10018</v>
      </c>
      <c r="M477" s="546" t="n">
        <f aca="false">I477-D477</f>
        <v>2077</v>
      </c>
    </row>
    <row r="478" customFormat="false" ht="12.75" hidden="true" customHeight="true" outlineLevel="0" collapsed="false">
      <c r="A478" s="558" t="n">
        <v>30520</v>
      </c>
      <c r="B478" s="559" t="s">
        <v>12761</v>
      </c>
      <c r="C478" s="559" t="n">
        <v>2018</v>
      </c>
      <c r="D478" s="560" t="n">
        <v>43252</v>
      </c>
      <c r="E478" s="559" t="s">
        <v>12762</v>
      </c>
      <c r="F478" s="559" t="s">
        <v>5585</v>
      </c>
      <c r="G478" s="559" t="s">
        <v>441</v>
      </c>
      <c r="H478" s="559" t="s">
        <v>12763</v>
      </c>
      <c r="I478" s="560" t="n">
        <v>44182</v>
      </c>
      <c r="J478" s="559" t="n">
        <v>12</v>
      </c>
      <c r="K478" s="571" t="s">
        <v>49</v>
      </c>
      <c r="L478" s="559" t="s">
        <v>10013</v>
      </c>
      <c r="M478" s="545" t="n">
        <f aca="false">I478-D478</f>
        <v>930</v>
      </c>
    </row>
    <row r="479" customFormat="false" ht="12.75" hidden="true" customHeight="true" outlineLevel="0" collapsed="false">
      <c r="A479" s="562" t="n">
        <v>30620</v>
      </c>
      <c r="B479" s="563" t="s">
        <v>12764</v>
      </c>
      <c r="C479" s="563" t="n">
        <v>2020</v>
      </c>
      <c r="D479" s="564" t="n">
        <v>43850</v>
      </c>
      <c r="E479" s="563" t="s">
        <v>12765</v>
      </c>
      <c r="F479" s="572" t="s">
        <v>11167</v>
      </c>
      <c r="G479" s="563" t="s">
        <v>130</v>
      </c>
      <c r="H479" s="563" t="s">
        <v>12766</v>
      </c>
      <c r="I479" s="564" t="n">
        <v>44183</v>
      </c>
      <c r="J479" s="563" t="n">
        <v>12</v>
      </c>
      <c r="K479" s="565" t="s">
        <v>51</v>
      </c>
      <c r="L479" s="563" t="s">
        <v>10445</v>
      </c>
      <c r="M479" s="546" t="n">
        <f aca="false">I479-D479</f>
        <v>333</v>
      </c>
    </row>
    <row r="480" customFormat="false" ht="12.75" hidden="true" customHeight="true" outlineLevel="0" collapsed="false">
      <c r="A480" s="558" t="n">
        <v>30720</v>
      </c>
      <c r="B480" s="559" t="s">
        <v>12767</v>
      </c>
      <c r="C480" s="559" t="n">
        <v>2020</v>
      </c>
      <c r="D480" s="560" t="n">
        <v>44014</v>
      </c>
      <c r="E480" s="559" t="s">
        <v>12768</v>
      </c>
      <c r="F480" s="573" t="s">
        <v>4087</v>
      </c>
      <c r="G480" s="559" t="s">
        <v>130</v>
      </c>
      <c r="H480" s="559" t="s">
        <v>398</v>
      </c>
      <c r="I480" s="560" t="n">
        <v>44183</v>
      </c>
      <c r="J480" s="559" t="n">
        <v>12</v>
      </c>
      <c r="K480" s="565" t="s">
        <v>51</v>
      </c>
      <c r="L480" s="559" t="s">
        <v>10445</v>
      </c>
      <c r="M480" s="545" t="n">
        <f aca="false">I480-D480</f>
        <v>169</v>
      </c>
    </row>
    <row r="481" customFormat="false" ht="12.75" hidden="true" customHeight="true" outlineLevel="0" collapsed="false">
      <c r="A481" s="562" t="n">
        <v>30820</v>
      </c>
      <c r="B481" s="563" t="s">
        <v>12769</v>
      </c>
      <c r="C481" s="563" t="n">
        <v>2020</v>
      </c>
      <c r="D481" s="564" t="n">
        <v>44000</v>
      </c>
      <c r="E481" s="563" t="s">
        <v>12770</v>
      </c>
      <c r="F481" s="572" t="s">
        <v>10768</v>
      </c>
      <c r="G481" s="563" t="s">
        <v>130</v>
      </c>
      <c r="H481" s="563" t="s">
        <v>3553</v>
      </c>
      <c r="I481" s="564" t="n">
        <v>44183</v>
      </c>
      <c r="J481" s="563" t="n">
        <v>12</v>
      </c>
      <c r="K481" s="571" t="s">
        <v>49</v>
      </c>
      <c r="L481" s="563" t="s">
        <v>10445</v>
      </c>
      <c r="M481" s="546" t="n">
        <f aca="false">I481-D481</f>
        <v>183</v>
      </c>
    </row>
    <row r="482" customFormat="false" ht="12.75" hidden="true" customHeight="true" outlineLevel="0" collapsed="false">
      <c r="A482" s="558" t="n">
        <v>30920</v>
      </c>
      <c r="B482" s="559" t="s">
        <v>12771</v>
      </c>
      <c r="C482" s="559" t="n">
        <v>2020</v>
      </c>
      <c r="D482" s="560" t="n">
        <v>43882</v>
      </c>
      <c r="E482" s="559" t="s">
        <v>12772</v>
      </c>
      <c r="F482" s="573" t="s">
        <v>10819</v>
      </c>
      <c r="G482" s="559" t="s">
        <v>125</v>
      </c>
      <c r="H482" s="559" t="s">
        <v>10913</v>
      </c>
      <c r="I482" s="560" t="n">
        <v>44183</v>
      </c>
      <c r="J482" s="559" t="n">
        <v>12</v>
      </c>
      <c r="K482" s="571" t="s">
        <v>49</v>
      </c>
      <c r="L482" s="559" t="s">
        <v>10445</v>
      </c>
      <c r="M482" s="545" t="n">
        <f aca="false">I482-D482</f>
        <v>301</v>
      </c>
    </row>
    <row r="483" customFormat="false" ht="12.75" hidden="true" customHeight="true" outlineLevel="0" collapsed="false">
      <c r="A483" s="562" t="n">
        <v>31020</v>
      </c>
      <c r="B483" s="563" t="s">
        <v>12773</v>
      </c>
      <c r="C483" s="563" t="n">
        <v>2011</v>
      </c>
      <c r="D483" s="564" t="n">
        <v>40840</v>
      </c>
      <c r="E483" s="563" t="s">
        <v>12774</v>
      </c>
      <c r="F483" s="563" t="s">
        <v>12775</v>
      </c>
      <c r="G483" s="563" t="s">
        <v>144</v>
      </c>
      <c r="H483" s="563" t="s">
        <v>119</v>
      </c>
      <c r="I483" s="564" t="n">
        <v>44183</v>
      </c>
      <c r="J483" s="563" t="n">
        <v>12</v>
      </c>
      <c r="K483" s="571" t="s">
        <v>48</v>
      </c>
      <c r="L483" s="563" t="s">
        <v>10018</v>
      </c>
      <c r="M483" s="546" t="n">
        <f aca="false">I483-D483</f>
        <v>3343</v>
      </c>
    </row>
    <row r="484" customFormat="false" ht="12.75" hidden="true" customHeight="true" outlineLevel="0" collapsed="false">
      <c r="A484" s="558" t="n">
        <v>31120</v>
      </c>
      <c r="B484" s="559" t="s">
        <v>12776</v>
      </c>
      <c r="C484" s="559" t="n">
        <v>2012</v>
      </c>
      <c r="D484" s="560" t="n">
        <v>44123</v>
      </c>
      <c r="E484" s="559" t="s">
        <v>12777</v>
      </c>
      <c r="F484" s="559" t="s">
        <v>12778</v>
      </c>
      <c r="G484" s="559" t="s">
        <v>144</v>
      </c>
      <c r="H484" s="559" t="s">
        <v>119</v>
      </c>
      <c r="I484" s="560" t="n">
        <v>44183</v>
      </c>
      <c r="J484" s="559" t="n">
        <v>12</v>
      </c>
      <c r="K484" s="565" t="s">
        <v>51</v>
      </c>
      <c r="L484" s="559" t="s">
        <v>10018</v>
      </c>
      <c r="M484" s="545" t="n">
        <f aca="false">I484-D484</f>
        <v>60</v>
      </c>
    </row>
    <row r="485" customFormat="false" ht="12.75" hidden="true" customHeight="true" outlineLevel="0" collapsed="false">
      <c r="A485" s="562" t="n">
        <v>31220</v>
      </c>
      <c r="B485" s="563" t="s">
        <v>12779</v>
      </c>
      <c r="C485" s="563" t="n">
        <v>2013</v>
      </c>
      <c r="D485" s="564" t="n">
        <v>41361</v>
      </c>
      <c r="E485" s="563" t="s">
        <v>12780</v>
      </c>
      <c r="F485" s="563" t="s">
        <v>12781</v>
      </c>
      <c r="G485" s="563" t="s">
        <v>144</v>
      </c>
      <c r="H485" s="563" t="s">
        <v>119</v>
      </c>
      <c r="I485" s="564" t="n">
        <v>44183</v>
      </c>
      <c r="J485" s="563" t="n">
        <v>12</v>
      </c>
      <c r="K485" s="571" t="s">
        <v>49</v>
      </c>
      <c r="L485" s="563" t="s">
        <v>10018</v>
      </c>
      <c r="M485" s="546" t="n">
        <f aca="false">I485-D485</f>
        <v>2822</v>
      </c>
    </row>
    <row r="486" customFormat="false" ht="12.75" hidden="true" customHeight="true" outlineLevel="0" collapsed="false">
      <c r="A486" s="558" t="n">
        <v>31320</v>
      </c>
      <c r="B486" s="559" t="s">
        <v>12782</v>
      </c>
      <c r="C486" s="559" t="n">
        <v>2013</v>
      </c>
      <c r="D486" s="560" t="n">
        <v>41564</v>
      </c>
      <c r="E486" s="559" t="s">
        <v>12783</v>
      </c>
      <c r="F486" s="559" t="s">
        <v>12784</v>
      </c>
      <c r="G486" s="559" t="s">
        <v>144</v>
      </c>
      <c r="H486" s="559" t="s">
        <v>119</v>
      </c>
      <c r="I486" s="560" t="n">
        <v>44186</v>
      </c>
      <c r="J486" s="559" t="n">
        <v>12</v>
      </c>
      <c r="K486" s="571" t="s">
        <v>49</v>
      </c>
      <c r="L486" s="559" t="s">
        <v>10018</v>
      </c>
      <c r="M486" s="545" t="n">
        <f aca="false">I486-D486</f>
        <v>2622</v>
      </c>
    </row>
    <row r="487" customFormat="false" ht="12.75" hidden="true" customHeight="true" outlineLevel="0" collapsed="false">
      <c r="A487" s="562" t="n">
        <v>31420</v>
      </c>
      <c r="B487" s="563" t="s">
        <v>12785</v>
      </c>
      <c r="C487" s="563" t="n">
        <v>2013</v>
      </c>
      <c r="D487" s="564" t="n">
        <v>41361</v>
      </c>
      <c r="E487" s="563" t="s">
        <v>12786</v>
      </c>
      <c r="F487" s="563" t="s">
        <v>2560</v>
      </c>
      <c r="G487" s="563" t="s">
        <v>144</v>
      </c>
      <c r="H487" s="563" t="s">
        <v>119</v>
      </c>
      <c r="I487" s="564" t="n">
        <v>44186</v>
      </c>
      <c r="J487" s="563" t="n">
        <v>12</v>
      </c>
      <c r="K487" s="571" t="s">
        <v>48</v>
      </c>
      <c r="L487" s="563" t="s">
        <v>10013</v>
      </c>
      <c r="M487" s="546" t="n">
        <f aca="false">I487-D487</f>
        <v>2825</v>
      </c>
    </row>
    <row r="488" customFormat="false" ht="12.75" hidden="true" customHeight="true" outlineLevel="0" collapsed="false">
      <c r="A488" s="558" t="n">
        <v>31520</v>
      </c>
      <c r="B488" s="559" t="s">
        <v>12787</v>
      </c>
      <c r="C488" s="559" t="n">
        <v>2010</v>
      </c>
      <c r="D488" s="560" t="n">
        <v>40228</v>
      </c>
      <c r="E488" s="559" t="s">
        <v>12788</v>
      </c>
      <c r="F488" s="559" t="s">
        <v>379</v>
      </c>
      <c r="G488" s="559" t="s">
        <v>144</v>
      </c>
      <c r="H488" s="559" t="s">
        <v>223</v>
      </c>
      <c r="I488" s="560" t="n">
        <v>44186</v>
      </c>
      <c r="J488" s="559" t="n">
        <v>12</v>
      </c>
      <c r="K488" s="571" t="s">
        <v>49</v>
      </c>
      <c r="L488" s="559" t="s">
        <v>10018</v>
      </c>
      <c r="M488" s="545" t="n">
        <f aca="false">I488-D488</f>
        <v>3958</v>
      </c>
    </row>
    <row r="489" customFormat="false" ht="12.75" hidden="true" customHeight="true" outlineLevel="0" collapsed="false">
      <c r="A489" s="562" t="n">
        <v>31620</v>
      </c>
      <c r="B489" s="563" t="s">
        <v>12789</v>
      </c>
      <c r="C489" s="563" t="n">
        <v>2013</v>
      </c>
      <c r="D489" s="564" t="n">
        <v>41411</v>
      </c>
      <c r="E489" s="563" t="s">
        <v>12790</v>
      </c>
      <c r="F489" s="563" t="s">
        <v>763</v>
      </c>
      <c r="G489" s="563" t="s">
        <v>441</v>
      </c>
      <c r="H489" s="563" t="s">
        <v>3240</v>
      </c>
      <c r="I489" s="564" t="n">
        <v>44187</v>
      </c>
      <c r="J489" s="563" t="n">
        <v>12</v>
      </c>
      <c r="K489" s="571" t="s">
        <v>48</v>
      </c>
      <c r="L489" s="563" t="s">
        <v>10018</v>
      </c>
      <c r="M489" s="546" t="n">
        <f aca="false">I489-D489</f>
        <v>2776</v>
      </c>
    </row>
    <row r="490" customFormat="false" ht="12.75" hidden="true" customHeight="true" outlineLevel="0" collapsed="false">
      <c r="A490" s="558" t="n">
        <v>31720</v>
      </c>
      <c r="B490" s="559" t="s">
        <v>12791</v>
      </c>
      <c r="C490" s="559" t="n">
        <v>2014</v>
      </c>
      <c r="D490" s="560" t="n">
        <v>41985</v>
      </c>
      <c r="E490" s="559" t="s">
        <v>12792</v>
      </c>
      <c r="F490" s="559" t="s">
        <v>5644</v>
      </c>
      <c r="G490" s="559" t="s">
        <v>441</v>
      </c>
      <c r="H490" s="559" t="s">
        <v>471</v>
      </c>
      <c r="I490" s="560" t="n">
        <v>44187</v>
      </c>
      <c r="J490" s="559" t="n">
        <v>12</v>
      </c>
      <c r="K490" s="571" t="s">
        <v>49</v>
      </c>
      <c r="L490" s="559" t="s">
        <v>10018</v>
      </c>
      <c r="M490" s="545" t="n">
        <f aca="false">I490-D490</f>
        <v>2202</v>
      </c>
    </row>
    <row r="491" customFormat="false" ht="12.75" hidden="true" customHeight="true" outlineLevel="0" collapsed="false">
      <c r="A491" s="562" t="n">
        <v>31820</v>
      </c>
      <c r="B491" s="563" t="s">
        <v>12793</v>
      </c>
      <c r="C491" s="563" t="n">
        <v>2013</v>
      </c>
      <c r="D491" s="564" t="n">
        <v>41605</v>
      </c>
      <c r="E491" s="563" t="s">
        <v>12794</v>
      </c>
      <c r="F491" s="563" t="s">
        <v>1068</v>
      </c>
      <c r="G491" s="563" t="s">
        <v>144</v>
      </c>
      <c r="H491" s="563" t="s">
        <v>134</v>
      </c>
      <c r="I491" s="564" t="n">
        <v>44187</v>
      </c>
      <c r="J491" s="563" t="n">
        <v>12</v>
      </c>
      <c r="K491" s="571" t="s">
        <v>49</v>
      </c>
      <c r="L491" s="563" t="s">
        <v>10018</v>
      </c>
      <c r="M491" s="546" t="n">
        <f aca="false">I491-D491</f>
        <v>2582</v>
      </c>
    </row>
    <row r="492" customFormat="false" ht="12.75" hidden="true" customHeight="true" outlineLevel="0" collapsed="false">
      <c r="A492" s="558" t="n">
        <v>31920</v>
      </c>
      <c r="B492" s="559" t="s">
        <v>12795</v>
      </c>
      <c r="C492" s="559" t="n">
        <v>2019</v>
      </c>
      <c r="D492" s="560" t="n">
        <v>43780</v>
      </c>
      <c r="E492" s="559" t="s">
        <v>12796</v>
      </c>
      <c r="F492" s="559" t="s">
        <v>7709</v>
      </c>
      <c r="G492" s="559" t="s">
        <v>125</v>
      </c>
      <c r="H492" s="559" t="s">
        <v>7710</v>
      </c>
      <c r="I492" s="560" t="n">
        <v>44187</v>
      </c>
      <c r="J492" s="559" t="n">
        <v>12</v>
      </c>
      <c r="K492" s="565" t="s">
        <v>51</v>
      </c>
      <c r="L492" s="559" t="s">
        <v>10445</v>
      </c>
      <c r="M492" s="545" t="n">
        <f aca="false">I492-D492</f>
        <v>407</v>
      </c>
    </row>
    <row r="493" customFormat="false" ht="12.75" hidden="true" customHeight="true" outlineLevel="0" collapsed="false">
      <c r="A493" s="562" t="n">
        <v>32020</v>
      </c>
      <c r="B493" s="563" t="s">
        <v>12797</v>
      </c>
      <c r="C493" s="563" t="n">
        <v>2014</v>
      </c>
      <c r="D493" s="564" t="n">
        <v>41737</v>
      </c>
      <c r="E493" s="563" t="s">
        <v>12798</v>
      </c>
      <c r="F493" s="563" t="s">
        <v>172</v>
      </c>
      <c r="G493" s="563" t="s">
        <v>441</v>
      </c>
      <c r="H493" s="563" t="s">
        <v>2278</v>
      </c>
      <c r="I493" s="564" t="n">
        <v>44187</v>
      </c>
      <c r="J493" s="563" t="n">
        <v>12</v>
      </c>
      <c r="K493" s="571" t="s">
        <v>48</v>
      </c>
      <c r="L493" s="563" t="s">
        <v>10018</v>
      </c>
      <c r="M493" s="546" t="n">
        <f aca="false">I493-D493</f>
        <v>2450</v>
      </c>
    </row>
    <row r="494" customFormat="false" ht="12.75" hidden="true" customHeight="true" outlineLevel="0" collapsed="false">
      <c r="A494" s="558" t="n">
        <v>32120</v>
      </c>
      <c r="B494" s="559" t="s">
        <v>12799</v>
      </c>
      <c r="C494" s="559" t="n">
        <v>2020</v>
      </c>
      <c r="D494" s="560" t="n">
        <v>44014</v>
      </c>
      <c r="E494" s="559" t="s">
        <v>12800</v>
      </c>
      <c r="F494" s="573" t="s">
        <v>8040</v>
      </c>
      <c r="G494" s="559" t="s">
        <v>130</v>
      </c>
      <c r="H494" s="559" t="s">
        <v>12801</v>
      </c>
      <c r="I494" s="560" t="n">
        <v>44187</v>
      </c>
      <c r="J494" s="559" t="n">
        <v>12</v>
      </c>
      <c r="K494" s="565" t="s">
        <v>51</v>
      </c>
      <c r="L494" s="559" t="s">
        <v>10445</v>
      </c>
      <c r="M494" s="545" t="n">
        <f aca="false">I494-D494</f>
        <v>173</v>
      </c>
    </row>
    <row r="495" customFormat="false" ht="12.75" hidden="true" customHeight="true" outlineLevel="0" collapsed="false">
      <c r="A495" s="562" t="n">
        <v>32220</v>
      </c>
      <c r="B495" s="563" t="s">
        <v>12802</v>
      </c>
      <c r="C495" s="563" t="n">
        <v>2019</v>
      </c>
      <c r="D495" s="564" t="n">
        <v>43691</v>
      </c>
      <c r="E495" s="563" t="s">
        <v>12803</v>
      </c>
      <c r="F495" s="572" t="s">
        <v>6315</v>
      </c>
      <c r="G495" s="563" t="s">
        <v>130</v>
      </c>
      <c r="H495" s="563" t="s">
        <v>3553</v>
      </c>
      <c r="I495" s="564" t="n">
        <v>44188</v>
      </c>
      <c r="J495" s="563" t="n">
        <v>12</v>
      </c>
      <c r="K495" s="571" t="s">
        <v>49</v>
      </c>
      <c r="L495" s="563" t="s">
        <v>10445</v>
      </c>
      <c r="M495" s="546" t="n">
        <f aca="false">I495-D495</f>
        <v>497</v>
      </c>
    </row>
  </sheetData>
  <autoFilter ref="A1:M495">
    <filterColumn colId="6">
      <filters>
        <filter val="PTE"/>
      </filters>
    </filterColumn>
  </autoFilter>
  <mergeCells count="76">
    <mergeCell ref="O2:P2"/>
    <mergeCell ref="O14:S15"/>
    <mergeCell ref="O16:S16"/>
    <mergeCell ref="O17:S17"/>
    <mergeCell ref="O18:S18"/>
    <mergeCell ref="O19:S19"/>
    <mergeCell ref="O20:S20"/>
    <mergeCell ref="O21:S21"/>
    <mergeCell ref="O22:S22"/>
    <mergeCell ref="O23:S23"/>
    <mergeCell ref="O24:S24"/>
    <mergeCell ref="O26:S27"/>
    <mergeCell ref="P28:R28"/>
    <mergeCell ref="P29:R29"/>
    <mergeCell ref="P30:R30"/>
    <mergeCell ref="P31:R31"/>
    <mergeCell ref="P32:R32"/>
    <mergeCell ref="P33:R33"/>
    <mergeCell ref="P34:R34"/>
    <mergeCell ref="P35:R35"/>
    <mergeCell ref="P36:R36"/>
    <mergeCell ref="P37:R37"/>
    <mergeCell ref="P38:R38"/>
    <mergeCell ref="P39:R39"/>
    <mergeCell ref="P40:R40"/>
    <mergeCell ref="P41:R41"/>
    <mergeCell ref="P42:R42"/>
    <mergeCell ref="O44:S45"/>
    <mergeCell ref="P46:R46"/>
    <mergeCell ref="P47:R47"/>
    <mergeCell ref="P48:R48"/>
    <mergeCell ref="P49:R49"/>
    <mergeCell ref="P50:R50"/>
    <mergeCell ref="P51:R51"/>
    <mergeCell ref="P52:R52"/>
    <mergeCell ref="P53:R53"/>
    <mergeCell ref="P54:R54"/>
    <mergeCell ref="P55:R55"/>
    <mergeCell ref="P56:R56"/>
    <mergeCell ref="P57:R57"/>
    <mergeCell ref="P58:R58"/>
    <mergeCell ref="P59:R59"/>
    <mergeCell ref="O61:T62"/>
    <mergeCell ref="O63:R63"/>
    <mergeCell ref="O64:R64"/>
    <mergeCell ref="O65:R65"/>
    <mergeCell ref="O66:R66"/>
    <mergeCell ref="O67:R67"/>
    <mergeCell ref="O68:R68"/>
    <mergeCell ref="O69:R69"/>
    <mergeCell ref="O70:R70"/>
    <mergeCell ref="O71:R71"/>
    <mergeCell ref="O72:R72"/>
    <mergeCell ref="O73:R73"/>
    <mergeCell ref="O74:R74"/>
    <mergeCell ref="O75:R75"/>
    <mergeCell ref="O76:R76"/>
    <mergeCell ref="O78:T79"/>
    <mergeCell ref="O80:R80"/>
    <mergeCell ref="O81:R81"/>
    <mergeCell ref="O82:R82"/>
    <mergeCell ref="O83:R83"/>
    <mergeCell ref="O84:R84"/>
    <mergeCell ref="O85:R85"/>
    <mergeCell ref="O87:R88"/>
    <mergeCell ref="P89:R89"/>
    <mergeCell ref="P90:R90"/>
    <mergeCell ref="P91:R91"/>
    <mergeCell ref="P92:R92"/>
    <mergeCell ref="P93:R93"/>
    <mergeCell ref="P94:R94"/>
    <mergeCell ref="P95:R95"/>
    <mergeCell ref="P96:R96"/>
    <mergeCell ref="P97:R97"/>
    <mergeCell ref="P98:R98"/>
    <mergeCell ref="P99:R99"/>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true">
    <pageSetUpPr fitToPage="true"/>
  </sheetPr>
  <dimension ref="A1:T49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D2" activePane="bottomRight" state="frozen"/>
      <selection pane="topLeft" activeCell="A1" activeCellId="0" sqref="A1"/>
      <selection pane="topRight" activeCell="D1" activeCellId="0" sqref="D1"/>
      <selection pane="bottomLeft" activeCell="A2" activeCellId="0" sqref="A2"/>
      <selection pane="bottomRight" activeCell="D1" activeCellId="0" sqref="D1"/>
    </sheetView>
  </sheetViews>
  <sheetFormatPr defaultColWidth="14.2890625" defaultRowHeight="12.75" customHeight="false" zeroHeight="false" outlineLevelRow="0" outlineLevelCol="0"/>
  <cols>
    <col collapsed="false" customWidth="true" hidden="false" outlineLevel="0" max="1" min="1" style="0" width="20"/>
    <col collapsed="false" customWidth="true" hidden="false" outlineLevel="0" max="2" min="2" style="0" width="23.85"/>
    <col collapsed="false" customWidth="true" hidden="false" outlineLevel="0" max="4" min="3" style="0" width="24.85"/>
    <col collapsed="false" customWidth="true" hidden="false" outlineLevel="0" max="5" min="5" style="0" width="47.71"/>
    <col collapsed="false" customWidth="true" hidden="false" outlineLevel="0" max="6" min="6" style="0" width="49.29"/>
    <col collapsed="false" customWidth="true" hidden="false" outlineLevel="0" max="7" min="7" style="0" width="15.42"/>
    <col collapsed="false" customWidth="true" hidden="false" outlineLevel="0" max="8" min="8" style="0" width="20.29"/>
    <col collapsed="false" customWidth="true" hidden="false" outlineLevel="0" max="9" min="9" style="0" width="22.42"/>
    <col collapsed="false" customWidth="true" hidden="false" outlineLevel="0" max="10" min="10" style="0" width="14.71"/>
    <col collapsed="false" customWidth="true" hidden="false" outlineLevel="0" max="11" min="11" style="0" width="77.43"/>
    <col collapsed="false" customWidth="true" hidden="false" outlineLevel="0" max="12" min="12" style="0" width="76.14"/>
    <col collapsed="false" customWidth="true" hidden="false" outlineLevel="0" max="13" min="13" style="0" width="45.29"/>
    <col collapsed="false" customWidth="true" hidden="false" outlineLevel="0" max="14" min="14" style="0" width="7.71"/>
    <col collapsed="false" customWidth="true" hidden="false" outlineLevel="0" max="15" min="15" style="0" width="27.14"/>
    <col collapsed="false" customWidth="true" hidden="false" outlineLevel="0" max="16" min="16" style="0" width="9.85"/>
    <col collapsed="false" customWidth="true" hidden="false" outlineLevel="0" max="17" min="17" style="0" width="3.42"/>
    <col collapsed="false" customWidth="true" hidden="false" outlineLevel="0" max="18" min="18" style="0" width="39"/>
    <col collapsed="false" customWidth="true" hidden="false" outlineLevel="0" max="19" min="19" style="0" width="62.85"/>
    <col collapsed="false" customWidth="true" hidden="false" outlineLevel="0" max="20" min="20" style="0" width="13.71"/>
    <col collapsed="false" customWidth="true" hidden="false" outlineLevel="0" max="26" min="21" style="0" width="8.71"/>
  </cols>
  <sheetData>
    <row r="1" customFormat="false" ht="12.75" hidden="false" customHeight="true" outlineLevel="0" collapsed="false">
      <c r="A1" s="582" t="s">
        <v>92</v>
      </c>
      <c r="B1" s="583" t="s">
        <v>93</v>
      </c>
      <c r="C1" s="583" t="s">
        <v>89</v>
      </c>
      <c r="D1" s="584" t="s">
        <v>94</v>
      </c>
      <c r="E1" s="585" t="s">
        <v>95</v>
      </c>
      <c r="F1" s="276" t="s">
        <v>96</v>
      </c>
      <c r="G1" s="585" t="s">
        <v>97</v>
      </c>
      <c r="H1" s="276" t="s">
        <v>98</v>
      </c>
      <c r="I1" s="584" t="s">
        <v>99</v>
      </c>
      <c r="J1" s="585" t="s">
        <v>100</v>
      </c>
      <c r="K1" s="586" t="s">
        <v>101</v>
      </c>
      <c r="L1" s="586" t="s">
        <v>102</v>
      </c>
      <c r="M1" s="279" t="s">
        <v>103</v>
      </c>
      <c r="N1" s="146"/>
      <c r="O1" s="146"/>
      <c r="P1" s="146"/>
      <c r="Q1" s="146"/>
      <c r="R1" s="146"/>
      <c r="S1" s="146"/>
    </row>
    <row r="2" customFormat="false" ht="12.75" hidden="false" customHeight="true" outlineLevel="0" collapsed="false">
      <c r="A2" s="449" t="n">
        <v>119</v>
      </c>
      <c r="B2" s="450" t="s">
        <v>12804</v>
      </c>
      <c r="C2" s="450" t="n">
        <v>2009</v>
      </c>
      <c r="D2" s="451" t="n">
        <v>40059</v>
      </c>
      <c r="E2" s="452" t="s">
        <v>12805</v>
      </c>
      <c r="F2" s="378" t="s">
        <v>7739</v>
      </c>
      <c r="G2" s="452" t="s">
        <v>1174</v>
      </c>
      <c r="H2" s="378" t="s">
        <v>5447</v>
      </c>
      <c r="I2" s="451" t="n">
        <v>43468</v>
      </c>
      <c r="J2" s="452" t="n">
        <v>1</v>
      </c>
      <c r="K2" s="556" t="s">
        <v>45</v>
      </c>
      <c r="L2" s="378" t="s">
        <v>60</v>
      </c>
      <c r="M2" s="546" t="n">
        <f aca="false">I2-D2</f>
        <v>3409</v>
      </c>
      <c r="N2" s="146"/>
      <c r="O2" s="280" t="s">
        <v>12806</v>
      </c>
      <c r="P2" s="280"/>
      <c r="Q2" s="146"/>
      <c r="R2" s="146"/>
      <c r="S2" s="146"/>
    </row>
    <row r="3" customFormat="false" ht="12.75" hidden="false" customHeight="true" outlineLevel="0" collapsed="false">
      <c r="A3" s="456" t="n">
        <v>219</v>
      </c>
      <c r="B3" s="458" t="s">
        <v>12807</v>
      </c>
      <c r="C3" s="458" t="n">
        <v>2012</v>
      </c>
      <c r="D3" s="459" t="n">
        <v>41066</v>
      </c>
      <c r="E3" s="460" t="s">
        <v>12808</v>
      </c>
      <c r="F3" s="380" t="s">
        <v>1527</v>
      </c>
      <c r="G3" s="460" t="s">
        <v>1174</v>
      </c>
      <c r="H3" s="380" t="s">
        <v>1059</v>
      </c>
      <c r="I3" s="459" t="n">
        <v>43469</v>
      </c>
      <c r="J3" s="460" t="n">
        <v>1</v>
      </c>
      <c r="K3" s="552" t="s">
        <v>42</v>
      </c>
      <c r="L3" s="380" t="s">
        <v>58</v>
      </c>
      <c r="M3" s="545" t="n">
        <f aca="false">I3-D3</f>
        <v>2403</v>
      </c>
      <c r="N3" s="146"/>
      <c r="O3" s="281" t="s">
        <v>1182</v>
      </c>
      <c r="P3" s="281" t="n">
        <f aca="false">COUNTIF($G$2:$G$476,"PT")</f>
        <v>1</v>
      </c>
      <c r="Q3" s="146"/>
      <c r="R3" s="146"/>
      <c r="S3" s="146"/>
    </row>
    <row r="4" customFormat="false" ht="12.75" hidden="false" customHeight="true" outlineLevel="0" collapsed="false">
      <c r="A4" s="449" t="n">
        <v>319</v>
      </c>
      <c r="B4" s="450" t="s">
        <v>12809</v>
      </c>
      <c r="C4" s="450" t="n">
        <v>2015</v>
      </c>
      <c r="D4" s="451" t="n">
        <v>42074</v>
      </c>
      <c r="E4" s="452" t="s">
        <v>12810</v>
      </c>
      <c r="F4" s="378" t="s">
        <v>1527</v>
      </c>
      <c r="G4" s="452" t="s">
        <v>1174</v>
      </c>
      <c r="H4" s="378" t="s">
        <v>11617</v>
      </c>
      <c r="I4" s="451" t="n">
        <v>43469</v>
      </c>
      <c r="J4" s="452" t="n">
        <v>1</v>
      </c>
      <c r="K4" s="552" t="s">
        <v>42</v>
      </c>
      <c r="L4" s="378" t="s">
        <v>58</v>
      </c>
      <c r="M4" s="546" t="n">
        <f aca="false">I4-D4</f>
        <v>1395</v>
      </c>
      <c r="N4" s="153"/>
      <c r="O4" s="282" t="s">
        <v>1188</v>
      </c>
      <c r="P4" s="282" t="n">
        <f aca="false">COUNTIF($G$2:$G$476,"PTN")</f>
        <v>3</v>
      </c>
      <c r="Q4" s="153"/>
      <c r="R4" s="153"/>
      <c r="S4" s="153"/>
    </row>
    <row r="5" customFormat="false" ht="12.75" hidden="false" customHeight="true" outlineLevel="0" collapsed="false">
      <c r="A5" s="456" t="n">
        <v>419</v>
      </c>
      <c r="B5" s="458" t="s">
        <v>12811</v>
      </c>
      <c r="C5" s="458" t="n">
        <v>2015</v>
      </c>
      <c r="D5" s="459" t="n">
        <v>42184</v>
      </c>
      <c r="E5" s="460" t="s">
        <v>12812</v>
      </c>
      <c r="F5" s="380" t="s">
        <v>346</v>
      </c>
      <c r="G5" s="460" t="s">
        <v>1174</v>
      </c>
      <c r="H5" s="380" t="s">
        <v>1109</v>
      </c>
      <c r="I5" s="459" t="n">
        <v>43469</v>
      </c>
      <c r="J5" s="460" t="n">
        <v>1</v>
      </c>
      <c r="K5" s="548" t="s">
        <v>47</v>
      </c>
      <c r="L5" s="380" t="s">
        <v>58</v>
      </c>
      <c r="M5" s="545" t="n">
        <f aca="false">I5-D5</f>
        <v>1285</v>
      </c>
      <c r="N5" s="153"/>
      <c r="O5" s="283" t="s">
        <v>1192</v>
      </c>
      <c r="P5" s="283" t="n">
        <f aca="false">COUNTIF($G$2:$G$476,"PTE")</f>
        <v>269</v>
      </c>
      <c r="Q5" s="153"/>
      <c r="R5" s="153"/>
      <c r="S5" s="153"/>
    </row>
    <row r="6" customFormat="false" ht="12.75" hidden="false" customHeight="true" outlineLevel="0" collapsed="false">
      <c r="A6" s="449" t="n">
        <v>519</v>
      </c>
      <c r="B6" s="450" t="s">
        <v>12813</v>
      </c>
      <c r="C6" s="450" t="n">
        <v>2017</v>
      </c>
      <c r="D6" s="451" t="n">
        <v>42845</v>
      </c>
      <c r="E6" s="452" t="s">
        <v>12814</v>
      </c>
      <c r="F6" s="378" t="s">
        <v>346</v>
      </c>
      <c r="G6" s="452" t="s">
        <v>1174</v>
      </c>
      <c r="H6" s="378" t="s">
        <v>5447</v>
      </c>
      <c r="I6" s="451" t="n">
        <v>43469</v>
      </c>
      <c r="J6" s="452" t="n">
        <v>1</v>
      </c>
      <c r="K6" s="548" t="s">
        <v>47</v>
      </c>
      <c r="L6" s="378" t="s">
        <v>58</v>
      </c>
      <c r="M6" s="546" t="n">
        <f aca="false">I6-D6</f>
        <v>624</v>
      </c>
      <c r="N6" s="153"/>
      <c r="O6" s="282" t="s">
        <v>8</v>
      </c>
      <c r="P6" s="282" t="n">
        <f aca="false">COUNTIF($G$2:$G$476,"Pré-Mistura")</f>
        <v>0</v>
      </c>
      <c r="Q6" s="153"/>
      <c r="R6" s="153"/>
      <c r="S6" s="153"/>
    </row>
    <row r="7" customFormat="false" ht="12.75" hidden="false" customHeight="true" outlineLevel="0" collapsed="false">
      <c r="A7" s="456" t="n">
        <v>619</v>
      </c>
      <c r="B7" s="458" t="s">
        <v>12815</v>
      </c>
      <c r="C7" s="458" t="n">
        <v>2017</v>
      </c>
      <c r="D7" s="459" t="n">
        <v>42916</v>
      </c>
      <c r="E7" s="460" t="s">
        <v>12816</v>
      </c>
      <c r="F7" s="380" t="s">
        <v>346</v>
      </c>
      <c r="G7" s="460" t="s">
        <v>1174</v>
      </c>
      <c r="H7" s="380" t="s">
        <v>1059</v>
      </c>
      <c r="I7" s="459" t="n">
        <v>43469</v>
      </c>
      <c r="J7" s="460" t="n">
        <v>1</v>
      </c>
      <c r="K7" s="548" t="s">
        <v>47</v>
      </c>
      <c r="L7" s="380" t="s">
        <v>58</v>
      </c>
      <c r="M7" s="545" t="n">
        <f aca="false">I7-D7</f>
        <v>553</v>
      </c>
      <c r="N7" s="153"/>
      <c r="O7" s="283" t="s">
        <v>110</v>
      </c>
      <c r="P7" s="283" t="n">
        <f aca="false">COUNTIF($G$2:$G$476,"PF")</f>
        <v>36</v>
      </c>
      <c r="Q7" s="153"/>
      <c r="R7" s="153"/>
      <c r="S7" s="153"/>
    </row>
    <row r="8" customFormat="false" ht="12.75" hidden="true" customHeight="true" outlineLevel="0" collapsed="false">
      <c r="A8" s="449" t="n">
        <v>719</v>
      </c>
      <c r="B8" s="450" t="s">
        <v>12817</v>
      </c>
      <c r="C8" s="450" t="n">
        <v>2015</v>
      </c>
      <c r="D8" s="451" t="n">
        <v>42226</v>
      </c>
      <c r="E8" s="452" t="s">
        <v>12818</v>
      </c>
      <c r="F8" s="378" t="s">
        <v>12819</v>
      </c>
      <c r="G8" s="452" t="s">
        <v>144</v>
      </c>
      <c r="H8" s="378" t="s">
        <v>9638</v>
      </c>
      <c r="I8" s="451" t="n">
        <v>43108</v>
      </c>
      <c r="J8" s="452" t="n">
        <v>1</v>
      </c>
      <c r="K8" s="548" t="s">
        <v>47</v>
      </c>
      <c r="L8" s="378" t="s">
        <v>60</v>
      </c>
      <c r="M8" s="546" t="n">
        <f aca="false">I8-D8</f>
        <v>882</v>
      </c>
      <c r="N8" s="153"/>
      <c r="O8" s="282" t="s">
        <v>115</v>
      </c>
      <c r="P8" s="282" t="n">
        <f aca="false">COUNTIF($G$2:$G$476,"PFN")</f>
        <v>19</v>
      </c>
      <c r="Q8" s="153"/>
      <c r="R8" s="153"/>
      <c r="S8" s="153"/>
    </row>
    <row r="9" customFormat="false" ht="12.75" hidden="false" customHeight="true" outlineLevel="0" collapsed="false">
      <c r="A9" s="456" t="n">
        <v>819</v>
      </c>
      <c r="B9" s="458" t="s">
        <v>12820</v>
      </c>
      <c r="C9" s="458" t="n">
        <v>2013</v>
      </c>
      <c r="D9" s="459" t="n">
        <v>41376</v>
      </c>
      <c r="E9" s="460" t="s">
        <v>12821</v>
      </c>
      <c r="F9" s="380" t="s">
        <v>823</v>
      </c>
      <c r="G9" s="460" t="s">
        <v>1174</v>
      </c>
      <c r="H9" s="380" t="s">
        <v>250</v>
      </c>
      <c r="I9" s="459" t="n">
        <v>43474</v>
      </c>
      <c r="J9" s="460" t="n">
        <v>1</v>
      </c>
      <c r="K9" s="556" t="s">
        <v>45</v>
      </c>
      <c r="L9" s="380" t="s">
        <v>58</v>
      </c>
      <c r="M9" s="545" t="n">
        <f aca="false">I9-D9</f>
        <v>2098</v>
      </c>
      <c r="N9" s="153"/>
      <c r="O9" s="283" t="s">
        <v>120</v>
      </c>
      <c r="P9" s="283" t="n">
        <f aca="false">COUNTIF($G$2:$G$476,"PF/PTE")</f>
        <v>104</v>
      </c>
      <c r="Q9" s="153"/>
      <c r="R9" s="153"/>
      <c r="S9" s="153"/>
    </row>
    <row r="10" customFormat="false" ht="12.75" hidden="false" customHeight="true" outlineLevel="0" collapsed="false">
      <c r="A10" s="449" t="n">
        <v>919</v>
      </c>
      <c r="B10" s="450" t="s">
        <v>12822</v>
      </c>
      <c r="C10" s="450" t="n">
        <v>2017</v>
      </c>
      <c r="D10" s="451" t="n">
        <v>42922</v>
      </c>
      <c r="E10" s="452" t="s">
        <v>12823</v>
      </c>
      <c r="F10" s="378" t="s">
        <v>723</v>
      </c>
      <c r="G10" s="452" t="s">
        <v>1174</v>
      </c>
      <c r="H10" s="378" t="s">
        <v>1059</v>
      </c>
      <c r="I10" s="451" t="n">
        <v>43474</v>
      </c>
      <c r="J10" s="452" t="n">
        <v>1</v>
      </c>
      <c r="K10" s="552" t="s">
        <v>42</v>
      </c>
      <c r="L10" s="378" t="s">
        <v>58</v>
      </c>
      <c r="M10" s="546" t="n">
        <f aca="false">I10-D10</f>
        <v>552</v>
      </c>
      <c r="N10" s="153"/>
      <c r="O10" s="282" t="s">
        <v>125</v>
      </c>
      <c r="P10" s="282" t="n">
        <f aca="false">COUNTIF($G$2:$G$476,"Bio")</f>
        <v>31</v>
      </c>
      <c r="Q10" s="153"/>
      <c r="R10" s="153"/>
      <c r="S10" s="153"/>
    </row>
    <row r="11" customFormat="false" ht="12.75" hidden="false" customHeight="true" outlineLevel="0" collapsed="false">
      <c r="A11" s="456" t="n">
        <v>1019</v>
      </c>
      <c r="B11" s="458" t="s">
        <v>12824</v>
      </c>
      <c r="C11" s="458" t="n">
        <v>2016</v>
      </c>
      <c r="D11" s="459" t="n">
        <v>42433</v>
      </c>
      <c r="E11" s="460" t="s">
        <v>12825</v>
      </c>
      <c r="F11" s="380" t="s">
        <v>569</v>
      </c>
      <c r="G11" s="460" t="s">
        <v>1174</v>
      </c>
      <c r="H11" s="380" t="s">
        <v>192</v>
      </c>
      <c r="I11" s="459" t="n">
        <v>43474</v>
      </c>
      <c r="J11" s="460" t="n">
        <v>1</v>
      </c>
      <c r="K11" s="548" t="s">
        <v>47</v>
      </c>
      <c r="L11" s="380" t="s">
        <v>58</v>
      </c>
      <c r="M11" s="545" t="n">
        <f aca="false">I11-D11</f>
        <v>1041</v>
      </c>
      <c r="N11" s="153"/>
      <c r="O11" s="284" t="s">
        <v>130</v>
      </c>
      <c r="P11" s="284" t="n">
        <f aca="false">COUNTIF($G$2:$G$476,"Bio/Org")</f>
        <v>12</v>
      </c>
      <c r="Q11" s="153"/>
      <c r="R11" s="153"/>
      <c r="S11" s="153"/>
    </row>
    <row r="12" customFormat="false" ht="12.75" hidden="true" customHeight="true" outlineLevel="0" collapsed="false">
      <c r="A12" s="449" t="n">
        <v>1119</v>
      </c>
      <c r="B12" s="450" t="s">
        <v>12826</v>
      </c>
      <c r="C12" s="450" t="n">
        <v>2013</v>
      </c>
      <c r="D12" s="451" t="n">
        <v>41603</v>
      </c>
      <c r="E12" s="452" t="s">
        <v>12827</v>
      </c>
      <c r="F12" s="378" t="s">
        <v>699</v>
      </c>
      <c r="G12" s="452" t="s">
        <v>144</v>
      </c>
      <c r="H12" s="378" t="s">
        <v>285</v>
      </c>
      <c r="I12" s="451" t="n">
        <v>43480</v>
      </c>
      <c r="J12" s="452" t="n">
        <v>1</v>
      </c>
      <c r="K12" s="556" t="s">
        <v>45</v>
      </c>
      <c r="L12" s="378" t="s">
        <v>60</v>
      </c>
      <c r="M12" s="546" t="n">
        <f aca="false">I12-D12</f>
        <v>1877</v>
      </c>
      <c r="N12" s="153"/>
      <c r="O12" s="285" t="s">
        <v>140</v>
      </c>
      <c r="P12" s="286" t="n">
        <f aca="false">SUM(P3:P11)</f>
        <v>475</v>
      </c>
      <c r="Q12" s="153"/>
      <c r="R12" s="153"/>
      <c r="S12" s="153"/>
    </row>
    <row r="13" customFormat="false" ht="12.75" hidden="true" customHeight="true" outlineLevel="0" collapsed="false">
      <c r="A13" s="456" t="n">
        <v>1219</v>
      </c>
      <c r="B13" s="458" t="s">
        <v>12828</v>
      </c>
      <c r="C13" s="458" t="n">
        <v>2015</v>
      </c>
      <c r="D13" s="459" t="n">
        <v>42250</v>
      </c>
      <c r="E13" s="460" t="s">
        <v>12829</v>
      </c>
      <c r="F13" s="380" t="s">
        <v>699</v>
      </c>
      <c r="G13" s="460" t="s">
        <v>144</v>
      </c>
      <c r="H13" s="380" t="s">
        <v>285</v>
      </c>
      <c r="I13" s="459" t="n">
        <v>43480</v>
      </c>
      <c r="J13" s="460" t="n">
        <v>1</v>
      </c>
      <c r="K13" s="556" t="s">
        <v>45</v>
      </c>
      <c r="L13" s="380" t="s">
        <v>60</v>
      </c>
      <c r="M13" s="545" t="n">
        <f aca="false">I13-D13</f>
        <v>1230</v>
      </c>
      <c r="N13" s="160"/>
      <c r="O13" s="153"/>
      <c r="P13" s="153"/>
      <c r="Q13" s="153"/>
      <c r="R13" s="287"/>
      <c r="S13" s="287"/>
    </row>
    <row r="14" customFormat="false" ht="12.75" hidden="true" customHeight="true" outlineLevel="0" collapsed="false">
      <c r="A14" s="449" t="n">
        <v>1319</v>
      </c>
      <c r="B14" s="450" t="s">
        <v>12830</v>
      </c>
      <c r="C14" s="450" t="n">
        <v>2016</v>
      </c>
      <c r="D14" s="451" t="n">
        <v>42577</v>
      </c>
      <c r="E14" s="452" t="s">
        <v>12831</v>
      </c>
      <c r="F14" s="378" t="s">
        <v>446</v>
      </c>
      <c r="G14" s="452" t="s">
        <v>441</v>
      </c>
      <c r="H14" s="378" t="s">
        <v>184</v>
      </c>
      <c r="I14" s="451" t="n">
        <v>43482</v>
      </c>
      <c r="J14" s="452" t="n">
        <v>1</v>
      </c>
      <c r="K14" s="552" t="s">
        <v>42</v>
      </c>
      <c r="L14" s="378" t="s">
        <v>60</v>
      </c>
      <c r="M14" s="546" t="n">
        <f aca="false">I14-D14</f>
        <v>905</v>
      </c>
      <c r="N14" s="160"/>
      <c r="O14" s="411" t="s">
        <v>151</v>
      </c>
      <c r="P14" s="411"/>
      <c r="Q14" s="411"/>
      <c r="R14" s="411"/>
      <c r="S14" s="411"/>
    </row>
    <row r="15" customFormat="false" ht="12.75" hidden="true" customHeight="true" outlineLevel="0" collapsed="false">
      <c r="A15" s="456" t="n">
        <v>1419</v>
      </c>
      <c r="B15" s="458" t="s">
        <v>12832</v>
      </c>
      <c r="C15" s="458" t="n">
        <v>2016</v>
      </c>
      <c r="D15" s="459" t="n">
        <v>42593</v>
      </c>
      <c r="E15" s="460" t="s">
        <v>12833</v>
      </c>
      <c r="F15" s="380" t="s">
        <v>902</v>
      </c>
      <c r="G15" s="460" t="s">
        <v>441</v>
      </c>
      <c r="H15" s="380" t="s">
        <v>184</v>
      </c>
      <c r="I15" s="459" t="n">
        <v>43482</v>
      </c>
      <c r="J15" s="460" t="n">
        <v>1</v>
      </c>
      <c r="K15" s="552" t="s">
        <v>42</v>
      </c>
      <c r="L15" s="380" t="s">
        <v>58</v>
      </c>
      <c r="M15" s="545" t="n">
        <f aca="false">I15-D15</f>
        <v>889</v>
      </c>
      <c r="N15" s="153"/>
      <c r="O15" s="411"/>
      <c r="P15" s="411"/>
      <c r="Q15" s="411"/>
      <c r="R15" s="411"/>
      <c r="S15" s="411"/>
    </row>
    <row r="16" customFormat="false" ht="13.5" hidden="true" customHeight="true" outlineLevel="0" collapsed="false">
      <c r="A16" s="449" t="n">
        <v>1519</v>
      </c>
      <c r="B16" s="450" t="s">
        <v>12834</v>
      </c>
      <c r="C16" s="450" t="n">
        <v>2016</v>
      </c>
      <c r="D16" s="451" t="n">
        <v>42531</v>
      </c>
      <c r="E16" s="452" t="s">
        <v>12835</v>
      </c>
      <c r="F16" s="378" t="s">
        <v>12836</v>
      </c>
      <c r="G16" s="452" t="s">
        <v>144</v>
      </c>
      <c r="H16" s="378" t="s">
        <v>119</v>
      </c>
      <c r="I16" s="451" t="n">
        <v>43482</v>
      </c>
      <c r="J16" s="452" t="n">
        <v>1</v>
      </c>
      <c r="K16" s="552" t="s">
        <v>42</v>
      </c>
      <c r="L16" s="378" t="s">
        <v>58</v>
      </c>
      <c r="M16" s="546" t="n">
        <f aca="false">I16-D16</f>
        <v>951</v>
      </c>
      <c r="N16" s="153"/>
      <c r="O16" s="412" t="s">
        <v>2194</v>
      </c>
      <c r="P16" s="412"/>
      <c r="Q16" s="412"/>
      <c r="R16" s="412"/>
      <c r="S16" s="412"/>
    </row>
    <row r="17" customFormat="false" ht="15" hidden="true" customHeight="true" outlineLevel="0" collapsed="false">
      <c r="A17" s="456" t="n">
        <v>1619</v>
      </c>
      <c r="B17" s="458" t="s">
        <v>12837</v>
      </c>
      <c r="C17" s="458" t="n">
        <v>2015</v>
      </c>
      <c r="D17" s="459" t="n">
        <v>42031</v>
      </c>
      <c r="E17" s="460" t="s">
        <v>12838</v>
      </c>
      <c r="F17" s="380" t="s">
        <v>902</v>
      </c>
      <c r="G17" s="460" t="s">
        <v>144</v>
      </c>
      <c r="H17" s="380" t="s">
        <v>254</v>
      </c>
      <c r="I17" s="459" t="n">
        <v>43482</v>
      </c>
      <c r="J17" s="460" t="n">
        <v>1</v>
      </c>
      <c r="K17" s="548" t="s">
        <v>47</v>
      </c>
      <c r="L17" s="380" t="s">
        <v>58</v>
      </c>
      <c r="M17" s="545" t="n">
        <f aca="false">I17-D17</f>
        <v>1451</v>
      </c>
      <c r="N17" s="153"/>
      <c r="O17" s="413" t="s">
        <v>2198</v>
      </c>
      <c r="P17" s="413"/>
      <c r="Q17" s="413"/>
      <c r="R17" s="413"/>
      <c r="S17" s="413"/>
    </row>
    <row r="18" customFormat="false" ht="15.75" hidden="true" customHeight="true" outlineLevel="0" collapsed="false">
      <c r="A18" s="449" t="n">
        <v>1719</v>
      </c>
      <c r="B18" s="450" t="s">
        <v>12839</v>
      </c>
      <c r="C18" s="450" t="n">
        <v>2013</v>
      </c>
      <c r="D18" s="451" t="n">
        <v>41414</v>
      </c>
      <c r="E18" s="452" t="s">
        <v>12840</v>
      </c>
      <c r="F18" s="378" t="s">
        <v>699</v>
      </c>
      <c r="G18" s="452" t="s">
        <v>441</v>
      </c>
      <c r="H18" s="378" t="s">
        <v>12841</v>
      </c>
      <c r="I18" s="451" t="n">
        <v>43487</v>
      </c>
      <c r="J18" s="452" t="n">
        <v>1</v>
      </c>
      <c r="K18" s="552" t="s">
        <v>42</v>
      </c>
      <c r="L18" s="378" t="s">
        <v>60</v>
      </c>
      <c r="M18" s="546" t="n">
        <f aca="false">I18-D18</f>
        <v>2073</v>
      </c>
      <c r="N18" s="153"/>
      <c r="O18" s="414" t="s">
        <v>2203</v>
      </c>
      <c r="P18" s="414"/>
      <c r="Q18" s="414"/>
      <c r="R18" s="414"/>
      <c r="S18" s="414"/>
    </row>
    <row r="19" customFormat="false" ht="15.75" hidden="true" customHeight="true" outlineLevel="0" collapsed="false">
      <c r="A19" s="456" t="n">
        <v>1819</v>
      </c>
      <c r="B19" s="458" t="s">
        <v>12842</v>
      </c>
      <c r="C19" s="458" t="n">
        <v>2013</v>
      </c>
      <c r="D19" s="459" t="n">
        <v>41339</v>
      </c>
      <c r="E19" s="460" t="s">
        <v>12843</v>
      </c>
      <c r="F19" s="380" t="s">
        <v>1097</v>
      </c>
      <c r="G19" s="460" t="s">
        <v>441</v>
      </c>
      <c r="H19" s="380" t="s">
        <v>12106</v>
      </c>
      <c r="I19" s="459" t="n">
        <v>43489</v>
      </c>
      <c r="J19" s="460" t="n">
        <v>1</v>
      </c>
      <c r="K19" s="552" t="s">
        <v>42</v>
      </c>
      <c r="L19" s="380" t="s">
        <v>60</v>
      </c>
      <c r="M19" s="545" t="n">
        <f aca="false">I19-D19</f>
        <v>2150</v>
      </c>
      <c r="N19" s="153"/>
      <c r="O19" s="413" t="s">
        <v>2207</v>
      </c>
      <c r="P19" s="413"/>
      <c r="Q19" s="413"/>
      <c r="R19" s="413"/>
      <c r="S19" s="413"/>
    </row>
    <row r="20" customFormat="false" ht="12.75" hidden="true" customHeight="true" outlineLevel="0" collapsed="false">
      <c r="A20" s="449" t="n">
        <v>1919</v>
      </c>
      <c r="B20" s="450" t="s">
        <v>12844</v>
      </c>
      <c r="C20" s="450" t="n">
        <v>2012</v>
      </c>
      <c r="D20" s="451" t="n">
        <v>41164</v>
      </c>
      <c r="E20" s="452" t="s">
        <v>12845</v>
      </c>
      <c r="F20" s="378" t="s">
        <v>549</v>
      </c>
      <c r="G20" s="452" t="s">
        <v>441</v>
      </c>
      <c r="H20" s="378" t="s">
        <v>12073</v>
      </c>
      <c r="I20" s="451" t="n">
        <v>43489</v>
      </c>
      <c r="J20" s="452" t="n">
        <v>1</v>
      </c>
      <c r="K20" s="552" t="s">
        <v>42</v>
      </c>
      <c r="L20" s="378" t="s">
        <v>58</v>
      </c>
      <c r="M20" s="546" t="n">
        <f aca="false">I20-D20</f>
        <v>2325</v>
      </c>
      <c r="N20" s="153"/>
      <c r="O20" s="414" t="s">
        <v>2211</v>
      </c>
      <c r="P20" s="414"/>
      <c r="Q20" s="414"/>
      <c r="R20" s="414"/>
      <c r="S20" s="414"/>
    </row>
    <row r="21" customFormat="false" ht="12.75" hidden="true" customHeight="true" outlineLevel="0" collapsed="false">
      <c r="A21" s="456" t="n">
        <v>2019</v>
      </c>
      <c r="B21" s="458" t="s">
        <v>12846</v>
      </c>
      <c r="C21" s="458" t="n">
        <v>2015</v>
      </c>
      <c r="D21" s="459" t="n">
        <v>42275</v>
      </c>
      <c r="E21" s="460" t="s">
        <v>12847</v>
      </c>
      <c r="F21" s="380" t="s">
        <v>12848</v>
      </c>
      <c r="G21" s="460" t="s">
        <v>441</v>
      </c>
      <c r="H21" s="380" t="s">
        <v>2283</v>
      </c>
      <c r="I21" s="459" t="n">
        <v>43489</v>
      </c>
      <c r="J21" s="460" t="n">
        <v>1</v>
      </c>
      <c r="K21" s="552" t="s">
        <v>42</v>
      </c>
      <c r="L21" s="380" t="s">
        <v>60</v>
      </c>
      <c r="M21" s="545" t="n">
        <f aca="false">I21-D21</f>
        <v>1214</v>
      </c>
      <c r="N21" s="153"/>
      <c r="O21" s="413" t="s">
        <v>2215</v>
      </c>
      <c r="P21" s="413"/>
      <c r="Q21" s="413"/>
      <c r="R21" s="413"/>
      <c r="S21" s="413"/>
    </row>
    <row r="22" customFormat="false" ht="12.75" hidden="true" customHeight="true" outlineLevel="0" collapsed="false">
      <c r="A22" s="449" t="n">
        <v>2119</v>
      </c>
      <c r="B22" s="450" t="s">
        <v>12849</v>
      </c>
      <c r="C22" s="450" t="n">
        <v>2014</v>
      </c>
      <c r="D22" s="451" t="n">
        <v>41662</v>
      </c>
      <c r="E22" s="452" t="s">
        <v>12850</v>
      </c>
      <c r="F22" s="378" t="s">
        <v>12851</v>
      </c>
      <c r="G22" s="452" t="s">
        <v>441</v>
      </c>
      <c r="H22" s="378" t="s">
        <v>267</v>
      </c>
      <c r="I22" s="451" t="n">
        <v>43494</v>
      </c>
      <c r="J22" s="452" t="n">
        <v>1</v>
      </c>
      <c r="K22" s="552" t="s">
        <v>42</v>
      </c>
      <c r="L22" s="378" t="s">
        <v>57</v>
      </c>
      <c r="M22" s="546" t="n">
        <f aca="false">I22-D22</f>
        <v>1832</v>
      </c>
      <c r="N22" s="153"/>
      <c r="O22" s="414" t="s">
        <v>2220</v>
      </c>
      <c r="P22" s="414"/>
      <c r="Q22" s="414"/>
      <c r="R22" s="414"/>
      <c r="S22" s="414"/>
    </row>
    <row r="23" customFormat="false" ht="15.75" hidden="true" customHeight="true" outlineLevel="0" collapsed="false">
      <c r="A23" s="456" t="n">
        <v>2219</v>
      </c>
      <c r="B23" s="458" t="s">
        <v>12852</v>
      </c>
      <c r="C23" s="458" t="n">
        <v>2012</v>
      </c>
      <c r="D23" s="459" t="n">
        <v>41176</v>
      </c>
      <c r="E23" s="460" t="s">
        <v>12853</v>
      </c>
      <c r="F23" s="380" t="s">
        <v>4270</v>
      </c>
      <c r="G23" s="460" t="s">
        <v>441</v>
      </c>
      <c r="H23" s="380" t="s">
        <v>119</v>
      </c>
      <c r="I23" s="459" t="n">
        <v>43494</v>
      </c>
      <c r="J23" s="460" t="n">
        <v>1</v>
      </c>
      <c r="K23" s="552" t="s">
        <v>42</v>
      </c>
      <c r="L23" s="380" t="s">
        <v>58</v>
      </c>
      <c r="M23" s="545" t="n">
        <f aca="false">I23-D23</f>
        <v>2318</v>
      </c>
      <c r="N23" s="153"/>
      <c r="O23" s="413" t="s">
        <v>2225</v>
      </c>
      <c r="P23" s="413"/>
      <c r="Q23" s="413"/>
      <c r="R23" s="413"/>
      <c r="S23" s="413"/>
    </row>
    <row r="24" customFormat="false" ht="12.75" hidden="true" customHeight="true" outlineLevel="0" collapsed="false">
      <c r="A24" s="449" t="n">
        <v>2319</v>
      </c>
      <c r="B24" s="450" t="s">
        <v>12854</v>
      </c>
      <c r="C24" s="450" t="n">
        <v>2014</v>
      </c>
      <c r="D24" s="451" t="n">
        <v>41648</v>
      </c>
      <c r="E24" s="452" t="s">
        <v>12855</v>
      </c>
      <c r="F24" s="378" t="s">
        <v>780</v>
      </c>
      <c r="G24" s="452" t="s">
        <v>441</v>
      </c>
      <c r="H24" s="378" t="s">
        <v>471</v>
      </c>
      <c r="I24" s="451" t="n">
        <v>43494</v>
      </c>
      <c r="J24" s="452" t="n">
        <v>1</v>
      </c>
      <c r="K24" s="552" t="s">
        <v>42</v>
      </c>
      <c r="L24" s="378" t="s">
        <v>60</v>
      </c>
      <c r="M24" s="546" t="n">
        <f aca="false">I24-D24</f>
        <v>1846</v>
      </c>
      <c r="N24" s="153"/>
      <c r="O24" s="415" t="s">
        <v>2229</v>
      </c>
      <c r="P24" s="415"/>
      <c r="Q24" s="415"/>
      <c r="R24" s="415"/>
      <c r="S24" s="415"/>
    </row>
    <row r="25" customFormat="false" ht="12.75" hidden="false" customHeight="true" outlineLevel="0" collapsed="false">
      <c r="A25" s="456" t="n">
        <v>2419</v>
      </c>
      <c r="B25" s="458" t="s">
        <v>12856</v>
      </c>
      <c r="C25" s="458" t="n">
        <v>2016</v>
      </c>
      <c r="D25" s="459" t="n">
        <v>42458</v>
      </c>
      <c r="E25" s="460" t="s">
        <v>12857</v>
      </c>
      <c r="F25" s="380" t="s">
        <v>4270</v>
      </c>
      <c r="G25" s="460" t="s">
        <v>1174</v>
      </c>
      <c r="H25" s="380" t="s">
        <v>2677</v>
      </c>
      <c r="I25" s="459" t="n">
        <v>43494</v>
      </c>
      <c r="J25" s="460" t="n">
        <v>1</v>
      </c>
      <c r="K25" s="552" t="s">
        <v>42</v>
      </c>
      <c r="L25" s="380" t="s">
        <v>60</v>
      </c>
      <c r="M25" s="545" t="n">
        <f aca="false">I25-D25</f>
        <v>1036</v>
      </c>
      <c r="N25" s="153"/>
      <c r="O25" s="153"/>
      <c r="P25" s="153"/>
      <c r="Q25" s="153"/>
      <c r="R25" s="153"/>
      <c r="S25" s="153"/>
    </row>
    <row r="26" customFormat="false" ht="12.75" hidden="false" customHeight="true" outlineLevel="0" collapsed="false">
      <c r="A26" s="449" t="n">
        <v>2519</v>
      </c>
      <c r="B26" s="450" t="s">
        <v>12858</v>
      </c>
      <c r="C26" s="450" t="n">
        <v>2018</v>
      </c>
      <c r="D26" s="451" t="n">
        <v>43276</v>
      </c>
      <c r="E26" s="452" t="s">
        <v>12859</v>
      </c>
      <c r="F26" s="378" t="s">
        <v>1357</v>
      </c>
      <c r="G26" s="452" t="s">
        <v>1174</v>
      </c>
      <c r="H26" s="378" t="s">
        <v>267</v>
      </c>
      <c r="I26" s="451" t="n">
        <v>43494</v>
      </c>
      <c r="J26" s="452" t="n">
        <v>1</v>
      </c>
      <c r="K26" s="552" t="s">
        <v>42</v>
      </c>
      <c r="L26" s="378" t="s">
        <v>60</v>
      </c>
      <c r="M26" s="546" t="n">
        <f aca="false">I26-D26</f>
        <v>218</v>
      </c>
      <c r="N26" s="153"/>
      <c r="O26" s="326" t="s">
        <v>185</v>
      </c>
      <c r="P26" s="326"/>
      <c r="Q26" s="326"/>
      <c r="R26" s="326"/>
      <c r="S26" s="326"/>
    </row>
    <row r="27" customFormat="false" ht="12.75" hidden="false" customHeight="true" outlineLevel="0" collapsed="false">
      <c r="A27" s="456" t="n">
        <v>2619</v>
      </c>
      <c r="B27" s="458" t="s">
        <v>12860</v>
      </c>
      <c r="C27" s="458" t="n">
        <v>2014</v>
      </c>
      <c r="D27" s="459" t="n">
        <v>41836</v>
      </c>
      <c r="E27" s="460" t="s">
        <v>12861</v>
      </c>
      <c r="F27" s="380" t="s">
        <v>12862</v>
      </c>
      <c r="G27" s="460" t="s">
        <v>1174</v>
      </c>
      <c r="H27" s="380" t="s">
        <v>11617</v>
      </c>
      <c r="I27" s="459" t="n">
        <v>43494</v>
      </c>
      <c r="J27" s="460" t="n">
        <v>1</v>
      </c>
      <c r="K27" s="587" t="s">
        <v>50</v>
      </c>
      <c r="L27" s="380" t="s">
        <v>60</v>
      </c>
      <c r="M27" s="545" t="n">
        <f aca="false">I27-D27</f>
        <v>1658</v>
      </c>
      <c r="N27" s="153"/>
      <c r="O27" s="326"/>
      <c r="P27" s="326"/>
      <c r="Q27" s="326"/>
      <c r="R27" s="326"/>
      <c r="S27" s="326"/>
    </row>
    <row r="28" customFormat="false" ht="12.75" hidden="false" customHeight="true" outlineLevel="0" collapsed="false">
      <c r="A28" s="449" t="n">
        <v>2719</v>
      </c>
      <c r="B28" s="450" t="s">
        <v>12863</v>
      </c>
      <c r="C28" s="450" t="n">
        <v>2016</v>
      </c>
      <c r="D28" s="451" t="n">
        <v>42465</v>
      </c>
      <c r="E28" s="452" t="s">
        <v>12864</v>
      </c>
      <c r="F28" s="378" t="s">
        <v>12862</v>
      </c>
      <c r="G28" s="452" t="s">
        <v>1174</v>
      </c>
      <c r="H28" s="378" t="s">
        <v>1571</v>
      </c>
      <c r="I28" s="451" t="n">
        <v>43494</v>
      </c>
      <c r="J28" s="452" t="n">
        <v>1</v>
      </c>
      <c r="K28" s="587" t="s">
        <v>50</v>
      </c>
      <c r="L28" s="378" t="s">
        <v>60</v>
      </c>
      <c r="M28" s="546" t="n">
        <f aca="false">I28-D28</f>
        <v>1029</v>
      </c>
      <c r="N28" s="153"/>
      <c r="O28" s="309" t="s">
        <v>39</v>
      </c>
      <c r="P28" s="416" t="s">
        <v>40</v>
      </c>
      <c r="Q28" s="416"/>
      <c r="R28" s="416"/>
      <c r="S28" s="313" t="s">
        <v>41</v>
      </c>
    </row>
    <row r="29" customFormat="false" ht="12.75" hidden="false" customHeight="true" outlineLevel="0" collapsed="false">
      <c r="A29" s="456" t="n">
        <v>2819</v>
      </c>
      <c r="B29" s="458" t="s">
        <v>12865</v>
      </c>
      <c r="C29" s="458" t="n">
        <v>2017</v>
      </c>
      <c r="D29" s="459" t="n">
        <v>42782</v>
      </c>
      <c r="E29" s="460" t="s">
        <v>12866</v>
      </c>
      <c r="F29" s="380" t="s">
        <v>12862</v>
      </c>
      <c r="G29" s="460" t="s">
        <v>1174</v>
      </c>
      <c r="H29" s="380" t="s">
        <v>6871</v>
      </c>
      <c r="I29" s="459" t="n">
        <v>43494</v>
      </c>
      <c r="J29" s="460" t="n">
        <v>1</v>
      </c>
      <c r="K29" s="587" t="s">
        <v>50</v>
      </c>
      <c r="L29" s="380" t="s">
        <v>60</v>
      </c>
      <c r="M29" s="545" t="n">
        <f aca="false">I29-D29</f>
        <v>712</v>
      </c>
      <c r="N29" s="153"/>
      <c r="O29" s="283" t="n">
        <v>2007</v>
      </c>
      <c r="P29" s="314" t="n">
        <f aca="false">COUNTIF($C$2:$C$503,"2007")</f>
        <v>1</v>
      </c>
      <c r="Q29" s="314"/>
      <c r="R29" s="314"/>
      <c r="S29" s="315" t="n">
        <f aca="false">(P29/P42)</f>
        <v>0.00210526315789474</v>
      </c>
    </row>
    <row r="30" customFormat="false" ht="13.5" hidden="false" customHeight="true" outlineLevel="0" collapsed="false">
      <c r="A30" s="449" t="n">
        <v>2919</v>
      </c>
      <c r="B30" s="450" t="s">
        <v>12867</v>
      </c>
      <c r="C30" s="450" t="n">
        <v>2014</v>
      </c>
      <c r="D30" s="451" t="n">
        <v>41842</v>
      </c>
      <c r="E30" s="452" t="s">
        <v>12868</v>
      </c>
      <c r="F30" s="378" t="s">
        <v>12862</v>
      </c>
      <c r="G30" s="452" t="s">
        <v>1174</v>
      </c>
      <c r="H30" s="378" t="s">
        <v>243</v>
      </c>
      <c r="I30" s="451" t="n">
        <v>43494</v>
      </c>
      <c r="J30" s="452" t="n">
        <v>1</v>
      </c>
      <c r="K30" s="587" t="s">
        <v>50</v>
      </c>
      <c r="L30" s="378" t="s">
        <v>60</v>
      </c>
      <c r="M30" s="546" t="n">
        <f aca="false">I30-D30</f>
        <v>1652</v>
      </c>
      <c r="N30" s="153"/>
      <c r="O30" s="282" t="n">
        <v>2008</v>
      </c>
      <c r="P30" s="282" t="n">
        <f aca="false">COUNTIF($C$2:$C$503,"2008")</f>
        <v>1</v>
      </c>
      <c r="Q30" s="282"/>
      <c r="R30" s="282"/>
      <c r="S30" s="316" t="n">
        <f aca="false">(P30/P42)</f>
        <v>0.00210526315789474</v>
      </c>
    </row>
    <row r="31" customFormat="false" ht="13.5" hidden="true" customHeight="true" outlineLevel="0" collapsed="false">
      <c r="A31" s="456" t="n">
        <v>3019</v>
      </c>
      <c r="B31" s="458" t="s">
        <v>12869</v>
      </c>
      <c r="C31" s="458" t="n">
        <v>2007</v>
      </c>
      <c r="D31" s="459" t="n">
        <v>39392</v>
      </c>
      <c r="E31" s="460" t="s">
        <v>12870</v>
      </c>
      <c r="F31" s="380" t="s">
        <v>1211</v>
      </c>
      <c r="G31" s="460" t="s">
        <v>144</v>
      </c>
      <c r="H31" s="380" t="s">
        <v>373</v>
      </c>
      <c r="I31" s="459" t="n">
        <v>43497</v>
      </c>
      <c r="J31" s="460" t="n">
        <v>2</v>
      </c>
      <c r="K31" s="548" t="s">
        <v>47</v>
      </c>
      <c r="L31" s="380" t="s">
        <v>60</v>
      </c>
      <c r="M31" s="545" t="n">
        <f aca="false">I31-D31</f>
        <v>4105</v>
      </c>
      <c r="N31" s="153"/>
      <c r="O31" s="283" t="n">
        <v>2009</v>
      </c>
      <c r="P31" s="283" t="n">
        <f aca="false">COUNTIF($C$2:$C$503,"2009")</f>
        <v>8</v>
      </c>
      <c r="Q31" s="283"/>
      <c r="R31" s="283"/>
      <c r="S31" s="315" t="n">
        <f aca="false">(P31/P42)</f>
        <v>0.0168421052631579</v>
      </c>
    </row>
    <row r="32" customFormat="false" ht="12.75" hidden="true" customHeight="true" outlineLevel="0" collapsed="false">
      <c r="A32" s="449" t="n">
        <v>3119</v>
      </c>
      <c r="B32" s="450" t="s">
        <v>12871</v>
      </c>
      <c r="C32" s="450" t="n">
        <v>2016</v>
      </c>
      <c r="D32" s="451" t="n">
        <v>42551</v>
      </c>
      <c r="E32" s="452" t="s">
        <v>12872</v>
      </c>
      <c r="F32" s="378" t="s">
        <v>9200</v>
      </c>
      <c r="G32" s="452" t="s">
        <v>144</v>
      </c>
      <c r="H32" s="378" t="s">
        <v>1059</v>
      </c>
      <c r="I32" s="451" t="n">
        <v>43497</v>
      </c>
      <c r="J32" s="452" t="n">
        <v>2</v>
      </c>
      <c r="K32" s="548" t="s">
        <v>47</v>
      </c>
      <c r="L32" s="378" t="s">
        <v>60</v>
      </c>
      <c r="M32" s="546" t="n">
        <f aca="false">I32-D32</f>
        <v>946</v>
      </c>
      <c r="N32" s="153"/>
      <c r="O32" s="282" t="n">
        <v>2010</v>
      </c>
      <c r="P32" s="282" t="n">
        <f aca="false">COUNTIF($C$2:$C$503,"2010")</f>
        <v>5</v>
      </c>
      <c r="Q32" s="282"/>
      <c r="R32" s="282"/>
      <c r="S32" s="316" t="n">
        <f aca="false">(P32/P42)</f>
        <v>0.0105263157894737</v>
      </c>
    </row>
    <row r="33" customFormat="false" ht="12.75" hidden="true" customHeight="true" outlineLevel="0" collapsed="false">
      <c r="A33" s="456" t="n">
        <v>3219</v>
      </c>
      <c r="B33" s="458" t="s">
        <v>12873</v>
      </c>
      <c r="C33" s="458" t="n">
        <v>2013</v>
      </c>
      <c r="D33" s="459" t="n">
        <v>41446</v>
      </c>
      <c r="E33" s="460" t="s">
        <v>12874</v>
      </c>
      <c r="F33" s="380" t="s">
        <v>2560</v>
      </c>
      <c r="G33" s="460" t="s">
        <v>441</v>
      </c>
      <c r="H33" s="380" t="s">
        <v>1567</v>
      </c>
      <c r="I33" s="459" t="n">
        <v>43497</v>
      </c>
      <c r="J33" s="460" t="n">
        <v>2</v>
      </c>
      <c r="K33" s="587" t="s">
        <v>50</v>
      </c>
      <c r="L33" s="380" t="s">
        <v>58</v>
      </c>
      <c r="M33" s="545" t="n">
        <f aca="false">I33-D33</f>
        <v>2051</v>
      </c>
      <c r="N33" s="153"/>
      <c r="O33" s="283" t="n">
        <v>2011</v>
      </c>
      <c r="P33" s="283" t="n">
        <f aca="false">COUNTIF($C$2:$C$503,"2011")</f>
        <v>27</v>
      </c>
      <c r="Q33" s="283"/>
      <c r="R33" s="283"/>
      <c r="S33" s="315" t="n">
        <f aca="false">(P33/P42)</f>
        <v>0.0568421052631579</v>
      </c>
    </row>
    <row r="34" customFormat="false" ht="12.75" hidden="true" customHeight="true" outlineLevel="0" collapsed="false">
      <c r="A34" s="449" t="n">
        <v>3319</v>
      </c>
      <c r="B34" s="450" t="s">
        <v>12875</v>
      </c>
      <c r="C34" s="450" t="n">
        <v>2016</v>
      </c>
      <c r="D34" s="451" t="n">
        <v>42405</v>
      </c>
      <c r="E34" s="452" t="s">
        <v>12876</v>
      </c>
      <c r="F34" s="378" t="s">
        <v>361</v>
      </c>
      <c r="G34" s="452" t="s">
        <v>144</v>
      </c>
      <c r="H34" s="378" t="s">
        <v>9638</v>
      </c>
      <c r="I34" s="451" t="n">
        <v>43497</v>
      </c>
      <c r="J34" s="452" t="n">
        <v>2</v>
      </c>
      <c r="K34" s="548" t="s">
        <v>47</v>
      </c>
      <c r="L34" s="378" t="s">
        <v>58</v>
      </c>
      <c r="M34" s="546" t="n">
        <f aca="false">I34-D34</f>
        <v>1092</v>
      </c>
      <c r="N34" s="153"/>
      <c r="O34" s="282" t="n">
        <v>2012</v>
      </c>
      <c r="P34" s="282" t="n">
        <f aca="false">COUNTIF($C$2:$C$503,"2012")</f>
        <v>46</v>
      </c>
      <c r="Q34" s="282"/>
      <c r="R34" s="282"/>
      <c r="S34" s="316" t="n">
        <f aca="false">(P34/P42)</f>
        <v>0.0968421052631579</v>
      </c>
    </row>
    <row r="35" customFormat="false" ht="12.75" hidden="false" customHeight="true" outlineLevel="0" collapsed="false">
      <c r="A35" s="456" t="n">
        <v>3419</v>
      </c>
      <c r="B35" s="458" t="s">
        <v>12877</v>
      </c>
      <c r="C35" s="458" t="n">
        <v>2017</v>
      </c>
      <c r="D35" s="459" t="n">
        <v>43031</v>
      </c>
      <c r="E35" s="460" t="s">
        <v>12878</v>
      </c>
      <c r="F35" s="380" t="s">
        <v>1527</v>
      </c>
      <c r="G35" s="460" t="s">
        <v>1174</v>
      </c>
      <c r="H35" s="380" t="s">
        <v>9385</v>
      </c>
      <c r="I35" s="459" t="n">
        <v>43500</v>
      </c>
      <c r="J35" s="460" t="n">
        <v>2</v>
      </c>
      <c r="K35" s="552" t="s">
        <v>42</v>
      </c>
      <c r="L35" s="380" t="s">
        <v>58</v>
      </c>
      <c r="M35" s="545" t="n">
        <f aca="false">I35-D35</f>
        <v>469</v>
      </c>
      <c r="N35" s="153"/>
      <c r="O35" s="283" t="n">
        <v>2013</v>
      </c>
      <c r="P35" s="283" t="n">
        <f aca="false">COUNTIF($C$2:$C$503,"2013")</f>
        <v>79</v>
      </c>
      <c r="Q35" s="283"/>
      <c r="R35" s="283"/>
      <c r="S35" s="315" t="n">
        <f aca="false">(P35/P42)</f>
        <v>0.166315789473684</v>
      </c>
    </row>
    <row r="36" customFormat="false" ht="12.75" hidden="false" customHeight="true" outlineLevel="0" collapsed="false">
      <c r="A36" s="449" t="n">
        <v>3519</v>
      </c>
      <c r="B36" s="450" t="s">
        <v>12879</v>
      </c>
      <c r="C36" s="450" t="n">
        <v>2016</v>
      </c>
      <c r="D36" s="451" t="n">
        <v>42594</v>
      </c>
      <c r="E36" s="452" t="s">
        <v>12880</v>
      </c>
      <c r="F36" s="378" t="s">
        <v>168</v>
      </c>
      <c r="G36" s="452" t="s">
        <v>1174</v>
      </c>
      <c r="H36" s="378" t="s">
        <v>12106</v>
      </c>
      <c r="I36" s="451" t="n">
        <v>43500</v>
      </c>
      <c r="J36" s="452" t="n">
        <v>2</v>
      </c>
      <c r="K36" s="552" t="s">
        <v>42</v>
      </c>
      <c r="L36" s="378" t="s">
        <v>58</v>
      </c>
      <c r="M36" s="546" t="n">
        <f aca="false">I36-D36</f>
        <v>906</v>
      </c>
      <c r="N36" s="153"/>
      <c r="O36" s="282" t="n">
        <v>2014</v>
      </c>
      <c r="P36" s="282" t="n">
        <f aca="false">COUNTIF($C$2:$C$503,"2014")</f>
        <v>53</v>
      </c>
      <c r="Q36" s="282"/>
      <c r="R36" s="282"/>
      <c r="S36" s="316" t="n">
        <f aca="false">(P36/P42)</f>
        <v>0.111578947368421</v>
      </c>
    </row>
    <row r="37" customFormat="false" ht="12.75" hidden="false" customHeight="true" outlineLevel="0" collapsed="false">
      <c r="A37" s="456" t="n">
        <v>3619</v>
      </c>
      <c r="B37" s="458" t="s">
        <v>12881</v>
      </c>
      <c r="C37" s="458" t="n">
        <v>2016</v>
      </c>
      <c r="D37" s="459" t="n">
        <v>42698</v>
      </c>
      <c r="E37" s="460" t="s">
        <v>12882</v>
      </c>
      <c r="F37" s="380" t="s">
        <v>1097</v>
      </c>
      <c r="G37" s="460" t="s">
        <v>1174</v>
      </c>
      <c r="H37" s="380" t="s">
        <v>310</v>
      </c>
      <c r="I37" s="459" t="n">
        <v>43500</v>
      </c>
      <c r="J37" s="460" t="n">
        <v>2</v>
      </c>
      <c r="K37" s="552" t="s">
        <v>42</v>
      </c>
      <c r="L37" s="380" t="s">
        <v>60</v>
      </c>
      <c r="M37" s="545" t="n">
        <f aca="false">I37-D37</f>
        <v>802</v>
      </c>
      <c r="N37" s="153"/>
      <c r="O37" s="283" t="n">
        <v>2015</v>
      </c>
      <c r="P37" s="283" t="n">
        <f aca="false">COUNTIF($C$2:$C$503,"2015")</f>
        <v>65</v>
      </c>
      <c r="Q37" s="283"/>
      <c r="R37" s="283"/>
      <c r="S37" s="315" t="n">
        <f aca="false">(P37/P42)</f>
        <v>0.136842105263158</v>
      </c>
    </row>
    <row r="38" customFormat="false" ht="12.75" hidden="false" customHeight="true" outlineLevel="0" collapsed="false">
      <c r="A38" s="449" t="n">
        <v>3719</v>
      </c>
      <c r="B38" s="450" t="s">
        <v>12883</v>
      </c>
      <c r="C38" s="450" t="n">
        <v>2015</v>
      </c>
      <c r="D38" s="451" t="n">
        <v>42020</v>
      </c>
      <c r="E38" s="452" t="s">
        <v>12884</v>
      </c>
      <c r="F38" s="378" t="s">
        <v>1097</v>
      </c>
      <c r="G38" s="452" t="s">
        <v>1174</v>
      </c>
      <c r="H38" s="378" t="s">
        <v>192</v>
      </c>
      <c r="I38" s="451" t="n">
        <v>43500</v>
      </c>
      <c r="J38" s="452" t="n">
        <v>2</v>
      </c>
      <c r="K38" s="552" t="s">
        <v>42</v>
      </c>
      <c r="L38" s="378" t="s">
        <v>60</v>
      </c>
      <c r="M38" s="546" t="n">
        <f aca="false">I38-D38</f>
        <v>1480</v>
      </c>
      <c r="N38" s="153"/>
      <c r="O38" s="282" t="n">
        <v>2016</v>
      </c>
      <c r="P38" s="282" t="n">
        <f aca="false">COUNTIF($C$2:$C$503,"2016")</f>
        <v>53</v>
      </c>
      <c r="Q38" s="282"/>
      <c r="R38" s="282"/>
      <c r="S38" s="316" t="n">
        <f aca="false">(P38/P42)</f>
        <v>0.111578947368421</v>
      </c>
    </row>
    <row r="39" customFormat="false" ht="12.75" hidden="false" customHeight="true" outlineLevel="0" collapsed="false">
      <c r="A39" s="456" t="n">
        <v>3819</v>
      </c>
      <c r="B39" s="458" t="s">
        <v>12885</v>
      </c>
      <c r="C39" s="458" t="n">
        <v>2014</v>
      </c>
      <c r="D39" s="459" t="n">
        <v>41970</v>
      </c>
      <c r="E39" s="460" t="s">
        <v>12886</v>
      </c>
      <c r="F39" s="380" t="s">
        <v>1527</v>
      </c>
      <c r="G39" s="460" t="s">
        <v>1174</v>
      </c>
      <c r="H39" s="380" t="s">
        <v>11617</v>
      </c>
      <c r="I39" s="459" t="n">
        <v>43500</v>
      </c>
      <c r="J39" s="460" t="n">
        <v>2</v>
      </c>
      <c r="K39" s="552" t="s">
        <v>42</v>
      </c>
      <c r="L39" s="380" t="s">
        <v>58</v>
      </c>
      <c r="M39" s="545" t="n">
        <f aca="false">I39-D39</f>
        <v>1530</v>
      </c>
      <c r="N39" s="153"/>
      <c r="O39" s="283" t="n">
        <v>2017</v>
      </c>
      <c r="P39" s="283" t="n">
        <f aca="false">COUNTIF($C$2:$C$503,"2017")</f>
        <v>55</v>
      </c>
      <c r="Q39" s="283"/>
      <c r="R39" s="283"/>
      <c r="S39" s="315" t="n">
        <f aca="false">(P39/P42)</f>
        <v>0.115789473684211</v>
      </c>
    </row>
    <row r="40" customFormat="false" ht="12.75" hidden="true" customHeight="true" outlineLevel="0" collapsed="false">
      <c r="A40" s="449" t="n">
        <v>3919</v>
      </c>
      <c r="B40" s="450" t="s">
        <v>12887</v>
      </c>
      <c r="C40" s="450" t="n">
        <v>2017</v>
      </c>
      <c r="D40" s="451" t="n">
        <v>43060</v>
      </c>
      <c r="E40" s="452" t="s">
        <v>12888</v>
      </c>
      <c r="F40" s="378" t="s">
        <v>9785</v>
      </c>
      <c r="G40" s="452" t="s">
        <v>125</v>
      </c>
      <c r="H40" s="378" t="s">
        <v>5731</v>
      </c>
      <c r="I40" s="451" t="n">
        <v>43502</v>
      </c>
      <c r="J40" s="452" t="n">
        <v>2</v>
      </c>
      <c r="K40" s="587" t="s">
        <v>50</v>
      </c>
      <c r="L40" s="378" t="s">
        <v>61</v>
      </c>
      <c r="M40" s="546" t="n">
        <f aca="false">I40-D40</f>
        <v>442</v>
      </c>
      <c r="N40" s="153"/>
      <c r="O40" s="282" t="n">
        <v>2018</v>
      </c>
      <c r="P40" s="282" t="n">
        <f aca="false">COUNTIF($C$2:$C$503,"2018")</f>
        <v>59</v>
      </c>
      <c r="Q40" s="282"/>
      <c r="R40" s="282"/>
      <c r="S40" s="316" t="n">
        <f aca="false">(P40/P42)</f>
        <v>0.124210526315789</v>
      </c>
    </row>
    <row r="41" customFormat="false" ht="12.75" hidden="true" customHeight="true" outlineLevel="0" collapsed="false">
      <c r="A41" s="456" t="n">
        <v>4019</v>
      </c>
      <c r="B41" s="458" t="s">
        <v>12889</v>
      </c>
      <c r="C41" s="458" t="n">
        <v>2015</v>
      </c>
      <c r="D41" s="459" t="n">
        <v>42054</v>
      </c>
      <c r="E41" s="460" t="s">
        <v>12890</v>
      </c>
      <c r="F41" s="380" t="s">
        <v>902</v>
      </c>
      <c r="G41" s="460" t="s">
        <v>144</v>
      </c>
      <c r="H41" s="380" t="s">
        <v>254</v>
      </c>
      <c r="I41" s="459" t="n">
        <v>43502</v>
      </c>
      <c r="J41" s="460" t="n">
        <v>2</v>
      </c>
      <c r="K41" s="548" t="s">
        <v>47</v>
      </c>
      <c r="L41" s="380" t="s">
        <v>58</v>
      </c>
      <c r="M41" s="545" t="n">
        <f aca="false">I41-D41</f>
        <v>1448</v>
      </c>
      <c r="N41" s="153"/>
      <c r="O41" s="283" t="n">
        <v>2019</v>
      </c>
      <c r="P41" s="283" t="n">
        <f aca="false">COUNTIF($C$2:$C$503,"2019")</f>
        <v>23</v>
      </c>
      <c r="Q41" s="283"/>
      <c r="R41" s="283"/>
      <c r="S41" s="315" t="n">
        <f aca="false">(P41/P42)</f>
        <v>0.048421052631579</v>
      </c>
    </row>
    <row r="42" customFormat="false" ht="12.75" hidden="true" customHeight="true" outlineLevel="0" collapsed="false">
      <c r="A42" s="449" t="n">
        <v>4119</v>
      </c>
      <c r="B42" s="450" t="s">
        <v>12891</v>
      </c>
      <c r="C42" s="450" t="n">
        <v>2015</v>
      </c>
      <c r="D42" s="451" t="n">
        <v>42054</v>
      </c>
      <c r="E42" s="452" t="s">
        <v>12892</v>
      </c>
      <c r="F42" s="378" t="s">
        <v>902</v>
      </c>
      <c r="G42" s="452" t="s">
        <v>144</v>
      </c>
      <c r="H42" s="378" t="s">
        <v>254</v>
      </c>
      <c r="I42" s="451" t="n">
        <v>43502</v>
      </c>
      <c r="J42" s="452" t="n">
        <v>2</v>
      </c>
      <c r="K42" s="548" t="s">
        <v>47</v>
      </c>
      <c r="L42" s="378" t="s">
        <v>58</v>
      </c>
      <c r="M42" s="546" t="n">
        <f aca="false">I42-D42</f>
        <v>1448</v>
      </c>
      <c r="N42" s="153"/>
      <c r="O42" s="323" t="s">
        <v>56</v>
      </c>
      <c r="P42" s="418" t="n">
        <f aca="false">SUM(P29:R41)</f>
        <v>475</v>
      </c>
      <c r="Q42" s="418"/>
      <c r="R42" s="418"/>
      <c r="S42" s="325" t="n">
        <f aca="false">SUM(S29:S41)</f>
        <v>1</v>
      </c>
    </row>
    <row r="43" customFormat="false" ht="12.75" hidden="true" customHeight="true" outlineLevel="0" collapsed="false">
      <c r="A43" s="456" t="n">
        <v>4219</v>
      </c>
      <c r="B43" s="458" t="s">
        <v>12893</v>
      </c>
      <c r="C43" s="458" t="n">
        <v>2018</v>
      </c>
      <c r="D43" s="459" t="n">
        <v>43153</v>
      </c>
      <c r="E43" s="460" t="s">
        <v>12894</v>
      </c>
      <c r="F43" s="380" t="s">
        <v>12895</v>
      </c>
      <c r="G43" s="460" t="s">
        <v>125</v>
      </c>
      <c r="H43" s="380" t="s">
        <v>5731</v>
      </c>
      <c r="I43" s="459" t="n">
        <v>43502</v>
      </c>
      <c r="J43" s="460" t="n">
        <v>2</v>
      </c>
      <c r="K43" s="587" t="s">
        <v>50</v>
      </c>
      <c r="L43" s="380" t="s">
        <v>61</v>
      </c>
      <c r="M43" s="545" t="n">
        <f aca="false">I43-D43</f>
        <v>349</v>
      </c>
      <c r="N43" s="153"/>
      <c r="O43" s="153"/>
      <c r="P43" s="153"/>
      <c r="Q43" s="153"/>
      <c r="R43" s="153"/>
      <c r="S43" s="153"/>
    </row>
    <row r="44" customFormat="false" ht="12.75" hidden="false" customHeight="true" outlineLevel="0" collapsed="false">
      <c r="A44" s="449" t="n">
        <v>4319</v>
      </c>
      <c r="B44" s="450" t="s">
        <v>12896</v>
      </c>
      <c r="C44" s="450" t="n">
        <v>2009</v>
      </c>
      <c r="D44" s="451" t="n">
        <v>40092</v>
      </c>
      <c r="E44" s="452" t="s">
        <v>12897</v>
      </c>
      <c r="F44" s="378" t="s">
        <v>379</v>
      </c>
      <c r="G44" s="452" t="s">
        <v>1174</v>
      </c>
      <c r="H44" s="378" t="s">
        <v>5447</v>
      </c>
      <c r="I44" s="451" t="n">
        <v>43507</v>
      </c>
      <c r="J44" s="452" t="n">
        <v>2</v>
      </c>
      <c r="K44" s="556" t="s">
        <v>45</v>
      </c>
      <c r="L44" s="378" t="s">
        <v>60</v>
      </c>
      <c r="M44" s="546" t="n">
        <f aca="false">I44-D44</f>
        <v>3415</v>
      </c>
      <c r="N44" s="153"/>
      <c r="O44" s="326" t="s">
        <v>272</v>
      </c>
      <c r="P44" s="326"/>
      <c r="Q44" s="326"/>
      <c r="R44" s="326"/>
      <c r="S44" s="326"/>
    </row>
    <row r="45" customFormat="false" ht="12.75" hidden="false" customHeight="true" outlineLevel="0" collapsed="false">
      <c r="A45" s="456" t="n">
        <v>4419</v>
      </c>
      <c r="B45" s="458" t="s">
        <v>12898</v>
      </c>
      <c r="C45" s="458" t="n">
        <v>2014</v>
      </c>
      <c r="D45" s="459" t="n">
        <v>41915</v>
      </c>
      <c r="E45" s="460" t="s">
        <v>12899</v>
      </c>
      <c r="F45" s="380" t="s">
        <v>12900</v>
      </c>
      <c r="G45" s="460" t="s">
        <v>1174</v>
      </c>
      <c r="H45" s="380" t="s">
        <v>2654</v>
      </c>
      <c r="I45" s="459" t="n">
        <v>43508</v>
      </c>
      <c r="J45" s="460" t="n">
        <v>2</v>
      </c>
      <c r="K45" s="548" t="s">
        <v>47</v>
      </c>
      <c r="L45" s="380" t="s">
        <v>60</v>
      </c>
      <c r="M45" s="545" t="n">
        <f aca="false">I45-D45</f>
        <v>1593</v>
      </c>
      <c r="N45" s="153"/>
      <c r="O45" s="326"/>
      <c r="P45" s="326"/>
      <c r="Q45" s="326"/>
      <c r="R45" s="326"/>
      <c r="S45" s="326"/>
    </row>
    <row r="46" customFormat="false" ht="12.75" hidden="false" customHeight="true" outlineLevel="0" collapsed="false">
      <c r="A46" s="449" t="n">
        <v>4519</v>
      </c>
      <c r="B46" s="450" t="s">
        <v>12901</v>
      </c>
      <c r="C46" s="450" t="n">
        <v>2015</v>
      </c>
      <c r="D46" s="451" t="n">
        <v>42093</v>
      </c>
      <c r="E46" s="452" t="s">
        <v>12902</v>
      </c>
      <c r="F46" s="378" t="s">
        <v>12900</v>
      </c>
      <c r="G46" s="452" t="s">
        <v>1174</v>
      </c>
      <c r="H46" s="378" t="s">
        <v>267</v>
      </c>
      <c r="I46" s="451" t="n">
        <v>43508</v>
      </c>
      <c r="J46" s="452" t="n">
        <v>2</v>
      </c>
      <c r="K46" s="548" t="s">
        <v>47</v>
      </c>
      <c r="L46" s="378" t="s">
        <v>60</v>
      </c>
      <c r="M46" s="546" t="n">
        <f aca="false">I46-D46</f>
        <v>1415</v>
      </c>
      <c r="N46" s="153"/>
      <c r="O46" s="309" t="s">
        <v>100</v>
      </c>
      <c r="P46" s="416" t="s">
        <v>40</v>
      </c>
      <c r="Q46" s="416"/>
      <c r="R46" s="416"/>
      <c r="S46" s="313" t="s">
        <v>41</v>
      </c>
    </row>
    <row r="47" customFormat="false" ht="12.75" hidden="false" customHeight="true" outlineLevel="0" collapsed="false">
      <c r="A47" s="456" t="n">
        <v>4619</v>
      </c>
      <c r="B47" s="458" t="s">
        <v>12903</v>
      </c>
      <c r="C47" s="458" t="n">
        <v>2018</v>
      </c>
      <c r="D47" s="459" t="n">
        <v>43346</v>
      </c>
      <c r="E47" s="460" t="s">
        <v>12904</v>
      </c>
      <c r="F47" s="380" t="s">
        <v>1916</v>
      </c>
      <c r="G47" s="460" t="s">
        <v>1174</v>
      </c>
      <c r="H47" s="380" t="s">
        <v>1567</v>
      </c>
      <c r="I47" s="459" t="n">
        <v>43508</v>
      </c>
      <c r="J47" s="460" t="n">
        <v>2</v>
      </c>
      <c r="K47" s="548" t="s">
        <v>47</v>
      </c>
      <c r="L47" s="380" t="s">
        <v>58</v>
      </c>
      <c r="M47" s="545" t="n">
        <f aca="false">I47-D47</f>
        <v>162</v>
      </c>
      <c r="N47" s="153"/>
      <c r="O47" s="314" t="s">
        <v>63</v>
      </c>
      <c r="P47" s="314" t="n">
        <f aca="false">COUNTIF($J$2:$J$476,"1")</f>
        <v>29</v>
      </c>
      <c r="Q47" s="314"/>
      <c r="R47" s="314"/>
      <c r="S47" s="469" t="n">
        <f aca="false">(P47/P59)</f>
        <v>0.0610526315789474</v>
      </c>
    </row>
    <row r="48" customFormat="false" ht="13.5" hidden="false" customHeight="true" outlineLevel="0" collapsed="false">
      <c r="A48" s="449" t="n">
        <v>4719</v>
      </c>
      <c r="B48" s="450" t="s">
        <v>12905</v>
      </c>
      <c r="C48" s="450" t="n">
        <v>2015</v>
      </c>
      <c r="D48" s="451" t="n">
        <v>42223</v>
      </c>
      <c r="E48" s="452" t="s">
        <v>12906</v>
      </c>
      <c r="F48" s="378" t="s">
        <v>238</v>
      </c>
      <c r="G48" s="452" t="s">
        <v>1174</v>
      </c>
      <c r="H48" s="378" t="s">
        <v>12106</v>
      </c>
      <c r="I48" s="451" t="n">
        <v>43508</v>
      </c>
      <c r="J48" s="452" t="n">
        <v>2</v>
      </c>
      <c r="K48" s="548" t="s">
        <v>47</v>
      </c>
      <c r="L48" s="378" t="s">
        <v>58</v>
      </c>
      <c r="M48" s="546" t="n">
        <f aca="false">I48-D48</f>
        <v>1285</v>
      </c>
      <c r="N48" s="153"/>
      <c r="O48" s="282" t="s">
        <v>64</v>
      </c>
      <c r="P48" s="282" t="n">
        <f aca="false">COUNTIF($J$2:$J$476,"2")</f>
        <v>53</v>
      </c>
      <c r="Q48" s="282"/>
      <c r="R48" s="282"/>
      <c r="S48" s="316" t="n">
        <f aca="false">(P48/P59)</f>
        <v>0.111578947368421</v>
      </c>
    </row>
    <row r="49" customFormat="false" ht="12.75" hidden="false" customHeight="true" outlineLevel="0" collapsed="false">
      <c r="A49" s="456" t="n">
        <v>4819</v>
      </c>
      <c r="B49" s="458" t="s">
        <v>12907</v>
      </c>
      <c r="C49" s="458" t="n">
        <v>2015</v>
      </c>
      <c r="D49" s="459" t="n">
        <v>42173</v>
      </c>
      <c r="E49" s="460" t="s">
        <v>12908</v>
      </c>
      <c r="F49" s="380" t="s">
        <v>238</v>
      </c>
      <c r="G49" s="460" t="s">
        <v>1174</v>
      </c>
      <c r="H49" s="380" t="s">
        <v>310</v>
      </c>
      <c r="I49" s="459" t="n">
        <v>43508</v>
      </c>
      <c r="J49" s="460" t="n">
        <v>2</v>
      </c>
      <c r="K49" s="548" t="s">
        <v>47</v>
      </c>
      <c r="L49" s="380" t="s">
        <v>58</v>
      </c>
      <c r="M49" s="545" t="n">
        <f aca="false">I49-D49</f>
        <v>1335</v>
      </c>
      <c r="N49" s="153"/>
      <c r="O49" s="283" t="s">
        <v>66</v>
      </c>
      <c r="P49" s="283" t="n">
        <f aca="false">COUNTIF($J$2:$J$476,"3")</f>
        <v>42</v>
      </c>
      <c r="Q49" s="283"/>
      <c r="R49" s="283"/>
      <c r="S49" s="315" t="n">
        <f aca="false">(P49/P59)</f>
        <v>0.0884210526315789</v>
      </c>
      <c r="T49" s="153"/>
    </row>
    <row r="50" customFormat="false" ht="12.75" hidden="false" customHeight="true" outlineLevel="0" collapsed="false">
      <c r="A50" s="449" t="n">
        <v>4919</v>
      </c>
      <c r="B50" s="450" t="s">
        <v>12909</v>
      </c>
      <c r="C50" s="450" t="n">
        <v>2013</v>
      </c>
      <c r="D50" s="451" t="n">
        <v>41564</v>
      </c>
      <c r="E50" s="452" t="s">
        <v>12910</v>
      </c>
      <c r="F50" s="378" t="s">
        <v>12900</v>
      </c>
      <c r="G50" s="452" t="s">
        <v>1174</v>
      </c>
      <c r="H50" s="378" t="s">
        <v>471</v>
      </c>
      <c r="I50" s="451" t="n">
        <v>43508</v>
      </c>
      <c r="J50" s="452" t="n">
        <v>2</v>
      </c>
      <c r="K50" s="548" t="s">
        <v>47</v>
      </c>
      <c r="L50" s="378" t="s">
        <v>60</v>
      </c>
      <c r="M50" s="546" t="n">
        <f aca="false">I50-D50</f>
        <v>1944</v>
      </c>
      <c r="N50" s="153"/>
      <c r="O50" s="282" t="s">
        <v>67</v>
      </c>
      <c r="P50" s="282" t="n">
        <f aca="false">COUNTIF($J$2:$J$476,"4")</f>
        <v>14</v>
      </c>
      <c r="Q50" s="282"/>
      <c r="R50" s="282"/>
      <c r="S50" s="316" t="n">
        <f aca="false">(P50/P59)</f>
        <v>0.0294736842105263</v>
      </c>
      <c r="T50" s="153"/>
    </row>
    <row r="51" customFormat="false" ht="12.75" hidden="false" customHeight="true" outlineLevel="0" collapsed="false">
      <c r="A51" s="456" t="n">
        <v>5019</v>
      </c>
      <c r="B51" s="458" t="s">
        <v>12911</v>
      </c>
      <c r="C51" s="458" t="n">
        <v>2015</v>
      </c>
      <c r="D51" s="459" t="n">
        <v>42240</v>
      </c>
      <c r="E51" s="460" t="s">
        <v>12912</v>
      </c>
      <c r="F51" s="380" t="s">
        <v>699</v>
      </c>
      <c r="G51" s="460" t="s">
        <v>1174</v>
      </c>
      <c r="H51" s="380" t="s">
        <v>263</v>
      </c>
      <c r="I51" s="459" t="n">
        <v>43508</v>
      </c>
      <c r="J51" s="460" t="n">
        <v>2</v>
      </c>
      <c r="K51" s="552" t="s">
        <v>42</v>
      </c>
      <c r="L51" s="380" t="s">
        <v>60</v>
      </c>
      <c r="M51" s="545" t="n">
        <f aca="false">I51-D51</f>
        <v>1268</v>
      </c>
      <c r="N51" s="153"/>
      <c r="O51" s="283" t="s">
        <v>68</v>
      </c>
      <c r="P51" s="283" t="n">
        <f aca="false">COUNTIF($J$2:$J$476,"5")</f>
        <v>63</v>
      </c>
      <c r="Q51" s="283"/>
      <c r="R51" s="283"/>
      <c r="S51" s="315" t="n">
        <f aca="false">(P51/P59)</f>
        <v>0.132631578947368</v>
      </c>
      <c r="T51" s="153"/>
    </row>
    <row r="52" customFormat="false" ht="12.75" hidden="false" customHeight="true" outlineLevel="0" collapsed="false">
      <c r="A52" s="449" t="n">
        <v>5119</v>
      </c>
      <c r="B52" s="450" t="s">
        <v>12913</v>
      </c>
      <c r="C52" s="450" t="n">
        <v>2018</v>
      </c>
      <c r="D52" s="451" t="n">
        <v>43264</v>
      </c>
      <c r="E52" s="452" t="s">
        <v>12914</v>
      </c>
      <c r="F52" s="378" t="s">
        <v>1693</v>
      </c>
      <c r="G52" s="452" t="s">
        <v>1174</v>
      </c>
      <c r="H52" s="378" t="s">
        <v>310</v>
      </c>
      <c r="I52" s="451" t="n">
        <v>43510</v>
      </c>
      <c r="J52" s="452" t="n">
        <v>2</v>
      </c>
      <c r="K52" s="556" t="s">
        <v>45</v>
      </c>
      <c r="L52" s="378" t="s">
        <v>58</v>
      </c>
      <c r="M52" s="546" t="n">
        <f aca="false">I52-D52</f>
        <v>246</v>
      </c>
      <c r="N52" s="153"/>
      <c r="O52" s="282" t="s">
        <v>70</v>
      </c>
      <c r="P52" s="282" t="n">
        <f aca="false">COUNTIF($J$2:$J$476,"6")</f>
        <v>19</v>
      </c>
      <c r="Q52" s="282"/>
      <c r="R52" s="282"/>
      <c r="S52" s="316" t="n">
        <f aca="false">(P52/P59)</f>
        <v>0.04</v>
      </c>
      <c r="T52" s="153"/>
    </row>
    <row r="53" customFormat="false" ht="12.75" hidden="false" customHeight="true" outlineLevel="0" collapsed="false">
      <c r="A53" s="456" t="n">
        <v>5219</v>
      </c>
      <c r="B53" s="458" t="s">
        <v>12915</v>
      </c>
      <c r="C53" s="458" t="n">
        <v>2015</v>
      </c>
      <c r="D53" s="459" t="n">
        <v>42174</v>
      </c>
      <c r="E53" s="460" t="s">
        <v>12916</v>
      </c>
      <c r="F53" s="380" t="s">
        <v>1693</v>
      </c>
      <c r="G53" s="460" t="s">
        <v>1174</v>
      </c>
      <c r="H53" s="380" t="s">
        <v>471</v>
      </c>
      <c r="I53" s="459" t="n">
        <v>43510</v>
      </c>
      <c r="J53" s="460" t="n">
        <v>2</v>
      </c>
      <c r="K53" s="556" t="s">
        <v>45</v>
      </c>
      <c r="L53" s="380" t="s">
        <v>58</v>
      </c>
      <c r="M53" s="545" t="n">
        <f aca="false">I53-D53</f>
        <v>1336</v>
      </c>
      <c r="N53" s="153"/>
      <c r="O53" s="283" t="s">
        <v>72</v>
      </c>
      <c r="P53" s="283" t="n">
        <f aca="false">COUNTIF($J$2:$J$476,"7")</f>
        <v>42</v>
      </c>
      <c r="Q53" s="283"/>
      <c r="R53" s="283"/>
      <c r="S53" s="315" t="n">
        <f aca="false">(P53/P59)</f>
        <v>0.0884210526315789</v>
      </c>
      <c r="T53" s="153"/>
    </row>
    <row r="54" customFormat="false" ht="12.75" hidden="false" customHeight="true" outlineLevel="0" collapsed="false">
      <c r="A54" s="449" t="n">
        <v>5319</v>
      </c>
      <c r="B54" s="450" t="s">
        <v>12917</v>
      </c>
      <c r="C54" s="450" t="n">
        <v>2013</v>
      </c>
      <c r="D54" s="451" t="n">
        <v>41522</v>
      </c>
      <c r="E54" s="452" t="s">
        <v>12918</v>
      </c>
      <c r="F54" s="378" t="s">
        <v>1693</v>
      </c>
      <c r="G54" s="452" t="s">
        <v>1174</v>
      </c>
      <c r="H54" s="378" t="s">
        <v>350</v>
      </c>
      <c r="I54" s="451" t="n">
        <v>43510</v>
      </c>
      <c r="J54" s="452" t="n">
        <v>2</v>
      </c>
      <c r="K54" s="556" t="s">
        <v>45</v>
      </c>
      <c r="L54" s="378" t="s">
        <v>58</v>
      </c>
      <c r="M54" s="546" t="n">
        <f aca="false">I54-D54</f>
        <v>1988</v>
      </c>
      <c r="N54" s="160"/>
      <c r="O54" s="282" t="s">
        <v>74</v>
      </c>
      <c r="P54" s="282" t="n">
        <f aca="false">COUNTIF($J$2:$J$476,"8")</f>
        <v>63</v>
      </c>
      <c r="Q54" s="282"/>
      <c r="R54" s="282"/>
      <c r="S54" s="316" t="n">
        <f aca="false">(P54/P59)</f>
        <v>0.132631578947368</v>
      </c>
      <c r="T54" s="153"/>
    </row>
    <row r="55" customFormat="false" ht="12.75" hidden="false" customHeight="true" outlineLevel="0" collapsed="false">
      <c r="A55" s="456" t="n">
        <v>5419</v>
      </c>
      <c r="B55" s="458" t="s">
        <v>12919</v>
      </c>
      <c r="C55" s="458" t="n">
        <v>2013</v>
      </c>
      <c r="D55" s="459" t="n">
        <v>41471</v>
      </c>
      <c r="E55" s="460" t="s">
        <v>12920</v>
      </c>
      <c r="F55" s="380" t="s">
        <v>705</v>
      </c>
      <c r="G55" s="460" t="s">
        <v>1174</v>
      </c>
      <c r="H55" s="380" t="s">
        <v>9385</v>
      </c>
      <c r="I55" s="459" t="n">
        <v>43510</v>
      </c>
      <c r="J55" s="460" t="n">
        <v>2</v>
      </c>
      <c r="K55" s="548" t="s">
        <v>47</v>
      </c>
      <c r="L55" s="380" t="s">
        <v>58</v>
      </c>
      <c r="M55" s="545" t="n">
        <f aca="false">I55-D55</f>
        <v>2039</v>
      </c>
      <c r="N55" s="153"/>
      <c r="O55" s="283" t="s">
        <v>76</v>
      </c>
      <c r="P55" s="283" t="n">
        <f aca="false">COUNTIF($J$2:$J$476,"9")</f>
        <v>53</v>
      </c>
      <c r="Q55" s="283"/>
      <c r="R55" s="283"/>
      <c r="S55" s="315" t="n">
        <f aca="false">(P55/P59)</f>
        <v>0.111578947368421</v>
      </c>
      <c r="T55" s="153"/>
    </row>
    <row r="56" customFormat="false" ht="12.75" hidden="false" customHeight="true" outlineLevel="0" collapsed="false">
      <c r="A56" s="449" t="n">
        <v>5519</v>
      </c>
      <c r="B56" s="450" t="s">
        <v>12921</v>
      </c>
      <c r="C56" s="450" t="n">
        <v>2016</v>
      </c>
      <c r="D56" s="451" t="n">
        <v>42383</v>
      </c>
      <c r="E56" s="452" t="s">
        <v>12922</v>
      </c>
      <c r="F56" s="378" t="s">
        <v>1689</v>
      </c>
      <c r="G56" s="452" t="s">
        <v>1174</v>
      </c>
      <c r="H56" s="378" t="s">
        <v>267</v>
      </c>
      <c r="I56" s="451" t="n">
        <v>43510</v>
      </c>
      <c r="J56" s="452" t="n">
        <v>2</v>
      </c>
      <c r="K56" s="556" t="s">
        <v>45</v>
      </c>
      <c r="L56" s="378" t="s">
        <v>58</v>
      </c>
      <c r="M56" s="546" t="n">
        <f aca="false">I56-D56</f>
        <v>1127</v>
      </c>
      <c r="N56" s="153"/>
      <c r="O56" s="282" t="s">
        <v>78</v>
      </c>
      <c r="P56" s="282" t="n">
        <f aca="false">COUNTIF($J$2:$J$476,"10")</f>
        <v>23</v>
      </c>
      <c r="Q56" s="282"/>
      <c r="R56" s="282"/>
      <c r="S56" s="316" t="n">
        <f aca="false">(P56/P59)</f>
        <v>0.048421052631579</v>
      </c>
      <c r="T56" s="153"/>
    </row>
    <row r="57" customFormat="false" ht="12.75" hidden="false" customHeight="true" outlineLevel="0" collapsed="false">
      <c r="A57" s="456" t="n">
        <v>5619</v>
      </c>
      <c r="B57" s="458" t="s">
        <v>12923</v>
      </c>
      <c r="C57" s="458" t="n">
        <v>2015</v>
      </c>
      <c r="D57" s="459" t="n">
        <v>42199</v>
      </c>
      <c r="E57" s="460" t="s">
        <v>12924</v>
      </c>
      <c r="F57" s="380" t="s">
        <v>1689</v>
      </c>
      <c r="G57" s="460" t="s">
        <v>1174</v>
      </c>
      <c r="H57" s="380" t="s">
        <v>184</v>
      </c>
      <c r="I57" s="459" t="n">
        <v>43510</v>
      </c>
      <c r="J57" s="460" t="n">
        <v>2</v>
      </c>
      <c r="K57" s="556" t="s">
        <v>45</v>
      </c>
      <c r="L57" s="380" t="s">
        <v>58</v>
      </c>
      <c r="M57" s="545" t="n">
        <f aca="false">I57-D57</f>
        <v>1311</v>
      </c>
      <c r="N57" s="153"/>
      <c r="O57" s="283" t="s">
        <v>80</v>
      </c>
      <c r="P57" s="283" t="n">
        <f aca="false">COUNTIF($J$2:$J$476,"11")</f>
        <v>38</v>
      </c>
      <c r="Q57" s="283"/>
      <c r="R57" s="283"/>
      <c r="S57" s="315" t="n">
        <f aca="false">(P57/P59)</f>
        <v>0.08</v>
      </c>
      <c r="T57" s="153"/>
    </row>
    <row r="58" customFormat="false" ht="12.75" hidden="false" customHeight="true" outlineLevel="0" collapsed="false">
      <c r="A58" s="449" t="n">
        <v>5719</v>
      </c>
      <c r="B58" s="450" t="s">
        <v>12925</v>
      </c>
      <c r="C58" s="450" t="n">
        <v>2015</v>
      </c>
      <c r="D58" s="451" t="n">
        <v>42177</v>
      </c>
      <c r="E58" s="452" t="s">
        <v>12926</v>
      </c>
      <c r="F58" s="378" t="s">
        <v>1689</v>
      </c>
      <c r="G58" s="452" t="s">
        <v>1174</v>
      </c>
      <c r="H58" s="378" t="s">
        <v>192</v>
      </c>
      <c r="I58" s="451" t="n">
        <v>43510</v>
      </c>
      <c r="J58" s="452" t="n">
        <v>2</v>
      </c>
      <c r="K58" s="556" t="s">
        <v>45</v>
      </c>
      <c r="L58" s="378" t="s">
        <v>58</v>
      </c>
      <c r="M58" s="546" t="n">
        <f aca="false">I58-D58</f>
        <v>1333</v>
      </c>
      <c r="N58" s="153"/>
      <c r="O58" s="336" t="s">
        <v>82</v>
      </c>
      <c r="P58" s="282" t="n">
        <f aca="false">COUNTIF($J$2:$J$476,"12")</f>
        <v>36</v>
      </c>
      <c r="Q58" s="282"/>
      <c r="R58" s="282"/>
      <c r="S58" s="470" t="n">
        <f aca="false">(P58/P59)</f>
        <v>0.0757894736842105</v>
      </c>
      <c r="T58" s="153"/>
    </row>
    <row r="59" customFormat="false" ht="13.5" hidden="false" customHeight="true" outlineLevel="0" collapsed="false">
      <c r="A59" s="456" t="n">
        <v>5819</v>
      </c>
      <c r="B59" s="458" t="s">
        <v>12927</v>
      </c>
      <c r="C59" s="458" t="n">
        <v>2015</v>
      </c>
      <c r="D59" s="459" t="n">
        <v>42311</v>
      </c>
      <c r="E59" s="460" t="s">
        <v>12928</v>
      </c>
      <c r="F59" s="380" t="s">
        <v>2151</v>
      </c>
      <c r="G59" s="460" t="s">
        <v>1174</v>
      </c>
      <c r="H59" s="380" t="s">
        <v>263</v>
      </c>
      <c r="I59" s="459" t="n">
        <v>43510</v>
      </c>
      <c r="J59" s="460" t="n">
        <v>2</v>
      </c>
      <c r="K59" s="548" t="s">
        <v>47</v>
      </c>
      <c r="L59" s="380" t="s">
        <v>58</v>
      </c>
      <c r="M59" s="545" t="n">
        <f aca="false">I59-D59</f>
        <v>1199</v>
      </c>
      <c r="N59" s="153"/>
      <c r="O59" s="323" t="s">
        <v>54</v>
      </c>
      <c r="P59" s="418" t="n">
        <f aca="false">SUM(P47:R58)</f>
        <v>475</v>
      </c>
      <c r="Q59" s="418"/>
      <c r="R59" s="418"/>
      <c r="S59" s="325" t="n">
        <f aca="false">SUM(S47:S58)</f>
        <v>1</v>
      </c>
      <c r="T59" s="153"/>
    </row>
    <row r="60" customFormat="false" ht="13.5" hidden="true" customHeight="true" outlineLevel="0" collapsed="false">
      <c r="A60" s="449" t="n">
        <v>5919</v>
      </c>
      <c r="B60" s="450" t="s">
        <v>12929</v>
      </c>
      <c r="C60" s="450" t="n">
        <v>2011</v>
      </c>
      <c r="D60" s="451" t="n">
        <v>40837</v>
      </c>
      <c r="E60" s="452" t="s">
        <v>12930</v>
      </c>
      <c r="F60" s="378" t="s">
        <v>176</v>
      </c>
      <c r="G60" s="452" t="s">
        <v>144</v>
      </c>
      <c r="H60" s="378" t="s">
        <v>9638</v>
      </c>
      <c r="I60" s="451" t="n">
        <v>43511</v>
      </c>
      <c r="J60" s="452" t="n">
        <v>2</v>
      </c>
      <c r="K60" s="587" t="s">
        <v>50</v>
      </c>
      <c r="L60" s="378" t="s">
        <v>58</v>
      </c>
      <c r="M60" s="546" t="n">
        <f aca="false">I60-D60</f>
        <v>2674</v>
      </c>
      <c r="N60" s="153"/>
      <c r="O60" s="153"/>
      <c r="P60" s="153"/>
      <c r="Q60" s="153"/>
      <c r="R60" s="153"/>
      <c r="S60" s="153"/>
      <c r="T60" s="153"/>
    </row>
    <row r="61" customFormat="false" ht="12.75" hidden="true" customHeight="true" outlineLevel="0" collapsed="false">
      <c r="A61" s="456" t="n">
        <v>6019</v>
      </c>
      <c r="B61" s="458" t="s">
        <v>12931</v>
      </c>
      <c r="C61" s="458" t="n">
        <v>2011</v>
      </c>
      <c r="D61" s="459" t="n">
        <v>40837</v>
      </c>
      <c r="E61" s="460" t="s">
        <v>12932</v>
      </c>
      <c r="F61" s="380" t="s">
        <v>176</v>
      </c>
      <c r="G61" s="460" t="s">
        <v>144</v>
      </c>
      <c r="H61" s="380" t="s">
        <v>9638</v>
      </c>
      <c r="I61" s="459" t="n">
        <v>43511</v>
      </c>
      <c r="J61" s="460" t="n">
        <v>2</v>
      </c>
      <c r="K61" s="587" t="s">
        <v>50</v>
      </c>
      <c r="L61" s="380" t="s">
        <v>58</v>
      </c>
      <c r="M61" s="545" t="n">
        <f aca="false">I61-D61</f>
        <v>2674</v>
      </c>
      <c r="N61" s="153"/>
      <c r="O61" s="339" t="s">
        <v>335</v>
      </c>
      <c r="P61" s="339"/>
      <c r="Q61" s="339"/>
      <c r="R61" s="339"/>
      <c r="S61" s="339"/>
      <c r="T61" s="339"/>
    </row>
    <row r="62" customFormat="false" ht="12.75" hidden="true" customHeight="true" outlineLevel="0" collapsed="false">
      <c r="A62" s="449" t="n">
        <v>6119</v>
      </c>
      <c r="B62" s="450" t="s">
        <v>12933</v>
      </c>
      <c r="C62" s="450" t="n">
        <v>2015</v>
      </c>
      <c r="D62" s="451" t="n">
        <v>42054</v>
      </c>
      <c r="E62" s="452" t="s">
        <v>12934</v>
      </c>
      <c r="F62" s="378" t="s">
        <v>902</v>
      </c>
      <c r="G62" s="452" t="s">
        <v>144</v>
      </c>
      <c r="H62" s="378" t="s">
        <v>254</v>
      </c>
      <c r="I62" s="451" t="n">
        <v>43511</v>
      </c>
      <c r="J62" s="452" t="n">
        <v>2</v>
      </c>
      <c r="K62" s="548" t="s">
        <v>47</v>
      </c>
      <c r="L62" s="378" t="s">
        <v>58</v>
      </c>
      <c r="M62" s="546" t="n">
        <f aca="false">I62-D62</f>
        <v>1457</v>
      </c>
      <c r="N62" s="153"/>
      <c r="O62" s="339"/>
      <c r="P62" s="339"/>
      <c r="Q62" s="339"/>
      <c r="R62" s="339"/>
      <c r="S62" s="339"/>
      <c r="T62" s="339"/>
    </row>
    <row r="63" customFormat="false" ht="12.75" hidden="true" customHeight="true" outlineLevel="0" collapsed="false">
      <c r="A63" s="456" t="n">
        <v>6219</v>
      </c>
      <c r="B63" s="458" t="s">
        <v>12935</v>
      </c>
      <c r="C63" s="458" t="n">
        <v>2015</v>
      </c>
      <c r="D63" s="459" t="n">
        <v>42054</v>
      </c>
      <c r="E63" s="460" t="s">
        <v>12936</v>
      </c>
      <c r="F63" s="380" t="s">
        <v>902</v>
      </c>
      <c r="G63" s="460" t="s">
        <v>144</v>
      </c>
      <c r="H63" s="380" t="s">
        <v>254</v>
      </c>
      <c r="I63" s="459" t="n">
        <v>43511</v>
      </c>
      <c r="J63" s="460" t="n">
        <v>2</v>
      </c>
      <c r="K63" s="548" t="s">
        <v>47</v>
      </c>
      <c r="L63" s="380" t="s">
        <v>58</v>
      </c>
      <c r="M63" s="545" t="n">
        <f aca="false">I63-D63</f>
        <v>1457</v>
      </c>
      <c r="N63" s="160"/>
      <c r="O63" s="340" t="s">
        <v>38</v>
      </c>
      <c r="P63" s="340"/>
      <c r="Q63" s="340"/>
      <c r="R63" s="340"/>
      <c r="S63" s="341" t="s">
        <v>343</v>
      </c>
      <c r="T63" s="342" t="s">
        <v>41</v>
      </c>
    </row>
    <row r="64" customFormat="false" ht="12.75" hidden="true" customHeight="true" outlineLevel="0" collapsed="false">
      <c r="A64" s="449" t="n">
        <v>6319</v>
      </c>
      <c r="B64" s="450" t="s">
        <v>12937</v>
      </c>
      <c r="C64" s="450" t="n">
        <v>2018</v>
      </c>
      <c r="D64" s="451" t="n">
        <v>43285</v>
      </c>
      <c r="E64" s="452" t="s">
        <v>12938</v>
      </c>
      <c r="F64" s="378" t="s">
        <v>12939</v>
      </c>
      <c r="G64" s="452" t="s">
        <v>125</v>
      </c>
      <c r="H64" s="378" t="s">
        <v>10913</v>
      </c>
      <c r="I64" s="451" t="n">
        <v>43511</v>
      </c>
      <c r="J64" s="452" t="n">
        <v>2</v>
      </c>
      <c r="K64" s="587" t="s">
        <v>50</v>
      </c>
      <c r="L64" s="378" t="s">
        <v>61</v>
      </c>
      <c r="M64" s="546" t="n">
        <f aca="false">I64-D64</f>
        <v>226</v>
      </c>
      <c r="N64" s="153"/>
      <c r="O64" s="471" t="s">
        <v>42</v>
      </c>
      <c r="P64" s="471"/>
      <c r="Q64" s="471"/>
      <c r="R64" s="471"/>
      <c r="S64" s="471" t="n">
        <f aca="false">COUNTIF($K$2:$K$476,"I - Extremamente tóxico")</f>
        <v>109</v>
      </c>
      <c r="T64" s="472" t="n">
        <f aca="false">(S64/S76)</f>
        <v>0.229473684210526</v>
      </c>
    </row>
    <row r="65" customFormat="false" ht="13.5" hidden="true" customHeight="true" outlineLevel="0" collapsed="false">
      <c r="A65" s="456" t="n">
        <v>6419</v>
      </c>
      <c r="B65" s="458" t="s">
        <v>12940</v>
      </c>
      <c r="C65" s="458" t="n">
        <v>2016</v>
      </c>
      <c r="D65" s="459" t="n">
        <v>42401</v>
      </c>
      <c r="E65" s="460" t="s">
        <v>12941</v>
      </c>
      <c r="F65" s="380" t="s">
        <v>902</v>
      </c>
      <c r="G65" s="460" t="s">
        <v>441</v>
      </c>
      <c r="H65" s="380" t="s">
        <v>192</v>
      </c>
      <c r="I65" s="459" t="n">
        <v>43511</v>
      </c>
      <c r="J65" s="460" t="n">
        <v>2</v>
      </c>
      <c r="K65" s="552" t="s">
        <v>42</v>
      </c>
      <c r="L65" s="380" t="s">
        <v>58</v>
      </c>
      <c r="M65" s="545" t="n">
        <f aca="false">I65-D65</f>
        <v>1110</v>
      </c>
      <c r="N65" s="153"/>
      <c r="O65" s="345" t="s">
        <v>43</v>
      </c>
      <c r="P65" s="345"/>
      <c r="Q65" s="345"/>
      <c r="R65" s="345"/>
      <c r="S65" s="345" t="n">
        <f aca="false">COUNTIF($K$2:$K$476,"Categoria 1 - Produto Extremamente Tóxico")</f>
        <v>0</v>
      </c>
      <c r="T65" s="473" t="n">
        <f aca="false">(S65/S76)</f>
        <v>0</v>
      </c>
    </row>
    <row r="66" customFormat="false" ht="13.5" hidden="true" customHeight="true" outlineLevel="0" collapsed="false">
      <c r="A66" s="449" t="n">
        <v>6519</v>
      </c>
      <c r="B66" s="450" t="s">
        <v>12942</v>
      </c>
      <c r="C66" s="450" t="n">
        <v>2018</v>
      </c>
      <c r="D66" s="451" t="n">
        <v>43285</v>
      </c>
      <c r="E66" s="452" t="s">
        <v>12943</v>
      </c>
      <c r="F66" s="378" t="s">
        <v>10875</v>
      </c>
      <c r="G66" s="452" t="s">
        <v>125</v>
      </c>
      <c r="H66" s="378" t="s">
        <v>10913</v>
      </c>
      <c r="I66" s="451" t="n">
        <v>43511</v>
      </c>
      <c r="J66" s="452" t="n">
        <v>2</v>
      </c>
      <c r="K66" s="587" t="s">
        <v>50</v>
      </c>
      <c r="L66" s="378" t="s">
        <v>61</v>
      </c>
      <c r="M66" s="546" t="n">
        <f aca="false">I66-D66</f>
        <v>226</v>
      </c>
      <c r="N66" s="153"/>
      <c r="O66" s="345" t="s">
        <v>44</v>
      </c>
      <c r="P66" s="345"/>
      <c r="Q66" s="345"/>
      <c r="R66" s="345"/>
      <c r="S66" s="345" t="n">
        <f aca="false">COUNTIF($K$2:$K$476,"Categoria 2 - Produto Altamente Tóxico")</f>
        <v>0</v>
      </c>
      <c r="T66" s="473" t="n">
        <f aca="false">(S66/S76)</f>
        <v>0</v>
      </c>
    </row>
    <row r="67" customFormat="false" ht="12.75" hidden="true" customHeight="true" outlineLevel="0" collapsed="false">
      <c r="A67" s="456" t="n">
        <v>6619</v>
      </c>
      <c r="B67" s="458" t="s">
        <v>12944</v>
      </c>
      <c r="C67" s="458" t="n">
        <v>2017</v>
      </c>
      <c r="D67" s="459" t="n">
        <v>42766</v>
      </c>
      <c r="E67" s="460" t="s">
        <v>12945</v>
      </c>
      <c r="F67" s="380" t="s">
        <v>9785</v>
      </c>
      <c r="G67" s="460" t="s">
        <v>125</v>
      </c>
      <c r="H67" s="380" t="s">
        <v>12073</v>
      </c>
      <c r="I67" s="459" t="n">
        <v>43511</v>
      </c>
      <c r="J67" s="460" t="n">
        <v>2</v>
      </c>
      <c r="K67" s="548" t="s">
        <v>47</v>
      </c>
      <c r="L67" s="380" t="s">
        <v>61</v>
      </c>
      <c r="M67" s="545" t="n">
        <f aca="false">I67-D67</f>
        <v>745</v>
      </c>
      <c r="N67" s="153"/>
      <c r="O67" s="349" t="s">
        <v>45</v>
      </c>
      <c r="P67" s="349"/>
      <c r="Q67" s="349"/>
      <c r="R67" s="349"/>
      <c r="S67" s="349" t="n">
        <f aca="false">COUNTIF($K$2:$K$476,"II - Altamente tóxico")</f>
        <v>47</v>
      </c>
      <c r="T67" s="474" t="n">
        <f aca="false">(S67/S76)</f>
        <v>0.0989473684210526</v>
      </c>
    </row>
    <row r="68" customFormat="false" ht="12.75" hidden="true" customHeight="true" outlineLevel="0" collapsed="false">
      <c r="A68" s="449" t="n">
        <v>6719</v>
      </c>
      <c r="B68" s="450" t="s">
        <v>12946</v>
      </c>
      <c r="C68" s="450" t="n">
        <v>2014</v>
      </c>
      <c r="D68" s="451" t="n">
        <v>42003</v>
      </c>
      <c r="E68" s="452" t="s">
        <v>12947</v>
      </c>
      <c r="F68" s="378" t="s">
        <v>12948</v>
      </c>
      <c r="G68" s="452" t="s">
        <v>144</v>
      </c>
      <c r="H68" s="378" t="s">
        <v>2283</v>
      </c>
      <c r="I68" s="451" t="n">
        <v>43511</v>
      </c>
      <c r="J68" s="452" t="n">
        <v>2</v>
      </c>
      <c r="K68" s="552" t="s">
        <v>42</v>
      </c>
      <c r="L68" s="378" t="s">
        <v>58</v>
      </c>
      <c r="M68" s="546" t="n">
        <f aca="false">I68-D68</f>
        <v>1508</v>
      </c>
      <c r="N68" s="153"/>
      <c r="O68" s="349" t="s">
        <v>46</v>
      </c>
      <c r="P68" s="349"/>
      <c r="Q68" s="349"/>
      <c r="R68" s="349"/>
      <c r="S68" s="349" t="n">
        <f aca="false">COUNTIF($K$2:$K$476,"Categoria 3 - Produto Moderadamente Tóxico")</f>
        <v>0</v>
      </c>
      <c r="T68" s="474" t="n">
        <f aca="false">(S68/S76)</f>
        <v>0</v>
      </c>
    </row>
    <row r="69" customFormat="false" ht="12.75" hidden="true" customHeight="true" outlineLevel="0" collapsed="false">
      <c r="A69" s="456" t="n">
        <v>6819</v>
      </c>
      <c r="B69" s="458" t="s">
        <v>12949</v>
      </c>
      <c r="C69" s="458" t="n">
        <v>2010</v>
      </c>
      <c r="D69" s="459" t="n">
        <v>40266</v>
      </c>
      <c r="E69" s="460" t="s">
        <v>12950</v>
      </c>
      <c r="F69" s="380" t="s">
        <v>12951</v>
      </c>
      <c r="G69" s="460" t="s">
        <v>144</v>
      </c>
      <c r="H69" s="380" t="s">
        <v>119</v>
      </c>
      <c r="I69" s="459" t="n">
        <v>43511</v>
      </c>
      <c r="J69" s="460" t="n">
        <v>2</v>
      </c>
      <c r="K69" s="552" t="s">
        <v>42</v>
      </c>
      <c r="L69" s="380" t="s">
        <v>58</v>
      </c>
      <c r="M69" s="545" t="n">
        <f aca="false">I69-D69</f>
        <v>3245</v>
      </c>
      <c r="N69" s="153"/>
      <c r="O69" s="351" t="s">
        <v>47</v>
      </c>
      <c r="P69" s="351"/>
      <c r="Q69" s="351"/>
      <c r="R69" s="351"/>
      <c r="S69" s="351" t="n">
        <f aca="false">COUNTIF($K$2:$K$476,"III - Medianamente tóxico")</f>
        <v>160</v>
      </c>
      <c r="T69" s="475" t="n">
        <f aca="false">(S69/S76)</f>
        <v>0.336842105263158</v>
      </c>
    </row>
    <row r="70" customFormat="false" ht="12.75" hidden="true" customHeight="true" outlineLevel="0" collapsed="false">
      <c r="A70" s="449" t="n">
        <v>6919</v>
      </c>
      <c r="B70" s="450" t="s">
        <v>12952</v>
      </c>
      <c r="C70" s="450" t="n">
        <v>2010</v>
      </c>
      <c r="D70" s="451" t="n">
        <v>40338</v>
      </c>
      <c r="E70" s="452" t="s">
        <v>12953</v>
      </c>
      <c r="F70" s="378" t="s">
        <v>908</v>
      </c>
      <c r="G70" s="452" t="s">
        <v>144</v>
      </c>
      <c r="H70" s="378" t="s">
        <v>9638</v>
      </c>
      <c r="I70" s="451" t="n">
        <v>43516</v>
      </c>
      <c r="J70" s="452" t="n">
        <v>2</v>
      </c>
      <c r="K70" s="548" t="s">
        <v>47</v>
      </c>
      <c r="L70" s="378" t="s">
        <v>58</v>
      </c>
      <c r="M70" s="546" t="n">
        <f aca="false">I70-D70</f>
        <v>3178</v>
      </c>
      <c r="N70" s="153"/>
      <c r="O70" s="351" t="s">
        <v>48</v>
      </c>
      <c r="P70" s="351"/>
      <c r="Q70" s="351"/>
      <c r="R70" s="351"/>
      <c r="S70" s="351" t="n">
        <f aca="false">COUNTIF($K$2:$K$476,"Categoria 4 - Produto Pouco Tóxico")</f>
        <v>5</v>
      </c>
      <c r="T70" s="475" t="n">
        <f aca="false">(S70/S76)</f>
        <v>0.0105263157894737</v>
      </c>
    </row>
    <row r="71" customFormat="false" ht="12.75" hidden="true" customHeight="true" outlineLevel="0" collapsed="false">
      <c r="A71" s="456" t="n">
        <v>7019</v>
      </c>
      <c r="B71" s="458" t="s">
        <v>12954</v>
      </c>
      <c r="C71" s="458" t="n">
        <v>2017</v>
      </c>
      <c r="D71" s="459" t="n">
        <v>42818</v>
      </c>
      <c r="E71" s="460" t="s">
        <v>12955</v>
      </c>
      <c r="F71" s="380" t="s">
        <v>12956</v>
      </c>
      <c r="G71" s="460" t="s">
        <v>144</v>
      </c>
      <c r="H71" s="380" t="s">
        <v>6633</v>
      </c>
      <c r="I71" s="459" t="n">
        <v>43516</v>
      </c>
      <c r="J71" s="460" t="n">
        <v>2</v>
      </c>
      <c r="K71" s="548" t="s">
        <v>47</v>
      </c>
      <c r="L71" s="380" t="s">
        <v>60</v>
      </c>
      <c r="M71" s="545" t="n">
        <f aca="false">I71-D71</f>
        <v>698</v>
      </c>
      <c r="N71" s="153"/>
      <c r="O71" s="351" t="s">
        <v>49</v>
      </c>
      <c r="P71" s="351"/>
      <c r="Q71" s="351"/>
      <c r="R71" s="351"/>
      <c r="S71" s="351" t="n">
        <f aca="false">COUNTIF($K$2:$K$476,"Categoria 5 - Produto Improvável de Causar Dano Agudo")</f>
        <v>12</v>
      </c>
      <c r="T71" s="475" t="n">
        <f aca="false">(S71/S76)</f>
        <v>0.0252631578947368</v>
      </c>
    </row>
    <row r="72" customFormat="false" ht="12.75" hidden="true" customHeight="true" outlineLevel="0" collapsed="false">
      <c r="A72" s="449" t="n">
        <v>7119</v>
      </c>
      <c r="B72" s="450" t="s">
        <v>12957</v>
      </c>
      <c r="C72" s="450" t="n">
        <v>2017</v>
      </c>
      <c r="D72" s="451" t="n">
        <v>42818</v>
      </c>
      <c r="E72" s="452" t="s">
        <v>12958</v>
      </c>
      <c r="F72" s="378" t="s">
        <v>12956</v>
      </c>
      <c r="G72" s="452" t="s">
        <v>144</v>
      </c>
      <c r="H72" s="378" t="s">
        <v>6633</v>
      </c>
      <c r="I72" s="451" t="n">
        <v>43516</v>
      </c>
      <c r="J72" s="452" t="n">
        <v>2</v>
      </c>
      <c r="K72" s="548" t="s">
        <v>47</v>
      </c>
      <c r="L72" s="378" t="s">
        <v>60</v>
      </c>
      <c r="M72" s="546" t="n">
        <f aca="false">I72-D72</f>
        <v>698</v>
      </c>
      <c r="N72" s="153"/>
      <c r="O72" s="353" t="s">
        <v>50</v>
      </c>
      <c r="P72" s="353"/>
      <c r="Q72" s="353"/>
      <c r="R72" s="353"/>
      <c r="S72" s="353" t="n">
        <f aca="false">COUNTIF($K$2:$K$476,"IV - Pouco tóxico")</f>
        <v>51</v>
      </c>
      <c r="T72" s="476" t="n">
        <f aca="false">(S72/S76)</f>
        <v>0.107368421052632</v>
      </c>
    </row>
    <row r="73" customFormat="false" ht="12.75" hidden="true" customHeight="true" outlineLevel="0" collapsed="false">
      <c r="A73" s="456" t="n">
        <v>7219</v>
      </c>
      <c r="B73" s="458" t="s">
        <v>12959</v>
      </c>
      <c r="C73" s="458" t="n">
        <v>2011</v>
      </c>
      <c r="D73" s="459" t="n">
        <v>40877</v>
      </c>
      <c r="E73" s="460" t="s">
        <v>12960</v>
      </c>
      <c r="F73" s="380" t="s">
        <v>671</v>
      </c>
      <c r="G73" s="460" t="s">
        <v>441</v>
      </c>
      <c r="H73" s="380" t="s">
        <v>267</v>
      </c>
      <c r="I73" s="459" t="n">
        <v>43516</v>
      </c>
      <c r="J73" s="460" t="n">
        <v>2</v>
      </c>
      <c r="K73" s="548" t="s">
        <v>47</v>
      </c>
      <c r="L73" s="380" t="s">
        <v>58</v>
      </c>
      <c r="M73" s="545" t="n">
        <f aca="false">I73-D73</f>
        <v>2639</v>
      </c>
      <c r="N73" s="153"/>
      <c r="O73" s="353" t="s">
        <v>51</v>
      </c>
      <c r="P73" s="353"/>
      <c r="Q73" s="353"/>
      <c r="R73" s="353"/>
      <c r="S73" s="353" t="n">
        <f aca="false">COUNTIF($K$2:$K$476,"Não classificado - Produto não classificado")</f>
        <v>5</v>
      </c>
      <c r="T73" s="476" t="n">
        <f aca="false">(S73/S76)</f>
        <v>0.0105263157894737</v>
      </c>
    </row>
    <row r="74" customFormat="false" ht="12.75" hidden="true" customHeight="true" outlineLevel="0" collapsed="false">
      <c r="A74" s="449" t="n">
        <v>7319</v>
      </c>
      <c r="B74" s="450" t="s">
        <v>12961</v>
      </c>
      <c r="C74" s="450" t="n">
        <v>2010</v>
      </c>
      <c r="D74" s="451" t="n">
        <v>40186</v>
      </c>
      <c r="E74" s="452" t="s">
        <v>12962</v>
      </c>
      <c r="F74" s="378" t="s">
        <v>12474</v>
      </c>
      <c r="G74" s="452" t="s">
        <v>144</v>
      </c>
      <c r="H74" s="378" t="s">
        <v>119</v>
      </c>
      <c r="I74" s="451" t="n">
        <v>43523</v>
      </c>
      <c r="J74" s="452" t="n">
        <v>2</v>
      </c>
      <c r="K74" s="548" t="s">
        <v>47</v>
      </c>
      <c r="L74" s="378" t="s">
        <v>58</v>
      </c>
      <c r="M74" s="546" t="n">
        <f aca="false">I74-D74</f>
        <v>3337</v>
      </c>
      <c r="N74" s="153"/>
      <c r="O74" s="353" t="s">
        <v>2407</v>
      </c>
      <c r="P74" s="353"/>
      <c r="Q74" s="353"/>
      <c r="R74" s="353"/>
      <c r="S74" s="353" t="n">
        <f aca="false">COUNTIF($K$2:$K$476,"Não determinada devido à natureza do produto (Inimigos naturais)")</f>
        <v>2</v>
      </c>
      <c r="T74" s="476" t="n">
        <f aca="false">(S74/S76)</f>
        <v>0.00421052631578947</v>
      </c>
    </row>
    <row r="75" customFormat="false" ht="12.75" hidden="true" customHeight="true" outlineLevel="0" collapsed="false">
      <c r="A75" s="456" t="n">
        <v>7419</v>
      </c>
      <c r="B75" s="458" t="s">
        <v>12963</v>
      </c>
      <c r="C75" s="458" t="n">
        <v>2017</v>
      </c>
      <c r="D75" s="459" t="n">
        <v>43035</v>
      </c>
      <c r="E75" s="460" t="s">
        <v>12964</v>
      </c>
      <c r="F75" s="380" t="s">
        <v>3946</v>
      </c>
      <c r="G75" s="460" t="s">
        <v>144</v>
      </c>
      <c r="H75" s="380" t="s">
        <v>522</v>
      </c>
      <c r="I75" s="459" t="n">
        <v>43523</v>
      </c>
      <c r="J75" s="460" t="n">
        <v>2</v>
      </c>
      <c r="K75" s="552" t="s">
        <v>42</v>
      </c>
      <c r="L75" s="380" t="s">
        <v>61</v>
      </c>
      <c r="M75" s="545" t="n">
        <f aca="false">I75-D75</f>
        <v>488</v>
      </c>
      <c r="N75" s="153"/>
      <c r="O75" s="478" t="s">
        <v>53</v>
      </c>
      <c r="P75" s="478"/>
      <c r="Q75" s="478"/>
      <c r="R75" s="478"/>
      <c r="S75" s="478" t="n">
        <f aca="false">COUNTIF($K$2:$K$476,"O perfil toxicológico foi considerado equivalente ao produto técnico de referência")</f>
        <v>84</v>
      </c>
      <c r="T75" s="479" t="n">
        <f aca="false">(S75/S76)</f>
        <v>0.176842105263158</v>
      </c>
    </row>
    <row r="76" customFormat="false" ht="13.5" hidden="false" customHeight="true" outlineLevel="0" collapsed="false">
      <c r="A76" s="449" t="n">
        <v>7519</v>
      </c>
      <c r="B76" s="450" t="s">
        <v>12965</v>
      </c>
      <c r="C76" s="450" t="n">
        <v>2017</v>
      </c>
      <c r="D76" s="451" t="n">
        <v>43075</v>
      </c>
      <c r="E76" s="452" t="s">
        <v>12966</v>
      </c>
      <c r="F76" s="378" t="s">
        <v>365</v>
      </c>
      <c r="G76" s="452" t="s">
        <v>1174</v>
      </c>
      <c r="H76" s="378" t="s">
        <v>243</v>
      </c>
      <c r="I76" s="451" t="n">
        <v>43524</v>
      </c>
      <c r="J76" s="452" t="n">
        <v>2</v>
      </c>
      <c r="K76" s="556" t="s">
        <v>45</v>
      </c>
      <c r="L76" s="378" t="s">
        <v>60</v>
      </c>
      <c r="M76" s="546" t="n">
        <f aca="false">I76-D76</f>
        <v>449</v>
      </c>
      <c r="N76" s="153"/>
      <c r="O76" s="419" t="s">
        <v>54</v>
      </c>
      <c r="P76" s="419"/>
      <c r="Q76" s="419"/>
      <c r="R76" s="419"/>
      <c r="S76" s="363" t="n">
        <f aca="false">SUM(S64:S75)</f>
        <v>475</v>
      </c>
      <c r="T76" s="364" t="n">
        <f aca="false">(S76/S76)</f>
        <v>1</v>
      </c>
    </row>
    <row r="77" customFormat="false" ht="14.25" hidden="false" customHeight="true" outlineLevel="0" collapsed="false">
      <c r="A77" s="456" t="n">
        <v>7619</v>
      </c>
      <c r="B77" s="458" t="s">
        <v>12967</v>
      </c>
      <c r="C77" s="458" t="n">
        <v>2015</v>
      </c>
      <c r="D77" s="459" t="n">
        <v>42185</v>
      </c>
      <c r="E77" s="460" t="s">
        <v>12968</v>
      </c>
      <c r="F77" s="380" t="s">
        <v>3444</v>
      </c>
      <c r="G77" s="460" t="s">
        <v>1174</v>
      </c>
      <c r="H77" s="380" t="s">
        <v>1109</v>
      </c>
      <c r="I77" s="459" t="n">
        <v>43524</v>
      </c>
      <c r="J77" s="460" t="n">
        <v>2</v>
      </c>
      <c r="K77" s="587" t="s">
        <v>50</v>
      </c>
      <c r="L77" s="380" t="s">
        <v>58</v>
      </c>
      <c r="M77" s="545" t="n">
        <f aca="false">I77-D77</f>
        <v>1339</v>
      </c>
      <c r="N77" s="153"/>
      <c r="O77" s="153"/>
      <c r="P77" s="153"/>
      <c r="Q77" s="153"/>
      <c r="R77" s="153"/>
      <c r="S77" s="153"/>
      <c r="T77" s="153"/>
    </row>
    <row r="78" customFormat="false" ht="12.75" hidden="false" customHeight="true" outlineLevel="0" collapsed="false">
      <c r="A78" s="449" t="n">
        <v>7719</v>
      </c>
      <c r="B78" s="450" t="s">
        <v>12969</v>
      </c>
      <c r="C78" s="450" t="n">
        <v>2018</v>
      </c>
      <c r="D78" s="451" t="n">
        <v>43410</v>
      </c>
      <c r="E78" s="452" t="s">
        <v>12970</v>
      </c>
      <c r="F78" s="378" t="s">
        <v>1693</v>
      </c>
      <c r="G78" s="452" t="s">
        <v>1174</v>
      </c>
      <c r="H78" s="378" t="s">
        <v>1258</v>
      </c>
      <c r="I78" s="451" t="n">
        <v>43524</v>
      </c>
      <c r="J78" s="452" t="n">
        <v>2</v>
      </c>
      <c r="K78" s="556" t="s">
        <v>45</v>
      </c>
      <c r="L78" s="378" t="s">
        <v>58</v>
      </c>
      <c r="M78" s="546" t="n">
        <f aca="false">I78-D78</f>
        <v>114</v>
      </c>
      <c r="N78" s="153"/>
      <c r="O78" s="339" t="s">
        <v>102</v>
      </c>
      <c r="P78" s="339"/>
      <c r="Q78" s="339"/>
      <c r="R78" s="339"/>
      <c r="S78" s="339"/>
      <c r="T78" s="339"/>
    </row>
    <row r="79" customFormat="false" ht="12.75" hidden="false" customHeight="true" outlineLevel="0" collapsed="false">
      <c r="A79" s="456" t="n">
        <v>7819</v>
      </c>
      <c r="B79" s="458" t="s">
        <v>12971</v>
      </c>
      <c r="C79" s="458" t="n">
        <v>2017</v>
      </c>
      <c r="D79" s="459" t="n">
        <v>43055</v>
      </c>
      <c r="E79" s="460" t="s">
        <v>12972</v>
      </c>
      <c r="F79" s="380" t="s">
        <v>365</v>
      </c>
      <c r="G79" s="460" t="s">
        <v>1174</v>
      </c>
      <c r="H79" s="380" t="s">
        <v>6610</v>
      </c>
      <c r="I79" s="459" t="n">
        <v>43524</v>
      </c>
      <c r="J79" s="460" t="n">
        <v>2</v>
      </c>
      <c r="K79" s="556" t="s">
        <v>45</v>
      </c>
      <c r="L79" s="380" t="s">
        <v>60</v>
      </c>
      <c r="M79" s="545" t="n">
        <f aca="false">I79-D79</f>
        <v>469</v>
      </c>
      <c r="N79" s="153"/>
      <c r="O79" s="339"/>
      <c r="P79" s="339"/>
      <c r="Q79" s="339"/>
      <c r="R79" s="339"/>
      <c r="S79" s="339"/>
      <c r="T79" s="339"/>
    </row>
    <row r="80" customFormat="false" ht="12.75" hidden="false" customHeight="true" outlineLevel="0" collapsed="false">
      <c r="A80" s="449" t="n">
        <v>7919</v>
      </c>
      <c r="B80" s="450" t="s">
        <v>12973</v>
      </c>
      <c r="C80" s="450" t="n">
        <v>2018</v>
      </c>
      <c r="D80" s="451" t="n">
        <v>43202</v>
      </c>
      <c r="E80" s="452" t="s">
        <v>12974</v>
      </c>
      <c r="F80" s="378" t="s">
        <v>176</v>
      </c>
      <c r="G80" s="452" t="s">
        <v>1174</v>
      </c>
      <c r="H80" s="378" t="s">
        <v>12106</v>
      </c>
      <c r="I80" s="451" t="n">
        <v>43524</v>
      </c>
      <c r="J80" s="452" t="n">
        <v>2</v>
      </c>
      <c r="K80" s="548" t="s">
        <v>47</v>
      </c>
      <c r="L80" s="378" t="s">
        <v>60</v>
      </c>
      <c r="M80" s="546" t="n">
        <f aca="false">I80-D80</f>
        <v>322</v>
      </c>
      <c r="N80" s="153"/>
      <c r="O80" s="340" t="s">
        <v>38</v>
      </c>
      <c r="P80" s="340"/>
      <c r="Q80" s="340"/>
      <c r="R80" s="340"/>
      <c r="S80" s="374" t="s">
        <v>343</v>
      </c>
      <c r="T80" s="375" t="s">
        <v>41</v>
      </c>
    </row>
    <row r="81" customFormat="false" ht="12.75" hidden="false" customHeight="true" outlineLevel="0" collapsed="false">
      <c r="A81" s="456" t="n">
        <v>8019</v>
      </c>
      <c r="B81" s="458" t="s">
        <v>12975</v>
      </c>
      <c r="C81" s="458" t="n">
        <v>2013</v>
      </c>
      <c r="D81" s="459" t="n">
        <v>41332</v>
      </c>
      <c r="E81" s="460" t="s">
        <v>12976</v>
      </c>
      <c r="F81" s="380" t="s">
        <v>780</v>
      </c>
      <c r="G81" s="460" t="s">
        <v>1174</v>
      </c>
      <c r="H81" s="380" t="s">
        <v>9385</v>
      </c>
      <c r="I81" s="459" t="n">
        <v>43524</v>
      </c>
      <c r="J81" s="460" t="n">
        <v>2</v>
      </c>
      <c r="K81" s="556" t="s">
        <v>45</v>
      </c>
      <c r="L81" s="380" t="s">
        <v>60</v>
      </c>
      <c r="M81" s="545" t="n">
        <f aca="false">I81-D81</f>
        <v>2192</v>
      </c>
      <c r="N81" s="153"/>
      <c r="O81" s="480" t="s">
        <v>57</v>
      </c>
      <c r="P81" s="480"/>
      <c r="Q81" s="480"/>
      <c r="R81" s="480"/>
      <c r="S81" s="536" t="n">
        <f aca="false">COUNTIF($L$2:$L$476,"I - Produto altamente perigoso ao meio ambiente")</f>
        <v>14</v>
      </c>
      <c r="T81" s="377" t="n">
        <f aca="false">(S81/S85)</f>
        <v>0.0294736842105263</v>
      </c>
    </row>
    <row r="82" customFormat="false" ht="13.5" hidden="false" customHeight="true" outlineLevel="0" collapsed="false">
      <c r="A82" s="449" t="n">
        <v>8119</v>
      </c>
      <c r="B82" s="450" t="s">
        <v>12977</v>
      </c>
      <c r="C82" s="450" t="n">
        <v>2013</v>
      </c>
      <c r="D82" s="451" t="n">
        <v>41387</v>
      </c>
      <c r="E82" s="452" t="s">
        <v>12978</v>
      </c>
      <c r="F82" s="378" t="s">
        <v>1689</v>
      </c>
      <c r="G82" s="452" t="s">
        <v>1174</v>
      </c>
      <c r="H82" s="378" t="s">
        <v>267</v>
      </c>
      <c r="I82" s="451" t="n">
        <v>43524</v>
      </c>
      <c r="J82" s="452" t="n">
        <v>2</v>
      </c>
      <c r="K82" s="556" t="s">
        <v>45</v>
      </c>
      <c r="L82" s="378" t="s">
        <v>58</v>
      </c>
      <c r="M82" s="546" t="n">
        <f aca="false">I82-D82</f>
        <v>2137</v>
      </c>
      <c r="N82" s="153"/>
      <c r="O82" s="378" t="s">
        <v>58</v>
      </c>
      <c r="P82" s="378"/>
      <c r="Q82" s="378"/>
      <c r="R82" s="378"/>
      <c r="S82" s="537" t="n">
        <f aca="false">COUNTIF($L$2:$L$476,"II - Produto muito perigoso ao meio ambiente")</f>
        <v>233</v>
      </c>
      <c r="T82" s="379" t="n">
        <f aca="false">(S82/S85)</f>
        <v>0.490526315789474</v>
      </c>
    </row>
    <row r="83" customFormat="false" ht="13.5" hidden="false" customHeight="true" outlineLevel="0" collapsed="false">
      <c r="A83" s="456" t="n">
        <v>8219</v>
      </c>
      <c r="B83" s="458" t="s">
        <v>12979</v>
      </c>
      <c r="C83" s="458" t="n">
        <v>2017</v>
      </c>
      <c r="D83" s="459" t="n">
        <v>43090</v>
      </c>
      <c r="E83" s="460" t="s">
        <v>12980</v>
      </c>
      <c r="F83" s="380" t="s">
        <v>2151</v>
      </c>
      <c r="G83" s="460" t="s">
        <v>1174</v>
      </c>
      <c r="H83" s="380" t="s">
        <v>1740</v>
      </c>
      <c r="I83" s="459" t="n">
        <v>43524</v>
      </c>
      <c r="J83" s="460" t="n">
        <v>2</v>
      </c>
      <c r="K83" s="548" t="s">
        <v>47</v>
      </c>
      <c r="L83" s="380" t="s">
        <v>58</v>
      </c>
      <c r="M83" s="545" t="n">
        <f aca="false">I83-D83</f>
        <v>434</v>
      </c>
      <c r="N83" s="153"/>
      <c r="O83" s="380" t="s">
        <v>60</v>
      </c>
      <c r="P83" s="380"/>
      <c r="Q83" s="380"/>
      <c r="R83" s="380"/>
      <c r="S83" s="536" t="n">
        <f aca="false">COUNTIF($L$2:$L$476,"III - Produto perigoso ao meio ambiente")</f>
        <v>183</v>
      </c>
      <c r="T83" s="377" t="n">
        <f aca="false">(S83/S85)</f>
        <v>0.385263157894737</v>
      </c>
    </row>
    <row r="84" customFormat="false" ht="12.75" hidden="true" customHeight="true" outlineLevel="0" collapsed="false">
      <c r="A84" s="449" t="n">
        <v>8319</v>
      </c>
      <c r="B84" s="450" t="s">
        <v>12981</v>
      </c>
      <c r="C84" s="450" t="n">
        <v>2011</v>
      </c>
      <c r="D84" s="451" t="n">
        <v>40764</v>
      </c>
      <c r="E84" s="452" t="s">
        <v>12982</v>
      </c>
      <c r="F84" s="378" t="s">
        <v>3844</v>
      </c>
      <c r="G84" s="452" t="s">
        <v>441</v>
      </c>
      <c r="H84" s="378" t="s">
        <v>471</v>
      </c>
      <c r="I84" s="451" t="n">
        <v>43525</v>
      </c>
      <c r="J84" s="452" t="n">
        <v>3</v>
      </c>
      <c r="K84" s="548" t="s">
        <v>47</v>
      </c>
      <c r="L84" s="378" t="s">
        <v>58</v>
      </c>
      <c r="M84" s="546" t="n">
        <f aca="false">I84-D84</f>
        <v>2761</v>
      </c>
      <c r="N84" s="153"/>
      <c r="O84" s="378" t="s">
        <v>61</v>
      </c>
      <c r="P84" s="378"/>
      <c r="Q84" s="378"/>
      <c r="R84" s="378"/>
      <c r="S84" s="537" t="n">
        <f aca="false">COUNTIF($L$2:$L$476,"IV - Produto pouco perigoso ao meio ambiente")</f>
        <v>45</v>
      </c>
      <c r="T84" s="379" t="n">
        <f aca="false">(S84/S85)</f>
        <v>0.0947368421052632</v>
      </c>
    </row>
    <row r="85" customFormat="false" ht="13.5" hidden="true" customHeight="true" outlineLevel="0" collapsed="false">
      <c r="A85" s="456" t="n">
        <v>8419</v>
      </c>
      <c r="B85" s="458" t="s">
        <v>12983</v>
      </c>
      <c r="C85" s="458" t="n">
        <v>2013</v>
      </c>
      <c r="D85" s="459" t="n">
        <v>41355</v>
      </c>
      <c r="E85" s="460" t="s">
        <v>12984</v>
      </c>
      <c r="F85" s="380" t="s">
        <v>12985</v>
      </c>
      <c r="G85" s="460" t="s">
        <v>441</v>
      </c>
      <c r="H85" s="380" t="s">
        <v>3493</v>
      </c>
      <c r="I85" s="459" t="n">
        <v>43525</v>
      </c>
      <c r="J85" s="460" t="n">
        <v>3</v>
      </c>
      <c r="K85" s="556" t="s">
        <v>45</v>
      </c>
      <c r="L85" s="380" t="s">
        <v>58</v>
      </c>
      <c r="M85" s="545" t="n">
        <f aca="false">I85-D85</f>
        <v>2170</v>
      </c>
      <c r="N85" s="153"/>
      <c r="O85" s="340" t="s">
        <v>54</v>
      </c>
      <c r="P85" s="340"/>
      <c r="Q85" s="340"/>
      <c r="R85" s="340"/>
      <c r="S85" s="363" t="n">
        <f aca="false">SUM(S81:S84)</f>
        <v>475</v>
      </c>
      <c r="T85" s="364" t="n">
        <f aca="false">(S85/S85)</f>
        <v>1</v>
      </c>
    </row>
    <row r="86" customFormat="false" ht="13.5" hidden="true" customHeight="true" outlineLevel="0" collapsed="false">
      <c r="A86" s="449" t="n">
        <v>8519</v>
      </c>
      <c r="B86" s="450" t="s">
        <v>12986</v>
      </c>
      <c r="C86" s="450" t="n">
        <v>2017</v>
      </c>
      <c r="D86" s="451" t="n">
        <v>43055</v>
      </c>
      <c r="E86" s="452" t="s">
        <v>12987</v>
      </c>
      <c r="F86" s="378" t="s">
        <v>6303</v>
      </c>
      <c r="G86" s="452" t="s">
        <v>125</v>
      </c>
      <c r="H86" s="378" t="s">
        <v>5731</v>
      </c>
      <c r="I86" s="451" t="n">
        <v>43525</v>
      </c>
      <c r="J86" s="452" t="n">
        <v>3</v>
      </c>
      <c r="K86" s="587" t="s">
        <v>50</v>
      </c>
      <c r="L86" s="378" t="s">
        <v>61</v>
      </c>
      <c r="M86" s="546" t="n">
        <f aca="false">I86-D86</f>
        <v>470</v>
      </c>
      <c r="N86" s="153"/>
      <c r="O86" s="153"/>
      <c r="P86" s="153"/>
      <c r="Q86" s="153"/>
      <c r="R86" s="153"/>
      <c r="S86" s="153"/>
      <c r="T86" s="153"/>
    </row>
    <row r="87" customFormat="false" ht="14.25" hidden="true" customHeight="true" outlineLevel="0" collapsed="false">
      <c r="A87" s="456" t="n">
        <v>8619</v>
      </c>
      <c r="B87" s="458" t="s">
        <v>12988</v>
      </c>
      <c r="C87" s="458" t="n">
        <v>2018</v>
      </c>
      <c r="D87" s="459" t="n">
        <v>43399</v>
      </c>
      <c r="E87" s="460" t="s">
        <v>12989</v>
      </c>
      <c r="F87" s="380" t="s">
        <v>9785</v>
      </c>
      <c r="G87" s="460" t="s">
        <v>130</v>
      </c>
      <c r="H87" s="380" t="s">
        <v>3472</v>
      </c>
      <c r="I87" s="459" t="n">
        <v>43525</v>
      </c>
      <c r="J87" s="460" t="n">
        <v>3</v>
      </c>
      <c r="K87" s="587" t="s">
        <v>50</v>
      </c>
      <c r="L87" s="380" t="s">
        <v>61</v>
      </c>
      <c r="M87" s="545" t="n">
        <f aca="false">I87-D87</f>
        <v>126</v>
      </c>
      <c r="N87" s="153"/>
      <c r="O87" s="421" t="s">
        <v>425</v>
      </c>
      <c r="P87" s="421"/>
      <c r="Q87" s="421"/>
      <c r="R87" s="421"/>
      <c r="S87" s="153"/>
      <c r="T87" s="153"/>
    </row>
    <row r="88" customFormat="false" ht="14.25" hidden="true" customHeight="true" outlineLevel="0" collapsed="false">
      <c r="A88" s="449" t="n">
        <v>8719</v>
      </c>
      <c r="B88" s="450" t="s">
        <v>12990</v>
      </c>
      <c r="C88" s="450" t="n">
        <v>2012</v>
      </c>
      <c r="D88" s="451" t="n">
        <v>41085</v>
      </c>
      <c r="E88" s="452" t="s">
        <v>12991</v>
      </c>
      <c r="F88" s="378" t="s">
        <v>1347</v>
      </c>
      <c r="G88" s="452" t="s">
        <v>441</v>
      </c>
      <c r="H88" s="378" t="s">
        <v>706</v>
      </c>
      <c r="I88" s="451" t="n">
        <v>43532</v>
      </c>
      <c r="J88" s="452" t="n">
        <v>3</v>
      </c>
      <c r="K88" s="552" t="s">
        <v>42</v>
      </c>
      <c r="L88" s="378" t="s">
        <v>60</v>
      </c>
      <c r="M88" s="546" t="n">
        <f aca="false">I88-D88</f>
        <v>2447</v>
      </c>
      <c r="N88" s="153"/>
      <c r="O88" s="421"/>
      <c r="P88" s="421"/>
      <c r="Q88" s="421"/>
      <c r="R88" s="421"/>
      <c r="S88" s="153"/>
      <c r="T88" s="153"/>
    </row>
    <row r="89" customFormat="false" ht="12.75" hidden="true" customHeight="true" outlineLevel="0" collapsed="false">
      <c r="A89" s="456" t="n">
        <v>8819</v>
      </c>
      <c r="B89" s="458" t="s">
        <v>12992</v>
      </c>
      <c r="C89" s="458" t="n">
        <v>2012</v>
      </c>
      <c r="D89" s="459" t="n">
        <v>41124</v>
      </c>
      <c r="E89" s="460" t="s">
        <v>12993</v>
      </c>
      <c r="F89" s="380" t="s">
        <v>3844</v>
      </c>
      <c r="G89" s="460" t="s">
        <v>441</v>
      </c>
      <c r="H89" s="380" t="s">
        <v>471</v>
      </c>
      <c r="I89" s="459" t="n">
        <v>43532</v>
      </c>
      <c r="J89" s="460" t="n">
        <v>3</v>
      </c>
      <c r="K89" s="548" t="s">
        <v>47</v>
      </c>
      <c r="L89" s="380" t="s">
        <v>58</v>
      </c>
      <c r="M89" s="545" t="n">
        <f aca="false">I89-D89</f>
        <v>2408</v>
      </c>
      <c r="N89" s="153"/>
      <c r="O89" s="390" t="s">
        <v>69</v>
      </c>
      <c r="P89" s="422" t="s">
        <v>433</v>
      </c>
      <c r="Q89" s="422"/>
      <c r="R89" s="422"/>
      <c r="S89" s="153"/>
      <c r="T89" s="153"/>
    </row>
    <row r="90" customFormat="false" ht="12.75" hidden="true" customHeight="true" outlineLevel="0" collapsed="false">
      <c r="A90" s="449" t="n">
        <v>8919</v>
      </c>
      <c r="B90" s="450" t="s">
        <v>12994</v>
      </c>
      <c r="C90" s="450" t="n">
        <v>2012</v>
      </c>
      <c r="D90" s="451" t="n">
        <v>41124</v>
      </c>
      <c r="E90" s="452" t="s">
        <v>12995</v>
      </c>
      <c r="F90" s="378" t="s">
        <v>3844</v>
      </c>
      <c r="G90" s="452" t="s">
        <v>441</v>
      </c>
      <c r="H90" s="378" t="s">
        <v>471</v>
      </c>
      <c r="I90" s="451" t="n">
        <v>43532</v>
      </c>
      <c r="J90" s="452" t="n">
        <v>3</v>
      </c>
      <c r="K90" s="548" t="s">
        <v>47</v>
      </c>
      <c r="L90" s="378" t="s">
        <v>58</v>
      </c>
      <c r="M90" s="546" t="n">
        <f aca="false">I90-D90</f>
        <v>2408</v>
      </c>
      <c r="N90" s="153"/>
      <c r="O90" s="394" t="s">
        <v>1474</v>
      </c>
      <c r="P90" s="481" t="n">
        <f aca="false">AVERAGEIF(G2:G476,"PT",M2:M476)</f>
        <v>1883</v>
      </c>
      <c r="Q90" s="481"/>
      <c r="R90" s="481"/>
      <c r="S90" s="153"/>
      <c r="T90" s="153"/>
    </row>
    <row r="91" customFormat="false" ht="14.25" hidden="true" customHeight="true" outlineLevel="0" collapsed="false">
      <c r="A91" s="456" t="n">
        <v>9019</v>
      </c>
      <c r="B91" s="458" t="s">
        <v>12996</v>
      </c>
      <c r="C91" s="458" t="n">
        <v>2013</v>
      </c>
      <c r="D91" s="459" t="n">
        <v>41414</v>
      </c>
      <c r="E91" s="460" t="s">
        <v>12997</v>
      </c>
      <c r="F91" s="380" t="s">
        <v>180</v>
      </c>
      <c r="G91" s="460" t="s">
        <v>441</v>
      </c>
      <c r="H91" s="380" t="s">
        <v>12841</v>
      </c>
      <c r="I91" s="459" t="n">
        <v>43532</v>
      </c>
      <c r="J91" s="460" t="n">
        <v>3</v>
      </c>
      <c r="K91" s="548" t="s">
        <v>47</v>
      </c>
      <c r="L91" s="380" t="s">
        <v>58</v>
      </c>
      <c r="M91" s="545" t="n">
        <f aca="false">I91-D91</f>
        <v>2118</v>
      </c>
      <c r="N91" s="153"/>
      <c r="O91" s="396" t="s">
        <v>1188</v>
      </c>
      <c r="P91" s="482" t="n">
        <f aca="false">AVERAGEIF(G2:G477,"PTN",M2:M477)</f>
        <v>2605</v>
      </c>
      <c r="Q91" s="482"/>
      <c r="R91" s="482"/>
      <c r="S91" s="153"/>
      <c r="T91" s="153"/>
    </row>
    <row r="92" customFormat="false" ht="13.5" hidden="true" customHeight="true" outlineLevel="0" collapsed="false">
      <c r="A92" s="449" t="n">
        <v>9119</v>
      </c>
      <c r="B92" s="450" t="s">
        <v>12998</v>
      </c>
      <c r="C92" s="450" t="n">
        <v>2012</v>
      </c>
      <c r="D92" s="451" t="n">
        <v>41240</v>
      </c>
      <c r="E92" s="452" t="s">
        <v>12999</v>
      </c>
      <c r="F92" s="378" t="s">
        <v>1097</v>
      </c>
      <c r="G92" s="452" t="s">
        <v>13000</v>
      </c>
      <c r="H92" s="378" t="s">
        <v>243</v>
      </c>
      <c r="I92" s="451" t="n">
        <v>43532</v>
      </c>
      <c r="J92" s="452" t="n">
        <v>3</v>
      </c>
      <c r="K92" s="552" t="s">
        <v>42</v>
      </c>
      <c r="L92" s="378" t="s">
        <v>60</v>
      </c>
      <c r="M92" s="546" t="n">
        <f aca="false">I92-D92</f>
        <v>2292</v>
      </c>
      <c r="N92" s="153"/>
      <c r="O92" s="394" t="s">
        <v>1174</v>
      </c>
      <c r="P92" s="481" t="n">
        <f aca="false">AVERAGEIF(G2:G476,"PTE",M2:M476)</f>
        <v>1449.81040892193</v>
      </c>
      <c r="Q92" s="481"/>
      <c r="R92" s="481"/>
      <c r="S92" s="153"/>
      <c r="T92" s="153"/>
    </row>
    <row r="93" customFormat="false" ht="13.5" hidden="true" customHeight="true" outlineLevel="0" collapsed="false">
      <c r="A93" s="456" t="n">
        <v>9219</v>
      </c>
      <c r="B93" s="458" t="s">
        <v>13001</v>
      </c>
      <c r="C93" s="458" t="n">
        <v>2012</v>
      </c>
      <c r="D93" s="459" t="n">
        <v>40977</v>
      </c>
      <c r="E93" s="460" t="s">
        <v>13002</v>
      </c>
      <c r="F93" s="380" t="s">
        <v>671</v>
      </c>
      <c r="G93" s="460" t="s">
        <v>441</v>
      </c>
      <c r="H93" s="380" t="s">
        <v>1567</v>
      </c>
      <c r="I93" s="459" t="n">
        <v>43532</v>
      </c>
      <c r="J93" s="460" t="n">
        <v>3</v>
      </c>
      <c r="K93" s="556" t="s">
        <v>45</v>
      </c>
      <c r="L93" s="380" t="s">
        <v>58</v>
      </c>
      <c r="M93" s="545" t="n">
        <f aca="false">I93-D93</f>
        <v>2555</v>
      </c>
      <c r="N93" s="153"/>
      <c r="O93" s="396" t="s">
        <v>8</v>
      </c>
      <c r="P93" s="482" t="e">
        <f aca="false">AVERAGEIF(G2:G476,"Pré-Mistura",M2:M476)</f>
        <v>#DIV/0!</v>
      </c>
      <c r="Q93" s="482"/>
      <c r="R93" s="482"/>
      <c r="S93" s="153"/>
      <c r="T93" s="153"/>
    </row>
    <row r="94" customFormat="false" ht="13.5" hidden="true" customHeight="true" outlineLevel="0" collapsed="false">
      <c r="A94" s="449" t="n">
        <v>9319</v>
      </c>
      <c r="B94" s="450" t="s">
        <v>13003</v>
      </c>
      <c r="C94" s="450" t="n">
        <v>2009</v>
      </c>
      <c r="D94" s="451" t="n">
        <v>40156</v>
      </c>
      <c r="E94" s="452" t="s">
        <v>13004</v>
      </c>
      <c r="F94" s="378" t="s">
        <v>13005</v>
      </c>
      <c r="G94" s="452" t="s">
        <v>441</v>
      </c>
      <c r="H94" s="378" t="s">
        <v>13006</v>
      </c>
      <c r="I94" s="451" t="n">
        <v>43537</v>
      </c>
      <c r="J94" s="452" t="n">
        <v>3</v>
      </c>
      <c r="K94" s="556" t="s">
        <v>45</v>
      </c>
      <c r="L94" s="378" t="s">
        <v>60</v>
      </c>
      <c r="M94" s="546" t="n">
        <f aca="false">I94-D94</f>
        <v>3381</v>
      </c>
      <c r="N94" s="153"/>
      <c r="O94" s="394" t="s">
        <v>144</v>
      </c>
      <c r="P94" s="481" t="n">
        <f aca="false">AVERAGEIF(G2:G476,"PF",M2:M476)</f>
        <v>2059.55555555556</v>
      </c>
      <c r="Q94" s="481"/>
      <c r="R94" s="481"/>
      <c r="S94" s="153"/>
      <c r="T94" s="153"/>
    </row>
    <row r="95" customFormat="false" ht="12.75" hidden="true" customHeight="true" outlineLevel="0" collapsed="false">
      <c r="A95" s="456" t="n">
        <v>9419</v>
      </c>
      <c r="B95" s="458" t="s">
        <v>13007</v>
      </c>
      <c r="C95" s="458" t="n">
        <v>2011</v>
      </c>
      <c r="D95" s="459" t="n">
        <v>40634</v>
      </c>
      <c r="E95" s="460" t="s">
        <v>13008</v>
      </c>
      <c r="F95" s="380" t="s">
        <v>689</v>
      </c>
      <c r="G95" s="460" t="s">
        <v>144</v>
      </c>
      <c r="H95" s="380" t="s">
        <v>119</v>
      </c>
      <c r="I95" s="459" t="n">
        <v>43537</v>
      </c>
      <c r="J95" s="460" t="n">
        <v>3</v>
      </c>
      <c r="K95" s="552" t="s">
        <v>42</v>
      </c>
      <c r="L95" s="380" t="s">
        <v>58</v>
      </c>
      <c r="M95" s="545" t="n">
        <f aca="false">I95-D95</f>
        <v>2903</v>
      </c>
      <c r="N95" s="153"/>
      <c r="O95" s="396" t="s">
        <v>115</v>
      </c>
      <c r="P95" s="482" t="n">
        <f aca="false">AVERAGEIF(G2:G476,"PFN",M2:M476)</f>
        <v>1617</v>
      </c>
      <c r="Q95" s="482"/>
      <c r="R95" s="482"/>
      <c r="S95" s="153"/>
      <c r="T95" s="153"/>
    </row>
    <row r="96" customFormat="false" ht="13.5" hidden="true" customHeight="true" outlineLevel="0" collapsed="false">
      <c r="A96" s="449" t="n">
        <v>9519</v>
      </c>
      <c r="B96" s="450" t="s">
        <v>13009</v>
      </c>
      <c r="C96" s="450" t="n">
        <v>2013</v>
      </c>
      <c r="D96" s="451" t="n">
        <v>41632</v>
      </c>
      <c r="E96" s="452" t="s">
        <v>13010</v>
      </c>
      <c r="F96" s="378" t="s">
        <v>180</v>
      </c>
      <c r="G96" s="452" t="s">
        <v>441</v>
      </c>
      <c r="H96" s="378" t="s">
        <v>9385</v>
      </c>
      <c r="I96" s="451" t="n">
        <v>43537</v>
      </c>
      <c r="J96" s="452" t="n">
        <v>3</v>
      </c>
      <c r="K96" s="548" t="s">
        <v>47</v>
      </c>
      <c r="L96" s="378" t="s">
        <v>58</v>
      </c>
      <c r="M96" s="546" t="n">
        <f aca="false">I96-D96</f>
        <v>1905</v>
      </c>
      <c r="N96" s="153"/>
      <c r="O96" s="394" t="s">
        <v>441</v>
      </c>
      <c r="P96" s="481" t="n">
        <f aca="false">AVERAGEIF(G2:G476,"PF/PTE",M2:M476)</f>
        <v>2015.74038461538</v>
      </c>
      <c r="Q96" s="481"/>
      <c r="R96" s="481"/>
      <c r="S96" s="153"/>
      <c r="T96" s="153"/>
    </row>
    <row r="97" customFormat="false" ht="13.5" hidden="true" customHeight="true" outlineLevel="0" collapsed="false">
      <c r="A97" s="456" t="n">
        <v>9619</v>
      </c>
      <c r="B97" s="458" t="s">
        <v>13011</v>
      </c>
      <c r="C97" s="458" t="n">
        <v>2017</v>
      </c>
      <c r="D97" s="459" t="n">
        <v>42895</v>
      </c>
      <c r="E97" s="460" t="s">
        <v>13012</v>
      </c>
      <c r="F97" s="380" t="s">
        <v>449</v>
      </c>
      <c r="G97" s="460" t="s">
        <v>441</v>
      </c>
      <c r="H97" s="380" t="s">
        <v>350</v>
      </c>
      <c r="I97" s="459" t="n">
        <v>43537</v>
      </c>
      <c r="J97" s="460" t="n">
        <v>3</v>
      </c>
      <c r="K97" s="548" t="s">
        <v>47</v>
      </c>
      <c r="L97" s="380" t="s">
        <v>58</v>
      </c>
      <c r="M97" s="545" t="n">
        <f aca="false">I97-D97</f>
        <v>642</v>
      </c>
      <c r="N97" s="153"/>
      <c r="O97" s="396" t="s">
        <v>125</v>
      </c>
      <c r="P97" s="482" t="n">
        <f aca="false">AVERAGEIF(G2:G476,"Bio",M2:M476)</f>
        <v>335.741935483871</v>
      </c>
      <c r="Q97" s="482"/>
      <c r="R97" s="482"/>
    </row>
    <row r="98" customFormat="false" ht="13.5" hidden="true" customHeight="true" outlineLevel="0" collapsed="false">
      <c r="A98" s="449" t="n">
        <v>9719</v>
      </c>
      <c r="B98" s="450" t="s">
        <v>13013</v>
      </c>
      <c r="C98" s="450" t="n">
        <v>2012</v>
      </c>
      <c r="D98" s="451" t="n">
        <v>41057</v>
      </c>
      <c r="E98" s="452" t="s">
        <v>13014</v>
      </c>
      <c r="F98" s="378" t="s">
        <v>211</v>
      </c>
      <c r="G98" s="452" t="s">
        <v>441</v>
      </c>
      <c r="H98" s="378" t="s">
        <v>1567</v>
      </c>
      <c r="I98" s="451" t="n">
        <v>43537</v>
      </c>
      <c r="J98" s="452" t="n">
        <v>3</v>
      </c>
      <c r="K98" s="552" t="s">
        <v>42</v>
      </c>
      <c r="L98" s="378" t="s">
        <v>58</v>
      </c>
      <c r="M98" s="546" t="n">
        <f aca="false">I98-D98</f>
        <v>2480</v>
      </c>
      <c r="N98" s="153"/>
      <c r="O98" s="394" t="s">
        <v>130</v>
      </c>
      <c r="P98" s="481" t="n">
        <f aca="false">AVERAGEIF(G2:G476,"Bio/Org",M2:M476)</f>
        <v>278.333333333333</v>
      </c>
      <c r="Q98" s="481"/>
      <c r="R98" s="481"/>
    </row>
    <row r="99" customFormat="false" ht="14.25" hidden="false" customHeight="true" outlineLevel="0" collapsed="false">
      <c r="A99" s="456" t="n">
        <v>9819</v>
      </c>
      <c r="B99" s="458" t="s">
        <v>13015</v>
      </c>
      <c r="C99" s="458" t="n">
        <v>2016</v>
      </c>
      <c r="D99" s="459" t="n">
        <v>42612</v>
      </c>
      <c r="E99" s="460" t="s">
        <v>13016</v>
      </c>
      <c r="F99" s="380" t="s">
        <v>705</v>
      </c>
      <c r="G99" s="460" t="s">
        <v>1174</v>
      </c>
      <c r="H99" s="380" t="s">
        <v>522</v>
      </c>
      <c r="I99" s="459" t="n">
        <v>43538</v>
      </c>
      <c r="J99" s="460" t="n">
        <v>3</v>
      </c>
      <c r="K99" s="548" t="s">
        <v>47</v>
      </c>
      <c r="L99" s="380" t="s">
        <v>58</v>
      </c>
      <c r="M99" s="545" t="n">
        <f aca="false">I99-D99</f>
        <v>926</v>
      </c>
      <c r="N99" s="153"/>
      <c r="O99" s="398" t="s">
        <v>86</v>
      </c>
      <c r="P99" s="399" t="n">
        <f aca="false">AVERAGE(M2:M494)</f>
        <v>1532.52421052632</v>
      </c>
      <c r="Q99" s="399"/>
      <c r="R99" s="399"/>
    </row>
    <row r="100" customFormat="false" ht="12.75" hidden="false" customHeight="true" outlineLevel="0" collapsed="false">
      <c r="A100" s="449" t="n">
        <v>9919</v>
      </c>
      <c r="B100" s="450" t="s">
        <v>13017</v>
      </c>
      <c r="C100" s="450" t="n">
        <v>2016</v>
      </c>
      <c r="D100" s="451" t="n">
        <v>42733</v>
      </c>
      <c r="E100" s="452" t="s">
        <v>13018</v>
      </c>
      <c r="F100" s="378" t="s">
        <v>12862</v>
      </c>
      <c r="G100" s="452" t="s">
        <v>1174</v>
      </c>
      <c r="H100" s="378" t="s">
        <v>373</v>
      </c>
      <c r="I100" s="451" t="n">
        <v>43538</v>
      </c>
      <c r="J100" s="452" t="n">
        <v>3</v>
      </c>
      <c r="K100" s="587" t="s">
        <v>50</v>
      </c>
      <c r="L100" s="378" t="s">
        <v>60</v>
      </c>
      <c r="M100" s="546" t="n">
        <f aca="false">I100-D100</f>
        <v>805</v>
      </c>
      <c r="N100" s="153"/>
      <c r="O100" s="153"/>
      <c r="P100" s="153"/>
      <c r="Q100" s="153"/>
      <c r="R100" s="153"/>
    </row>
    <row r="101" customFormat="false" ht="12.75" hidden="false" customHeight="true" outlineLevel="0" collapsed="false">
      <c r="A101" s="456" t="n">
        <v>10019</v>
      </c>
      <c r="B101" s="458" t="s">
        <v>13019</v>
      </c>
      <c r="C101" s="458" t="n">
        <v>2013</v>
      </c>
      <c r="D101" s="459" t="n">
        <v>41386</v>
      </c>
      <c r="E101" s="460" t="s">
        <v>13020</v>
      </c>
      <c r="F101" s="380" t="s">
        <v>1243</v>
      </c>
      <c r="G101" s="460" t="s">
        <v>1174</v>
      </c>
      <c r="H101" s="380" t="s">
        <v>250</v>
      </c>
      <c r="I101" s="459" t="n">
        <v>43538</v>
      </c>
      <c r="J101" s="460" t="n">
        <v>3</v>
      </c>
      <c r="K101" s="548" t="s">
        <v>47</v>
      </c>
      <c r="L101" s="380" t="s">
        <v>60</v>
      </c>
      <c r="M101" s="545" t="n">
        <f aca="false">I101-D101</f>
        <v>2152</v>
      </c>
      <c r="N101" s="153"/>
      <c r="O101" s="153"/>
      <c r="P101" s="153"/>
      <c r="Q101" s="153"/>
      <c r="R101" s="153"/>
    </row>
    <row r="102" customFormat="false" ht="12.75" hidden="true" customHeight="true" outlineLevel="0" collapsed="false">
      <c r="A102" s="449" t="n">
        <v>10119</v>
      </c>
      <c r="B102" s="450" t="s">
        <v>13021</v>
      </c>
      <c r="C102" s="450" t="n">
        <v>2016</v>
      </c>
      <c r="D102" s="451" t="n">
        <v>42600</v>
      </c>
      <c r="E102" s="452" t="s">
        <v>13022</v>
      </c>
      <c r="F102" s="378" t="s">
        <v>13023</v>
      </c>
      <c r="G102" s="452" t="s">
        <v>441</v>
      </c>
      <c r="H102" s="378" t="s">
        <v>267</v>
      </c>
      <c r="I102" s="451" t="n">
        <v>43545</v>
      </c>
      <c r="J102" s="452" t="n">
        <v>3</v>
      </c>
      <c r="K102" s="552" t="s">
        <v>42</v>
      </c>
      <c r="L102" s="378" t="s">
        <v>57</v>
      </c>
      <c r="M102" s="546" t="n">
        <f aca="false">I102-D102</f>
        <v>945</v>
      </c>
      <c r="N102" s="153"/>
      <c r="O102" s="153"/>
      <c r="P102" s="153"/>
      <c r="Q102" s="153"/>
      <c r="R102" s="153"/>
    </row>
    <row r="103" customFormat="false" ht="12.75" hidden="true" customHeight="true" outlineLevel="0" collapsed="false">
      <c r="A103" s="456" t="n">
        <v>10219</v>
      </c>
      <c r="B103" s="458" t="s">
        <v>13024</v>
      </c>
      <c r="C103" s="458" t="n">
        <v>2011</v>
      </c>
      <c r="D103" s="459" t="n">
        <v>40766</v>
      </c>
      <c r="E103" s="460" t="s">
        <v>13025</v>
      </c>
      <c r="F103" s="380" t="s">
        <v>5401</v>
      </c>
      <c r="G103" s="460" t="s">
        <v>441</v>
      </c>
      <c r="H103" s="380" t="s">
        <v>12073</v>
      </c>
      <c r="I103" s="459" t="n">
        <v>43545</v>
      </c>
      <c r="J103" s="460" t="n">
        <v>3</v>
      </c>
      <c r="K103" s="556" t="s">
        <v>45</v>
      </c>
      <c r="L103" s="380" t="s">
        <v>60</v>
      </c>
      <c r="M103" s="545" t="n">
        <f aca="false">I103-D103</f>
        <v>2779</v>
      </c>
      <c r="N103" s="153"/>
      <c r="O103" s="153"/>
      <c r="P103" s="153"/>
      <c r="Q103" s="153"/>
      <c r="R103" s="153"/>
    </row>
    <row r="104" customFormat="false" ht="12.75" hidden="true" customHeight="true" outlineLevel="0" collapsed="false">
      <c r="A104" s="449" t="n">
        <v>10319</v>
      </c>
      <c r="B104" s="450" t="s">
        <v>13026</v>
      </c>
      <c r="C104" s="450" t="n">
        <v>2011</v>
      </c>
      <c r="D104" s="451" t="n">
        <v>40898</v>
      </c>
      <c r="E104" s="452" t="s">
        <v>13027</v>
      </c>
      <c r="F104" s="378" t="s">
        <v>180</v>
      </c>
      <c r="G104" s="452" t="s">
        <v>441</v>
      </c>
      <c r="H104" s="378" t="s">
        <v>13028</v>
      </c>
      <c r="I104" s="451" t="n">
        <v>43545</v>
      </c>
      <c r="J104" s="452" t="n">
        <v>3</v>
      </c>
      <c r="K104" s="548" t="s">
        <v>47</v>
      </c>
      <c r="L104" s="378" t="s">
        <v>58</v>
      </c>
      <c r="M104" s="546" t="n">
        <f aca="false">I104-D104</f>
        <v>2647</v>
      </c>
      <c r="N104" s="153"/>
      <c r="O104" s="153"/>
      <c r="P104" s="153"/>
      <c r="Q104" s="153"/>
      <c r="R104" s="153"/>
    </row>
    <row r="105" customFormat="false" ht="12.75" hidden="true" customHeight="true" outlineLevel="0" collapsed="false">
      <c r="A105" s="456" t="n">
        <v>10419</v>
      </c>
      <c r="B105" s="458" t="s">
        <v>13029</v>
      </c>
      <c r="C105" s="458" t="n">
        <v>2012</v>
      </c>
      <c r="D105" s="459" t="n">
        <v>41166</v>
      </c>
      <c r="E105" s="460" t="s">
        <v>13030</v>
      </c>
      <c r="F105" s="380" t="s">
        <v>446</v>
      </c>
      <c r="G105" s="460" t="s">
        <v>441</v>
      </c>
      <c r="H105" s="380" t="s">
        <v>184</v>
      </c>
      <c r="I105" s="459" t="n">
        <v>43546</v>
      </c>
      <c r="J105" s="460" t="n">
        <v>3</v>
      </c>
      <c r="K105" s="552" t="s">
        <v>42</v>
      </c>
      <c r="L105" s="380" t="s">
        <v>60</v>
      </c>
      <c r="M105" s="545" t="n">
        <f aca="false">I105-D105</f>
        <v>2380</v>
      </c>
      <c r="N105" s="153"/>
      <c r="O105" s="153"/>
      <c r="P105" s="153"/>
      <c r="Q105" s="153"/>
      <c r="R105" s="153"/>
    </row>
    <row r="106" customFormat="false" ht="12.75" hidden="true" customHeight="true" outlineLevel="0" collapsed="false">
      <c r="A106" s="449" t="n">
        <v>10519</v>
      </c>
      <c r="B106" s="450" t="s">
        <v>13031</v>
      </c>
      <c r="C106" s="450" t="n">
        <v>2012</v>
      </c>
      <c r="D106" s="451" t="n">
        <v>41156</v>
      </c>
      <c r="E106" s="452" t="s">
        <v>13032</v>
      </c>
      <c r="F106" s="378" t="s">
        <v>446</v>
      </c>
      <c r="G106" s="452" t="s">
        <v>441</v>
      </c>
      <c r="H106" s="378" t="s">
        <v>2506</v>
      </c>
      <c r="I106" s="451" t="n">
        <v>43546</v>
      </c>
      <c r="J106" s="452" t="n">
        <v>3</v>
      </c>
      <c r="K106" s="548" t="s">
        <v>47</v>
      </c>
      <c r="L106" s="378" t="s">
        <v>60</v>
      </c>
      <c r="M106" s="546" t="n">
        <f aca="false">I106-D106</f>
        <v>2390</v>
      </c>
      <c r="N106" s="153"/>
      <c r="O106" s="153"/>
      <c r="P106" s="153"/>
      <c r="Q106" s="153"/>
      <c r="R106" s="153"/>
    </row>
    <row r="107" customFormat="false" ht="12.75" hidden="true" customHeight="true" outlineLevel="0" collapsed="false">
      <c r="A107" s="456" t="n">
        <v>10619</v>
      </c>
      <c r="B107" s="458" t="s">
        <v>13033</v>
      </c>
      <c r="C107" s="458" t="n">
        <v>2015</v>
      </c>
      <c r="D107" s="459" t="n">
        <v>42199</v>
      </c>
      <c r="E107" s="460" t="s">
        <v>13034</v>
      </c>
      <c r="F107" s="380" t="s">
        <v>1097</v>
      </c>
      <c r="G107" s="460" t="s">
        <v>441</v>
      </c>
      <c r="H107" s="380" t="s">
        <v>10110</v>
      </c>
      <c r="I107" s="459" t="n">
        <v>43546</v>
      </c>
      <c r="J107" s="460" t="n">
        <v>3</v>
      </c>
      <c r="K107" s="552" t="s">
        <v>42</v>
      </c>
      <c r="L107" s="380" t="s">
        <v>60</v>
      </c>
      <c r="M107" s="545" t="n">
        <f aca="false">I107-D107</f>
        <v>1347</v>
      </c>
      <c r="N107" s="153"/>
      <c r="O107" s="153"/>
      <c r="P107" s="153"/>
      <c r="Q107" s="153"/>
      <c r="R107" s="153"/>
    </row>
    <row r="108" customFormat="false" ht="14.25" hidden="true" customHeight="true" outlineLevel="0" collapsed="false">
      <c r="A108" s="449" t="n">
        <v>10719</v>
      </c>
      <c r="B108" s="450" t="s">
        <v>13035</v>
      </c>
      <c r="C108" s="450" t="n">
        <v>2015</v>
      </c>
      <c r="D108" s="451" t="n">
        <v>42184</v>
      </c>
      <c r="E108" s="452" t="s">
        <v>13036</v>
      </c>
      <c r="F108" s="378" t="s">
        <v>1097</v>
      </c>
      <c r="G108" s="452" t="s">
        <v>441</v>
      </c>
      <c r="H108" s="378" t="s">
        <v>10110</v>
      </c>
      <c r="I108" s="451" t="n">
        <v>43546</v>
      </c>
      <c r="J108" s="452" t="n">
        <v>3</v>
      </c>
      <c r="K108" s="552" t="s">
        <v>42</v>
      </c>
      <c r="L108" s="378" t="s">
        <v>60</v>
      </c>
      <c r="M108" s="546" t="n">
        <f aca="false">I108-D108</f>
        <v>1362</v>
      </c>
      <c r="N108" s="153"/>
      <c r="O108" s="153"/>
      <c r="P108" s="153"/>
      <c r="Q108" s="153"/>
      <c r="R108" s="153"/>
    </row>
    <row r="109" customFormat="false" ht="12.75" hidden="false" customHeight="true" outlineLevel="0" collapsed="false">
      <c r="A109" s="456" t="n">
        <v>10819</v>
      </c>
      <c r="B109" s="458" t="s">
        <v>13037</v>
      </c>
      <c r="C109" s="458" t="n">
        <v>2015</v>
      </c>
      <c r="D109" s="459" t="n">
        <v>42039</v>
      </c>
      <c r="E109" s="460" t="s">
        <v>13038</v>
      </c>
      <c r="F109" s="380" t="s">
        <v>7432</v>
      </c>
      <c r="G109" s="460" t="s">
        <v>1174</v>
      </c>
      <c r="H109" s="380" t="s">
        <v>471</v>
      </c>
      <c r="I109" s="459" t="n">
        <v>43549</v>
      </c>
      <c r="J109" s="460" t="n">
        <v>3</v>
      </c>
      <c r="K109" s="548" t="s">
        <v>47</v>
      </c>
      <c r="L109" s="380" t="s">
        <v>58</v>
      </c>
      <c r="M109" s="545" t="n">
        <f aca="false">I109-D109</f>
        <v>1510</v>
      </c>
      <c r="N109" s="153"/>
      <c r="O109" s="153"/>
      <c r="P109" s="153"/>
      <c r="Q109" s="153"/>
      <c r="R109" s="153"/>
    </row>
    <row r="110" customFormat="false" ht="12.75" hidden="false" customHeight="true" outlineLevel="0" collapsed="false">
      <c r="A110" s="449" t="n">
        <v>10919</v>
      </c>
      <c r="B110" s="450" t="s">
        <v>13039</v>
      </c>
      <c r="C110" s="450" t="n">
        <v>2017</v>
      </c>
      <c r="D110" s="451" t="n">
        <v>43034</v>
      </c>
      <c r="E110" s="452" t="s">
        <v>13040</v>
      </c>
      <c r="F110" s="378" t="s">
        <v>211</v>
      </c>
      <c r="G110" s="452" t="s">
        <v>1174</v>
      </c>
      <c r="H110" s="378" t="s">
        <v>12073</v>
      </c>
      <c r="I110" s="451" t="n">
        <v>43552</v>
      </c>
      <c r="J110" s="452" t="n">
        <v>3</v>
      </c>
      <c r="K110" s="552" t="s">
        <v>42</v>
      </c>
      <c r="L110" s="378" t="s">
        <v>58</v>
      </c>
      <c r="M110" s="546" t="n">
        <f aca="false">I110-D110</f>
        <v>518</v>
      </c>
      <c r="N110" s="153"/>
      <c r="O110" s="153"/>
      <c r="P110" s="153"/>
      <c r="Q110" s="153"/>
      <c r="R110" s="153"/>
    </row>
    <row r="111" customFormat="false" ht="12.75" hidden="false" customHeight="true" outlineLevel="0" collapsed="false">
      <c r="A111" s="456" t="n">
        <v>11019</v>
      </c>
      <c r="B111" s="458" t="s">
        <v>13041</v>
      </c>
      <c r="C111" s="458" t="n">
        <v>2016</v>
      </c>
      <c r="D111" s="459" t="n">
        <v>42699</v>
      </c>
      <c r="E111" s="460" t="s">
        <v>13042</v>
      </c>
      <c r="F111" s="380" t="s">
        <v>168</v>
      </c>
      <c r="G111" s="460" t="s">
        <v>1174</v>
      </c>
      <c r="H111" s="380" t="s">
        <v>267</v>
      </c>
      <c r="I111" s="459" t="n">
        <v>43552</v>
      </c>
      <c r="J111" s="460" t="n">
        <v>3</v>
      </c>
      <c r="K111" s="552" t="s">
        <v>42</v>
      </c>
      <c r="L111" s="380" t="s">
        <v>58</v>
      </c>
      <c r="M111" s="545" t="n">
        <f aca="false">I111-D111</f>
        <v>853</v>
      </c>
      <c r="N111" s="153"/>
      <c r="O111" s="153"/>
      <c r="P111" s="153"/>
      <c r="Q111" s="153"/>
      <c r="R111" s="153"/>
    </row>
    <row r="112" customFormat="false" ht="12.75" hidden="false" customHeight="true" outlineLevel="0" collapsed="false">
      <c r="A112" s="449" t="n">
        <v>11119</v>
      </c>
      <c r="B112" s="450" t="s">
        <v>13043</v>
      </c>
      <c r="C112" s="450" t="n">
        <v>2017</v>
      </c>
      <c r="D112" s="451" t="n">
        <v>42835</v>
      </c>
      <c r="E112" s="452" t="s">
        <v>13044</v>
      </c>
      <c r="F112" s="378" t="s">
        <v>168</v>
      </c>
      <c r="G112" s="452" t="s">
        <v>1174</v>
      </c>
      <c r="H112" s="378" t="s">
        <v>6871</v>
      </c>
      <c r="I112" s="451" t="n">
        <v>43552</v>
      </c>
      <c r="J112" s="452" t="n">
        <v>3</v>
      </c>
      <c r="K112" s="552" t="s">
        <v>42</v>
      </c>
      <c r="L112" s="378" t="s">
        <v>58</v>
      </c>
      <c r="M112" s="546" t="n">
        <f aca="false">I112-D112</f>
        <v>717</v>
      </c>
      <c r="N112" s="153"/>
      <c r="O112" s="153"/>
      <c r="P112" s="153"/>
      <c r="Q112" s="153"/>
      <c r="R112" s="153"/>
    </row>
    <row r="113" customFormat="false" ht="12.75" hidden="false" customHeight="true" outlineLevel="0" collapsed="false">
      <c r="A113" s="456" t="n">
        <v>11219</v>
      </c>
      <c r="B113" s="458" t="s">
        <v>13045</v>
      </c>
      <c r="C113" s="458" t="n">
        <v>2013</v>
      </c>
      <c r="D113" s="459" t="n">
        <v>41570</v>
      </c>
      <c r="E113" s="460" t="s">
        <v>13046</v>
      </c>
      <c r="F113" s="380" t="s">
        <v>793</v>
      </c>
      <c r="G113" s="460" t="s">
        <v>1174</v>
      </c>
      <c r="H113" s="380" t="s">
        <v>471</v>
      </c>
      <c r="I113" s="459" t="n">
        <v>43552</v>
      </c>
      <c r="J113" s="460" t="n">
        <v>3</v>
      </c>
      <c r="K113" s="548" t="s">
        <v>47</v>
      </c>
      <c r="L113" s="380" t="s">
        <v>58</v>
      </c>
      <c r="M113" s="545" t="n">
        <f aca="false">I113-D113</f>
        <v>1982</v>
      </c>
    </row>
    <row r="114" customFormat="false" ht="12.75" hidden="false" customHeight="true" outlineLevel="0" collapsed="false">
      <c r="A114" s="449" t="n">
        <v>11319</v>
      </c>
      <c r="B114" s="450" t="s">
        <v>13047</v>
      </c>
      <c r="C114" s="450" t="n">
        <v>2018</v>
      </c>
      <c r="D114" s="451" t="n">
        <v>43437</v>
      </c>
      <c r="E114" s="452" t="s">
        <v>13048</v>
      </c>
      <c r="F114" s="378" t="s">
        <v>12900</v>
      </c>
      <c r="G114" s="452" t="s">
        <v>1174</v>
      </c>
      <c r="H114" s="378" t="s">
        <v>267</v>
      </c>
      <c r="I114" s="451" t="n">
        <v>43552</v>
      </c>
      <c r="J114" s="452" t="n">
        <v>3</v>
      </c>
      <c r="K114" s="548" t="s">
        <v>47</v>
      </c>
      <c r="L114" s="378" t="s">
        <v>60</v>
      </c>
      <c r="M114" s="546" t="n">
        <f aca="false">I114-D114</f>
        <v>115</v>
      </c>
    </row>
    <row r="115" customFormat="false" ht="12.75" hidden="false" customHeight="true" outlineLevel="0" collapsed="false">
      <c r="A115" s="456" t="n">
        <v>11419</v>
      </c>
      <c r="B115" s="458" t="s">
        <v>13049</v>
      </c>
      <c r="C115" s="458" t="n">
        <v>2015</v>
      </c>
      <c r="D115" s="459" t="n">
        <v>42283</v>
      </c>
      <c r="E115" s="460" t="s">
        <v>13050</v>
      </c>
      <c r="F115" s="380" t="s">
        <v>12900</v>
      </c>
      <c r="G115" s="460" t="s">
        <v>1174</v>
      </c>
      <c r="H115" s="380" t="s">
        <v>350</v>
      </c>
      <c r="I115" s="459" t="n">
        <v>43552</v>
      </c>
      <c r="J115" s="460" t="n">
        <v>3</v>
      </c>
      <c r="K115" s="548" t="s">
        <v>47</v>
      </c>
      <c r="L115" s="380" t="s">
        <v>60</v>
      </c>
      <c r="M115" s="545" t="n">
        <f aca="false">I115-D115</f>
        <v>1269</v>
      </c>
    </row>
    <row r="116" customFormat="false" ht="12.75" hidden="false" customHeight="true" outlineLevel="0" collapsed="false">
      <c r="A116" s="449" t="n">
        <v>11519</v>
      </c>
      <c r="B116" s="450" t="s">
        <v>13051</v>
      </c>
      <c r="C116" s="450" t="n">
        <v>2015</v>
      </c>
      <c r="D116" s="451" t="n">
        <v>42031</v>
      </c>
      <c r="E116" s="452" t="s">
        <v>13052</v>
      </c>
      <c r="F116" s="378" t="s">
        <v>12900</v>
      </c>
      <c r="G116" s="452" t="s">
        <v>1174</v>
      </c>
      <c r="H116" s="378" t="s">
        <v>192</v>
      </c>
      <c r="I116" s="451" t="n">
        <v>43552</v>
      </c>
      <c r="J116" s="452" t="n">
        <v>3</v>
      </c>
      <c r="K116" s="548" t="s">
        <v>47</v>
      </c>
      <c r="L116" s="378" t="s">
        <v>60</v>
      </c>
      <c r="M116" s="546" t="n">
        <f aca="false">I116-D116</f>
        <v>1521</v>
      </c>
    </row>
    <row r="117" customFormat="false" ht="12.75" hidden="true" customHeight="true" outlineLevel="0" collapsed="false">
      <c r="A117" s="456" t="n">
        <v>11619</v>
      </c>
      <c r="B117" s="458" t="s">
        <v>13053</v>
      </c>
      <c r="C117" s="458" t="n">
        <v>2015</v>
      </c>
      <c r="D117" s="459" t="n">
        <v>42247</v>
      </c>
      <c r="E117" s="460" t="s">
        <v>13054</v>
      </c>
      <c r="F117" s="380" t="s">
        <v>446</v>
      </c>
      <c r="G117" s="460" t="s">
        <v>441</v>
      </c>
      <c r="H117" s="380" t="s">
        <v>192</v>
      </c>
      <c r="I117" s="459" t="n">
        <v>43552</v>
      </c>
      <c r="J117" s="460" t="n">
        <v>3</v>
      </c>
      <c r="K117" s="552" t="s">
        <v>42</v>
      </c>
      <c r="L117" s="380" t="s">
        <v>60</v>
      </c>
      <c r="M117" s="545" t="n">
        <f aca="false">I117-D117</f>
        <v>1305</v>
      </c>
    </row>
    <row r="118" customFormat="false" ht="12.75" hidden="true" customHeight="true" outlineLevel="0" collapsed="false">
      <c r="A118" s="449" t="n">
        <v>11719</v>
      </c>
      <c r="B118" s="450" t="s">
        <v>13055</v>
      </c>
      <c r="C118" s="450" t="n">
        <v>2013</v>
      </c>
      <c r="D118" s="451" t="n">
        <v>41519</v>
      </c>
      <c r="E118" s="452" t="s">
        <v>13056</v>
      </c>
      <c r="F118" s="378" t="s">
        <v>1200</v>
      </c>
      <c r="G118" s="452" t="s">
        <v>441</v>
      </c>
      <c r="H118" s="378" t="s">
        <v>9385</v>
      </c>
      <c r="I118" s="451" t="n">
        <v>43552</v>
      </c>
      <c r="J118" s="452" t="n">
        <v>3</v>
      </c>
      <c r="K118" s="548" t="s">
        <v>47</v>
      </c>
      <c r="L118" s="378" t="s">
        <v>58</v>
      </c>
      <c r="M118" s="546" t="n">
        <f aca="false">I118-D118</f>
        <v>2033</v>
      </c>
    </row>
    <row r="119" customFormat="false" ht="12.75" hidden="true" customHeight="true" outlineLevel="0" collapsed="false">
      <c r="A119" s="456" t="n">
        <v>11819</v>
      </c>
      <c r="B119" s="458" t="s">
        <v>13057</v>
      </c>
      <c r="C119" s="458" t="n">
        <v>2012</v>
      </c>
      <c r="D119" s="459" t="n">
        <v>41156</v>
      </c>
      <c r="E119" s="460" t="s">
        <v>13058</v>
      </c>
      <c r="F119" s="380" t="s">
        <v>446</v>
      </c>
      <c r="G119" s="460" t="s">
        <v>441</v>
      </c>
      <c r="H119" s="380" t="s">
        <v>2506</v>
      </c>
      <c r="I119" s="459" t="n">
        <v>43552</v>
      </c>
      <c r="J119" s="460" t="n">
        <v>3</v>
      </c>
      <c r="K119" s="548" t="s">
        <v>47</v>
      </c>
      <c r="L119" s="380" t="s">
        <v>60</v>
      </c>
      <c r="M119" s="545" t="n">
        <f aca="false">I119-D119</f>
        <v>2396</v>
      </c>
    </row>
    <row r="120" customFormat="false" ht="12.75" hidden="true" customHeight="true" outlineLevel="0" collapsed="false">
      <c r="A120" s="449" t="n">
        <v>11919</v>
      </c>
      <c r="B120" s="450" t="s">
        <v>13059</v>
      </c>
      <c r="C120" s="450" t="n">
        <v>2013</v>
      </c>
      <c r="D120" s="451" t="n">
        <v>41521</v>
      </c>
      <c r="E120" s="452" t="s">
        <v>13060</v>
      </c>
      <c r="F120" s="378" t="s">
        <v>1097</v>
      </c>
      <c r="G120" s="452" t="s">
        <v>441</v>
      </c>
      <c r="H120" s="378" t="s">
        <v>471</v>
      </c>
      <c r="I120" s="451" t="n">
        <v>43552</v>
      </c>
      <c r="J120" s="452" t="n">
        <v>3</v>
      </c>
      <c r="K120" s="552" t="s">
        <v>42</v>
      </c>
      <c r="L120" s="378" t="s">
        <v>60</v>
      </c>
      <c r="M120" s="546" t="n">
        <f aca="false">I120-D120</f>
        <v>2031</v>
      </c>
    </row>
    <row r="121" customFormat="false" ht="12.75" hidden="true" customHeight="true" outlineLevel="0" collapsed="false">
      <c r="A121" s="456" t="n">
        <v>12019</v>
      </c>
      <c r="B121" s="458" t="s">
        <v>13061</v>
      </c>
      <c r="C121" s="458" t="n">
        <v>2011</v>
      </c>
      <c r="D121" s="459" t="n">
        <v>40702</v>
      </c>
      <c r="E121" s="460" t="s">
        <v>13062</v>
      </c>
      <c r="F121" s="380" t="s">
        <v>13063</v>
      </c>
      <c r="G121" s="460" t="s">
        <v>144</v>
      </c>
      <c r="H121" s="380" t="s">
        <v>9638</v>
      </c>
      <c r="I121" s="459" t="n">
        <v>43552</v>
      </c>
      <c r="J121" s="460" t="n">
        <v>3</v>
      </c>
      <c r="K121" s="552" t="s">
        <v>42</v>
      </c>
      <c r="L121" s="380" t="s">
        <v>58</v>
      </c>
      <c r="M121" s="545" t="n">
        <f aca="false">I121-D121</f>
        <v>2850</v>
      </c>
    </row>
    <row r="122" customFormat="false" ht="12.75" hidden="false" customHeight="true" outlineLevel="0" collapsed="false">
      <c r="A122" s="449" t="n">
        <v>12119</v>
      </c>
      <c r="B122" s="450" t="s">
        <v>13064</v>
      </c>
      <c r="C122" s="450" t="n">
        <v>2014</v>
      </c>
      <c r="D122" s="451" t="n">
        <v>41943</v>
      </c>
      <c r="E122" s="452" t="s">
        <v>13065</v>
      </c>
      <c r="F122" s="378" t="s">
        <v>365</v>
      </c>
      <c r="G122" s="452" t="s">
        <v>1174</v>
      </c>
      <c r="H122" s="378" t="s">
        <v>1059</v>
      </c>
      <c r="I122" s="451" t="n">
        <v>43553</v>
      </c>
      <c r="J122" s="452" t="n">
        <v>3</v>
      </c>
      <c r="K122" s="556" t="s">
        <v>45</v>
      </c>
      <c r="L122" s="378" t="s">
        <v>60</v>
      </c>
      <c r="M122" s="546" t="n">
        <f aca="false">I122-D122</f>
        <v>1610</v>
      </c>
    </row>
    <row r="123" customFormat="false" ht="12.75" hidden="true" customHeight="true" outlineLevel="0" collapsed="false">
      <c r="A123" s="456" t="n">
        <v>12219</v>
      </c>
      <c r="B123" s="458" t="s">
        <v>13066</v>
      </c>
      <c r="C123" s="458" t="n">
        <v>2014</v>
      </c>
      <c r="D123" s="459" t="n">
        <v>41925</v>
      </c>
      <c r="E123" s="460" t="s">
        <v>13067</v>
      </c>
      <c r="F123" s="380" t="s">
        <v>207</v>
      </c>
      <c r="G123" s="460" t="s">
        <v>441</v>
      </c>
      <c r="H123" s="380" t="s">
        <v>192</v>
      </c>
      <c r="I123" s="459" t="n">
        <v>43553</v>
      </c>
      <c r="J123" s="460" t="n">
        <v>3</v>
      </c>
      <c r="K123" s="552" t="s">
        <v>42</v>
      </c>
      <c r="L123" s="380" t="s">
        <v>58</v>
      </c>
      <c r="M123" s="545" t="n">
        <f aca="false">I123-D123</f>
        <v>1628</v>
      </c>
    </row>
    <row r="124" customFormat="false" ht="12.75" hidden="true" customHeight="true" outlineLevel="0" collapsed="false">
      <c r="A124" s="449" t="n">
        <v>12319</v>
      </c>
      <c r="B124" s="450" t="s">
        <v>13068</v>
      </c>
      <c r="C124" s="450" t="n">
        <v>2012</v>
      </c>
      <c r="D124" s="451" t="n">
        <v>41198</v>
      </c>
      <c r="E124" s="452" t="s">
        <v>13069</v>
      </c>
      <c r="F124" s="378" t="s">
        <v>446</v>
      </c>
      <c r="G124" s="452" t="s">
        <v>441</v>
      </c>
      <c r="H124" s="378" t="s">
        <v>184</v>
      </c>
      <c r="I124" s="451" t="n">
        <v>43553</v>
      </c>
      <c r="J124" s="452" t="n">
        <v>3</v>
      </c>
      <c r="K124" s="552" t="s">
        <v>42</v>
      </c>
      <c r="L124" s="378" t="s">
        <v>58</v>
      </c>
      <c r="M124" s="546" t="n">
        <f aca="false">I124-D124</f>
        <v>2355</v>
      </c>
    </row>
    <row r="125" customFormat="false" ht="12.75" hidden="true" customHeight="true" outlineLevel="0" collapsed="false">
      <c r="A125" s="456" t="n">
        <v>12419</v>
      </c>
      <c r="B125" s="458" t="s">
        <v>13070</v>
      </c>
      <c r="C125" s="458" t="n">
        <v>2016</v>
      </c>
      <c r="D125" s="459" t="n">
        <v>42698</v>
      </c>
      <c r="E125" s="460" t="s">
        <v>13071</v>
      </c>
      <c r="F125" s="380" t="s">
        <v>1916</v>
      </c>
      <c r="G125" s="460" t="s">
        <v>441</v>
      </c>
      <c r="H125" s="380" t="s">
        <v>192</v>
      </c>
      <c r="I125" s="459" t="n">
        <v>43553</v>
      </c>
      <c r="J125" s="460" t="n">
        <v>3</v>
      </c>
      <c r="K125" s="552" t="s">
        <v>42</v>
      </c>
      <c r="L125" s="380" t="s">
        <v>58</v>
      </c>
      <c r="M125" s="545" t="n">
        <f aca="false">I125-D125</f>
        <v>855</v>
      </c>
    </row>
    <row r="126" customFormat="false" ht="12.75" hidden="true" customHeight="true" outlineLevel="0" collapsed="false">
      <c r="A126" s="449" t="n">
        <v>12519</v>
      </c>
      <c r="B126" s="450" t="s">
        <v>13072</v>
      </c>
      <c r="C126" s="450" t="n">
        <v>2013</v>
      </c>
      <c r="D126" s="451" t="n">
        <v>41383</v>
      </c>
      <c r="E126" s="452" t="s">
        <v>13073</v>
      </c>
      <c r="F126" s="378" t="s">
        <v>13074</v>
      </c>
      <c r="G126" s="452" t="s">
        <v>144</v>
      </c>
      <c r="H126" s="378" t="s">
        <v>3493</v>
      </c>
      <c r="I126" s="451" t="n">
        <v>43556</v>
      </c>
      <c r="J126" s="452" t="n">
        <v>4</v>
      </c>
      <c r="K126" s="548" t="s">
        <v>47</v>
      </c>
      <c r="L126" s="378" t="s">
        <v>58</v>
      </c>
      <c r="M126" s="546" t="n">
        <f aca="false">I126-D126</f>
        <v>2173</v>
      </c>
    </row>
    <row r="127" customFormat="false" ht="12.75" hidden="true" customHeight="true" outlineLevel="0" collapsed="false">
      <c r="A127" s="456" t="n">
        <v>12619</v>
      </c>
      <c r="B127" s="458" t="s">
        <v>13075</v>
      </c>
      <c r="C127" s="458" t="n">
        <v>2009</v>
      </c>
      <c r="D127" s="459" t="n">
        <v>39923</v>
      </c>
      <c r="E127" s="460" t="s">
        <v>13076</v>
      </c>
      <c r="F127" s="380" t="s">
        <v>1357</v>
      </c>
      <c r="G127" s="460" t="s">
        <v>441</v>
      </c>
      <c r="H127" s="380" t="s">
        <v>243</v>
      </c>
      <c r="I127" s="459" t="n">
        <v>43559</v>
      </c>
      <c r="J127" s="460" t="n">
        <v>4</v>
      </c>
      <c r="K127" s="552" t="s">
        <v>42</v>
      </c>
      <c r="L127" s="380" t="s">
        <v>60</v>
      </c>
      <c r="M127" s="545" t="n">
        <f aca="false">I127-D127</f>
        <v>3636</v>
      </c>
    </row>
    <row r="128" customFormat="false" ht="12.75" hidden="true" customHeight="true" outlineLevel="0" collapsed="false">
      <c r="A128" s="449" t="n">
        <v>12719</v>
      </c>
      <c r="B128" s="450" t="s">
        <v>13077</v>
      </c>
      <c r="C128" s="450" t="n">
        <v>2013</v>
      </c>
      <c r="D128" s="451" t="n">
        <v>41634</v>
      </c>
      <c r="E128" s="452" t="s">
        <v>13078</v>
      </c>
      <c r="F128" s="378" t="s">
        <v>12985</v>
      </c>
      <c r="G128" s="452" t="s">
        <v>441</v>
      </c>
      <c r="H128" s="378" t="s">
        <v>3493</v>
      </c>
      <c r="I128" s="451" t="n">
        <v>43559</v>
      </c>
      <c r="J128" s="452" t="n">
        <v>4</v>
      </c>
      <c r="K128" s="548" t="s">
        <v>47</v>
      </c>
      <c r="L128" s="378" t="s">
        <v>58</v>
      </c>
      <c r="M128" s="546" t="n">
        <f aca="false">I128-D128</f>
        <v>1925</v>
      </c>
    </row>
    <row r="129" customFormat="false" ht="12.75" hidden="true" customHeight="true" outlineLevel="0" collapsed="false">
      <c r="A129" s="456" t="n">
        <v>12819</v>
      </c>
      <c r="B129" s="458" t="s">
        <v>13079</v>
      </c>
      <c r="C129" s="458" t="n">
        <v>2017</v>
      </c>
      <c r="D129" s="459" t="n">
        <v>43066</v>
      </c>
      <c r="E129" s="460" t="s">
        <v>13080</v>
      </c>
      <c r="F129" s="380" t="s">
        <v>2560</v>
      </c>
      <c r="G129" s="460" t="s">
        <v>441</v>
      </c>
      <c r="H129" s="380" t="s">
        <v>1567</v>
      </c>
      <c r="I129" s="459" t="n">
        <v>43559</v>
      </c>
      <c r="J129" s="460" t="n">
        <v>4</v>
      </c>
      <c r="K129" s="587" t="s">
        <v>50</v>
      </c>
      <c r="L129" s="380" t="s">
        <v>58</v>
      </c>
      <c r="M129" s="545" t="n">
        <f aca="false">I129-D129</f>
        <v>493</v>
      </c>
    </row>
    <row r="130" customFormat="false" ht="12.75" hidden="true" customHeight="true" outlineLevel="0" collapsed="false">
      <c r="A130" s="449" t="n">
        <v>12919</v>
      </c>
      <c r="B130" s="450" t="s">
        <v>13081</v>
      </c>
      <c r="C130" s="450" t="n">
        <v>2018</v>
      </c>
      <c r="D130" s="451" t="n">
        <v>43333</v>
      </c>
      <c r="E130" s="452" t="s">
        <v>13082</v>
      </c>
      <c r="F130" s="378" t="s">
        <v>9785</v>
      </c>
      <c r="G130" s="452" t="s">
        <v>125</v>
      </c>
      <c r="H130" s="378" t="s">
        <v>980</v>
      </c>
      <c r="I130" s="451" t="n">
        <v>43563</v>
      </c>
      <c r="J130" s="452" t="n">
        <v>4</v>
      </c>
      <c r="K130" s="548" t="s">
        <v>47</v>
      </c>
      <c r="L130" s="378" t="s">
        <v>61</v>
      </c>
      <c r="M130" s="546" t="n">
        <f aca="false">I130-D130</f>
        <v>230</v>
      </c>
    </row>
    <row r="131" customFormat="false" ht="12.75" hidden="true" customHeight="true" outlineLevel="0" collapsed="false">
      <c r="A131" s="456" t="n">
        <v>13019</v>
      </c>
      <c r="B131" s="458" t="s">
        <v>13083</v>
      </c>
      <c r="C131" s="458" t="n">
        <v>2010</v>
      </c>
      <c r="D131" s="459" t="n">
        <v>40185</v>
      </c>
      <c r="E131" s="460" t="s">
        <v>13084</v>
      </c>
      <c r="F131" s="380" t="s">
        <v>13085</v>
      </c>
      <c r="G131" s="460" t="s">
        <v>144</v>
      </c>
      <c r="H131" s="380" t="s">
        <v>3493</v>
      </c>
      <c r="I131" s="459" t="n">
        <v>43563</v>
      </c>
      <c r="J131" s="460" t="n">
        <v>4</v>
      </c>
      <c r="K131" s="548" t="s">
        <v>47</v>
      </c>
      <c r="L131" s="380" t="s">
        <v>57</v>
      </c>
      <c r="M131" s="545" t="n">
        <f aca="false">I131-D131</f>
        <v>3378</v>
      </c>
    </row>
    <row r="132" customFormat="false" ht="12.75" hidden="false" customHeight="true" outlineLevel="0" collapsed="false">
      <c r="A132" s="449" t="n">
        <v>13119</v>
      </c>
      <c r="B132" s="450" t="s">
        <v>13086</v>
      </c>
      <c r="C132" s="450" t="n">
        <v>2014</v>
      </c>
      <c r="D132" s="451" t="n">
        <v>41912</v>
      </c>
      <c r="E132" s="452" t="s">
        <v>13087</v>
      </c>
      <c r="F132" s="378" t="s">
        <v>793</v>
      </c>
      <c r="G132" s="452" t="s">
        <v>1174</v>
      </c>
      <c r="H132" s="378" t="s">
        <v>267</v>
      </c>
      <c r="I132" s="451" t="n">
        <v>43565</v>
      </c>
      <c r="J132" s="452" t="n">
        <v>4</v>
      </c>
      <c r="K132" s="548" t="s">
        <v>47</v>
      </c>
      <c r="L132" s="378" t="s">
        <v>58</v>
      </c>
      <c r="M132" s="546" t="n">
        <f aca="false">I132-D132</f>
        <v>1653</v>
      </c>
    </row>
    <row r="133" customFormat="false" ht="12.75" hidden="false" customHeight="true" outlineLevel="0" collapsed="false">
      <c r="A133" s="456" t="n">
        <v>13219</v>
      </c>
      <c r="B133" s="458" t="s">
        <v>13088</v>
      </c>
      <c r="C133" s="458" t="n">
        <v>2018</v>
      </c>
      <c r="D133" s="459" t="n">
        <v>43333</v>
      </c>
      <c r="E133" s="460" t="s">
        <v>13089</v>
      </c>
      <c r="F133" s="380" t="s">
        <v>12900</v>
      </c>
      <c r="G133" s="460" t="s">
        <v>1174</v>
      </c>
      <c r="H133" s="380" t="s">
        <v>267</v>
      </c>
      <c r="I133" s="459" t="n">
        <v>43565</v>
      </c>
      <c r="J133" s="460" t="n">
        <v>4</v>
      </c>
      <c r="K133" s="548" t="s">
        <v>47</v>
      </c>
      <c r="L133" s="380" t="s">
        <v>60</v>
      </c>
      <c r="M133" s="545" t="n">
        <f aca="false">I133-D133</f>
        <v>232</v>
      </c>
    </row>
    <row r="134" customFormat="false" ht="12.75" hidden="false" customHeight="true" outlineLevel="0" collapsed="false">
      <c r="A134" s="449" t="n">
        <v>13319</v>
      </c>
      <c r="B134" s="450" t="s">
        <v>13090</v>
      </c>
      <c r="C134" s="450" t="n">
        <v>2015</v>
      </c>
      <c r="D134" s="451" t="n">
        <v>42090</v>
      </c>
      <c r="E134" s="452" t="s">
        <v>13091</v>
      </c>
      <c r="F134" s="378" t="s">
        <v>2003</v>
      </c>
      <c r="G134" s="452" t="s">
        <v>1174</v>
      </c>
      <c r="H134" s="378" t="s">
        <v>267</v>
      </c>
      <c r="I134" s="451" t="n">
        <v>43565</v>
      </c>
      <c r="J134" s="452" t="n">
        <v>4</v>
      </c>
      <c r="K134" s="552" t="s">
        <v>42</v>
      </c>
      <c r="L134" s="378" t="s">
        <v>58</v>
      </c>
      <c r="M134" s="546" t="n">
        <f aca="false">I134-D134</f>
        <v>1475</v>
      </c>
    </row>
    <row r="135" customFormat="false" ht="12.75" hidden="true" customHeight="true" outlineLevel="0" collapsed="false">
      <c r="A135" s="456" t="n">
        <v>13419</v>
      </c>
      <c r="B135" s="458" t="s">
        <v>13092</v>
      </c>
      <c r="C135" s="458" t="n">
        <v>2015</v>
      </c>
      <c r="D135" s="459" t="n">
        <v>42334</v>
      </c>
      <c r="E135" s="460" t="s">
        <v>13093</v>
      </c>
      <c r="F135" s="380" t="s">
        <v>138</v>
      </c>
      <c r="G135" s="460" t="s">
        <v>441</v>
      </c>
      <c r="H135" s="380" t="s">
        <v>2677</v>
      </c>
      <c r="I135" s="459" t="n">
        <v>43573</v>
      </c>
      <c r="J135" s="460" t="n">
        <v>4</v>
      </c>
      <c r="K135" s="552" t="s">
        <v>42</v>
      </c>
      <c r="L135" s="380" t="s">
        <v>60</v>
      </c>
      <c r="M135" s="545" t="n">
        <f aca="false">I135-D135</f>
        <v>1239</v>
      </c>
    </row>
    <row r="136" customFormat="false" ht="12.75" hidden="true" customHeight="true" outlineLevel="0" collapsed="false">
      <c r="A136" s="449" t="n">
        <v>13519</v>
      </c>
      <c r="B136" s="450" t="s">
        <v>13094</v>
      </c>
      <c r="C136" s="450" t="n">
        <v>2013</v>
      </c>
      <c r="D136" s="451" t="n">
        <v>41572</v>
      </c>
      <c r="E136" s="452" t="s">
        <v>13095</v>
      </c>
      <c r="F136" s="378" t="s">
        <v>3844</v>
      </c>
      <c r="G136" s="452" t="s">
        <v>441</v>
      </c>
      <c r="H136" s="378" t="s">
        <v>1109</v>
      </c>
      <c r="I136" s="451" t="n">
        <v>43573</v>
      </c>
      <c r="J136" s="452" t="n">
        <v>4</v>
      </c>
      <c r="K136" s="548" t="s">
        <v>47</v>
      </c>
      <c r="L136" s="378" t="s">
        <v>58</v>
      </c>
      <c r="M136" s="546" t="n">
        <f aca="false">I136-D136</f>
        <v>2001</v>
      </c>
    </row>
    <row r="137" customFormat="false" ht="12.75" hidden="true" customHeight="true" outlineLevel="0" collapsed="false">
      <c r="A137" s="456" t="n">
        <v>13619</v>
      </c>
      <c r="B137" s="458" t="s">
        <v>13096</v>
      </c>
      <c r="C137" s="458" t="n">
        <v>2012</v>
      </c>
      <c r="D137" s="459" t="n">
        <v>41163</v>
      </c>
      <c r="E137" s="460" t="s">
        <v>13097</v>
      </c>
      <c r="F137" s="380" t="s">
        <v>446</v>
      </c>
      <c r="G137" s="460" t="s">
        <v>441</v>
      </c>
      <c r="H137" s="380" t="s">
        <v>2506</v>
      </c>
      <c r="I137" s="459" t="n">
        <v>43573</v>
      </c>
      <c r="J137" s="460" t="n">
        <v>4</v>
      </c>
      <c r="K137" s="548" t="s">
        <v>47</v>
      </c>
      <c r="L137" s="380" t="s">
        <v>60</v>
      </c>
      <c r="M137" s="545" t="n">
        <f aca="false">I137-D137</f>
        <v>2410</v>
      </c>
    </row>
    <row r="138" customFormat="false" ht="12.75" hidden="true" customHeight="true" outlineLevel="0" collapsed="false">
      <c r="A138" s="449" t="n">
        <v>13719</v>
      </c>
      <c r="B138" s="450" t="s">
        <v>13098</v>
      </c>
      <c r="C138" s="450" t="n">
        <v>2013</v>
      </c>
      <c r="D138" s="451" t="n">
        <v>41418</v>
      </c>
      <c r="E138" s="452" t="s">
        <v>13099</v>
      </c>
      <c r="F138" s="378" t="s">
        <v>699</v>
      </c>
      <c r="G138" s="452" t="s">
        <v>441</v>
      </c>
      <c r="H138" s="378" t="s">
        <v>9017</v>
      </c>
      <c r="I138" s="451" t="n">
        <v>43573</v>
      </c>
      <c r="J138" s="452" t="n">
        <v>4</v>
      </c>
      <c r="K138" s="552" t="s">
        <v>42</v>
      </c>
      <c r="L138" s="378" t="s">
        <v>60</v>
      </c>
      <c r="M138" s="546" t="n">
        <f aca="false">I138-D138</f>
        <v>2155</v>
      </c>
    </row>
    <row r="139" customFormat="false" ht="12.75" hidden="true" customHeight="true" outlineLevel="0" collapsed="false">
      <c r="A139" s="456" t="n">
        <v>13819</v>
      </c>
      <c r="B139" s="458" t="s">
        <v>13100</v>
      </c>
      <c r="C139" s="458" t="n">
        <v>2014</v>
      </c>
      <c r="D139" s="459" t="n">
        <v>41815</v>
      </c>
      <c r="E139" s="460" t="s">
        <v>459</v>
      </c>
      <c r="F139" s="380" t="s">
        <v>723</v>
      </c>
      <c r="G139" s="460" t="s">
        <v>441</v>
      </c>
      <c r="H139" s="380" t="s">
        <v>9385</v>
      </c>
      <c r="I139" s="459" t="n">
        <v>43573</v>
      </c>
      <c r="J139" s="460" t="n">
        <v>4</v>
      </c>
      <c r="K139" s="552" t="s">
        <v>42</v>
      </c>
      <c r="L139" s="380" t="s">
        <v>58</v>
      </c>
      <c r="M139" s="545" t="n">
        <f aca="false">I139-D139</f>
        <v>1758</v>
      </c>
    </row>
    <row r="140" customFormat="false" ht="12.75" hidden="false" customHeight="true" outlineLevel="0" collapsed="false">
      <c r="A140" s="449" t="n">
        <v>13919</v>
      </c>
      <c r="B140" s="450" t="s">
        <v>13101</v>
      </c>
      <c r="C140" s="450" t="n">
        <v>2011</v>
      </c>
      <c r="D140" s="451" t="n">
        <v>40766</v>
      </c>
      <c r="E140" s="452" t="s">
        <v>13102</v>
      </c>
      <c r="F140" s="378" t="s">
        <v>365</v>
      </c>
      <c r="G140" s="452" t="s">
        <v>1174</v>
      </c>
      <c r="H140" s="378" t="s">
        <v>706</v>
      </c>
      <c r="I140" s="451" t="n">
        <v>43591</v>
      </c>
      <c r="J140" s="452" t="n">
        <v>5</v>
      </c>
      <c r="K140" s="556" t="s">
        <v>45</v>
      </c>
      <c r="L140" s="378" t="s">
        <v>60</v>
      </c>
      <c r="M140" s="546" t="n">
        <f aca="false">I140-D140</f>
        <v>2825</v>
      </c>
    </row>
    <row r="141" customFormat="false" ht="12.75" hidden="false" customHeight="true" outlineLevel="0" collapsed="false">
      <c r="A141" s="456" t="n">
        <v>14019</v>
      </c>
      <c r="B141" s="458" t="s">
        <v>13103</v>
      </c>
      <c r="C141" s="458" t="n">
        <v>2017</v>
      </c>
      <c r="D141" s="459" t="n">
        <v>43080</v>
      </c>
      <c r="E141" s="460" t="s">
        <v>13104</v>
      </c>
      <c r="F141" s="380" t="s">
        <v>12900</v>
      </c>
      <c r="G141" s="460" t="s">
        <v>1174</v>
      </c>
      <c r="H141" s="380" t="s">
        <v>350</v>
      </c>
      <c r="I141" s="459" t="n">
        <v>43594</v>
      </c>
      <c r="J141" s="460" t="n">
        <v>5</v>
      </c>
      <c r="K141" s="548" t="s">
        <v>47</v>
      </c>
      <c r="L141" s="380" t="s">
        <v>60</v>
      </c>
      <c r="M141" s="545" t="n">
        <f aca="false">I141-D141</f>
        <v>514</v>
      </c>
    </row>
    <row r="142" customFormat="false" ht="12.75" hidden="false" customHeight="true" outlineLevel="0" collapsed="false">
      <c r="A142" s="449" t="n">
        <v>14119</v>
      </c>
      <c r="B142" s="450" t="s">
        <v>13105</v>
      </c>
      <c r="C142" s="450" t="n">
        <v>2016</v>
      </c>
      <c r="D142" s="451" t="n">
        <v>42489</v>
      </c>
      <c r="E142" s="452" t="s">
        <v>13106</v>
      </c>
      <c r="F142" s="378" t="s">
        <v>12900</v>
      </c>
      <c r="G142" s="452" t="s">
        <v>1174</v>
      </c>
      <c r="H142" s="378" t="s">
        <v>9385</v>
      </c>
      <c r="I142" s="451" t="n">
        <v>43591</v>
      </c>
      <c r="J142" s="452" t="n">
        <v>5</v>
      </c>
      <c r="K142" s="548" t="s">
        <v>47</v>
      </c>
      <c r="L142" s="378" t="s">
        <v>60</v>
      </c>
      <c r="M142" s="546" t="n">
        <f aca="false">I142-D142</f>
        <v>1102</v>
      </c>
    </row>
    <row r="143" customFormat="false" ht="12.75" hidden="false" customHeight="true" outlineLevel="0" collapsed="false">
      <c r="A143" s="456" t="n">
        <v>14219</v>
      </c>
      <c r="B143" s="458" t="s">
        <v>13107</v>
      </c>
      <c r="C143" s="458" t="n">
        <v>2017</v>
      </c>
      <c r="D143" s="459" t="n">
        <v>43097</v>
      </c>
      <c r="E143" s="460" t="s">
        <v>13108</v>
      </c>
      <c r="F143" s="380" t="s">
        <v>4956</v>
      </c>
      <c r="G143" s="460" t="s">
        <v>1174</v>
      </c>
      <c r="H143" s="380" t="s">
        <v>350</v>
      </c>
      <c r="I143" s="459" t="n">
        <v>43591</v>
      </c>
      <c r="J143" s="460" t="n">
        <v>5</v>
      </c>
      <c r="K143" s="548" t="s">
        <v>47</v>
      </c>
      <c r="L143" s="380" t="s">
        <v>58</v>
      </c>
      <c r="M143" s="545" t="n">
        <f aca="false">I143-D143</f>
        <v>494</v>
      </c>
    </row>
    <row r="144" customFormat="false" ht="12.75" hidden="false" customHeight="true" outlineLevel="0" collapsed="false">
      <c r="A144" s="449" t="n">
        <v>14319</v>
      </c>
      <c r="B144" s="450" t="s">
        <v>13109</v>
      </c>
      <c r="C144" s="450" t="n">
        <v>2012</v>
      </c>
      <c r="D144" s="451" t="n">
        <v>41065</v>
      </c>
      <c r="E144" s="452" t="s">
        <v>13110</v>
      </c>
      <c r="F144" s="378" t="s">
        <v>699</v>
      </c>
      <c r="G144" s="452" t="s">
        <v>1174</v>
      </c>
      <c r="H144" s="378" t="s">
        <v>192</v>
      </c>
      <c r="I144" s="451" t="n">
        <v>43591</v>
      </c>
      <c r="J144" s="452" t="n">
        <v>5</v>
      </c>
      <c r="K144" s="552" t="s">
        <v>42</v>
      </c>
      <c r="L144" s="378" t="s">
        <v>60</v>
      </c>
      <c r="M144" s="546" t="n">
        <f aca="false">I144-D144</f>
        <v>2526</v>
      </c>
    </row>
    <row r="145" customFormat="false" ht="12.75" hidden="false" customHeight="true" outlineLevel="0" collapsed="false">
      <c r="A145" s="456" t="n">
        <v>14419</v>
      </c>
      <c r="B145" s="458" t="s">
        <v>13111</v>
      </c>
      <c r="C145" s="458" t="n">
        <v>2017</v>
      </c>
      <c r="D145" s="459" t="n">
        <v>42772</v>
      </c>
      <c r="E145" s="460" t="s">
        <v>13112</v>
      </c>
      <c r="F145" s="380" t="s">
        <v>699</v>
      </c>
      <c r="G145" s="460" t="s">
        <v>1174</v>
      </c>
      <c r="H145" s="380" t="s">
        <v>310</v>
      </c>
      <c r="I145" s="459" t="n">
        <v>43591</v>
      </c>
      <c r="J145" s="460" t="n">
        <v>5</v>
      </c>
      <c r="K145" s="552" t="s">
        <v>42</v>
      </c>
      <c r="L145" s="380" t="s">
        <v>60</v>
      </c>
      <c r="M145" s="545" t="n">
        <f aca="false">I145-D145</f>
        <v>819</v>
      </c>
    </row>
    <row r="146" customFormat="false" ht="12.75" hidden="false" customHeight="true" outlineLevel="0" collapsed="false">
      <c r="A146" s="449" t="n">
        <v>14519</v>
      </c>
      <c r="B146" s="450" t="s">
        <v>13113</v>
      </c>
      <c r="C146" s="450" t="n">
        <v>2016</v>
      </c>
      <c r="D146" s="451" t="n">
        <v>42724</v>
      </c>
      <c r="E146" s="452" t="s">
        <v>13114</v>
      </c>
      <c r="F146" s="378" t="s">
        <v>699</v>
      </c>
      <c r="G146" s="452" t="s">
        <v>1174</v>
      </c>
      <c r="H146" s="378" t="s">
        <v>350</v>
      </c>
      <c r="I146" s="451" t="n">
        <v>43591</v>
      </c>
      <c r="J146" s="452" t="n">
        <v>5</v>
      </c>
      <c r="K146" s="552" t="s">
        <v>42</v>
      </c>
      <c r="L146" s="378" t="s">
        <v>60</v>
      </c>
      <c r="M146" s="546" t="n">
        <f aca="false">I146-D146</f>
        <v>867</v>
      </c>
    </row>
    <row r="147" customFormat="false" ht="12.75" hidden="false" customHeight="true" outlineLevel="0" collapsed="false">
      <c r="A147" s="456" t="n">
        <v>14619</v>
      </c>
      <c r="B147" s="458" t="s">
        <v>13115</v>
      </c>
      <c r="C147" s="458" t="n">
        <v>2013</v>
      </c>
      <c r="D147" s="459" t="n">
        <v>41404</v>
      </c>
      <c r="E147" s="460" t="s">
        <v>13116</v>
      </c>
      <c r="F147" s="380" t="s">
        <v>4956</v>
      </c>
      <c r="G147" s="460" t="s">
        <v>1174</v>
      </c>
      <c r="H147" s="380" t="s">
        <v>267</v>
      </c>
      <c r="I147" s="459" t="n">
        <v>43591</v>
      </c>
      <c r="J147" s="460" t="n">
        <v>5</v>
      </c>
      <c r="K147" s="548" t="s">
        <v>47</v>
      </c>
      <c r="L147" s="380" t="s">
        <v>58</v>
      </c>
      <c r="M147" s="545" t="n">
        <f aca="false">I147-D147</f>
        <v>2187</v>
      </c>
    </row>
    <row r="148" customFormat="false" ht="12.75" hidden="false" customHeight="true" outlineLevel="0" collapsed="false">
      <c r="A148" s="449" t="n">
        <v>14719</v>
      </c>
      <c r="B148" s="450" t="s">
        <v>13117</v>
      </c>
      <c r="C148" s="450" t="n">
        <v>2011</v>
      </c>
      <c r="D148" s="451" t="n">
        <v>40718</v>
      </c>
      <c r="E148" s="452" t="s">
        <v>13118</v>
      </c>
      <c r="F148" s="378" t="s">
        <v>671</v>
      </c>
      <c r="G148" s="452" t="s">
        <v>1174</v>
      </c>
      <c r="H148" s="378" t="s">
        <v>706</v>
      </c>
      <c r="I148" s="451" t="n">
        <v>43591</v>
      </c>
      <c r="J148" s="452" t="n">
        <v>5</v>
      </c>
      <c r="K148" s="552" t="s">
        <v>42</v>
      </c>
      <c r="L148" s="378" t="s">
        <v>57</v>
      </c>
      <c r="M148" s="546" t="n">
        <f aca="false">I148-D148</f>
        <v>2873</v>
      </c>
    </row>
    <row r="149" customFormat="false" ht="12.75" hidden="false" customHeight="true" outlineLevel="0" collapsed="false">
      <c r="A149" s="456" t="n">
        <v>14819</v>
      </c>
      <c r="B149" s="458" t="s">
        <v>13119</v>
      </c>
      <c r="C149" s="458" t="n">
        <v>2016</v>
      </c>
      <c r="D149" s="459" t="n">
        <v>42500</v>
      </c>
      <c r="E149" s="460" t="s">
        <v>13120</v>
      </c>
      <c r="F149" s="380" t="s">
        <v>1527</v>
      </c>
      <c r="G149" s="460" t="s">
        <v>1174</v>
      </c>
      <c r="H149" s="380" t="s">
        <v>267</v>
      </c>
      <c r="I149" s="459" t="n">
        <v>43591</v>
      </c>
      <c r="J149" s="460" t="n">
        <v>5</v>
      </c>
      <c r="K149" s="552" t="s">
        <v>42</v>
      </c>
      <c r="L149" s="380" t="s">
        <v>58</v>
      </c>
      <c r="M149" s="545" t="n">
        <f aca="false">I149-D149</f>
        <v>1091</v>
      </c>
    </row>
    <row r="150" customFormat="false" ht="12.75" hidden="false" customHeight="true" outlineLevel="0" collapsed="false">
      <c r="A150" s="449" t="n">
        <v>14919</v>
      </c>
      <c r="B150" s="450" t="s">
        <v>13121</v>
      </c>
      <c r="C150" s="450" t="n">
        <v>2017</v>
      </c>
      <c r="D150" s="451" t="n">
        <v>42991</v>
      </c>
      <c r="E150" s="452" t="s">
        <v>13122</v>
      </c>
      <c r="F150" s="378" t="s">
        <v>1527</v>
      </c>
      <c r="G150" s="452" t="s">
        <v>1174</v>
      </c>
      <c r="H150" s="378" t="s">
        <v>373</v>
      </c>
      <c r="I150" s="451" t="n">
        <v>43591</v>
      </c>
      <c r="J150" s="452" t="n">
        <v>5</v>
      </c>
      <c r="K150" s="552" t="s">
        <v>42</v>
      </c>
      <c r="L150" s="378" t="s">
        <v>58</v>
      </c>
      <c r="M150" s="546" t="n">
        <f aca="false">I150-D150</f>
        <v>600</v>
      </c>
    </row>
    <row r="151" customFormat="false" ht="12.75" hidden="false" customHeight="true" outlineLevel="0" collapsed="false">
      <c r="A151" s="456" t="n">
        <v>15019</v>
      </c>
      <c r="B151" s="458" t="s">
        <v>13123</v>
      </c>
      <c r="C151" s="458" t="n">
        <v>2012</v>
      </c>
      <c r="D151" s="459" t="n">
        <v>41264</v>
      </c>
      <c r="E151" s="460" t="s">
        <v>13124</v>
      </c>
      <c r="F151" s="380" t="s">
        <v>1890</v>
      </c>
      <c r="G151" s="460" t="s">
        <v>1174</v>
      </c>
      <c r="H151" s="380" t="s">
        <v>1567</v>
      </c>
      <c r="I151" s="459" t="n">
        <v>43591</v>
      </c>
      <c r="J151" s="460" t="n">
        <v>5</v>
      </c>
      <c r="K151" s="587" t="s">
        <v>50</v>
      </c>
      <c r="L151" s="380" t="s">
        <v>58</v>
      </c>
      <c r="M151" s="545" t="n">
        <f aca="false">I151-D151</f>
        <v>2327</v>
      </c>
    </row>
    <row r="152" customFormat="false" ht="12.75" hidden="false" customHeight="true" outlineLevel="0" collapsed="false">
      <c r="A152" s="449" t="n">
        <v>15119</v>
      </c>
      <c r="B152" s="450" t="s">
        <v>13125</v>
      </c>
      <c r="C152" s="450" t="n">
        <v>2016</v>
      </c>
      <c r="D152" s="451" t="n">
        <v>42461</v>
      </c>
      <c r="E152" s="452" t="s">
        <v>13126</v>
      </c>
      <c r="F152" s="378" t="s">
        <v>1890</v>
      </c>
      <c r="G152" s="452" t="s">
        <v>1174</v>
      </c>
      <c r="H152" s="378" t="s">
        <v>192</v>
      </c>
      <c r="I152" s="451" t="n">
        <v>43591</v>
      </c>
      <c r="J152" s="452" t="n">
        <v>5</v>
      </c>
      <c r="K152" s="587" t="s">
        <v>50</v>
      </c>
      <c r="L152" s="378" t="s">
        <v>58</v>
      </c>
      <c r="M152" s="546" t="n">
        <f aca="false">I152-D152</f>
        <v>1130</v>
      </c>
    </row>
    <row r="153" customFormat="false" ht="12.75" hidden="false" customHeight="true" outlineLevel="0" collapsed="false">
      <c r="A153" s="456" t="n">
        <v>15219</v>
      </c>
      <c r="B153" s="458" t="s">
        <v>13127</v>
      </c>
      <c r="C153" s="458" t="n">
        <v>2014</v>
      </c>
      <c r="D153" s="459" t="n">
        <v>41905</v>
      </c>
      <c r="E153" s="460" t="s">
        <v>13128</v>
      </c>
      <c r="F153" s="380" t="s">
        <v>365</v>
      </c>
      <c r="G153" s="460" t="s">
        <v>1174</v>
      </c>
      <c r="H153" s="380" t="s">
        <v>12073</v>
      </c>
      <c r="I153" s="459" t="n">
        <v>43591</v>
      </c>
      <c r="J153" s="460" t="n">
        <v>5</v>
      </c>
      <c r="K153" s="556" t="s">
        <v>45</v>
      </c>
      <c r="L153" s="380" t="s">
        <v>60</v>
      </c>
      <c r="M153" s="545" t="n">
        <f aca="false">I153-D153</f>
        <v>1686</v>
      </c>
    </row>
    <row r="154" customFormat="false" ht="12.75" hidden="false" customHeight="true" outlineLevel="0" collapsed="false">
      <c r="A154" s="449" t="n">
        <v>15319</v>
      </c>
      <c r="B154" s="450" t="s">
        <v>13129</v>
      </c>
      <c r="C154" s="450" t="n">
        <v>2018</v>
      </c>
      <c r="D154" s="451" t="n">
        <v>43216</v>
      </c>
      <c r="E154" s="452" t="s">
        <v>13130</v>
      </c>
      <c r="F154" s="378" t="s">
        <v>537</v>
      </c>
      <c r="G154" s="452" t="s">
        <v>1174</v>
      </c>
      <c r="H154" s="378" t="s">
        <v>267</v>
      </c>
      <c r="I154" s="451" t="n">
        <v>43591</v>
      </c>
      <c r="J154" s="452" t="n">
        <v>5</v>
      </c>
      <c r="K154" s="548" t="s">
        <v>47</v>
      </c>
      <c r="L154" s="378" t="s">
        <v>58</v>
      </c>
      <c r="M154" s="546" t="n">
        <f aca="false">I154-D154</f>
        <v>375</v>
      </c>
    </row>
    <row r="155" customFormat="false" ht="12.75" hidden="false" customHeight="true" outlineLevel="0" collapsed="false">
      <c r="A155" s="456" t="n">
        <v>15419</v>
      </c>
      <c r="B155" s="458" t="s">
        <v>13131</v>
      </c>
      <c r="C155" s="458" t="n">
        <v>2012</v>
      </c>
      <c r="D155" s="459" t="n">
        <v>40987</v>
      </c>
      <c r="E155" s="460" t="s">
        <v>13132</v>
      </c>
      <c r="F155" s="380" t="s">
        <v>365</v>
      </c>
      <c r="G155" s="460" t="s">
        <v>1174</v>
      </c>
      <c r="H155" s="380" t="s">
        <v>1571</v>
      </c>
      <c r="I155" s="459" t="n">
        <v>43591</v>
      </c>
      <c r="J155" s="460" t="n">
        <v>5</v>
      </c>
      <c r="K155" s="556" t="s">
        <v>45</v>
      </c>
      <c r="L155" s="380" t="s">
        <v>60</v>
      </c>
      <c r="M155" s="545" t="n">
        <f aca="false">I155-D155</f>
        <v>2604</v>
      </c>
    </row>
    <row r="156" customFormat="false" ht="12.75" hidden="false" customHeight="true" outlineLevel="0" collapsed="false">
      <c r="A156" s="449" t="n">
        <v>15519</v>
      </c>
      <c r="B156" s="450" t="s">
        <v>13133</v>
      </c>
      <c r="C156" s="450" t="n">
        <v>2013</v>
      </c>
      <c r="D156" s="451" t="n">
        <v>41439</v>
      </c>
      <c r="E156" s="452" t="s">
        <v>13134</v>
      </c>
      <c r="F156" s="378" t="s">
        <v>798</v>
      </c>
      <c r="G156" s="452" t="s">
        <v>1174</v>
      </c>
      <c r="H156" s="378" t="s">
        <v>350</v>
      </c>
      <c r="I156" s="451" t="n">
        <v>43591</v>
      </c>
      <c r="J156" s="452" t="n">
        <v>5</v>
      </c>
      <c r="K156" s="548" t="s">
        <v>47</v>
      </c>
      <c r="L156" s="378" t="s">
        <v>60</v>
      </c>
      <c r="M156" s="546" t="n">
        <f aca="false">I156-D156</f>
        <v>2152</v>
      </c>
    </row>
    <row r="157" customFormat="false" ht="12.75" hidden="false" customHeight="true" outlineLevel="0" collapsed="false">
      <c r="A157" s="456" t="n">
        <v>15619</v>
      </c>
      <c r="B157" s="458" t="s">
        <v>13135</v>
      </c>
      <c r="C157" s="458" t="n">
        <v>2013</v>
      </c>
      <c r="D157" s="459" t="n">
        <v>41302</v>
      </c>
      <c r="E157" s="460" t="s">
        <v>13136</v>
      </c>
      <c r="F157" s="380" t="s">
        <v>9900</v>
      </c>
      <c r="G157" s="460" t="s">
        <v>1174</v>
      </c>
      <c r="H157" s="380" t="s">
        <v>1567</v>
      </c>
      <c r="I157" s="459" t="n">
        <v>43591</v>
      </c>
      <c r="J157" s="460" t="n">
        <v>5</v>
      </c>
      <c r="K157" s="548" t="s">
        <v>47</v>
      </c>
      <c r="L157" s="380" t="s">
        <v>60</v>
      </c>
      <c r="M157" s="545" t="n">
        <f aca="false">I157-D157</f>
        <v>2289</v>
      </c>
    </row>
    <row r="158" customFormat="false" ht="12.75" hidden="false" customHeight="true" outlineLevel="0" collapsed="false">
      <c r="A158" s="449" t="n">
        <v>15719</v>
      </c>
      <c r="B158" s="450" t="s">
        <v>13137</v>
      </c>
      <c r="C158" s="450" t="n">
        <v>2012</v>
      </c>
      <c r="D158" s="451" t="n">
        <v>41269</v>
      </c>
      <c r="E158" s="452" t="s">
        <v>13138</v>
      </c>
      <c r="F158" s="378" t="s">
        <v>477</v>
      </c>
      <c r="G158" s="452" t="s">
        <v>1174</v>
      </c>
      <c r="H158" s="378" t="s">
        <v>192</v>
      </c>
      <c r="I158" s="451" t="n">
        <v>43591</v>
      </c>
      <c r="J158" s="452" t="n">
        <v>5</v>
      </c>
      <c r="K158" s="548" t="s">
        <v>47</v>
      </c>
      <c r="L158" s="378" t="s">
        <v>58</v>
      </c>
      <c r="M158" s="546" t="n">
        <f aca="false">I158-D158</f>
        <v>2322</v>
      </c>
    </row>
    <row r="159" customFormat="false" ht="12.75" hidden="false" customHeight="true" outlineLevel="0" collapsed="false">
      <c r="A159" s="456" t="n">
        <v>15819</v>
      </c>
      <c r="B159" s="458" t="s">
        <v>13139</v>
      </c>
      <c r="C159" s="458" t="n">
        <v>2015</v>
      </c>
      <c r="D159" s="459" t="n">
        <v>42276</v>
      </c>
      <c r="E159" s="460" t="s">
        <v>13140</v>
      </c>
      <c r="F159" s="380" t="s">
        <v>1243</v>
      </c>
      <c r="G159" s="460" t="s">
        <v>1174</v>
      </c>
      <c r="H159" s="380" t="s">
        <v>544</v>
      </c>
      <c r="I159" s="459" t="n">
        <v>43591</v>
      </c>
      <c r="J159" s="460" t="n">
        <v>5</v>
      </c>
      <c r="K159" s="548" t="s">
        <v>47</v>
      </c>
      <c r="L159" s="380" t="s">
        <v>60</v>
      </c>
      <c r="M159" s="545" t="n">
        <f aca="false">I159-D159</f>
        <v>1315</v>
      </c>
    </row>
    <row r="160" customFormat="false" ht="12.75" hidden="false" customHeight="true" outlineLevel="0" collapsed="false">
      <c r="A160" s="449" t="n">
        <v>15919</v>
      </c>
      <c r="B160" s="450" t="s">
        <v>13141</v>
      </c>
      <c r="C160" s="450" t="n">
        <v>2013</v>
      </c>
      <c r="D160" s="451" t="n">
        <v>41380</v>
      </c>
      <c r="E160" s="452" t="s">
        <v>13142</v>
      </c>
      <c r="F160" s="378" t="s">
        <v>12862</v>
      </c>
      <c r="G160" s="452" t="s">
        <v>1174</v>
      </c>
      <c r="H160" s="378" t="s">
        <v>192</v>
      </c>
      <c r="I160" s="451" t="n">
        <v>43591</v>
      </c>
      <c r="J160" s="452" t="n">
        <v>5</v>
      </c>
      <c r="K160" s="587" t="s">
        <v>50</v>
      </c>
      <c r="L160" s="378" t="s">
        <v>60</v>
      </c>
      <c r="M160" s="546" t="n">
        <f aca="false">I160-D160</f>
        <v>2211</v>
      </c>
    </row>
    <row r="161" customFormat="false" ht="12.75" hidden="false" customHeight="true" outlineLevel="0" collapsed="false">
      <c r="A161" s="456" t="n">
        <v>16019</v>
      </c>
      <c r="B161" s="458" t="s">
        <v>13143</v>
      </c>
      <c r="C161" s="458" t="n">
        <v>2017</v>
      </c>
      <c r="D161" s="459" t="n">
        <v>42788</v>
      </c>
      <c r="E161" s="460" t="s">
        <v>13144</v>
      </c>
      <c r="F161" s="380" t="s">
        <v>1211</v>
      </c>
      <c r="G161" s="460" t="s">
        <v>1174</v>
      </c>
      <c r="H161" s="380" t="s">
        <v>6610</v>
      </c>
      <c r="I161" s="459" t="n">
        <v>43591</v>
      </c>
      <c r="J161" s="460" t="n">
        <v>5</v>
      </c>
      <c r="K161" s="552" t="s">
        <v>42</v>
      </c>
      <c r="L161" s="380" t="s">
        <v>60</v>
      </c>
      <c r="M161" s="545" t="n">
        <f aca="false">I161-D161</f>
        <v>803</v>
      </c>
    </row>
    <row r="162" customFormat="false" ht="12.75" hidden="false" customHeight="true" outlineLevel="0" collapsed="false">
      <c r="A162" s="449" t="n">
        <v>16119</v>
      </c>
      <c r="B162" s="450" t="s">
        <v>13145</v>
      </c>
      <c r="C162" s="450" t="n">
        <v>2017</v>
      </c>
      <c r="D162" s="451" t="n">
        <v>42880</v>
      </c>
      <c r="E162" s="452" t="s">
        <v>13146</v>
      </c>
      <c r="F162" s="378" t="s">
        <v>1211</v>
      </c>
      <c r="G162" s="452" t="s">
        <v>1174</v>
      </c>
      <c r="H162" s="378" t="s">
        <v>208</v>
      </c>
      <c r="I162" s="451" t="n">
        <v>43594</v>
      </c>
      <c r="J162" s="452" t="n">
        <v>5</v>
      </c>
      <c r="K162" s="552" t="s">
        <v>42</v>
      </c>
      <c r="L162" s="378" t="s">
        <v>60</v>
      </c>
      <c r="M162" s="546" t="n">
        <f aca="false">I162-D162</f>
        <v>714</v>
      </c>
    </row>
    <row r="163" customFormat="false" ht="12.75" hidden="false" customHeight="true" outlineLevel="0" collapsed="false">
      <c r="A163" s="456" t="n">
        <v>16219</v>
      </c>
      <c r="B163" s="458" t="s">
        <v>13147</v>
      </c>
      <c r="C163" s="458" t="n">
        <v>2015</v>
      </c>
      <c r="D163" s="459" t="n">
        <v>42249</v>
      </c>
      <c r="E163" s="460" t="s">
        <v>13148</v>
      </c>
      <c r="F163" s="380" t="s">
        <v>1277</v>
      </c>
      <c r="G163" s="460" t="s">
        <v>1174</v>
      </c>
      <c r="H163" s="380" t="s">
        <v>2654</v>
      </c>
      <c r="I163" s="459" t="n">
        <v>43594</v>
      </c>
      <c r="J163" s="460" t="n">
        <v>5</v>
      </c>
      <c r="K163" s="556" t="s">
        <v>45</v>
      </c>
      <c r="L163" s="380" t="s">
        <v>58</v>
      </c>
      <c r="M163" s="545" t="n">
        <f aca="false">I163-D163</f>
        <v>1345</v>
      </c>
    </row>
    <row r="164" customFormat="false" ht="12.75" hidden="false" customHeight="true" outlineLevel="0" collapsed="false">
      <c r="A164" s="449" t="n">
        <v>16319</v>
      </c>
      <c r="B164" s="450" t="s">
        <v>13149</v>
      </c>
      <c r="C164" s="450" t="n">
        <v>2013</v>
      </c>
      <c r="D164" s="451" t="n">
        <v>41439</v>
      </c>
      <c r="E164" s="452" t="s">
        <v>13150</v>
      </c>
      <c r="F164" s="378" t="s">
        <v>823</v>
      </c>
      <c r="G164" s="452" t="s">
        <v>1174</v>
      </c>
      <c r="H164" s="378" t="s">
        <v>350</v>
      </c>
      <c r="I164" s="451" t="n">
        <v>43594</v>
      </c>
      <c r="J164" s="452" t="n">
        <v>5</v>
      </c>
      <c r="K164" s="548" t="s">
        <v>47</v>
      </c>
      <c r="L164" s="378" t="s">
        <v>58</v>
      </c>
      <c r="M164" s="546" t="n">
        <f aca="false">I164-D164</f>
        <v>2155</v>
      </c>
    </row>
    <row r="165" customFormat="false" ht="12.75" hidden="true" customHeight="true" outlineLevel="0" collapsed="false">
      <c r="A165" s="456" t="n">
        <v>16419</v>
      </c>
      <c r="B165" s="458" t="s">
        <v>13151</v>
      </c>
      <c r="C165" s="458" t="n">
        <v>2011</v>
      </c>
      <c r="D165" s="459" t="n">
        <v>40661</v>
      </c>
      <c r="E165" s="460" t="s">
        <v>13152</v>
      </c>
      <c r="F165" s="380" t="s">
        <v>4956</v>
      </c>
      <c r="G165" s="460" t="s">
        <v>441</v>
      </c>
      <c r="H165" s="380" t="s">
        <v>243</v>
      </c>
      <c r="I165" s="459" t="n">
        <v>43595</v>
      </c>
      <c r="J165" s="460" t="n">
        <v>5</v>
      </c>
      <c r="K165" s="548" t="s">
        <v>47</v>
      </c>
      <c r="L165" s="380" t="s">
        <v>58</v>
      </c>
      <c r="M165" s="545" t="n">
        <f aca="false">I165-D165</f>
        <v>2934</v>
      </c>
    </row>
    <row r="166" customFormat="false" ht="12.75" hidden="true" customHeight="true" outlineLevel="0" collapsed="false">
      <c r="A166" s="449" t="n">
        <v>16519</v>
      </c>
      <c r="B166" s="450" t="s">
        <v>13153</v>
      </c>
      <c r="C166" s="450" t="n">
        <v>2012</v>
      </c>
      <c r="D166" s="451" t="n">
        <v>41156</v>
      </c>
      <c r="E166" s="452" t="s">
        <v>13154</v>
      </c>
      <c r="F166" s="378" t="s">
        <v>446</v>
      </c>
      <c r="G166" s="452" t="s">
        <v>441</v>
      </c>
      <c r="H166" s="378" t="s">
        <v>2506</v>
      </c>
      <c r="I166" s="451" t="n">
        <v>43595</v>
      </c>
      <c r="J166" s="452" t="n">
        <v>5</v>
      </c>
      <c r="K166" s="548" t="s">
        <v>47</v>
      </c>
      <c r="L166" s="378" t="s">
        <v>60</v>
      </c>
      <c r="M166" s="546" t="n">
        <f aca="false">I166-D166</f>
        <v>2439</v>
      </c>
    </row>
    <row r="167" customFormat="false" ht="12.75" hidden="false" customHeight="true" outlineLevel="0" collapsed="false">
      <c r="A167" s="456" t="n">
        <v>16619</v>
      </c>
      <c r="B167" s="458" t="s">
        <v>13155</v>
      </c>
      <c r="C167" s="458" t="n">
        <v>2014</v>
      </c>
      <c r="D167" s="459" t="n">
        <v>41953</v>
      </c>
      <c r="E167" s="460" t="s">
        <v>13156</v>
      </c>
      <c r="F167" s="380" t="s">
        <v>537</v>
      </c>
      <c r="G167" s="460" t="s">
        <v>1174</v>
      </c>
      <c r="H167" s="380" t="s">
        <v>12073</v>
      </c>
      <c r="I167" s="459" t="n">
        <v>43599</v>
      </c>
      <c r="J167" s="460" t="n">
        <v>5</v>
      </c>
      <c r="K167" s="548" t="s">
        <v>47</v>
      </c>
      <c r="L167" s="380" t="s">
        <v>58</v>
      </c>
      <c r="M167" s="545" t="n">
        <f aca="false">I167-D167</f>
        <v>1646</v>
      </c>
    </row>
    <row r="168" customFormat="false" ht="12.75" hidden="false" customHeight="true" outlineLevel="0" collapsed="false">
      <c r="A168" s="449" t="n">
        <v>16719</v>
      </c>
      <c r="B168" s="450" t="s">
        <v>13157</v>
      </c>
      <c r="C168" s="450" t="n">
        <v>2013</v>
      </c>
      <c r="D168" s="451" t="n">
        <v>41572</v>
      </c>
      <c r="E168" s="452" t="s">
        <v>13158</v>
      </c>
      <c r="F168" s="378" t="s">
        <v>3865</v>
      </c>
      <c r="G168" s="452" t="s">
        <v>1174</v>
      </c>
      <c r="H168" s="378" t="s">
        <v>223</v>
      </c>
      <c r="I168" s="451" t="n">
        <v>43599</v>
      </c>
      <c r="J168" s="452" t="n">
        <v>5</v>
      </c>
      <c r="K168" s="587" t="s">
        <v>50</v>
      </c>
      <c r="L168" s="378" t="s">
        <v>60</v>
      </c>
      <c r="M168" s="546" t="n">
        <f aca="false">I168-D168</f>
        <v>2027</v>
      </c>
    </row>
    <row r="169" customFormat="false" ht="12.75" hidden="false" customHeight="true" outlineLevel="0" collapsed="false">
      <c r="A169" s="456" t="n">
        <v>16819</v>
      </c>
      <c r="B169" s="458" t="s">
        <v>13159</v>
      </c>
      <c r="C169" s="458" t="n">
        <v>2014</v>
      </c>
      <c r="D169" s="459" t="n">
        <v>41983</v>
      </c>
      <c r="E169" s="460" t="s">
        <v>13160</v>
      </c>
      <c r="F169" s="380" t="s">
        <v>3865</v>
      </c>
      <c r="G169" s="460" t="s">
        <v>1174</v>
      </c>
      <c r="H169" s="380" t="s">
        <v>267</v>
      </c>
      <c r="I169" s="459" t="n">
        <v>43599</v>
      </c>
      <c r="J169" s="460" t="n">
        <v>5</v>
      </c>
      <c r="K169" s="587" t="s">
        <v>50</v>
      </c>
      <c r="L169" s="380" t="s">
        <v>60</v>
      </c>
      <c r="M169" s="545" t="n">
        <f aca="false">I169-D169</f>
        <v>1616</v>
      </c>
    </row>
    <row r="170" customFormat="false" ht="12.75" hidden="false" customHeight="true" outlineLevel="0" collapsed="false">
      <c r="A170" s="449" t="n">
        <v>16919</v>
      </c>
      <c r="B170" s="450" t="s">
        <v>13161</v>
      </c>
      <c r="C170" s="450" t="n">
        <v>2013</v>
      </c>
      <c r="D170" s="451" t="n">
        <v>41513</v>
      </c>
      <c r="E170" s="452" t="s">
        <v>13162</v>
      </c>
      <c r="F170" s="378" t="s">
        <v>1277</v>
      </c>
      <c r="G170" s="452" t="s">
        <v>1174</v>
      </c>
      <c r="H170" s="378" t="s">
        <v>1434</v>
      </c>
      <c r="I170" s="451" t="n">
        <v>43599</v>
      </c>
      <c r="J170" s="452" t="n">
        <v>5</v>
      </c>
      <c r="K170" s="556" t="s">
        <v>45</v>
      </c>
      <c r="L170" s="378" t="s">
        <v>58</v>
      </c>
      <c r="M170" s="546" t="n">
        <f aca="false">I170-D170</f>
        <v>2086</v>
      </c>
    </row>
    <row r="171" customFormat="false" ht="12.75" hidden="true" customHeight="true" outlineLevel="0" collapsed="false">
      <c r="A171" s="456" t="n">
        <v>17019</v>
      </c>
      <c r="B171" s="458" t="s">
        <v>13163</v>
      </c>
      <c r="C171" s="458" t="n">
        <v>2011</v>
      </c>
      <c r="D171" s="459" t="n">
        <v>40673</v>
      </c>
      <c r="E171" s="460" t="s">
        <v>13164</v>
      </c>
      <c r="F171" s="380" t="s">
        <v>3918</v>
      </c>
      <c r="G171" s="460" t="s">
        <v>144</v>
      </c>
      <c r="H171" s="380" t="s">
        <v>119</v>
      </c>
      <c r="I171" s="459" t="n">
        <v>43608</v>
      </c>
      <c r="J171" s="460" t="n">
        <v>5</v>
      </c>
      <c r="K171" s="552" t="s">
        <v>42</v>
      </c>
      <c r="L171" s="380" t="s">
        <v>58</v>
      </c>
      <c r="M171" s="545" t="n">
        <f aca="false">I171-D171</f>
        <v>2935</v>
      </c>
    </row>
    <row r="172" customFormat="false" ht="12.75" hidden="true" customHeight="true" outlineLevel="0" collapsed="false">
      <c r="A172" s="449" t="n">
        <v>17119</v>
      </c>
      <c r="B172" s="450" t="s">
        <v>13165</v>
      </c>
      <c r="C172" s="450" t="n">
        <v>2012</v>
      </c>
      <c r="D172" s="451" t="n">
        <v>40996</v>
      </c>
      <c r="E172" s="452" t="s">
        <v>13166</v>
      </c>
      <c r="F172" s="378" t="s">
        <v>1527</v>
      </c>
      <c r="G172" s="452" t="s">
        <v>441</v>
      </c>
      <c r="H172" s="378" t="s">
        <v>13167</v>
      </c>
      <c r="I172" s="451" t="n">
        <v>43608</v>
      </c>
      <c r="J172" s="452" t="n">
        <v>5</v>
      </c>
      <c r="K172" s="552" t="s">
        <v>42</v>
      </c>
      <c r="L172" s="378" t="s">
        <v>58</v>
      </c>
      <c r="M172" s="546" t="n">
        <f aca="false">I172-D172</f>
        <v>2612</v>
      </c>
    </row>
    <row r="173" customFormat="false" ht="12.75" hidden="true" customHeight="true" outlineLevel="0" collapsed="false">
      <c r="A173" s="456" t="n">
        <v>17219</v>
      </c>
      <c r="B173" s="458" t="s">
        <v>13168</v>
      </c>
      <c r="C173" s="458" t="n">
        <v>2014</v>
      </c>
      <c r="D173" s="459" t="n">
        <v>41941</v>
      </c>
      <c r="E173" s="460" t="s">
        <v>13169</v>
      </c>
      <c r="F173" s="380" t="s">
        <v>207</v>
      </c>
      <c r="G173" s="460" t="s">
        <v>441</v>
      </c>
      <c r="H173" s="380" t="s">
        <v>1501</v>
      </c>
      <c r="I173" s="459" t="n">
        <v>43608</v>
      </c>
      <c r="J173" s="460" t="n">
        <v>5</v>
      </c>
      <c r="K173" s="548" t="s">
        <v>47</v>
      </c>
      <c r="L173" s="380" t="s">
        <v>58</v>
      </c>
      <c r="M173" s="545" t="n">
        <f aca="false">I173-D173</f>
        <v>1667</v>
      </c>
    </row>
    <row r="174" customFormat="false" ht="12.75" hidden="false" customHeight="true" outlineLevel="0" collapsed="false">
      <c r="A174" s="449" t="n">
        <v>17319</v>
      </c>
      <c r="B174" s="450" t="s">
        <v>13170</v>
      </c>
      <c r="C174" s="450" t="n">
        <v>2016</v>
      </c>
      <c r="D174" s="451" t="n">
        <v>42580</v>
      </c>
      <c r="E174" s="452" t="s">
        <v>13171</v>
      </c>
      <c r="F174" s="378" t="s">
        <v>3865</v>
      </c>
      <c r="G174" s="452" t="s">
        <v>1174</v>
      </c>
      <c r="H174" s="378" t="s">
        <v>706</v>
      </c>
      <c r="I174" s="451" t="n">
        <v>43612</v>
      </c>
      <c r="J174" s="452" t="n">
        <v>5</v>
      </c>
      <c r="K174" s="587" t="s">
        <v>50</v>
      </c>
      <c r="L174" s="378" t="s">
        <v>60</v>
      </c>
      <c r="M174" s="546" t="n">
        <f aca="false">I174-D174</f>
        <v>1032</v>
      </c>
    </row>
    <row r="175" customFormat="false" ht="12.75" hidden="false" customHeight="true" outlineLevel="0" collapsed="false">
      <c r="A175" s="456" t="n">
        <v>17419</v>
      </c>
      <c r="B175" s="458" t="s">
        <v>13172</v>
      </c>
      <c r="C175" s="458" t="n">
        <v>2018</v>
      </c>
      <c r="D175" s="459" t="n">
        <v>43280</v>
      </c>
      <c r="E175" s="460" t="s">
        <v>13173</v>
      </c>
      <c r="F175" s="380" t="s">
        <v>823</v>
      </c>
      <c r="G175" s="460" t="s">
        <v>1174</v>
      </c>
      <c r="H175" s="380" t="s">
        <v>208</v>
      </c>
      <c r="I175" s="459" t="n">
        <v>43612</v>
      </c>
      <c r="J175" s="460" t="n">
        <v>5</v>
      </c>
      <c r="K175" s="548" t="s">
        <v>47</v>
      </c>
      <c r="L175" s="380" t="s">
        <v>58</v>
      </c>
      <c r="M175" s="545" t="n">
        <f aca="false">I175-D175</f>
        <v>332</v>
      </c>
    </row>
    <row r="176" customFormat="false" ht="12.75" hidden="false" customHeight="true" outlineLevel="0" collapsed="false">
      <c r="A176" s="449" t="n">
        <v>17519</v>
      </c>
      <c r="B176" s="450" t="s">
        <v>13174</v>
      </c>
      <c r="C176" s="450" t="n">
        <v>2011</v>
      </c>
      <c r="D176" s="451" t="n">
        <v>40598</v>
      </c>
      <c r="E176" s="452" t="s">
        <v>13175</v>
      </c>
      <c r="F176" s="378" t="s">
        <v>1916</v>
      </c>
      <c r="G176" s="452" t="s">
        <v>1174</v>
      </c>
      <c r="H176" s="378" t="s">
        <v>1059</v>
      </c>
      <c r="I176" s="451" t="n">
        <v>43612</v>
      </c>
      <c r="J176" s="452" t="n">
        <v>5</v>
      </c>
      <c r="K176" s="548" t="s">
        <v>47</v>
      </c>
      <c r="L176" s="378" t="s">
        <v>58</v>
      </c>
      <c r="M176" s="546" t="n">
        <f aca="false">I176-D176</f>
        <v>3014</v>
      </c>
    </row>
    <row r="177" customFormat="false" ht="12.75" hidden="false" customHeight="true" outlineLevel="0" collapsed="false">
      <c r="A177" s="456" t="n">
        <v>17619</v>
      </c>
      <c r="B177" s="458" t="s">
        <v>13176</v>
      </c>
      <c r="C177" s="458" t="n">
        <v>2015</v>
      </c>
      <c r="D177" s="459" t="n">
        <v>42088</v>
      </c>
      <c r="E177" s="460" t="s">
        <v>13177</v>
      </c>
      <c r="F177" s="380" t="s">
        <v>12900</v>
      </c>
      <c r="G177" s="460" t="s">
        <v>1174</v>
      </c>
      <c r="H177" s="380" t="s">
        <v>706</v>
      </c>
      <c r="I177" s="459" t="n">
        <v>43612</v>
      </c>
      <c r="J177" s="460" t="n">
        <v>5</v>
      </c>
      <c r="K177" s="548" t="s">
        <v>47</v>
      </c>
      <c r="L177" s="380" t="s">
        <v>60</v>
      </c>
      <c r="M177" s="545" t="n">
        <f aca="false">I177-D177</f>
        <v>1524</v>
      </c>
    </row>
    <row r="178" customFormat="false" ht="12.75" hidden="false" customHeight="true" outlineLevel="0" collapsed="false">
      <c r="A178" s="449" t="n">
        <v>17719</v>
      </c>
      <c r="B178" s="450" t="s">
        <v>13178</v>
      </c>
      <c r="C178" s="450" t="n">
        <v>2016</v>
      </c>
      <c r="D178" s="451" t="n">
        <v>42551</v>
      </c>
      <c r="E178" s="452" t="s">
        <v>13179</v>
      </c>
      <c r="F178" s="378" t="s">
        <v>1693</v>
      </c>
      <c r="G178" s="452" t="s">
        <v>1174</v>
      </c>
      <c r="H178" s="378" t="s">
        <v>522</v>
      </c>
      <c r="I178" s="451" t="n">
        <v>43612</v>
      </c>
      <c r="J178" s="452" t="n">
        <v>5</v>
      </c>
      <c r="K178" s="556" t="s">
        <v>45</v>
      </c>
      <c r="L178" s="378" t="s">
        <v>58</v>
      </c>
      <c r="M178" s="546" t="n">
        <f aca="false">I178-D178</f>
        <v>1061</v>
      </c>
    </row>
    <row r="179" customFormat="false" ht="12.75" hidden="false" customHeight="true" outlineLevel="0" collapsed="false">
      <c r="A179" s="456" t="n">
        <v>17819</v>
      </c>
      <c r="B179" s="458" t="s">
        <v>13180</v>
      </c>
      <c r="C179" s="458" t="n">
        <v>2014</v>
      </c>
      <c r="D179" s="459" t="n">
        <v>41983</v>
      </c>
      <c r="E179" s="460" t="s">
        <v>13181</v>
      </c>
      <c r="F179" s="380" t="s">
        <v>1916</v>
      </c>
      <c r="G179" s="460" t="s">
        <v>1174</v>
      </c>
      <c r="H179" s="380" t="s">
        <v>267</v>
      </c>
      <c r="I179" s="459" t="n">
        <v>43612</v>
      </c>
      <c r="J179" s="460" t="n">
        <v>5</v>
      </c>
      <c r="K179" s="548" t="s">
        <v>47</v>
      </c>
      <c r="L179" s="380" t="s">
        <v>58</v>
      </c>
      <c r="M179" s="545" t="n">
        <f aca="false">I179-D179</f>
        <v>1629</v>
      </c>
    </row>
    <row r="180" customFormat="false" ht="12.75" hidden="false" customHeight="true" outlineLevel="0" collapsed="false">
      <c r="A180" s="449" t="n">
        <v>17919</v>
      </c>
      <c r="B180" s="450" t="s">
        <v>13182</v>
      </c>
      <c r="C180" s="450" t="n">
        <v>2018</v>
      </c>
      <c r="D180" s="451" t="n">
        <v>43343</v>
      </c>
      <c r="E180" s="452" t="s">
        <v>13183</v>
      </c>
      <c r="F180" s="378" t="s">
        <v>902</v>
      </c>
      <c r="G180" s="452" t="s">
        <v>1174</v>
      </c>
      <c r="H180" s="378" t="s">
        <v>208</v>
      </c>
      <c r="I180" s="451" t="n">
        <v>43612</v>
      </c>
      <c r="J180" s="452" t="n">
        <v>5</v>
      </c>
      <c r="K180" s="548" t="s">
        <v>47</v>
      </c>
      <c r="L180" s="378" t="s">
        <v>58</v>
      </c>
      <c r="M180" s="546" t="n">
        <f aca="false">I180-D180</f>
        <v>269</v>
      </c>
    </row>
    <row r="181" customFormat="false" ht="12.75" hidden="false" customHeight="true" outlineLevel="0" collapsed="false">
      <c r="A181" s="456" t="n">
        <v>18019</v>
      </c>
      <c r="B181" s="458" t="s">
        <v>13184</v>
      </c>
      <c r="C181" s="458" t="n">
        <v>2013</v>
      </c>
      <c r="D181" s="459" t="n">
        <v>41320</v>
      </c>
      <c r="E181" s="460" t="s">
        <v>13185</v>
      </c>
      <c r="F181" s="380" t="s">
        <v>1357</v>
      </c>
      <c r="G181" s="460" t="s">
        <v>1174</v>
      </c>
      <c r="H181" s="380" t="s">
        <v>1258</v>
      </c>
      <c r="I181" s="459" t="n">
        <v>43612</v>
      </c>
      <c r="J181" s="460" t="n">
        <v>5</v>
      </c>
      <c r="K181" s="552" t="s">
        <v>42</v>
      </c>
      <c r="L181" s="380" t="s">
        <v>60</v>
      </c>
      <c r="M181" s="545" t="n">
        <f aca="false">I181-D181</f>
        <v>2292</v>
      </c>
    </row>
    <row r="182" customFormat="false" ht="12.75" hidden="false" customHeight="true" outlineLevel="0" collapsed="false">
      <c r="A182" s="449" t="n">
        <v>18119</v>
      </c>
      <c r="B182" s="450" t="s">
        <v>13186</v>
      </c>
      <c r="C182" s="450" t="n">
        <v>2013</v>
      </c>
      <c r="D182" s="451" t="n">
        <v>41457</v>
      </c>
      <c r="E182" s="452" t="s">
        <v>13187</v>
      </c>
      <c r="F182" s="378" t="s">
        <v>1156</v>
      </c>
      <c r="G182" s="452" t="s">
        <v>1174</v>
      </c>
      <c r="H182" s="378" t="s">
        <v>134</v>
      </c>
      <c r="I182" s="451" t="n">
        <v>43612</v>
      </c>
      <c r="J182" s="452" t="n">
        <v>5</v>
      </c>
      <c r="K182" s="556" t="s">
        <v>45</v>
      </c>
      <c r="L182" s="378" t="s">
        <v>57</v>
      </c>
      <c r="M182" s="546" t="n">
        <f aca="false">I182-D182</f>
        <v>2155</v>
      </c>
    </row>
    <row r="183" customFormat="false" ht="12.75" hidden="false" customHeight="true" outlineLevel="0" collapsed="false">
      <c r="A183" s="456" t="n">
        <v>18219</v>
      </c>
      <c r="B183" s="458" t="s">
        <v>13188</v>
      </c>
      <c r="C183" s="458" t="n">
        <v>2013</v>
      </c>
      <c r="D183" s="459" t="n">
        <v>41286</v>
      </c>
      <c r="E183" s="460" t="s">
        <v>13189</v>
      </c>
      <c r="F183" s="380" t="s">
        <v>1357</v>
      </c>
      <c r="G183" s="460" t="s">
        <v>1174</v>
      </c>
      <c r="H183" s="380" t="s">
        <v>267</v>
      </c>
      <c r="I183" s="459" t="n">
        <v>43612</v>
      </c>
      <c r="J183" s="460" t="n">
        <v>5</v>
      </c>
      <c r="K183" s="552" t="s">
        <v>42</v>
      </c>
      <c r="L183" s="380" t="s">
        <v>60</v>
      </c>
      <c r="M183" s="545" t="n">
        <f aca="false">I183-D183</f>
        <v>2326</v>
      </c>
    </row>
    <row r="184" customFormat="false" ht="12.75" hidden="true" customHeight="true" outlineLevel="0" collapsed="false">
      <c r="A184" s="449" t="n">
        <v>18319</v>
      </c>
      <c r="B184" s="450" t="s">
        <v>13190</v>
      </c>
      <c r="C184" s="450" t="n">
        <v>2018</v>
      </c>
      <c r="D184" s="451" t="n">
        <v>43370</v>
      </c>
      <c r="E184" s="452" t="s">
        <v>13191</v>
      </c>
      <c r="F184" s="378" t="s">
        <v>6315</v>
      </c>
      <c r="G184" s="452" t="s">
        <v>125</v>
      </c>
      <c r="H184" s="378" t="s">
        <v>980</v>
      </c>
      <c r="I184" s="451" t="n">
        <v>43614</v>
      </c>
      <c r="J184" s="452" t="n">
        <v>5</v>
      </c>
      <c r="K184" s="548" t="s">
        <v>47</v>
      </c>
      <c r="L184" s="378" t="s">
        <v>61</v>
      </c>
      <c r="M184" s="546" t="n">
        <f aca="false">I184-D184</f>
        <v>244</v>
      </c>
    </row>
    <row r="185" customFormat="false" ht="15.75" hidden="false" customHeight="true" outlineLevel="0" collapsed="false">
      <c r="A185" s="456" t="n">
        <v>18419</v>
      </c>
      <c r="B185" s="458" t="s">
        <v>13192</v>
      </c>
      <c r="C185" s="458" t="n">
        <v>2012</v>
      </c>
      <c r="D185" s="459" t="n">
        <v>40914</v>
      </c>
      <c r="E185" s="460" t="s">
        <v>13193</v>
      </c>
      <c r="F185" s="380" t="s">
        <v>823</v>
      </c>
      <c r="G185" s="460" t="s">
        <v>1174</v>
      </c>
      <c r="H185" s="380" t="s">
        <v>192</v>
      </c>
      <c r="I185" s="459" t="n">
        <v>43614</v>
      </c>
      <c r="J185" s="460" t="n">
        <v>5</v>
      </c>
      <c r="K185" s="548" t="s">
        <v>47</v>
      </c>
      <c r="L185" s="380" t="s">
        <v>60</v>
      </c>
      <c r="M185" s="545" t="n">
        <f aca="false">I185-D185</f>
        <v>2700</v>
      </c>
    </row>
    <row r="186" customFormat="false" ht="12.75" hidden="false" customHeight="true" outlineLevel="0" collapsed="false">
      <c r="A186" s="449" t="n">
        <v>18519</v>
      </c>
      <c r="B186" s="450" t="s">
        <v>13194</v>
      </c>
      <c r="C186" s="450" t="n">
        <v>2012</v>
      </c>
      <c r="D186" s="451" t="n">
        <v>41046</v>
      </c>
      <c r="E186" s="452" t="s">
        <v>13195</v>
      </c>
      <c r="F186" s="378" t="s">
        <v>1357</v>
      </c>
      <c r="G186" s="452" t="s">
        <v>1174</v>
      </c>
      <c r="H186" s="378" t="s">
        <v>1567</v>
      </c>
      <c r="I186" s="451" t="n">
        <v>43614</v>
      </c>
      <c r="J186" s="452" t="n">
        <v>5</v>
      </c>
      <c r="K186" s="552" t="s">
        <v>42</v>
      </c>
      <c r="L186" s="378" t="s">
        <v>60</v>
      </c>
      <c r="M186" s="546" t="n">
        <f aca="false">I186-D186</f>
        <v>2568</v>
      </c>
    </row>
    <row r="187" customFormat="false" ht="12.75" hidden="false" customHeight="true" outlineLevel="0" collapsed="false">
      <c r="A187" s="456" t="n">
        <v>18619</v>
      </c>
      <c r="B187" s="458" t="s">
        <v>13196</v>
      </c>
      <c r="C187" s="458" t="n">
        <v>2012</v>
      </c>
      <c r="D187" s="459" t="n">
        <v>41190</v>
      </c>
      <c r="E187" s="460" t="s">
        <v>13197</v>
      </c>
      <c r="F187" s="380" t="s">
        <v>1357</v>
      </c>
      <c r="G187" s="460" t="s">
        <v>1174</v>
      </c>
      <c r="H187" s="380" t="s">
        <v>9385</v>
      </c>
      <c r="I187" s="459" t="n">
        <v>43614</v>
      </c>
      <c r="J187" s="460" t="n">
        <v>5</v>
      </c>
      <c r="K187" s="552" t="s">
        <v>42</v>
      </c>
      <c r="L187" s="380" t="s">
        <v>60</v>
      </c>
      <c r="M187" s="545" t="n">
        <f aca="false">I187-D187</f>
        <v>2424</v>
      </c>
    </row>
    <row r="188" customFormat="false" ht="12.75" hidden="false" customHeight="true" outlineLevel="0" collapsed="false">
      <c r="A188" s="449" t="n">
        <v>18719</v>
      </c>
      <c r="B188" s="450" t="s">
        <v>13198</v>
      </c>
      <c r="C188" s="450" t="n">
        <v>2014</v>
      </c>
      <c r="D188" s="451" t="n">
        <v>41803</v>
      </c>
      <c r="E188" s="452" t="s">
        <v>13199</v>
      </c>
      <c r="F188" s="378" t="s">
        <v>1357</v>
      </c>
      <c r="G188" s="452" t="s">
        <v>1174</v>
      </c>
      <c r="H188" s="378" t="s">
        <v>243</v>
      </c>
      <c r="I188" s="451" t="n">
        <v>43614</v>
      </c>
      <c r="J188" s="452" t="n">
        <v>5</v>
      </c>
      <c r="K188" s="552" t="s">
        <v>42</v>
      </c>
      <c r="L188" s="378" t="s">
        <v>60</v>
      </c>
      <c r="M188" s="546" t="n">
        <f aca="false">I188-D188</f>
        <v>1811</v>
      </c>
    </row>
    <row r="189" customFormat="false" ht="12.75" hidden="false" customHeight="true" outlineLevel="0" collapsed="false">
      <c r="A189" s="456" t="n">
        <v>18819</v>
      </c>
      <c r="B189" s="458" t="s">
        <v>13200</v>
      </c>
      <c r="C189" s="458" t="n">
        <v>2012</v>
      </c>
      <c r="D189" s="459" t="n">
        <v>41190</v>
      </c>
      <c r="E189" s="460" t="s">
        <v>13201</v>
      </c>
      <c r="F189" s="380" t="s">
        <v>1357</v>
      </c>
      <c r="G189" s="460" t="s">
        <v>1174</v>
      </c>
      <c r="H189" s="380" t="s">
        <v>208</v>
      </c>
      <c r="I189" s="459" t="n">
        <v>43614</v>
      </c>
      <c r="J189" s="460" t="n">
        <v>5</v>
      </c>
      <c r="K189" s="552" t="s">
        <v>42</v>
      </c>
      <c r="L189" s="380" t="s">
        <v>60</v>
      </c>
      <c r="M189" s="545" t="n">
        <f aca="false">I189-D189</f>
        <v>2424</v>
      </c>
    </row>
    <row r="190" customFormat="false" ht="12.75" hidden="false" customHeight="true" outlineLevel="0" collapsed="false">
      <c r="A190" s="449" t="n">
        <v>18919</v>
      </c>
      <c r="B190" s="450" t="s">
        <v>13202</v>
      </c>
      <c r="C190" s="450" t="n">
        <v>2012</v>
      </c>
      <c r="D190" s="451" t="n">
        <v>41038</v>
      </c>
      <c r="E190" s="452" t="s">
        <v>13203</v>
      </c>
      <c r="F190" s="378" t="s">
        <v>1357</v>
      </c>
      <c r="G190" s="452" t="s">
        <v>1174</v>
      </c>
      <c r="H190" s="378" t="s">
        <v>192</v>
      </c>
      <c r="I190" s="451" t="n">
        <v>43614</v>
      </c>
      <c r="J190" s="452" t="n">
        <v>5</v>
      </c>
      <c r="K190" s="552" t="s">
        <v>42</v>
      </c>
      <c r="L190" s="378" t="s">
        <v>60</v>
      </c>
      <c r="M190" s="546" t="n">
        <f aca="false">I190-D190</f>
        <v>2576</v>
      </c>
    </row>
    <row r="191" customFormat="false" ht="12.75" hidden="false" customHeight="true" outlineLevel="0" collapsed="false">
      <c r="A191" s="456" t="n">
        <v>19019</v>
      </c>
      <c r="B191" s="458" t="s">
        <v>13204</v>
      </c>
      <c r="C191" s="458" t="n">
        <v>2013</v>
      </c>
      <c r="D191" s="459" t="n">
        <v>41624</v>
      </c>
      <c r="E191" s="460" t="s">
        <v>13205</v>
      </c>
      <c r="F191" s="380" t="s">
        <v>382</v>
      </c>
      <c r="G191" s="460" t="s">
        <v>1174</v>
      </c>
      <c r="H191" s="380" t="s">
        <v>471</v>
      </c>
      <c r="I191" s="459" t="n">
        <v>43614</v>
      </c>
      <c r="J191" s="460" t="n">
        <v>5</v>
      </c>
      <c r="K191" s="587" t="s">
        <v>50</v>
      </c>
      <c r="L191" s="380" t="s">
        <v>60</v>
      </c>
      <c r="M191" s="545" t="n">
        <f aca="false">I191-D191</f>
        <v>1990</v>
      </c>
    </row>
    <row r="192" customFormat="false" ht="12.75" hidden="false" customHeight="true" outlineLevel="0" collapsed="false">
      <c r="A192" s="449" t="n">
        <v>19119</v>
      </c>
      <c r="B192" s="450" t="s">
        <v>13206</v>
      </c>
      <c r="C192" s="450" t="n">
        <v>2015</v>
      </c>
      <c r="D192" s="451" t="n">
        <v>42305</v>
      </c>
      <c r="E192" s="452" t="s">
        <v>13207</v>
      </c>
      <c r="F192" s="378" t="s">
        <v>3444</v>
      </c>
      <c r="G192" s="452" t="s">
        <v>1174</v>
      </c>
      <c r="H192" s="378" t="s">
        <v>9385</v>
      </c>
      <c r="I192" s="451" t="n">
        <v>43614</v>
      </c>
      <c r="J192" s="452" t="n">
        <v>5</v>
      </c>
      <c r="K192" s="587" t="s">
        <v>50</v>
      </c>
      <c r="L192" s="378" t="s">
        <v>58</v>
      </c>
      <c r="M192" s="546" t="n">
        <f aca="false">I192-D192</f>
        <v>1309</v>
      </c>
    </row>
    <row r="193" customFormat="false" ht="12.75" hidden="false" customHeight="true" outlineLevel="0" collapsed="false">
      <c r="A193" s="456" t="n">
        <v>19219</v>
      </c>
      <c r="B193" s="458" t="s">
        <v>13208</v>
      </c>
      <c r="C193" s="458" t="n">
        <v>2015</v>
      </c>
      <c r="D193" s="459" t="n">
        <v>42110</v>
      </c>
      <c r="E193" s="460" t="s">
        <v>13209</v>
      </c>
      <c r="F193" s="380" t="s">
        <v>3444</v>
      </c>
      <c r="G193" s="460" t="s">
        <v>1174</v>
      </c>
      <c r="H193" s="380" t="s">
        <v>373</v>
      </c>
      <c r="I193" s="459" t="n">
        <v>43614</v>
      </c>
      <c r="J193" s="460" t="n">
        <v>5</v>
      </c>
      <c r="K193" s="587" t="s">
        <v>50</v>
      </c>
      <c r="L193" s="380" t="s">
        <v>58</v>
      </c>
      <c r="M193" s="545" t="n">
        <f aca="false">I193-D193</f>
        <v>1504</v>
      </c>
    </row>
    <row r="194" customFormat="false" ht="12.75" hidden="false" customHeight="true" outlineLevel="0" collapsed="false">
      <c r="A194" s="449" t="n">
        <v>19319</v>
      </c>
      <c r="B194" s="450" t="s">
        <v>13210</v>
      </c>
      <c r="C194" s="450" t="n">
        <v>2014</v>
      </c>
      <c r="D194" s="451" t="n">
        <v>41974</v>
      </c>
      <c r="E194" s="452" t="s">
        <v>13211</v>
      </c>
      <c r="F194" s="378" t="s">
        <v>3444</v>
      </c>
      <c r="G194" s="452" t="s">
        <v>1174</v>
      </c>
      <c r="H194" s="378" t="s">
        <v>522</v>
      </c>
      <c r="I194" s="451" t="n">
        <v>43614</v>
      </c>
      <c r="J194" s="452" t="n">
        <v>5</v>
      </c>
      <c r="K194" s="587" t="s">
        <v>50</v>
      </c>
      <c r="L194" s="378" t="s">
        <v>58</v>
      </c>
      <c r="M194" s="546" t="n">
        <f aca="false">I194-D194</f>
        <v>1640</v>
      </c>
    </row>
    <row r="195" customFormat="false" ht="12.75" hidden="false" customHeight="true" outlineLevel="0" collapsed="false">
      <c r="A195" s="456" t="n">
        <v>19419</v>
      </c>
      <c r="B195" s="458" t="s">
        <v>13212</v>
      </c>
      <c r="C195" s="458" t="n">
        <v>2014</v>
      </c>
      <c r="D195" s="459" t="n">
        <v>41778</v>
      </c>
      <c r="E195" s="460" t="s">
        <v>13213</v>
      </c>
      <c r="F195" s="380" t="s">
        <v>3444</v>
      </c>
      <c r="G195" s="460" t="s">
        <v>1174</v>
      </c>
      <c r="H195" s="380" t="s">
        <v>192</v>
      </c>
      <c r="I195" s="459" t="n">
        <v>43614</v>
      </c>
      <c r="J195" s="460" t="n">
        <v>5</v>
      </c>
      <c r="K195" s="587" t="s">
        <v>50</v>
      </c>
      <c r="L195" s="380" t="s">
        <v>58</v>
      </c>
      <c r="M195" s="545" t="n">
        <f aca="false">I195-D195</f>
        <v>1836</v>
      </c>
    </row>
    <row r="196" customFormat="false" ht="12.75" hidden="false" customHeight="true" outlineLevel="0" collapsed="false">
      <c r="A196" s="449" t="n">
        <v>19519</v>
      </c>
      <c r="B196" s="450" t="s">
        <v>13214</v>
      </c>
      <c r="C196" s="450" t="n">
        <v>2013</v>
      </c>
      <c r="D196" s="451" t="n">
        <v>41495</v>
      </c>
      <c r="E196" s="452" t="s">
        <v>13215</v>
      </c>
      <c r="F196" s="378" t="s">
        <v>3444</v>
      </c>
      <c r="G196" s="452" t="s">
        <v>1174</v>
      </c>
      <c r="H196" s="378" t="s">
        <v>1567</v>
      </c>
      <c r="I196" s="451" t="n">
        <v>43614</v>
      </c>
      <c r="J196" s="452" t="n">
        <v>5</v>
      </c>
      <c r="K196" s="587" t="s">
        <v>50</v>
      </c>
      <c r="L196" s="378" t="s">
        <v>58</v>
      </c>
      <c r="M196" s="546" t="n">
        <f aca="false">I196-D196</f>
        <v>2119</v>
      </c>
    </row>
    <row r="197" customFormat="false" ht="15.75" hidden="false" customHeight="true" outlineLevel="0" collapsed="false">
      <c r="A197" s="456" t="n">
        <v>19619</v>
      </c>
      <c r="B197" s="458" t="s">
        <v>13216</v>
      </c>
      <c r="C197" s="458" t="n">
        <v>2012</v>
      </c>
      <c r="D197" s="459" t="n">
        <v>41222</v>
      </c>
      <c r="E197" s="460" t="s">
        <v>13217</v>
      </c>
      <c r="F197" s="380" t="s">
        <v>1097</v>
      </c>
      <c r="G197" s="460" t="s">
        <v>1174</v>
      </c>
      <c r="H197" s="380" t="s">
        <v>184</v>
      </c>
      <c r="I197" s="459" t="n">
        <v>43616</v>
      </c>
      <c r="J197" s="460" t="n">
        <v>5</v>
      </c>
      <c r="K197" s="552" t="s">
        <v>42</v>
      </c>
      <c r="L197" s="380" t="s">
        <v>60</v>
      </c>
      <c r="M197" s="545" t="n">
        <f aca="false">I197-D197</f>
        <v>2394</v>
      </c>
    </row>
    <row r="198" customFormat="false" ht="12.75" hidden="false" customHeight="true" outlineLevel="0" collapsed="false">
      <c r="A198" s="449" t="n">
        <v>19719</v>
      </c>
      <c r="B198" s="450" t="s">
        <v>13218</v>
      </c>
      <c r="C198" s="450" t="n">
        <v>2016</v>
      </c>
      <c r="D198" s="451" t="n">
        <v>42550</v>
      </c>
      <c r="E198" s="452" t="s">
        <v>13219</v>
      </c>
      <c r="F198" s="378" t="s">
        <v>1916</v>
      </c>
      <c r="G198" s="452" t="s">
        <v>1174</v>
      </c>
      <c r="H198" s="378" t="s">
        <v>471</v>
      </c>
      <c r="I198" s="451" t="n">
        <v>43616</v>
      </c>
      <c r="J198" s="452" t="n">
        <v>5</v>
      </c>
      <c r="K198" s="548" t="s">
        <v>47</v>
      </c>
      <c r="L198" s="378" t="s">
        <v>58</v>
      </c>
      <c r="M198" s="546" t="n">
        <f aca="false">I198-D198</f>
        <v>1066</v>
      </c>
    </row>
    <row r="199" customFormat="false" ht="15.75" hidden="false" customHeight="true" outlineLevel="0" collapsed="false">
      <c r="A199" s="456" t="n">
        <v>19819</v>
      </c>
      <c r="B199" s="458" t="s">
        <v>13220</v>
      </c>
      <c r="C199" s="458" t="n">
        <v>2016</v>
      </c>
      <c r="D199" s="459" t="n">
        <v>42618</v>
      </c>
      <c r="E199" s="460" t="s">
        <v>13221</v>
      </c>
      <c r="F199" s="380" t="s">
        <v>699</v>
      </c>
      <c r="G199" s="460" t="s">
        <v>1174</v>
      </c>
      <c r="H199" s="380" t="s">
        <v>192</v>
      </c>
      <c r="I199" s="459" t="n">
        <v>43616</v>
      </c>
      <c r="J199" s="460" t="n">
        <v>5</v>
      </c>
      <c r="K199" s="552" t="s">
        <v>42</v>
      </c>
      <c r="L199" s="380" t="s">
        <v>60</v>
      </c>
      <c r="M199" s="545" t="n">
        <f aca="false">I199-D199</f>
        <v>998</v>
      </c>
    </row>
    <row r="200" customFormat="false" ht="12.75" hidden="false" customHeight="true" outlineLevel="0" collapsed="false">
      <c r="A200" s="449" t="n">
        <v>19919</v>
      </c>
      <c r="B200" s="450" t="s">
        <v>13222</v>
      </c>
      <c r="C200" s="450" t="n">
        <v>2016</v>
      </c>
      <c r="D200" s="451" t="n">
        <v>42618</v>
      </c>
      <c r="E200" s="452" t="s">
        <v>13223</v>
      </c>
      <c r="F200" s="378" t="s">
        <v>699</v>
      </c>
      <c r="G200" s="452" t="s">
        <v>1174</v>
      </c>
      <c r="H200" s="378" t="s">
        <v>267</v>
      </c>
      <c r="I200" s="451" t="n">
        <v>43616</v>
      </c>
      <c r="J200" s="452" t="n">
        <v>5</v>
      </c>
      <c r="K200" s="552" t="s">
        <v>42</v>
      </c>
      <c r="L200" s="378" t="s">
        <v>60</v>
      </c>
      <c r="M200" s="546" t="n">
        <f aca="false">I200-D200</f>
        <v>998</v>
      </c>
    </row>
    <row r="201" customFormat="false" ht="14.25" hidden="false" customHeight="true" outlineLevel="0" collapsed="false">
      <c r="A201" s="456" t="n">
        <v>20019</v>
      </c>
      <c r="B201" s="458" t="s">
        <v>13224</v>
      </c>
      <c r="C201" s="458" t="n">
        <v>2015</v>
      </c>
      <c r="D201" s="459" t="n">
        <v>42312</v>
      </c>
      <c r="E201" s="460" t="s">
        <v>13225</v>
      </c>
      <c r="F201" s="380" t="s">
        <v>12900</v>
      </c>
      <c r="G201" s="460" t="s">
        <v>1174</v>
      </c>
      <c r="H201" s="380" t="s">
        <v>208</v>
      </c>
      <c r="I201" s="459" t="n">
        <v>43616</v>
      </c>
      <c r="J201" s="460" t="n">
        <v>5</v>
      </c>
      <c r="K201" s="548" t="s">
        <v>47</v>
      </c>
      <c r="L201" s="380" t="s">
        <v>60</v>
      </c>
      <c r="M201" s="545" t="n">
        <f aca="false">I201-D201</f>
        <v>1304</v>
      </c>
    </row>
    <row r="202" customFormat="false" ht="12.75" hidden="false" customHeight="true" outlineLevel="0" collapsed="false">
      <c r="A202" s="449" t="n">
        <v>20119</v>
      </c>
      <c r="B202" s="450" t="s">
        <v>13226</v>
      </c>
      <c r="C202" s="450" t="n">
        <v>2009</v>
      </c>
      <c r="D202" s="451" t="n">
        <v>40092</v>
      </c>
      <c r="E202" s="452" t="s">
        <v>13227</v>
      </c>
      <c r="F202" s="378" t="s">
        <v>13228</v>
      </c>
      <c r="G202" s="452" t="s">
        <v>1174</v>
      </c>
      <c r="H202" s="378" t="s">
        <v>10110</v>
      </c>
      <c r="I202" s="451" t="n">
        <v>43616</v>
      </c>
      <c r="J202" s="452" t="n">
        <v>5</v>
      </c>
      <c r="K202" s="548" t="s">
        <v>47</v>
      </c>
      <c r="L202" s="378" t="s">
        <v>58</v>
      </c>
      <c r="M202" s="546" t="n">
        <f aca="false">I202-D202</f>
        <v>3524</v>
      </c>
    </row>
    <row r="203" customFormat="false" ht="12.75" hidden="true" customHeight="true" outlineLevel="0" collapsed="false">
      <c r="A203" s="456" t="n">
        <v>20219</v>
      </c>
      <c r="B203" s="458" t="s">
        <v>13229</v>
      </c>
      <c r="C203" s="458" t="n">
        <v>2015</v>
      </c>
      <c r="D203" s="459" t="n">
        <v>42262</v>
      </c>
      <c r="E203" s="460" t="s">
        <v>13230</v>
      </c>
      <c r="F203" s="380" t="s">
        <v>13231</v>
      </c>
      <c r="G203" s="460" t="s">
        <v>441</v>
      </c>
      <c r="H203" s="380" t="s">
        <v>5486</v>
      </c>
      <c r="I203" s="459" t="n">
        <v>43626</v>
      </c>
      <c r="J203" s="460" t="n">
        <v>6</v>
      </c>
      <c r="K203" s="556" t="s">
        <v>45</v>
      </c>
      <c r="L203" s="380" t="s">
        <v>58</v>
      </c>
      <c r="M203" s="545" t="n">
        <f aca="false">I203-D203</f>
        <v>1364</v>
      </c>
    </row>
    <row r="204" customFormat="false" ht="12.75" hidden="true" customHeight="true" outlineLevel="0" collapsed="false">
      <c r="A204" s="449" t="n">
        <v>20319</v>
      </c>
      <c r="B204" s="450" t="s">
        <v>13232</v>
      </c>
      <c r="C204" s="450" t="n">
        <v>2017</v>
      </c>
      <c r="D204" s="451" t="n">
        <v>42964</v>
      </c>
      <c r="E204" s="452" t="s">
        <v>13233</v>
      </c>
      <c r="F204" s="378" t="s">
        <v>6303</v>
      </c>
      <c r="G204" s="452" t="s">
        <v>130</v>
      </c>
      <c r="H204" s="378" t="s">
        <v>3988</v>
      </c>
      <c r="I204" s="451" t="n">
        <v>43626</v>
      </c>
      <c r="J204" s="452" t="n">
        <v>6</v>
      </c>
      <c r="K204" s="587" t="s">
        <v>50</v>
      </c>
      <c r="L204" s="378" t="s">
        <v>61</v>
      </c>
      <c r="M204" s="546" t="n">
        <f aca="false">I204-D204</f>
        <v>662</v>
      </c>
    </row>
    <row r="205" customFormat="false" ht="12.75" hidden="true" customHeight="true" outlineLevel="0" collapsed="false">
      <c r="A205" s="456" t="n">
        <v>20419</v>
      </c>
      <c r="B205" s="458" t="s">
        <v>13234</v>
      </c>
      <c r="C205" s="458" t="n">
        <v>2012</v>
      </c>
      <c r="D205" s="459" t="n">
        <v>41124</v>
      </c>
      <c r="E205" s="460" t="s">
        <v>13235</v>
      </c>
      <c r="F205" s="380" t="s">
        <v>180</v>
      </c>
      <c r="G205" s="460" t="s">
        <v>441</v>
      </c>
      <c r="H205" s="380" t="s">
        <v>471</v>
      </c>
      <c r="I205" s="459" t="n">
        <v>43626</v>
      </c>
      <c r="J205" s="460" t="n">
        <v>6</v>
      </c>
      <c r="K205" s="548" t="s">
        <v>47</v>
      </c>
      <c r="L205" s="380" t="s">
        <v>58</v>
      </c>
      <c r="M205" s="545" t="n">
        <f aca="false">I205-D205</f>
        <v>2502</v>
      </c>
    </row>
    <row r="206" customFormat="false" ht="12.75" hidden="true" customHeight="true" outlineLevel="0" collapsed="false">
      <c r="A206" s="449" t="n">
        <v>20519</v>
      </c>
      <c r="B206" s="450" t="s">
        <v>13236</v>
      </c>
      <c r="C206" s="450" t="n">
        <v>2015</v>
      </c>
      <c r="D206" s="451" t="n">
        <v>42268</v>
      </c>
      <c r="E206" s="452" t="s">
        <v>13237</v>
      </c>
      <c r="F206" s="378" t="s">
        <v>4956</v>
      </c>
      <c r="G206" s="452" t="s">
        <v>441</v>
      </c>
      <c r="H206" s="378" t="s">
        <v>184</v>
      </c>
      <c r="I206" s="451" t="n">
        <v>43626</v>
      </c>
      <c r="J206" s="452" t="n">
        <v>6</v>
      </c>
      <c r="K206" s="552" t="s">
        <v>42</v>
      </c>
      <c r="L206" s="378" t="s">
        <v>58</v>
      </c>
      <c r="M206" s="546" t="n">
        <f aca="false">I206-D206</f>
        <v>1358</v>
      </c>
    </row>
    <row r="207" customFormat="false" ht="12.75" hidden="true" customHeight="true" outlineLevel="0" collapsed="false">
      <c r="A207" s="456" t="n">
        <v>20619</v>
      </c>
      <c r="B207" s="458" t="s">
        <v>13238</v>
      </c>
      <c r="C207" s="458" t="n">
        <v>2012</v>
      </c>
      <c r="D207" s="459" t="n">
        <v>41124</v>
      </c>
      <c r="E207" s="460" t="s">
        <v>13239</v>
      </c>
      <c r="F207" s="380" t="s">
        <v>180</v>
      </c>
      <c r="G207" s="460" t="s">
        <v>441</v>
      </c>
      <c r="H207" s="380" t="s">
        <v>471</v>
      </c>
      <c r="I207" s="459" t="n">
        <v>43626</v>
      </c>
      <c r="J207" s="460" t="n">
        <v>6</v>
      </c>
      <c r="K207" s="548" t="s">
        <v>47</v>
      </c>
      <c r="L207" s="380" t="s">
        <v>58</v>
      </c>
      <c r="M207" s="545" t="n">
        <f aca="false">I207-D207</f>
        <v>2502</v>
      </c>
    </row>
    <row r="208" customFormat="false" ht="12.75" hidden="true" customHeight="true" outlineLevel="0" collapsed="false">
      <c r="A208" s="449" t="n">
        <v>20719</v>
      </c>
      <c r="B208" s="450" t="s">
        <v>13240</v>
      </c>
      <c r="C208" s="450" t="n">
        <v>2012</v>
      </c>
      <c r="D208" s="451" t="n">
        <v>40910</v>
      </c>
      <c r="E208" s="452" t="s">
        <v>13241</v>
      </c>
      <c r="F208" s="378" t="s">
        <v>176</v>
      </c>
      <c r="G208" s="452" t="s">
        <v>441</v>
      </c>
      <c r="H208" s="378" t="s">
        <v>1072</v>
      </c>
      <c r="I208" s="451" t="n">
        <v>43626</v>
      </c>
      <c r="J208" s="452" t="n">
        <v>6</v>
      </c>
      <c r="K208" s="548" t="s">
        <v>47</v>
      </c>
      <c r="L208" s="378" t="s">
        <v>58</v>
      </c>
      <c r="M208" s="546" t="n">
        <f aca="false">I208-D208</f>
        <v>2716</v>
      </c>
    </row>
    <row r="209" customFormat="false" ht="12.75" hidden="true" customHeight="true" outlineLevel="0" collapsed="false">
      <c r="A209" s="456" t="n">
        <v>20819</v>
      </c>
      <c r="B209" s="458" t="s">
        <v>13242</v>
      </c>
      <c r="C209" s="458" t="n">
        <v>2014</v>
      </c>
      <c r="D209" s="459" t="n">
        <v>41676</v>
      </c>
      <c r="E209" s="460" t="s">
        <v>13243</v>
      </c>
      <c r="F209" s="380" t="s">
        <v>7411</v>
      </c>
      <c r="G209" s="460" t="s">
        <v>144</v>
      </c>
      <c r="H209" s="380" t="s">
        <v>1567</v>
      </c>
      <c r="I209" s="459" t="n">
        <v>43626</v>
      </c>
      <c r="J209" s="460" t="n">
        <v>6</v>
      </c>
      <c r="K209" s="556" t="s">
        <v>45</v>
      </c>
      <c r="L209" s="380" t="s">
        <v>60</v>
      </c>
      <c r="M209" s="545" t="n">
        <f aca="false">I209-D209</f>
        <v>1950</v>
      </c>
    </row>
    <row r="210" customFormat="false" ht="12.75" hidden="true" customHeight="true" outlineLevel="0" collapsed="false">
      <c r="A210" s="449" t="n">
        <v>20919</v>
      </c>
      <c r="B210" s="450" t="s">
        <v>13244</v>
      </c>
      <c r="C210" s="450" t="n">
        <v>2015</v>
      </c>
      <c r="D210" s="451" t="n">
        <v>42199</v>
      </c>
      <c r="E210" s="452" t="s">
        <v>13245</v>
      </c>
      <c r="F210" s="378" t="s">
        <v>1097</v>
      </c>
      <c r="G210" s="452" t="s">
        <v>144</v>
      </c>
      <c r="H210" s="378" t="s">
        <v>10110</v>
      </c>
      <c r="I210" s="451" t="n">
        <v>43626</v>
      </c>
      <c r="J210" s="452" t="n">
        <v>6</v>
      </c>
      <c r="K210" s="552" t="s">
        <v>42</v>
      </c>
      <c r="L210" s="378" t="s">
        <v>60</v>
      </c>
      <c r="M210" s="546" t="n">
        <f aca="false">I210-D210</f>
        <v>1427</v>
      </c>
    </row>
    <row r="211" customFormat="false" ht="12.75" hidden="false" customHeight="true" outlineLevel="0" collapsed="false">
      <c r="A211" s="456" t="n">
        <v>21019</v>
      </c>
      <c r="B211" s="458" t="s">
        <v>13246</v>
      </c>
      <c r="C211" s="458" t="n">
        <v>2015</v>
      </c>
      <c r="D211" s="459" t="n">
        <v>42102</v>
      </c>
      <c r="E211" s="460" t="s">
        <v>13247</v>
      </c>
      <c r="F211" s="380" t="s">
        <v>823</v>
      </c>
      <c r="G211" s="460" t="s">
        <v>1174</v>
      </c>
      <c r="H211" s="380" t="s">
        <v>1072</v>
      </c>
      <c r="I211" s="459" t="n">
        <v>43629</v>
      </c>
      <c r="J211" s="460" t="n">
        <v>6</v>
      </c>
      <c r="K211" s="548" t="s">
        <v>47</v>
      </c>
      <c r="L211" s="380" t="s">
        <v>58</v>
      </c>
      <c r="M211" s="545" t="n">
        <f aca="false">I211-D211</f>
        <v>1527</v>
      </c>
    </row>
    <row r="212" customFormat="false" ht="12.75" hidden="true" customHeight="true" outlineLevel="0" collapsed="false">
      <c r="A212" s="449" t="n">
        <v>21119</v>
      </c>
      <c r="B212" s="450" t="s">
        <v>13248</v>
      </c>
      <c r="C212" s="450" t="n">
        <v>2016</v>
      </c>
      <c r="D212" s="451" t="n">
        <v>42720</v>
      </c>
      <c r="E212" s="452" t="s">
        <v>13249</v>
      </c>
      <c r="F212" s="378" t="s">
        <v>11013</v>
      </c>
      <c r="G212" s="452" t="s">
        <v>1188</v>
      </c>
      <c r="H212" s="378" t="s">
        <v>10110</v>
      </c>
      <c r="I212" s="451" t="n">
        <v>43633</v>
      </c>
      <c r="J212" s="452" t="n">
        <v>6</v>
      </c>
      <c r="K212" s="548" t="s">
        <v>47</v>
      </c>
      <c r="L212" s="378" t="s">
        <v>60</v>
      </c>
      <c r="M212" s="546" t="n">
        <f aca="false">I212-D212</f>
        <v>913</v>
      </c>
    </row>
    <row r="213" customFormat="false" ht="12.75" hidden="true" customHeight="true" outlineLevel="0" collapsed="false">
      <c r="A213" s="456" t="n">
        <v>21219</v>
      </c>
      <c r="B213" s="458" t="s">
        <v>13250</v>
      </c>
      <c r="C213" s="458" t="n">
        <v>2016</v>
      </c>
      <c r="D213" s="459" t="n">
        <v>42508</v>
      </c>
      <c r="E213" s="460" t="s">
        <v>13251</v>
      </c>
      <c r="F213" s="380" t="s">
        <v>446</v>
      </c>
      <c r="G213" s="460" t="s">
        <v>441</v>
      </c>
      <c r="H213" s="380" t="s">
        <v>192</v>
      </c>
      <c r="I213" s="459" t="n">
        <v>43635</v>
      </c>
      <c r="J213" s="460" t="n">
        <v>6</v>
      </c>
      <c r="K213" s="552" t="s">
        <v>42</v>
      </c>
      <c r="L213" s="380" t="s">
        <v>60</v>
      </c>
      <c r="M213" s="545" t="n">
        <f aca="false">I213-D213</f>
        <v>1127</v>
      </c>
    </row>
    <row r="214" customFormat="false" ht="12.75" hidden="true" customHeight="true" outlineLevel="0" collapsed="false">
      <c r="A214" s="449" t="n">
        <v>21319</v>
      </c>
      <c r="B214" s="450" t="s">
        <v>13252</v>
      </c>
      <c r="C214" s="450" t="n">
        <v>2016</v>
      </c>
      <c r="D214" s="451" t="n">
        <v>42733</v>
      </c>
      <c r="E214" s="452" t="s">
        <v>13253</v>
      </c>
      <c r="F214" s="378" t="s">
        <v>1196</v>
      </c>
      <c r="G214" s="452" t="s">
        <v>441</v>
      </c>
      <c r="H214" s="378" t="s">
        <v>1109</v>
      </c>
      <c r="I214" s="451" t="n">
        <v>43635</v>
      </c>
      <c r="J214" s="452" t="n">
        <v>6</v>
      </c>
      <c r="K214" s="548" t="s">
        <v>47</v>
      </c>
      <c r="L214" s="378" t="s">
        <v>60</v>
      </c>
      <c r="M214" s="546" t="n">
        <f aca="false">I214-D214</f>
        <v>902</v>
      </c>
    </row>
    <row r="215" customFormat="false" ht="12.75" hidden="true" customHeight="true" outlineLevel="0" collapsed="false">
      <c r="A215" s="456" t="n">
        <v>21419</v>
      </c>
      <c r="B215" s="458" t="s">
        <v>13254</v>
      </c>
      <c r="C215" s="458" t="n">
        <v>2018</v>
      </c>
      <c r="D215" s="459" t="n">
        <v>43322</v>
      </c>
      <c r="E215" s="460" t="s">
        <v>13255</v>
      </c>
      <c r="F215" s="380" t="s">
        <v>12939</v>
      </c>
      <c r="G215" s="460" t="s">
        <v>125</v>
      </c>
      <c r="H215" s="380" t="s">
        <v>13256</v>
      </c>
      <c r="I215" s="459" t="n">
        <v>43635</v>
      </c>
      <c r="J215" s="460" t="n">
        <v>6</v>
      </c>
      <c r="K215" s="587" t="s">
        <v>50</v>
      </c>
      <c r="L215" s="380" t="s">
        <v>61</v>
      </c>
      <c r="M215" s="545" t="n">
        <f aca="false">I215-D215</f>
        <v>313</v>
      </c>
    </row>
    <row r="216" customFormat="false" ht="12.75" hidden="true" customHeight="true" outlineLevel="0" collapsed="false">
      <c r="A216" s="449" t="n">
        <v>21519</v>
      </c>
      <c r="B216" s="450" t="s">
        <v>13257</v>
      </c>
      <c r="C216" s="450" t="n">
        <v>2018</v>
      </c>
      <c r="D216" s="451" t="n">
        <v>43402</v>
      </c>
      <c r="E216" s="452" t="s">
        <v>13258</v>
      </c>
      <c r="F216" s="378" t="s">
        <v>13259</v>
      </c>
      <c r="G216" s="452" t="s">
        <v>125</v>
      </c>
      <c r="H216" s="378" t="s">
        <v>254</v>
      </c>
      <c r="I216" s="451" t="n">
        <v>43635</v>
      </c>
      <c r="J216" s="452" t="n">
        <v>6</v>
      </c>
      <c r="K216" s="548" t="s">
        <v>47</v>
      </c>
      <c r="L216" s="378" t="s">
        <v>61</v>
      </c>
      <c r="M216" s="546" t="n">
        <f aca="false">I216-D216</f>
        <v>233</v>
      </c>
    </row>
    <row r="217" customFormat="false" ht="12.75" hidden="true" customHeight="true" outlineLevel="0" collapsed="false">
      <c r="A217" s="456" t="n">
        <v>21619</v>
      </c>
      <c r="B217" s="458" t="s">
        <v>13260</v>
      </c>
      <c r="C217" s="458" t="n">
        <v>2015</v>
      </c>
      <c r="D217" s="459" t="n">
        <v>42235</v>
      </c>
      <c r="E217" s="460" t="s">
        <v>13261</v>
      </c>
      <c r="F217" s="380" t="s">
        <v>13262</v>
      </c>
      <c r="G217" s="460" t="s">
        <v>144</v>
      </c>
      <c r="H217" s="380" t="s">
        <v>267</v>
      </c>
      <c r="I217" s="459" t="n">
        <v>43635</v>
      </c>
      <c r="J217" s="460" t="n">
        <v>6</v>
      </c>
      <c r="K217" s="556" t="s">
        <v>45</v>
      </c>
      <c r="L217" s="380" t="s">
        <v>58</v>
      </c>
      <c r="M217" s="545" t="n">
        <f aca="false">I217-D217</f>
        <v>1400</v>
      </c>
    </row>
    <row r="218" customFormat="false" ht="12.75" hidden="true" customHeight="true" outlineLevel="0" collapsed="false">
      <c r="A218" s="449" t="n">
        <v>21719</v>
      </c>
      <c r="B218" s="450" t="s">
        <v>13263</v>
      </c>
      <c r="C218" s="450" t="n">
        <v>2014</v>
      </c>
      <c r="D218" s="451" t="n">
        <v>41717</v>
      </c>
      <c r="E218" s="452" t="s">
        <v>13264</v>
      </c>
      <c r="F218" s="378" t="s">
        <v>689</v>
      </c>
      <c r="G218" s="452" t="s">
        <v>441</v>
      </c>
      <c r="H218" s="378" t="s">
        <v>2677</v>
      </c>
      <c r="I218" s="451" t="n">
        <v>43644</v>
      </c>
      <c r="J218" s="452" t="n">
        <v>6</v>
      </c>
      <c r="K218" s="548" t="s">
        <v>47</v>
      </c>
      <c r="L218" s="378" t="s">
        <v>60</v>
      </c>
      <c r="M218" s="546" t="n">
        <f aca="false">I218-D218</f>
        <v>1927</v>
      </c>
    </row>
    <row r="219" customFormat="false" ht="12.75" hidden="true" customHeight="true" outlineLevel="0" collapsed="false">
      <c r="A219" s="456" t="n">
        <v>21819</v>
      </c>
      <c r="B219" s="458" t="s">
        <v>13265</v>
      </c>
      <c r="C219" s="458" t="n">
        <v>2011</v>
      </c>
      <c r="D219" s="459" t="n">
        <v>40605</v>
      </c>
      <c r="E219" s="460" t="s">
        <v>13266</v>
      </c>
      <c r="F219" s="380" t="s">
        <v>10814</v>
      </c>
      <c r="G219" s="460" t="s">
        <v>144</v>
      </c>
      <c r="H219" s="380" t="s">
        <v>10110</v>
      </c>
      <c r="I219" s="459" t="n">
        <v>43644</v>
      </c>
      <c r="J219" s="460" t="n">
        <v>6</v>
      </c>
      <c r="K219" s="552" t="s">
        <v>42</v>
      </c>
      <c r="L219" s="380" t="s">
        <v>60</v>
      </c>
      <c r="M219" s="545" t="n">
        <f aca="false">I219-D219</f>
        <v>3039</v>
      </c>
    </row>
    <row r="220" customFormat="false" ht="12.75" hidden="true" customHeight="true" outlineLevel="0" collapsed="false">
      <c r="A220" s="449" t="n">
        <v>21919</v>
      </c>
      <c r="B220" s="450" t="s">
        <v>13267</v>
      </c>
      <c r="C220" s="450" t="n">
        <v>2009</v>
      </c>
      <c r="D220" s="451" t="n">
        <v>40168</v>
      </c>
      <c r="E220" s="452" t="s">
        <v>13268</v>
      </c>
      <c r="F220" s="378" t="s">
        <v>13269</v>
      </c>
      <c r="G220" s="452" t="s">
        <v>144</v>
      </c>
      <c r="H220" s="378" t="s">
        <v>3493</v>
      </c>
      <c r="I220" s="451" t="n">
        <v>43644</v>
      </c>
      <c r="J220" s="452" t="n">
        <v>6</v>
      </c>
      <c r="K220" s="548" t="s">
        <v>47</v>
      </c>
      <c r="L220" s="378" t="s">
        <v>57</v>
      </c>
      <c r="M220" s="546" t="n">
        <f aca="false">I220-D220</f>
        <v>3476</v>
      </c>
    </row>
    <row r="221" customFormat="false" ht="12.75" hidden="true" customHeight="true" outlineLevel="0" collapsed="false">
      <c r="A221" s="456" t="n">
        <v>22019</v>
      </c>
      <c r="B221" s="458" t="s">
        <v>13270</v>
      </c>
      <c r="C221" s="458" t="n">
        <v>2018</v>
      </c>
      <c r="D221" s="459" t="n">
        <v>43418</v>
      </c>
      <c r="E221" s="460" t="s">
        <v>13271</v>
      </c>
      <c r="F221" s="380" t="s">
        <v>6315</v>
      </c>
      <c r="G221" s="460" t="s">
        <v>130</v>
      </c>
      <c r="H221" s="380" t="s">
        <v>3579</v>
      </c>
      <c r="I221" s="459" t="n">
        <v>43644</v>
      </c>
      <c r="J221" s="460" t="n">
        <v>6</v>
      </c>
      <c r="K221" s="587" t="s">
        <v>50</v>
      </c>
      <c r="L221" s="380" t="s">
        <v>61</v>
      </c>
      <c r="M221" s="545" t="n">
        <f aca="false">I221-D221</f>
        <v>226</v>
      </c>
    </row>
    <row r="222" customFormat="false" ht="12.75" hidden="true" customHeight="true" outlineLevel="0" collapsed="false">
      <c r="A222" s="449" t="n">
        <v>22119</v>
      </c>
      <c r="B222" s="450" t="s">
        <v>13272</v>
      </c>
      <c r="C222" s="450" t="n">
        <v>2018</v>
      </c>
      <c r="D222" s="451" t="n">
        <v>43418</v>
      </c>
      <c r="E222" s="452" t="s">
        <v>13273</v>
      </c>
      <c r="F222" s="378" t="s">
        <v>6303</v>
      </c>
      <c r="G222" s="452" t="s">
        <v>130</v>
      </c>
      <c r="H222" s="378" t="s">
        <v>11010</v>
      </c>
      <c r="I222" s="451" t="n">
        <v>43651</v>
      </c>
      <c r="J222" s="452" t="n">
        <v>7</v>
      </c>
      <c r="K222" s="587" t="s">
        <v>50</v>
      </c>
      <c r="L222" s="378" t="s">
        <v>61</v>
      </c>
      <c r="M222" s="546" t="n">
        <f aca="false">I222-D222</f>
        <v>233</v>
      </c>
    </row>
    <row r="223" customFormat="false" ht="12.75" hidden="true" customHeight="true" outlineLevel="0" collapsed="false">
      <c r="A223" s="456" t="n">
        <v>22219</v>
      </c>
      <c r="B223" s="458" t="s">
        <v>13274</v>
      </c>
      <c r="C223" s="458" t="n">
        <v>2013</v>
      </c>
      <c r="D223" s="459" t="n">
        <v>41431</v>
      </c>
      <c r="E223" s="460" t="s">
        <v>13275</v>
      </c>
      <c r="F223" s="380" t="s">
        <v>449</v>
      </c>
      <c r="G223" s="460" t="s">
        <v>441</v>
      </c>
      <c r="H223" s="380" t="s">
        <v>267</v>
      </c>
      <c r="I223" s="459" t="n">
        <v>43651</v>
      </c>
      <c r="J223" s="460" t="n">
        <v>7</v>
      </c>
      <c r="K223" s="548" t="s">
        <v>47</v>
      </c>
      <c r="L223" s="380" t="s">
        <v>58</v>
      </c>
      <c r="M223" s="545" t="n">
        <f aca="false">I223-D223</f>
        <v>2220</v>
      </c>
    </row>
    <row r="224" customFormat="false" ht="12.75" hidden="true" customHeight="true" outlineLevel="0" collapsed="false">
      <c r="A224" s="449" t="n">
        <v>22319</v>
      </c>
      <c r="B224" s="450" t="s">
        <v>13276</v>
      </c>
      <c r="C224" s="450" t="n">
        <v>2012</v>
      </c>
      <c r="D224" s="451" t="n">
        <v>41264</v>
      </c>
      <c r="E224" s="452" t="s">
        <v>13277</v>
      </c>
      <c r="F224" s="378" t="s">
        <v>3991</v>
      </c>
      <c r="G224" s="452" t="s">
        <v>441</v>
      </c>
      <c r="H224" s="378" t="s">
        <v>208</v>
      </c>
      <c r="I224" s="451" t="n">
        <v>43651</v>
      </c>
      <c r="J224" s="452" t="n">
        <v>7</v>
      </c>
      <c r="K224" s="552" t="s">
        <v>42</v>
      </c>
      <c r="L224" s="378" t="s">
        <v>58</v>
      </c>
      <c r="M224" s="546" t="n">
        <f aca="false">I224-D224</f>
        <v>2387</v>
      </c>
    </row>
    <row r="225" customFormat="false" ht="12.75" hidden="true" customHeight="true" outlineLevel="0" collapsed="false">
      <c r="A225" s="456" t="n">
        <v>22419</v>
      </c>
      <c r="B225" s="458" t="s">
        <v>13278</v>
      </c>
      <c r="C225" s="458" t="n">
        <v>2015</v>
      </c>
      <c r="D225" s="459" t="n">
        <v>42103</v>
      </c>
      <c r="E225" s="460" t="s">
        <v>13279</v>
      </c>
      <c r="F225" s="380" t="s">
        <v>569</v>
      </c>
      <c r="G225" s="460" t="s">
        <v>441</v>
      </c>
      <c r="H225" s="380" t="s">
        <v>1042</v>
      </c>
      <c r="I225" s="459" t="n">
        <v>43651</v>
      </c>
      <c r="J225" s="460" t="n">
        <v>7</v>
      </c>
      <c r="K225" s="548" t="s">
        <v>47</v>
      </c>
      <c r="L225" s="380" t="s">
        <v>58</v>
      </c>
      <c r="M225" s="545" t="n">
        <f aca="false">I225-D225</f>
        <v>1548</v>
      </c>
    </row>
    <row r="226" customFormat="false" ht="12.75" hidden="true" customHeight="true" outlineLevel="0" collapsed="false">
      <c r="A226" s="449" t="n">
        <v>22519</v>
      </c>
      <c r="B226" s="450" t="s">
        <v>13280</v>
      </c>
      <c r="C226" s="450" t="n">
        <v>2018</v>
      </c>
      <c r="D226" s="451" t="n">
        <v>43305</v>
      </c>
      <c r="E226" s="452" t="s">
        <v>13281</v>
      </c>
      <c r="F226" s="378" t="s">
        <v>6315</v>
      </c>
      <c r="G226" s="452" t="s">
        <v>130</v>
      </c>
      <c r="H226" s="378" t="s">
        <v>13282</v>
      </c>
      <c r="I226" s="451" t="n">
        <v>43651</v>
      </c>
      <c r="J226" s="452" t="n">
        <v>7</v>
      </c>
      <c r="K226" s="587" t="s">
        <v>50</v>
      </c>
      <c r="L226" s="378" t="s">
        <v>61</v>
      </c>
      <c r="M226" s="546" t="n">
        <f aca="false">I226-D226</f>
        <v>346</v>
      </c>
    </row>
    <row r="227" customFormat="false" ht="12.75" hidden="true" customHeight="true" outlineLevel="0" collapsed="false">
      <c r="A227" s="456" t="n">
        <v>22619</v>
      </c>
      <c r="B227" s="458" t="s">
        <v>13283</v>
      </c>
      <c r="C227" s="458" t="n">
        <v>2017</v>
      </c>
      <c r="D227" s="459" t="n">
        <v>42858</v>
      </c>
      <c r="E227" s="460" t="s">
        <v>13284</v>
      </c>
      <c r="F227" s="380" t="s">
        <v>13285</v>
      </c>
      <c r="G227" s="460" t="s">
        <v>115</v>
      </c>
      <c r="H227" s="380" t="s">
        <v>10110</v>
      </c>
      <c r="I227" s="459" t="n">
        <v>43651</v>
      </c>
      <c r="J227" s="460" t="n">
        <v>7</v>
      </c>
      <c r="K227" s="548" t="s">
        <v>47</v>
      </c>
      <c r="L227" s="380" t="s">
        <v>60</v>
      </c>
      <c r="M227" s="545" t="n">
        <f aca="false">I227-D227</f>
        <v>793</v>
      </c>
    </row>
    <row r="228" customFormat="false" ht="12.75" hidden="true" customHeight="true" outlineLevel="0" collapsed="false">
      <c r="A228" s="449" t="n">
        <v>22719</v>
      </c>
      <c r="B228" s="450" t="s">
        <v>13286</v>
      </c>
      <c r="C228" s="450" t="n">
        <v>2017</v>
      </c>
      <c r="D228" s="451" t="n">
        <v>42858</v>
      </c>
      <c r="E228" s="452" t="s">
        <v>13287</v>
      </c>
      <c r="F228" s="378" t="s">
        <v>13285</v>
      </c>
      <c r="G228" s="452" t="s">
        <v>115</v>
      </c>
      <c r="H228" s="378" t="s">
        <v>10110</v>
      </c>
      <c r="I228" s="451" t="n">
        <v>43651</v>
      </c>
      <c r="J228" s="452" t="n">
        <v>7</v>
      </c>
      <c r="K228" s="548" t="s">
        <v>47</v>
      </c>
      <c r="L228" s="378" t="s">
        <v>60</v>
      </c>
      <c r="M228" s="546" t="n">
        <f aca="false">I228-D228</f>
        <v>793</v>
      </c>
    </row>
    <row r="229" customFormat="false" ht="12.75" hidden="true" customHeight="true" outlineLevel="0" collapsed="false">
      <c r="A229" s="456" t="n">
        <v>22819</v>
      </c>
      <c r="B229" s="458" t="s">
        <v>13288</v>
      </c>
      <c r="C229" s="458" t="n">
        <v>2017</v>
      </c>
      <c r="D229" s="459" t="n">
        <v>42796</v>
      </c>
      <c r="E229" s="460" t="s">
        <v>13289</v>
      </c>
      <c r="F229" s="380" t="s">
        <v>13285</v>
      </c>
      <c r="G229" s="460" t="s">
        <v>115</v>
      </c>
      <c r="H229" s="380" t="s">
        <v>10110</v>
      </c>
      <c r="I229" s="459" t="n">
        <v>43651</v>
      </c>
      <c r="J229" s="460" t="n">
        <v>7</v>
      </c>
      <c r="K229" s="548" t="s">
        <v>47</v>
      </c>
      <c r="L229" s="380" t="s">
        <v>60</v>
      </c>
      <c r="M229" s="545" t="n">
        <f aca="false">I229-D229</f>
        <v>855</v>
      </c>
    </row>
    <row r="230" customFormat="false" ht="12.75" hidden="true" customHeight="true" outlineLevel="0" collapsed="false">
      <c r="A230" s="449" t="n">
        <v>22919</v>
      </c>
      <c r="B230" s="450" t="s">
        <v>13290</v>
      </c>
      <c r="C230" s="450" t="n">
        <v>2014</v>
      </c>
      <c r="D230" s="451" t="n">
        <v>41718</v>
      </c>
      <c r="E230" s="452" t="s">
        <v>13291</v>
      </c>
      <c r="F230" s="378" t="s">
        <v>13285</v>
      </c>
      <c r="G230" s="452" t="s">
        <v>115</v>
      </c>
      <c r="H230" s="378" t="s">
        <v>10110</v>
      </c>
      <c r="I230" s="451" t="n">
        <v>43651</v>
      </c>
      <c r="J230" s="452" t="n">
        <v>7</v>
      </c>
      <c r="K230" s="548" t="s">
        <v>47</v>
      </c>
      <c r="L230" s="378" t="s">
        <v>60</v>
      </c>
      <c r="M230" s="546" t="n">
        <f aca="false">I230-D230</f>
        <v>1933</v>
      </c>
    </row>
    <row r="231" customFormat="false" ht="12.75" hidden="true" customHeight="true" outlineLevel="0" collapsed="false">
      <c r="A231" s="456" t="n">
        <v>23019</v>
      </c>
      <c r="B231" s="458" t="s">
        <v>13292</v>
      </c>
      <c r="C231" s="458" t="n">
        <v>2014</v>
      </c>
      <c r="D231" s="459" t="n">
        <v>41718</v>
      </c>
      <c r="E231" s="460" t="s">
        <v>13284</v>
      </c>
      <c r="F231" s="380" t="s">
        <v>13285</v>
      </c>
      <c r="G231" s="460" t="s">
        <v>115</v>
      </c>
      <c r="H231" s="380" t="s">
        <v>10110</v>
      </c>
      <c r="I231" s="459" t="n">
        <v>43651</v>
      </c>
      <c r="J231" s="460" t="n">
        <v>7</v>
      </c>
      <c r="K231" s="548" t="s">
        <v>47</v>
      </c>
      <c r="L231" s="380" t="s">
        <v>60</v>
      </c>
      <c r="M231" s="545" t="n">
        <f aca="false">I231-D231</f>
        <v>1933</v>
      </c>
    </row>
    <row r="232" customFormat="false" ht="12.75" hidden="false" customHeight="true" outlineLevel="0" collapsed="false">
      <c r="A232" s="449" t="n">
        <v>23119</v>
      </c>
      <c r="B232" s="450" t="s">
        <v>13293</v>
      </c>
      <c r="C232" s="450" t="n">
        <v>2012</v>
      </c>
      <c r="D232" s="451" t="n">
        <v>41247</v>
      </c>
      <c r="E232" s="452" t="s">
        <v>13294</v>
      </c>
      <c r="F232" s="378" t="s">
        <v>10311</v>
      </c>
      <c r="G232" s="452" t="s">
        <v>1174</v>
      </c>
      <c r="H232" s="378" t="s">
        <v>1567</v>
      </c>
      <c r="I232" s="451" t="n">
        <v>43654</v>
      </c>
      <c r="J232" s="452" t="n">
        <v>7</v>
      </c>
      <c r="K232" s="548" t="s">
        <v>47</v>
      </c>
      <c r="L232" s="378" t="s">
        <v>58</v>
      </c>
      <c r="M232" s="546" t="n">
        <f aca="false">I232-D232</f>
        <v>2407</v>
      </c>
    </row>
    <row r="233" customFormat="false" ht="12.75" hidden="false" customHeight="true" outlineLevel="0" collapsed="false">
      <c r="A233" s="456" t="n">
        <v>23219</v>
      </c>
      <c r="B233" s="458" t="s">
        <v>13295</v>
      </c>
      <c r="C233" s="458" t="n">
        <v>2015</v>
      </c>
      <c r="D233" s="459" t="n">
        <v>42030</v>
      </c>
      <c r="E233" s="460" t="s">
        <v>13296</v>
      </c>
      <c r="F233" s="380" t="s">
        <v>668</v>
      </c>
      <c r="G233" s="460" t="s">
        <v>1174</v>
      </c>
      <c r="H233" s="380" t="s">
        <v>706</v>
      </c>
      <c r="I233" s="459" t="n">
        <v>43654</v>
      </c>
      <c r="J233" s="460" t="n">
        <v>7</v>
      </c>
      <c r="K233" s="552" t="s">
        <v>42</v>
      </c>
      <c r="L233" s="380" t="s">
        <v>58</v>
      </c>
      <c r="M233" s="545" t="n">
        <f aca="false">I233-D233</f>
        <v>1624</v>
      </c>
    </row>
    <row r="234" customFormat="false" ht="12.75" hidden="false" customHeight="true" outlineLevel="0" collapsed="false">
      <c r="A234" s="449" t="n">
        <v>23319</v>
      </c>
      <c r="B234" s="450" t="s">
        <v>13297</v>
      </c>
      <c r="C234" s="450" t="n">
        <v>2013</v>
      </c>
      <c r="D234" s="451" t="n">
        <v>41570</v>
      </c>
      <c r="E234" s="452" t="s">
        <v>13298</v>
      </c>
      <c r="F234" s="378" t="s">
        <v>823</v>
      </c>
      <c r="G234" s="452" t="s">
        <v>1174</v>
      </c>
      <c r="H234" s="378" t="s">
        <v>522</v>
      </c>
      <c r="I234" s="451" t="n">
        <v>43654</v>
      </c>
      <c r="J234" s="452" t="n">
        <v>7</v>
      </c>
      <c r="K234" s="548" t="s">
        <v>47</v>
      </c>
      <c r="L234" s="378" t="s">
        <v>58</v>
      </c>
      <c r="M234" s="546" t="n">
        <f aca="false">I234-D234</f>
        <v>2084</v>
      </c>
    </row>
    <row r="235" customFormat="false" ht="12.75" hidden="true" customHeight="true" outlineLevel="0" collapsed="false">
      <c r="A235" s="456" t="n">
        <v>23419</v>
      </c>
      <c r="B235" s="458" t="s">
        <v>13299</v>
      </c>
      <c r="C235" s="458" t="n">
        <v>2013</v>
      </c>
      <c r="D235" s="459" t="n">
        <v>41599</v>
      </c>
      <c r="E235" s="460" t="s">
        <v>13300</v>
      </c>
      <c r="F235" s="380" t="s">
        <v>168</v>
      </c>
      <c r="G235" s="460" t="s">
        <v>441</v>
      </c>
      <c r="H235" s="380" t="s">
        <v>471</v>
      </c>
      <c r="I235" s="459" t="n">
        <v>43655</v>
      </c>
      <c r="J235" s="460" t="n">
        <v>7</v>
      </c>
      <c r="K235" s="552" t="s">
        <v>42</v>
      </c>
      <c r="L235" s="380" t="s">
        <v>60</v>
      </c>
      <c r="M235" s="545" t="n">
        <f aca="false">I235-D235</f>
        <v>2056</v>
      </c>
    </row>
    <row r="236" customFormat="false" ht="12.75" hidden="true" customHeight="true" outlineLevel="0" collapsed="false">
      <c r="A236" s="449" t="n">
        <v>23519</v>
      </c>
      <c r="B236" s="450" t="s">
        <v>13301</v>
      </c>
      <c r="C236" s="450" t="n">
        <v>2013</v>
      </c>
      <c r="D236" s="451" t="n">
        <v>41576</v>
      </c>
      <c r="E236" s="452" t="s">
        <v>13302</v>
      </c>
      <c r="F236" s="378" t="s">
        <v>13285</v>
      </c>
      <c r="G236" s="452" t="s">
        <v>115</v>
      </c>
      <c r="H236" s="378" t="s">
        <v>10110</v>
      </c>
      <c r="I236" s="451" t="n">
        <v>43655</v>
      </c>
      <c r="J236" s="452" t="n">
        <v>7</v>
      </c>
      <c r="K236" s="548" t="s">
        <v>47</v>
      </c>
      <c r="L236" s="378" t="s">
        <v>60</v>
      </c>
      <c r="M236" s="546" t="n">
        <f aca="false">I236-D236</f>
        <v>2079</v>
      </c>
    </row>
    <row r="237" customFormat="false" ht="12.75" hidden="false" customHeight="true" outlineLevel="0" collapsed="false">
      <c r="A237" s="456" t="n">
        <v>23619</v>
      </c>
      <c r="B237" s="458" t="s">
        <v>13303</v>
      </c>
      <c r="C237" s="458" t="n">
        <v>2018</v>
      </c>
      <c r="D237" s="459" t="n">
        <v>43213</v>
      </c>
      <c r="E237" s="460" t="s">
        <v>13304</v>
      </c>
      <c r="F237" s="380" t="s">
        <v>12900</v>
      </c>
      <c r="G237" s="460" t="s">
        <v>1174</v>
      </c>
      <c r="H237" s="380" t="s">
        <v>544</v>
      </c>
      <c r="I237" s="459" t="n">
        <v>43658</v>
      </c>
      <c r="J237" s="460" t="n">
        <v>7</v>
      </c>
      <c r="K237" s="548" t="s">
        <v>47</v>
      </c>
      <c r="L237" s="380" t="s">
        <v>60</v>
      </c>
      <c r="M237" s="545" t="n">
        <f aca="false">I237-D237</f>
        <v>445</v>
      </c>
    </row>
    <row r="238" customFormat="false" ht="12.75" hidden="false" customHeight="true" outlineLevel="0" collapsed="false">
      <c r="A238" s="449" t="n">
        <v>23719</v>
      </c>
      <c r="B238" s="450" t="s">
        <v>13305</v>
      </c>
      <c r="C238" s="450" t="n">
        <v>2019</v>
      </c>
      <c r="D238" s="451" t="n">
        <v>43524</v>
      </c>
      <c r="E238" s="452" t="s">
        <v>13306</v>
      </c>
      <c r="F238" s="378" t="s">
        <v>12900</v>
      </c>
      <c r="G238" s="452" t="s">
        <v>1174</v>
      </c>
      <c r="H238" s="378" t="s">
        <v>1059</v>
      </c>
      <c r="I238" s="451" t="n">
        <v>43658</v>
      </c>
      <c r="J238" s="452" t="n">
        <v>7</v>
      </c>
      <c r="K238" s="548" t="s">
        <v>47</v>
      </c>
      <c r="L238" s="378" t="s">
        <v>60</v>
      </c>
      <c r="M238" s="546" t="n">
        <f aca="false">I238-D238</f>
        <v>134</v>
      </c>
    </row>
    <row r="239" customFormat="false" ht="12.75" hidden="false" customHeight="true" outlineLevel="0" collapsed="false">
      <c r="A239" s="456" t="n">
        <v>23819</v>
      </c>
      <c r="B239" s="458" t="s">
        <v>13307</v>
      </c>
      <c r="C239" s="458" t="n">
        <v>2018</v>
      </c>
      <c r="D239" s="459" t="n">
        <v>43217</v>
      </c>
      <c r="E239" s="460" t="s">
        <v>13308</v>
      </c>
      <c r="F239" s="380" t="s">
        <v>12900</v>
      </c>
      <c r="G239" s="460" t="s">
        <v>1174</v>
      </c>
      <c r="H239" s="380" t="s">
        <v>6610</v>
      </c>
      <c r="I239" s="459" t="n">
        <v>43658</v>
      </c>
      <c r="J239" s="460" t="n">
        <v>7</v>
      </c>
      <c r="K239" s="548" t="s">
        <v>47</v>
      </c>
      <c r="L239" s="380" t="s">
        <v>60</v>
      </c>
      <c r="M239" s="545" t="n">
        <f aca="false">I239-D239</f>
        <v>441</v>
      </c>
    </row>
    <row r="240" customFormat="false" ht="12.75" hidden="false" customHeight="true" outlineLevel="0" collapsed="false">
      <c r="A240" s="449" t="n">
        <v>23919</v>
      </c>
      <c r="B240" s="450" t="s">
        <v>13309</v>
      </c>
      <c r="C240" s="450" t="n">
        <v>2014</v>
      </c>
      <c r="D240" s="451" t="n">
        <v>41976</v>
      </c>
      <c r="E240" s="452" t="s">
        <v>13310</v>
      </c>
      <c r="F240" s="378" t="s">
        <v>699</v>
      </c>
      <c r="G240" s="452" t="s">
        <v>1174</v>
      </c>
      <c r="H240" s="378" t="s">
        <v>119</v>
      </c>
      <c r="I240" s="451" t="n">
        <v>43658</v>
      </c>
      <c r="J240" s="452" t="n">
        <v>7</v>
      </c>
      <c r="K240" s="552" t="s">
        <v>42</v>
      </c>
      <c r="L240" s="378" t="s">
        <v>60</v>
      </c>
      <c r="M240" s="546" t="n">
        <f aca="false">I240-D240</f>
        <v>1682</v>
      </c>
    </row>
    <row r="241" customFormat="false" ht="12.75" hidden="false" customHeight="true" outlineLevel="0" collapsed="false">
      <c r="A241" s="456" t="n">
        <v>24019</v>
      </c>
      <c r="B241" s="458" t="s">
        <v>13311</v>
      </c>
      <c r="C241" s="458" t="n">
        <v>2015</v>
      </c>
      <c r="D241" s="459" t="n">
        <v>42256</v>
      </c>
      <c r="E241" s="460" t="s">
        <v>13312</v>
      </c>
      <c r="F241" s="380" t="s">
        <v>1211</v>
      </c>
      <c r="G241" s="460" t="s">
        <v>1174</v>
      </c>
      <c r="H241" s="380" t="s">
        <v>267</v>
      </c>
      <c r="I241" s="459" t="n">
        <v>43658</v>
      </c>
      <c r="J241" s="460" t="n">
        <v>7</v>
      </c>
      <c r="K241" s="552" t="s">
        <v>42</v>
      </c>
      <c r="L241" s="380" t="s">
        <v>60</v>
      </c>
      <c r="M241" s="545" t="n">
        <f aca="false">I241-D241</f>
        <v>1402</v>
      </c>
    </row>
    <row r="242" customFormat="false" ht="12.75" hidden="false" customHeight="true" outlineLevel="0" collapsed="false">
      <c r="A242" s="449" t="n">
        <v>24119</v>
      </c>
      <c r="B242" s="450" t="s">
        <v>13313</v>
      </c>
      <c r="C242" s="450" t="n">
        <v>2011</v>
      </c>
      <c r="D242" s="451" t="n">
        <v>40758</v>
      </c>
      <c r="E242" s="452" t="s">
        <v>13314</v>
      </c>
      <c r="F242" s="378" t="s">
        <v>1097</v>
      </c>
      <c r="G242" s="452" t="s">
        <v>1174</v>
      </c>
      <c r="H242" s="378" t="s">
        <v>192</v>
      </c>
      <c r="I242" s="451" t="n">
        <v>43658</v>
      </c>
      <c r="J242" s="452" t="n">
        <v>7</v>
      </c>
      <c r="K242" s="552" t="s">
        <v>42</v>
      </c>
      <c r="L242" s="378" t="s">
        <v>60</v>
      </c>
      <c r="M242" s="546" t="n">
        <f aca="false">I242-D242</f>
        <v>2900</v>
      </c>
    </row>
    <row r="243" customFormat="false" ht="12.75" hidden="false" customHeight="true" outlineLevel="0" collapsed="false">
      <c r="A243" s="456" t="n">
        <v>24219</v>
      </c>
      <c r="B243" s="458" t="s">
        <v>13315</v>
      </c>
      <c r="C243" s="458" t="n">
        <v>2016</v>
      </c>
      <c r="D243" s="459" t="n">
        <v>42669</v>
      </c>
      <c r="E243" s="460" t="s">
        <v>13316</v>
      </c>
      <c r="F243" s="380" t="s">
        <v>2151</v>
      </c>
      <c r="G243" s="460" t="s">
        <v>1174</v>
      </c>
      <c r="H243" s="380" t="s">
        <v>1501</v>
      </c>
      <c r="I243" s="459" t="n">
        <v>43658</v>
      </c>
      <c r="J243" s="460" t="n">
        <v>7</v>
      </c>
      <c r="K243" s="548" t="s">
        <v>47</v>
      </c>
      <c r="L243" s="380" t="s">
        <v>58</v>
      </c>
      <c r="M243" s="545" t="n">
        <f aca="false">I243-D243</f>
        <v>989</v>
      </c>
    </row>
    <row r="244" customFormat="false" ht="12.75" hidden="false" customHeight="true" outlineLevel="0" collapsed="false">
      <c r="A244" s="449" t="n">
        <v>24319</v>
      </c>
      <c r="B244" s="450" t="s">
        <v>13317</v>
      </c>
      <c r="C244" s="450" t="n">
        <v>2015</v>
      </c>
      <c r="D244" s="451" t="n">
        <v>42285</v>
      </c>
      <c r="E244" s="452" t="s">
        <v>13318</v>
      </c>
      <c r="F244" s="378" t="s">
        <v>650</v>
      </c>
      <c r="G244" s="452" t="s">
        <v>1174</v>
      </c>
      <c r="H244" s="378" t="s">
        <v>6570</v>
      </c>
      <c r="I244" s="451" t="n">
        <v>43658</v>
      </c>
      <c r="J244" s="452" t="n">
        <v>7</v>
      </c>
      <c r="K244" s="548" t="s">
        <v>47</v>
      </c>
      <c r="L244" s="378" t="s">
        <v>58</v>
      </c>
      <c r="M244" s="546" t="n">
        <f aca="false">I244-D244</f>
        <v>1373</v>
      </c>
    </row>
    <row r="245" customFormat="false" ht="12.75" hidden="false" customHeight="true" outlineLevel="0" collapsed="false">
      <c r="A245" s="456" t="n">
        <v>24419</v>
      </c>
      <c r="B245" s="458" t="s">
        <v>13319</v>
      </c>
      <c r="C245" s="458" t="n">
        <v>2013</v>
      </c>
      <c r="D245" s="459" t="n">
        <v>41452</v>
      </c>
      <c r="E245" s="460" t="s">
        <v>13320</v>
      </c>
      <c r="F245" s="380" t="s">
        <v>650</v>
      </c>
      <c r="G245" s="460" t="s">
        <v>1174</v>
      </c>
      <c r="H245" s="380" t="s">
        <v>12106</v>
      </c>
      <c r="I245" s="459" t="n">
        <v>43658</v>
      </c>
      <c r="J245" s="460" t="n">
        <v>7</v>
      </c>
      <c r="K245" s="548" t="s">
        <v>47</v>
      </c>
      <c r="L245" s="380" t="s">
        <v>58</v>
      </c>
      <c r="M245" s="545" t="n">
        <f aca="false">I245-D245</f>
        <v>2206</v>
      </c>
    </row>
    <row r="246" customFormat="false" ht="12.75" hidden="false" customHeight="true" outlineLevel="0" collapsed="false">
      <c r="A246" s="449" t="n">
        <v>24519</v>
      </c>
      <c r="B246" s="450" t="s">
        <v>13321</v>
      </c>
      <c r="C246" s="450" t="n">
        <v>2013</v>
      </c>
      <c r="D246" s="451" t="n">
        <v>41466</v>
      </c>
      <c r="E246" s="452" t="s">
        <v>13322</v>
      </c>
      <c r="F246" s="378" t="s">
        <v>650</v>
      </c>
      <c r="G246" s="452" t="s">
        <v>1174</v>
      </c>
      <c r="H246" s="378" t="s">
        <v>9385</v>
      </c>
      <c r="I246" s="451" t="n">
        <v>43658</v>
      </c>
      <c r="J246" s="452" t="n">
        <v>7</v>
      </c>
      <c r="K246" s="548" t="s">
        <v>47</v>
      </c>
      <c r="L246" s="378" t="s">
        <v>58</v>
      </c>
      <c r="M246" s="546" t="n">
        <f aca="false">I246-D246</f>
        <v>2192</v>
      </c>
    </row>
    <row r="247" customFormat="false" ht="12.75" hidden="false" customHeight="true" outlineLevel="0" collapsed="false">
      <c r="A247" s="456" t="n">
        <v>24619</v>
      </c>
      <c r="B247" s="458" t="s">
        <v>13323</v>
      </c>
      <c r="C247" s="458" t="n">
        <v>2018</v>
      </c>
      <c r="D247" s="459" t="n">
        <v>43280</v>
      </c>
      <c r="E247" s="460" t="s">
        <v>13324</v>
      </c>
      <c r="F247" s="380" t="s">
        <v>650</v>
      </c>
      <c r="G247" s="460" t="s">
        <v>1174</v>
      </c>
      <c r="H247" s="380" t="s">
        <v>9385</v>
      </c>
      <c r="I247" s="459" t="n">
        <v>43658</v>
      </c>
      <c r="J247" s="460" t="n">
        <v>7</v>
      </c>
      <c r="K247" s="548" t="s">
        <v>47</v>
      </c>
      <c r="L247" s="380" t="s">
        <v>58</v>
      </c>
      <c r="M247" s="545" t="n">
        <f aca="false">I247-D247</f>
        <v>378</v>
      </c>
    </row>
    <row r="248" customFormat="false" ht="12.75" hidden="false" customHeight="true" outlineLevel="0" collapsed="false">
      <c r="A248" s="449" t="n">
        <v>24719</v>
      </c>
      <c r="B248" s="450" t="s">
        <v>13325</v>
      </c>
      <c r="C248" s="450" t="n">
        <v>2016</v>
      </c>
      <c r="D248" s="451" t="n">
        <v>42576</v>
      </c>
      <c r="E248" s="452" t="s">
        <v>13326</v>
      </c>
      <c r="F248" s="378" t="s">
        <v>12862</v>
      </c>
      <c r="G248" s="452" t="s">
        <v>1174</v>
      </c>
      <c r="H248" s="378" t="s">
        <v>267</v>
      </c>
      <c r="I248" s="451" t="n">
        <v>43658</v>
      </c>
      <c r="J248" s="452" t="n">
        <v>7</v>
      </c>
      <c r="K248" s="587" t="s">
        <v>50</v>
      </c>
      <c r="L248" s="378" t="s">
        <v>60</v>
      </c>
      <c r="M248" s="546" t="n">
        <f aca="false">I248-D248</f>
        <v>1082</v>
      </c>
    </row>
    <row r="249" customFormat="false" ht="12.75" hidden="false" customHeight="true" outlineLevel="0" collapsed="false">
      <c r="A249" s="456" t="n">
        <v>24819</v>
      </c>
      <c r="B249" s="458" t="s">
        <v>13327</v>
      </c>
      <c r="C249" s="458" t="n">
        <v>2017</v>
      </c>
      <c r="D249" s="459" t="n">
        <v>42902</v>
      </c>
      <c r="E249" s="460" t="s">
        <v>13328</v>
      </c>
      <c r="F249" s="380" t="s">
        <v>168</v>
      </c>
      <c r="G249" s="460" t="s">
        <v>1174</v>
      </c>
      <c r="H249" s="380" t="s">
        <v>184</v>
      </c>
      <c r="I249" s="459" t="n">
        <v>43658</v>
      </c>
      <c r="J249" s="460" t="n">
        <v>7</v>
      </c>
      <c r="K249" s="552" t="s">
        <v>42</v>
      </c>
      <c r="L249" s="380" t="s">
        <v>58</v>
      </c>
      <c r="M249" s="545" t="n">
        <f aca="false">I249-D249</f>
        <v>756</v>
      </c>
    </row>
    <row r="250" customFormat="false" ht="12.75" hidden="false" customHeight="true" outlineLevel="0" collapsed="false">
      <c r="A250" s="449" t="n">
        <v>24919</v>
      </c>
      <c r="B250" s="450" t="s">
        <v>13329</v>
      </c>
      <c r="C250" s="450" t="n">
        <v>2018</v>
      </c>
      <c r="D250" s="451" t="n">
        <v>43130</v>
      </c>
      <c r="E250" s="452" t="s">
        <v>13330</v>
      </c>
      <c r="F250" s="378" t="s">
        <v>168</v>
      </c>
      <c r="G250" s="452" t="s">
        <v>1174</v>
      </c>
      <c r="H250" s="378" t="s">
        <v>1740</v>
      </c>
      <c r="I250" s="451" t="n">
        <v>43658</v>
      </c>
      <c r="J250" s="452" t="n">
        <v>7</v>
      </c>
      <c r="K250" s="552" t="s">
        <v>42</v>
      </c>
      <c r="L250" s="378" t="s">
        <v>58</v>
      </c>
      <c r="M250" s="546" t="n">
        <f aca="false">I250-D250</f>
        <v>528</v>
      </c>
    </row>
    <row r="251" customFormat="false" ht="12.75" hidden="false" customHeight="true" outlineLevel="0" collapsed="false">
      <c r="A251" s="456" t="n">
        <v>25019</v>
      </c>
      <c r="B251" s="458" t="s">
        <v>13331</v>
      </c>
      <c r="C251" s="458" t="n">
        <v>2017</v>
      </c>
      <c r="D251" s="459" t="n">
        <v>43049</v>
      </c>
      <c r="E251" s="460" t="s">
        <v>13332</v>
      </c>
      <c r="F251" s="380" t="s">
        <v>705</v>
      </c>
      <c r="G251" s="460" t="s">
        <v>1174</v>
      </c>
      <c r="H251" s="380" t="s">
        <v>1571</v>
      </c>
      <c r="I251" s="459" t="n">
        <v>43658</v>
      </c>
      <c r="J251" s="460" t="n">
        <v>7</v>
      </c>
      <c r="K251" s="548" t="s">
        <v>47</v>
      </c>
      <c r="L251" s="380" t="s">
        <v>58</v>
      </c>
      <c r="M251" s="545" t="n">
        <f aca="false">I251-D251</f>
        <v>609</v>
      </c>
    </row>
    <row r="252" customFormat="false" ht="12.75" hidden="true" customHeight="true" outlineLevel="0" collapsed="false">
      <c r="A252" s="449" t="n">
        <v>25119</v>
      </c>
      <c r="B252" s="450" t="s">
        <v>13333</v>
      </c>
      <c r="C252" s="450" t="n">
        <v>2012</v>
      </c>
      <c r="D252" s="451" t="n">
        <v>41257</v>
      </c>
      <c r="E252" s="452" t="s">
        <v>13334</v>
      </c>
      <c r="F252" s="378" t="s">
        <v>699</v>
      </c>
      <c r="G252" s="452" t="s">
        <v>441</v>
      </c>
      <c r="H252" s="378" t="s">
        <v>3727</v>
      </c>
      <c r="I252" s="451" t="n">
        <v>43661</v>
      </c>
      <c r="J252" s="452" t="n">
        <v>7</v>
      </c>
      <c r="K252" s="548" t="s">
        <v>47</v>
      </c>
      <c r="L252" s="378" t="s">
        <v>60</v>
      </c>
      <c r="M252" s="546" t="n">
        <f aca="false">I252-D252</f>
        <v>2404</v>
      </c>
    </row>
    <row r="253" customFormat="false" ht="12.75" hidden="true" customHeight="true" outlineLevel="0" collapsed="false">
      <c r="A253" s="456" t="n">
        <v>25219</v>
      </c>
      <c r="B253" s="458" t="s">
        <v>13335</v>
      </c>
      <c r="C253" s="458" t="n">
        <v>2017</v>
      </c>
      <c r="D253" s="459" t="n">
        <v>42790</v>
      </c>
      <c r="E253" s="460" t="s">
        <v>13336</v>
      </c>
      <c r="F253" s="380" t="s">
        <v>11013</v>
      </c>
      <c r="G253" s="460" t="s">
        <v>115</v>
      </c>
      <c r="H253" s="380" t="s">
        <v>10110</v>
      </c>
      <c r="I253" s="459" t="n">
        <v>43661</v>
      </c>
      <c r="J253" s="460" t="n">
        <v>7</v>
      </c>
      <c r="K253" s="548" t="s">
        <v>47</v>
      </c>
      <c r="L253" s="380" t="s">
        <v>60</v>
      </c>
      <c r="M253" s="545" t="n">
        <f aca="false">I253-D253</f>
        <v>871</v>
      </c>
    </row>
    <row r="254" customFormat="false" ht="12.75" hidden="true" customHeight="true" outlineLevel="0" collapsed="false">
      <c r="A254" s="449" t="n">
        <v>25319</v>
      </c>
      <c r="B254" s="450" t="s">
        <v>13337</v>
      </c>
      <c r="C254" s="450" t="n">
        <v>2016</v>
      </c>
      <c r="D254" s="451" t="n">
        <v>42667</v>
      </c>
      <c r="E254" s="452" t="s">
        <v>13338</v>
      </c>
      <c r="F254" s="378" t="s">
        <v>5401</v>
      </c>
      <c r="G254" s="452" t="s">
        <v>441</v>
      </c>
      <c r="H254" s="378" t="s">
        <v>12106</v>
      </c>
      <c r="I254" s="451" t="n">
        <v>43663</v>
      </c>
      <c r="J254" s="452" t="n">
        <v>7</v>
      </c>
      <c r="K254" s="552" t="s">
        <v>42</v>
      </c>
      <c r="L254" s="378" t="s">
        <v>60</v>
      </c>
      <c r="M254" s="546" t="n">
        <f aca="false">I254-D254</f>
        <v>996</v>
      </c>
    </row>
    <row r="255" customFormat="false" ht="12.75" hidden="true" customHeight="true" outlineLevel="0" collapsed="false">
      <c r="A255" s="456" t="n">
        <v>25419</v>
      </c>
      <c r="B255" s="458" t="s">
        <v>13098</v>
      </c>
      <c r="C255" s="458" t="n">
        <v>2013</v>
      </c>
      <c r="D255" s="459" t="n">
        <v>41421</v>
      </c>
      <c r="E255" s="460" t="s">
        <v>13339</v>
      </c>
      <c r="F255" s="380" t="s">
        <v>1097</v>
      </c>
      <c r="G255" s="460" t="s">
        <v>441</v>
      </c>
      <c r="H255" s="380" t="s">
        <v>223</v>
      </c>
      <c r="I255" s="459" t="n">
        <v>43663</v>
      </c>
      <c r="J255" s="460" t="n">
        <v>7</v>
      </c>
      <c r="K255" s="552" t="s">
        <v>42</v>
      </c>
      <c r="L255" s="380" t="s">
        <v>60</v>
      </c>
      <c r="M255" s="545" t="n">
        <f aca="false">I255-D255</f>
        <v>2242</v>
      </c>
    </row>
    <row r="256" customFormat="false" ht="12.75" hidden="true" customHeight="true" outlineLevel="0" collapsed="false">
      <c r="A256" s="449" t="n">
        <v>25519</v>
      </c>
      <c r="B256" s="450" t="s">
        <v>13340</v>
      </c>
      <c r="C256" s="450" t="n">
        <v>2011</v>
      </c>
      <c r="D256" s="451" t="n">
        <v>40809</v>
      </c>
      <c r="E256" s="452" t="s">
        <v>13341</v>
      </c>
      <c r="F256" s="378" t="s">
        <v>4270</v>
      </c>
      <c r="G256" s="452" t="s">
        <v>144</v>
      </c>
      <c r="H256" s="378" t="s">
        <v>119</v>
      </c>
      <c r="I256" s="451" t="n">
        <v>43665</v>
      </c>
      <c r="J256" s="452" t="n">
        <v>7</v>
      </c>
      <c r="K256" s="552" t="s">
        <v>42</v>
      </c>
      <c r="L256" s="378" t="s">
        <v>60</v>
      </c>
      <c r="M256" s="546" t="n">
        <f aca="false">I256-D256</f>
        <v>2856</v>
      </c>
    </row>
    <row r="257" customFormat="false" ht="12.75" hidden="true" customHeight="true" outlineLevel="0" collapsed="false">
      <c r="A257" s="456" t="n">
        <v>25619</v>
      </c>
      <c r="B257" s="458" t="s">
        <v>13342</v>
      </c>
      <c r="C257" s="458" t="n">
        <v>2012</v>
      </c>
      <c r="D257" s="459" t="n">
        <v>40996</v>
      </c>
      <c r="E257" s="460" t="s">
        <v>13343</v>
      </c>
      <c r="F257" s="380" t="s">
        <v>4270</v>
      </c>
      <c r="G257" s="460" t="s">
        <v>144</v>
      </c>
      <c r="H257" s="380" t="s">
        <v>119</v>
      </c>
      <c r="I257" s="459" t="n">
        <v>43665</v>
      </c>
      <c r="J257" s="460" t="n">
        <v>7</v>
      </c>
      <c r="K257" s="552" t="s">
        <v>42</v>
      </c>
      <c r="L257" s="380" t="s">
        <v>60</v>
      </c>
      <c r="M257" s="545" t="n">
        <f aca="false">I257-D257</f>
        <v>2669</v>
      </c>
    </row>
    <row r="258" customFormat="false" ht="12.75" hidden="true" customHeight="true" outlineLevel="0" collapsed="false">
      <c r="A258" s="449" t="n">
        <v>25719</v>
      </c>
      <c r="B258" s="450" t="s">
        <v>13344</v>
      </c>
      <c r="C258" s="450" t="n">
        <v>2012</v>
      </c>
      <c r="D258" s="451" t="n">
        <v>41129</v>
      </c>
      <c r="E258" s="452" t="s">
        <v>13345</v>
      </c>
      <c r="F258" s="378" t="s">
        <v>4956</v>
      </c>
      <c r="G258" s="452" t="s">
        <v>441</v>
      </c>
      <c r="H258" s="378" t="s">
        <v>471</v>
      </c>
      <c r="I258" s="451" t="n">
        <v>43665</v>
      </c>
      <c r="J258" s="452" t="n">
        <v>7</v>
      </c>
      <c r="K258" s="548" t="s">
        <v>47</v>
      </c>
      <c r="L258" s="378" t="s">
        <v>58</v>
      </c>
      <c r="M258" s="546" t="n">
        <f aca="false">I258-D258</f>
        <v>2536</v>
      </c>
    </row>
    <row r="259" customFormat="false" ht="12.75" hidden="true" customHeight="true" outlineLevel="0" collapsed="false">
      <c r="A259" s="456" t="n">
        <v>25819</v>
      </c>
      <c r="B259" s="458" t="s">
        <v>13346</v>
      </c>
      <c r="C259" s="458" t="n">
        <v>2012</v>
      </c>
      <c r="D259" s="459" t="n">
        <v>41129</v>
      </c>
      <c r="E259" s="460" t="s">
        <v>13347</v>
      </c>
      <c r="F259" s="380" t="s">
        <v>4956</v>
      </c>
      <c r="G259" s="460" t="s">
        <v>441</v>
      </c>
      <c r="H259" s="380" t="s">
        <v>471</v>
      </c>
      <c r="I259" s="459" t="n">
        <v>43665</v>
      </c>
      <c r="J259" s="460" t="n">
        <v>7</v>
      </c>
      <c r="K259" s="548" t="s">
        <v>47</v>
      </c>
      <c r="L259" s="380" t="s">
        <v>58</v>
      </c>
      <c r="M259" s="545" t="n">
        <f aca="false">I259-D259</f>
        <v>2536</v>
      </c>
    </row>
    <row r="260" customFormat="false" ht="12.75" hidden="true" customHeight="true" outlineLevel="0" collapsed="false">
      <c r="A260" s="449" t="n">
        <v>25919</v>
      </c>
      <c r="B260" s="450" t="s">
        <v>13348</v>
      </c>
      <c r="C260" s="450" t="n">
        <v>2013</v>
      </c>
      <c r="D260" s="451" t="n">
        <v>41604</v>
      </c>
      <c r="E260" s="452" t="s">
        <v>13349</v>
      </c>
      <c r="F260" s="378" t="s">
        <v>168</v>
      </c>
      <c r="G260" s="452" t="s">
        <v>441</v>
      </c>
      <c r="H260" s="378" t="s">
        <v>471</v>
      </c>
      <c r="I260" s="451" t="n">
        <v>43665</v>
      </c>
      <c r="J260" s="452" t="n">
        <v>7</v>
      </c>
      <c r="K260" s="552" t="s">
        <v>42</v>
      </c>
      <c r="L260" s="378" t="s">
        <v>60</v>
      </c>
      <c r="M260" s="546" t="n">
        <f aca="false">I260-D260</f>
        <v>2061</v>
      </c>
    </row>
    <row r="261" customFormat="false" ht="12.75" hidden="true" customHeight="true" outlineLevel="0" collapsed="false">
      <c r="A261" s="456" t="n">
        <v>26019</v>
      </c>
      <c r="B261" s="458" t="s">
        <v>13350</v>
      </c>
      <c r="C261" s="458" t="n">
        <v>2013</v>
      </c>
      <c r="D261" s="459" t="n">
        <v>41607</v>
      </c>
      <c r="E261" s="460" t="s">
        <v>13351</v>
      </c>
      <c r="F261" s="380" t="s">
        <v>180</v>
      </c>
      <c r="G261" s="460" t="s">
        <v>441</v>
      </c>
      <c r="H261" s="380" t="s">
        <v>243</v>
      </c>
      <c r="I261" s="459" t="n">
        <v>43665</v>
      </c>
      <c r="J261" s="460" t="n">
        <v>7</v>
      </c>
      <c r="K261" s="548" t="s">
        <v>47</v>
      </c>
      <c r="L261" s="380" t="s">
        <v>58</v>
      </c>
      <c r="M261" s="545" t="n">
        <f aca="false">I261-D261</f>
        <v>2058</v>
      </c>
    </row>
    <row r="262" customFormat="false" ht="12.75" hidden="true" customHeight="true" outlineLevel="0" collapsed="false">
      <c r="A262" s="449" t="n">
        <v>26119</v>
      </c>
      <c r="B262" s="450" t="s">
        <v>13352</v>
      </c>
      <c r="C262" s="450" t="n">
        <v>2015</v>
      </c>
      <c r="D262" s="451" t="n">
        <v>42199</v>
      </c>
      <c r="E262" s="452" t="s">
        <v>13353</v>
      </c>
      <c r="F262" s="378" t="s">
        <v>1097</v>
      </c>
      <c r="G262" s="452" t="s">
        <v>144</v>
      </c>
      <c r="H262" s="378" t="s">
        <v>10110</v>
      </c>
      <c r="I262" s="451" t="n">
        <v>43665</v>
      </c>
      <c r="J262" s="452" t="n">
        <v>7</v>
      </c>
      <c r="K262" s="552" t="s">
        <v>42</v>
      </c>
      <c r="L262" s="378" t="s">
        <v>60</v>
      </c>
      <c r="M262" s="546" t="n">
        <f aca="false">I262-D262</f>
        <v>1466</v>
      </c>
    </row>
    <row r="263" customFormat="false" ht="12.75" hidden="true" customHeight="true" outlineLevel="0" collapsed="false">
      <c r="A263" s="456" t="n">
        <v>26219</v>
      </c>
      <c r="B263" s="458" t="s">
        <v>13354</v>
      </c>
      <c r="C263" s="458" t="n">
        <v>2015</v>
      </c>
      <c r="D263" s="459" t="n">
        <v>42167</v>
      </c>
      <c r="E263" s="460" t="s">
        <v>13355</v>
      </c>
      <c r="F263" s="380" t="s">
        <v>798</v>
      </c>
      <c r="G263" s="460" t="s">
        <v>441</v>
      </c>
      <c r="H263" s="380" t="s">
        <v>1059</v>
      </c>
      <c r="I263" s="459" t="n">
        <v>43665</v>
      </c>
      <c r="J263" s="460" t="n">
        <v>7</v>
      </c>
      <c r="K263" s="548" t="s">
        <v>47</v>
      </c>
      <c r="L263" s="380" t="s">
        <v>60</v>
      </c>
      <c r="M263" s="545" t="n">
        <f aca="false">I263-D263</f>
        <v>1498</v>
      </c>
    </row>
    <row r="264" customFormat="false" ht="12.75" hidden="false" customHeight="true" outlineLevel="0" collapsed="false">
      <c r="A264" s="449" t="n">
        <v>26319</v>
      </c>
      <c r="B264" s="450" t="s">
        <v>13356</v>
      </c>
      <c r="C264" s="450" t="n">
        <v>2019</v>
      </c>
      <c r="D264" s="451" t="n">
        <v>43509</v>
      </c>
      <c r="E264" s="452" t="s">
        <v>13357</v>
      </c>
      <c r="F264" s="378" t="s">
        <v>12900</v>
      </c>
      <c r="G264" s="452" t="s">
        <v>1174</v>
      </c>
      <c r="H264" s="378" t="s">
        <v>243</v>
      </c>
      <c r="I264" s="451" t="n">
        <v>43691</v>
      </c>
      <c r="J264" s="452" t="n">
        <v>8</v>
      </c>
      <c r="K264" s="548" t="s">
        <v>47</v>
      </c>
      <c r="L264" s="378" t="s">
        <v>60</v>
      </c>
      <c r="M264" s="546" t="n">
        <f aca="false">I264-D264</f>
        <v>182</v>
      </c>
    </row>
    <row r="265" customFormat="false" ht="12.75" hidden="false" customHeight="true" outlineLevel="0" collapsed="false">
      <c r="A265" s="456" t="n">
        <v>26419</v>
      </c>
      <c r="B265" s="458" t="s">
        <v>13358</v>
      </c>
      <c r="C265" s="458" t="n">
        <v>2018</v>
      </c>
      <c r="D265" s="459" t="n">
        <v>43427</v>
      </c>
      <c r="E265" s="460" t="s">
        <v>13359</v>
      </c>
      <c r="F265" s="380" t="s">
        <v>1097</v>
      </c>
      <c r="G265" s="460" t="s">
        <v>1174</v>
      </c>
      <c r="H265" s="380" t="s">
        <v>243</v>
      </c>
      <c r="I265" s="459" t="n">
        <v>43691</v>
      </c>
      <c r="J265" s="460" t="n">
        <v>8</v>
      </c>
      <c r="K265" s="552" t="s">
        <v>42</v>
      </c>
      <c r="L265" s="380" t="s">
        <v>60</v>
      </c>
      <c r="M265" s="545" t="n">
        <f aca="false">I265-D265</f>
        <v>264</v>
      </c>
    </row>
    <row r="266" customFormat="false" ht="12.75" hidden="false" customHeight="true" outlineLevel="0" collapsed="false">
      <c r="A266" s="449" t="n">
        <v>26519</v>
      </c>
      <c r="B266" s="450" t="s">
        <v>13360</v>
      </c>
      <c r="C266" s="450" t="n">
        <v>2015</v>
      </c>
      <c r="D266" s="451" t="n">
        <v>42242</v>
      </c>
      <c r="E266" s="452" t="s">
        <v>13361</v>
      </c>
      <c r="F266" s="378" t="s">
        <v>1827</v>
      </c>
      <c r="G266" s="452" t="s">
        <v>1174</v>
      </c>
      <c r="H266" s="378" t="s">
        <v>192</v>
      </c>
      <c r="I266" s="451" t="n">
        <v>43691</v>
      </c>
      <c r="J266" s="452" t="n">
        <v>8</v>
      </c>
      <c r="K266" s="552" t="s">
        <v>42</v>
      </c>
      <c r="L266" s="378" t="s">
        <v>60</v>
      </c>
      <c r="M266" s="546" t="n">
        <f aca="false">I266-D266</f>
        <v>1449</v>
      </c>
    </row>
    <row r="267" customFormat="false" ht="12.75" hidden="false" customHeight="true" outlineLevel="0" collapsed="false">
      <c r="A267" s="456" t="n">
        <v>26619</v>
      </c>
      <c r="B267" s="458" t="s">
        <v>13362</v>
      </c>
      <c r="C267" s="458" t="n">
        <v>2016</v>
      </c>
      <c r="D267" s="459" t="n">
        <v>42383</v>
      </c>
      <c r="E267" s="460" t="s">
        <v>13363</v>
      </c>
      <c r="F267" s="380" t="s">
        <v>1827</v>
      </c>
      <c r="G267" s="460" t="s">
        <v>1174</v>
      </c>
      <c r="H267" s="380" t="s">
        <v>267</v>
      </c>
      <c r="I267" s="459" t="n">
        <v>43691</v>
      </c>
      <c r="J267" s="460" t="n">
        <v>8</v>
      </c>
      <c r="K267" s="552" t="s">
        <v>42</v>
      </c>
      <c r="L267" s="380" t="s">
        <v>60</v>
      </c>
      <c r="M267" s="545" t="n">
        <f aca="false">I267-D267</f>
        <v>1308</v>
      </c>
    </row>
    <row r="268" customFormat="false" ht="12.75" hidden="false" customHeight="true" outlineLevel="0" collapsed="false">
      <c r="A268" s="449" t="n">
        <v>26719</v>
      </c>
      <c r="B268" s="450" t="s">
        <v>13364</v>
      </c>
      <c r="C268" s="450" t="n">
        <v>2015</v>
      </c>
      <c r="D268" s="451" t="n">
        <v>42311</v>
      </c>
      <c r="E268" s="452" t="s">
        <v>13365</v>
      </c>
      <c r="F268" s="378" t="s">
        <v>1827</v>
      </c>
      <c r="G268" s="452" t="s">
        <v>1174</v>
      </c>
      <c r="H268" s="378" t="s">
        <v>184</v>
      </c>
      <c r="I268" s="451" t="n">
        <v>43691</v>
      </c>
      <c r="J268" s="452" t="n">
        <v>8</v>
      </c>
      <c r="K268" s="552" t="s">
        <v>42</v>
      </c>
      <c r="L268" s="378" t="s">
        <v>60</v>
      </c>
      <c r="M268" s="546" t="n">
        <f aca="false">I268-D268</f>
        <v>1380</v>
      </c>
    </row>
    <row r="269" customFormat="false" ht="12.75" hidden="false" customHeight="true" outlineLevel="0" collapsed="false">
      <c r="A269" s="456" t="n">
        <v>26819</v>
      </c>
      <c r="B269" s="458" t="s">
        <v>13366</v>
      </c>
      <c r="C269" s="458" t="n">
        <v>2016</v>
      </c>
      <c r="D269" s="459" t="n">
        <v>42415</v>
      </c>
      <c r="E269" s="460" t="s">
        <v>13367</v>
      </c>
      <c r="F269" s="380" t="s">
        <v>1827</v>
      </c>
      <c r="G269" s="460" t="s">
        <v>1174</v>
      </c>
      <c r="H269" s="380" t="s">
        <v>2677</v>
      </c>
      <c r="I269" s="459" t="n">
        <v>43691</v>
      </c>
      <c r="J269" s="460" t="n">
        <v>8</v>
      </c>
      <c r="K269" s="552" t="s">
        <v>42</v>
      </c>
      <c r="L269" s="380" t="s">
        <v>60</v>
      </c>
      <c r="M269" s="545" t="n">
        <f aca="false">I269-D269</f>
        <v>1276</v>
      </c>
    </row>
    <row r="270" customFormat="false" ht="12.75" hidden="false" customHeight="true" outlineLevel="0" collapsed="false">
      <c r="A270" s="449" t="n">
        <v>26919</v>
      </c>
      <c r="B270" s="450" t="s">
        <v>13368</v>
      </c>
      <c r="C270" s="450" t="n">
        <v>2017</v>
      </c>
      <c r="D270" s="451" t="n">
        <v>42971</v>
      </c>
      <c r="E270" s="452" t="s">
        <v>13369</v>
      </c>
      <c r="F270" s="378" t="s">
        <v>902</v>
      </c>
      <c r="G270" s="452" t="s">
        <v>1174</v>
      </c>
      <c r="H270" s="378" t="s">
        <v>522</v>
      </c>
      <c r="I270" s="451" t="n">
        <v>43691</v>
      </c>
      <c r="J270" s="452" t="n">
        <v>8</v>
      </c>
      <c r="K270" s="548" t="s">
        <v>47</v>
      </c>
      <c r="L270" s="378" t="s">
        <v>58</v>
      </c>
      <c r="M270" s="546" t="n">
        <f aca="false">I270-D270</f>
        <v>720</v>
      </c>
    </row>
    <row r="271" customFormat="false" ht="12.75" hidden="false" customHeight="true" outlineLevel="0" collapsed="false">
      <c r="A271" s="456" t="n">
        <v>27019</v>
      </c>
      <c r="B271" s="458" t="s">
        <v>13370</v>
      </c>
      <c r="C271" s="458" t="n">
        <v>2016</v>
      </c>
      <c r="D271" s="459" t="n">
        <v>42718</v>
      </c>
      <c r="E271" s="460" t="s">
        <v>13371</v>
      </c>
      <c r="F271" s="380" t="s">
        <v>1025</v>
      </c>
      <c r="G271" s="460" t="s">
        <v>1174</v>
      </c>
      <c r="H271" s="380" t="s">
        <v>2677</v>
      </c>
      <c r="I271" s="459" t="n">
        <v>43691</v>
      </c>
      <c r="J271" s="460" t="n">
        <v>8</v>
      </c>
      <c r="K271" s="556" t="s">
        <v>45</v>
      </c>
      <c r="L271" s="380" t="s">
        <v>58</v>
      </c>
      <c r="M271" s="545" t="n">
        <f aca="false">I271-D271</f>
        <v>973</v>
      </c>
    </row>
    <row r="272" customFormat="false" ht="12.75" hidden="false" customHeight="true" outlineLevel="0" collapsed="false">
      <c r="A272" s="449" t="n">
        <v>27119</v>
      </c>
      <c r="B272" s="450" t="s">
        <v>13372</v>
      </c>
      <c r="C272" s="450" t="n">
        <v>2017</v>
      </c>
      <c r="D272" s="451" t="n">
        <v>42838</v>
      </c>
      <c r="E272" s="452" t="s">
        <v>13373</v>
      </c>
      <c r="F272" s="378" t="s">
        <v>1211</v>
      </c>
      <c r="G272" s="452" t="s">
        <v>1174</v>
      </c>
      <c r="H272" s="378" t="s">
        <v>267</v>
      </c>
      <c r="I272" s="451" t="n">
        <v>43691</v>
      </c>
      <c r="J272" s="452" t="n">
        <v>8</v>
      </c>
      <c r="K272" s="552" t="s">
        <v>42</v>
      </c>
      <c r="L272" s="378" t="s">
        <v>58</v>
      </c>
      <c r="M272" s="546" t="n">
        <f aca="false">I272-D272</f>
        <v>853</v>
      </c>
    </row>
    <row r="273" customFormat="false" ht="12.75" hidden="false" customHeight="true" outlineLevel="0" collapsed="false">
      <c r="A273" s="456" t="n">
        <v>27219</v>
      </c>
      <c r="B273" s="458" t="s">
        <v>13374</v>
      </c>
      <c r="C273" s="458" t="n">
        <v>2019</v>
      </c>
      <c r="D273" s="459" t="n">
        <v>43615</v>
      </c>
      <c r="E273" s="460" t="s">
        <v>13375</v>
      </c>
      <c r="F273" s="380" t="s">
        <v>449</v>
      </c>
      <c r="G273" s="460" t="s">
        <v>1174</v>
      </c>
      <c r="H273" s="380" t="s">
        <v>208</v>
      </c>
      <c r="I273" s="459" t="n">
        <v>43691</v>
      </c>
      <c r="J273" s="460" t="n">
        <v>8</v>
      </c>
      <c r="K273" s="548" t="s">
        <v>47</v>
      </c>
      <c r="L273" s="380" t="s">
        <v>58</v>
      </c>
      <c r="M273" s="545" t="n">
        <f aca="false">I273-D273</f>
        <v>76</v>
      </c>
    </row>
    <row r="274" customFormat="false" ht="12.75" hidden="false" customHeight="true" outlineLevel="0" collapsed="false">
      <c r="A274" s="449" t="n">
        <v>27319</v>
      </c>
      <c r="B274" s="450" t="s">
        <v>13376</v>
      </c>
      <c r="C274" s="450" t="n">
        <v>2019</v>
      </c>
      <c r="D274" s="451" t="n">
        <v>43522</v>
      </c>
      <c r="E274" s="452" t="s">
        <v>13377</v>
      </c>
      <c r="F274" s="378" t="s">
        <v>449</v>
      </c>
      <c r="G274" s="452" t="s">
        <v>1174</v>
      </c>
      <c r="H274" s="378" t="s">
        <v>267</v>
      </c>
      <c r="I274" s="451" t="n">
        <v>43691</v>
      </c>
      <c r="J274" s="452" t="n">
        <v>8</v>
      </c>
      <c r="K274" s="548" t="s">
        <v>47</v>
      </c>
      <c r="L274" s="378" t="s">
        <v>58</v>
      </c>
      <c r="M274" s="546" t="n">
        <f aca="false">I274-D274</f>
        <v>169</v>
      </c>
    </row>
    <row r="275" customFormat="false" ht="12.75" hidden="false" customHeight="true" outlineLevel="0" collapsed="false">
      <c r="A275" s="456" t="n">
        <v>27419</v>
      </c>
      <c r="B275" s="458" t="s">
        <v>13378</v>
      </c>
      <c r="C275" s="458" t="n">
        <v>2018</v>
      </c>
      <c r="D275" s="459" t="n">
        <v>43298</v>
      </c>
      <c r="E275" s="460" t="s">
        <v>13379</v>
      </c>
      <c r="F275" s="380" t="s">
        <v>823</v>
      </c>
      <c r="G275" s="460" t="s">
        <v>1174</v>
      </c>
      <c r="H275" s="380" t="s">
        <v>1740</v>
      </c>
      <c r="I275" s="459" t="n">
        <v>43691</v>
      </c>
      <c r="J275" s="460" t="n">
        <v>8</v>
      </c>
      <c r="K275" s="548" t="s">
        <v>47</v>
      </c>
      <c r="L275" s="380" t="s">
        <v>58</v>
      </c>
      <c r="M275" s="545" t="n">
        <f aca="false">I275-D275</f>
        <v>393</v>
      </c>
    </row>
    <row r="276" customFormat="false" ht="12.75" hidden="false" customHeight="true" outlineLevel="0" collapsed="false">
      <c r="A276" s="449" t="n">
        <v>27519</v>
      </c>
      <c r="B276" s="450" t="s">
        <v>13380</v>
      </c>
      <c r="C276" s="450" t="n">
        <v>2018</v>
      </c>
      <c r="D276" s="451" t="n">
        <v>43311</v>
      </c>
      <c r="E276" s="452" t="s">
        <v>13381</v>
      </c>
      <c r="F276" s="378" t="s">
        <v>459</v>
      </c>
      <c r="G276" s="452" t="s">
        <v>1174</v>
      </c>
      <c r="H276" s="378" t="s">
        <v>267</v>
      </c>
      <c r="I276" s="451" t="n">
        <v>43691</v>
      </c>
      <c r="J276" s="452" t="n">
        <v>8</v>
      </c>
      <c r="K276" s="552" t="s">
        <v>42</v>
      </c>
      <c r="L276" s="378" t="s">
        <v>58</v>
      </c>
      <c r="M276" s="546" t="n">
        <f aca="false">I276-D276</f>
        <v>380</v>
      </c>
    </row>
    <row r="277" customFormat="false" ht="12.75" hidden="false" customHeight="true" outlineLevel="0" collapsed="false">
      <c r="A277" s="456" t="n">
        <v>27619</v>
      </c>
      <c r="B277" s="458" t="s">
        <v>13382</v>
      </c>
      <c r="C277" s="458" t="n">
        <v>2017</v>
      </c>
      <c r="D277" s="459" t="n">
        <v>43040</v>
      </c>
      <c r="E277" s="460" t="s">
        <v>13383</v>
      </c>
      <c r="F277" s="380" t="s">
        <v>902</v>
      </c>
      <c r="G277" s="460" t="s">
        <v>1174</v>
      </c>
      <c r="H277" s="380" t="s">
        <v>350</v>
      </c>
      <c r="I277" s="459" t="n">
        <v>43691</v>
      </c>
      <c r="J277" s="460" t="n">
        <v>8</v>
      </c>
      <c r="K277" s="548" t="s">
        <v>47</v>
      </c>
      <c r="L277" s="380" t="s">
        <v>58</v>
      </c>
      <c r="M277" s="545" t="n">
        <f aca="false">I277-D277</f>
        <v>651</v>
      </c>
    </row>
    <row r="278" customFormat="false" ht="12.75" hidden="false" customHeight="true" outlineLevel="0" collapsed="false">
      <c r="A278" s="449" t="n">
        <v>27719</v>
      </c>
      <c r="B278" s="450" t="s">
        <v>13384</v>
      </c>
      <c r="C278" s="450" t="n">
        <v>2013</v>
      </c>
      <c r="D278" s="451" t="n">
        <v>41453</v>
      </c>
      <c r="E278" s="452" t="s">
        <v>13385</v>
      </c>
      <c r="F278" s="378" t="s">
        <v>3865</v>
      </c>
      <c r="G278" s="452" t="s">
        <v>1174</v>
      </c>
      <c r="H278" s="378" t="s">
        <v>350</v>
      </c>
      <c r="I278" s="451" t="n">
        <v>43691</v>
      </c>
      <c r="J278" s="452" t="n">
        <v>8</v>
      </c>
      <c r="K278" s="587" t="s">
        <v>50</v>
      </c>
      <c r="L278" s="378" t="s">
        <v>60</v>
      </c>
      <c r="M278" s="546" t="n">
        <f aca="false">I278-D278</f>
        <v>2238</v>
      </c>
    </row>
    <row r="279" customFormat="false" ht="12.75" hidden="false" customHeight="true" outlineLevel="0" collapsed="false">
      <c r="A279" s="456" t="n">
        <v>27819</v>
      </c>
      <c r="B279" s="458" t="s">
        <v>13386</v>
      </c>
      <c r="C279" s="458" t="n">
        <v>2014</v>
      </c>
      <c r="D279" s="459" t="n">
        <v>41927</v>
      </c>
      <c r="E279" s="460" t="s">
        <v>13387</v>
      </c>
      <c r="F279" s="380" t="s">
        <v>1025</v>
      </c>
      <c r="G279" s="460" t="s">
        <v>1174</v>
      </c>
      <c r="H279" s="380" t="s">
        <v>9385</v>
      </c>
      <c r="I279" s="459" t="n">
        <v>43691</v>
      </c>
      <c r="J279" s="460" t="n">
        <v>8</v>
      </c>
      <c r="K279" s="556" t="s">
        <v>45</v>
      </c>
      <c r="L279" s="380" t="s">
        <v>58</v>
      </c>
      <c r="M279" s="545" t="n">
        <f aca="false">I279-D279</f>
        <v>1764</v>
      </c>
    </row>
    <row r="280" customFormat="false" ht="12.75" hidden="false" customHeight="true" outlineLevel="0" collapsed="false">
      <c r="A280" s="449" t="n">
        <v>27919</v>
      </c>
      <c r="B280" s="450" t="s">
        <v>13388</v>
      </c>
      <c r="C280" s="450" t="n">
        <v>2014</v>
      </c>
      <c r="D280" s="451" t="n">
        <v>41844</v>
      </c>
      <c r="E280" s="452" t="s">
        <v>13389</v>
      </c>
      <c r="F280" s="378" t="s">
        <v>1025</v>
      </c>
      <c r="G280" s="452" t="s">
        <v>1174</v>
      </c>
      <c r="H280" s="378" t="s">
        <v>12106</v>
      </c>
      <c r="I280" s="451" t="n">
        <v>43691</v>
      </c>
      <c r="J280" s="452" t="n">
        <v>8</v>
      </c>
      <c r="K280" s="556" t="s">
        <v>45</v>
      </c>
      <c r="L280" s="378" t="s">
        <v>58</v>
      </c>
      <c r="M280" s="546" t="n">
        <f aca="false">I280-D280</f>
        <v>1847</v>
      </c>
    </row>
    <row r="281" customFormat="false" ht="12.75" hidden="false" customHeight="true" outlineLevel="0" collapsed="false">
      <c r="A281" s="456" t="n">
        <v>28019</v>
      </c>
      <c r="B281" s="458" t="s">
        <v>13390</v>
      </c>
      <c r="C281" s="458" t="n">
        <v>2014</v>
      </c>
      <c r="D281" s="459" t="n">
        <v>41880</v>
      </c>
      <c r="E281" s="460" t="s">
        <v>13391</v>
      </c>
      <c r="F281" s="380" t="s">
        <v>1025</v>
      </c>
      <c r="G281" s="460" t="s">
        <v>1174</v>
      </c>
      <c r="H281" s="380" t="s">
        <v>192</v>
      </c>
      <c r="I281" s="459" t="n">
        <v>43691</v>
      </c>
      <c r="J281" s="460" t="n">
        <v>8</v>
      </c>
      <c r="K281" s="556" t="s">
        <v>45</v>
      </c>
      <c r="L281" s="380" t="s">
        <v>58</v>
      </c>
      <c r="M281" s="545" t="n">
        <f aca="false">I281-D281</f>
        <v>1811</v>
      </c>
    </row>
    <row r="282" customFormat="false" ht="12.75" hidden="false" customHeight="true" outlineLevel="0" collapsed="false">
      <c r="A282" s="449" t="n">
        <v>28119</v>
      </c>
      <c r="B282" s="450" t="s">
        <v>13392</v>
      </c>
      <c r="C282" s="450" t="n">
        <v>2017</v>
      </c>
      <c r="D282" s="451" t="n">
        <v>43088</v>
      </c>
      <c r="E282" s="452" t="s">
        <v>13393</v>
      </c>
      <c r="F282" s="378" t="s">
        <v>180</v>
      </c>
      <c r="G282" s="452" t="s">
        <v>1174</v>
      </c>
      <c r="H282" s="378" t="s">
        <v>350</v>
      </c>
      <c r="I282" s="451" t="n">
        <v>43691</v>
      </c>
      <c r="J282" s="452" t="n">
        <v>8</v>
      </c>
      <c r="K282" s="548" t="s">
        <v>47</v>
      </c>
      <c r="L282" s="378" t="s">
        <v>58</v>
      </c>
      <c r="M282" s="546" t="n">
        <f aca="false">I282-D282</f>
        <v>603</v>
      </c>
    </row>
    <row r="283" customFormat="false" ht="12.75" hidden="true" customHeight="true" outlineLevel="0" collapsed="false">
      <c r="A283" s="456" t="n">
        <v>28219</v>
      </c>
      <c r="B283" s="458" t="s">
        <v>13394</v>
      </c>
      <c r="C283" s="458" t="n">
        <v>2013</v>
      </c>
      <c r="D283" s="459" t="n">
        <v>41627</v>
      </c>
      <c r="E283" s="460" t="s">
        <v>13395</v>
      </c>
      <c r="F283" s="380" t="s">
        <v>13396</v>
      </c>
      <c r="G283" s="460" t="s">
        <v>115</v>
      </c>
      <c r="H283" s="380" t="s">
        <v>10110</v>
      </c>
      <c r="I283" s="459" t="n">
        <v>43691</v>
      </c>
      <c r="J283" s="460" t="n">
        <v>8</v>
      </c>
      <c r="K283" s="552" t="s">
        <v>42</v>
      </c>
      <c r="L283" s="380" t="s">
        <v>57</v>
      </c>
      <c r="M283" s="545" t="n">
        <f aca="false">I283-D283</f>
        <v>2064</v>
      </c>
    </row>
    <row r="284" customFormat="false" ht="12.75" hidden="true" customHeight="true" outlineLevel="0" collapsed="false">
      <c r="A284" s="449" t="n">
        <v>28319</v>
      </c>
      <c r="B284" s="450" t="s">
        <v>13397</v>
      </c>
      <c r="C284" s="450" t="n">
        <v>2013</v>
      </c>
      <c r="D284" s="451" t="n">
        <v>41515</v>
      </c>
      <c r="E284" s="452" t="s">
        <v>13398</v>
      </c>
      <c r="F284" s="378" t="s">
        <v>1200</v>
      </c>
      <c r="G284" s="452" t="s">
        <v>441</v>
      </c>
      <c r="H284" s="378" t="s">
        <v>208</v>
      </c>
      <c r="I284" s="451" t="n">
        <v>43691</v>
      </c>
      <c r="J284" s="452" t="n">
        <v>8</v>
      </c>
      <c r="K284" s="548" t="s">
        <v>47</v>
      </c>
      <c r="L284" s="378" t="s">
        <v>58</v>
      </c>
      <c r="M284" s="546" t="n">
        <f aca="false">I284-D284</f>
        <v>2176</v>
      </c>
    </row>
    <row r="285" customFormat="false" ht="12.75" hidden="true" customHeight="true" outlineLevel="0" collapsed="false">
      <c r="A285" s="456" t="n">
        <v>28419</v>
      </c>
      <c r="B285" s="458" t="s">
        <v>13399</v>
      </c>
      <c r="C285" s="458" t="n">
        <v>2015</v>
      </c>
      <c r="D285" s="459" t="n">
        <v>42124</v>
      </c>
      <c r="E285" s="460" t="s">
        <v>13400</v>
      </c>
      <c r="F285" s="380" t="s">
        <v>207</v>
      </c>
      <c r="G285" s="460" t="s">
        <v>441</v>
      </c>
      <c r="H285" s="380" t="s">
        <v>9385</v>
      </c>
      <c r="I285" s="459" t="n">
        <v>43691</v>
      </c>
      <c r="J285" s="460" t="n">
        <v>8</v>
      </c>
      <c r="K285" s="548" t="s">
        <v>47</v>
      </c>
      <c r="L285" s="380" t="s">
        <v>58</v>
      </c>
      <c r="M285" s="545" t="n">
        <f aca="false">I285-D285</f>
        <v>1567</v>
      </c>
    </row>
    <row r="286" customFormat="false" ht="12.75" hidden="true" customHeight="true" outlineLevel="0" collapsed="false">
      <c r="A286" s="449" t="n">
        <v>28519</v>
      </c>
      <c r="B286" s="450" t="s">
        <v>13401</v>
      </c>
      <c r="C286" s="450" t="n">
        <v>2014</v>
      </c>
      <c r="D286" s="451" t="n">
        <v>41914</v>
      </c>
      <c r="E286" s="452" t="s">
        <v>13402</v>
      </c>
      <c r="F286" s="378" t="s">
        <v>5401</v>
      </c>
      <c r="G286" s="452" t="s">
        <v>441</v>
      </c>
      <c r="H286" s="378" t="s">
        <v>192</v>
      </c>
      <c r="I286" s="451" t="n">
        <v>43691</v>
      </c>
      <c r="J286" s="452" t="n">
        <v>8</v>
      </c>
      <c r="K286" s="552" t="s">
        <v>42</v>
      </c>
      <c r="L286" s="378" t="s">
        <v>60</v>
      </c>
      <c r="M286" s="546" t="n">
        <f aca="false">I286-D286</f>
        <v>1777</v>
      </c>
    </row>
    <row r="287" customFormat="false" ht="12.75" hidden="true" customHeight="true" outlineLevel="0" collapsed="false">
      <c r="A287" s="456" t="n">
        <v>28619</v>
      </c>
      <c r="B287" s="458" t="s">
        <v>13403</v>
      </c>
      <c r="C287" s="458" t="n">
        <v>2015</v>
      </c>
      <c r="D287" s="459" t="n">
        <v>42300</v>
      </c>
      <c r="E287" s="460" t="s">
        <v>13404</v>
      </c>
      <c r="F287" s="380" t="s">
        <v>1916</v>
      </c>
      <c r="G287" s="460" t="s">
        <v>441</v>
      </c>
      <c r="H287" s="380" t="s">
        <v>350</v>
      </c>
      <c r="I287" s="459" t="n">
        <v>43691</v>
      </c>
      <c r="J287" s="460" t="n">
        <v>8</v>
      </c>
      <c r="K287" s="552" t="s">
        <v>42</v>
      </c>
      <c r="L287" s="380" t="s">
        <v>58</v>
      </c>
      <c r="M287" s="545" t="n">
        <f aca="false">I287-D287</f>
        <v>1391</v>
      </c>
    </row>
    <row r="288" customFormat="false" ht="12.75" hidden="true" customHeight="true" outlineLevel="0" collapsed="false">
      <c r="A288" s="449" t="n">
        <v>28719</v>
      </c>
      <c r="B288" s="450" t="s">
        <v>13405</v>
      </c>
      <c r="C288" s="450" t="n">
        <v>2015</v>
      </c>
      <c r="D288" s="451" t="n">
        <v>42094</v>
      </c>
      <c r="E288" s="452" t="s">
        <v>13406</v>
      </c>
      <c r="F288" s="378" t="s">
        <v>113</v>
      </c>
      <c r="G288" s="452" t="s">
        <v>441</v>
      </c>
      <c r="H288" s="378" t="s">
        <v>12106</v>
      </c>
      <c r="I288" s="451" t="n">
        <v>43691</v>
      </c>
      <c r="J288" s="452" t="n">
        <v>8</v>
      </c>
      <c r="K288" s="548" t="s">
        <v>47</v>
      </c>
      <c r="L288" s="378" t="s">
        <v>60</v>
      </c>
      <c r="M288" s="546" t="n">
        <f aca="false">I288-D288</f>
        <v>1597</v>
      </c>
    </row>
    <row r="289" customFormat="false" ht="12.75" hidden="true" customHeight="true" outlineLevel="0" collapsed="false">
      <c r="A289" s="456" t="n">
        <v>28819</v>
      </c>
      <c r="B289" s="458" t="s">
        <v>13407</v>
      </c>
      <c r="C289" s="458" t="n">
        <v>2012</v>
      </c>
      <c r="D289" s="459" t="n">
        <v>41269</v>
      </c>
      <c r="E289" s="460" t="s">
        <v>13408</v>
      </c>
      <c r="F289" s="380" t="s">
        <v>13409</v>
      </c>
      <c r="G289" s="460" t="s">
        <v>441</v>
      </c>
      <c r="H289" s="380" t="s">
        <v>192</v>
      </c>
      <c r="I289" s="459" t="n">
        <v>43691</v>
      </c>
      <c r="J289" s="460" t="n">
        <v>8</v>
      </c>
      <c r="K289" s="552" t="s">
        <v>42</v>
      </c>
      <c r="L289" s="380" t="s">
        <v>58</v>
      </c>
      <c r="M289" s="545" t="n">
        <f aca="false">I289-D289</f>
        <v>2422</v>
      </c>
    </row>
    <row r="290" customFormat="false" ht="12.75" hidden="true" customHeight="true" outlineLevel="0" collapsed="false">
      <c r="A290" s="449" t="n">
        <v>28919</v>
      </c>
      <c r="B290" s="450" t="s">
        <v>13410</v>
      </c>
      <c r="C290" s="450" t="n">
        <v>2013</v>
      </c>
      <c r="D290" s="451" t="n">
        <v>41603</v>
      </c>
      <c r="E290" s="452" t="s">
        <v>13411</v>
      </c>
      <c r="F290" s="378" t="s">
        <v>689</v>
      </c>
      <c r="G290" s="452" t="s">
        <v>441</v>
      </c>
      <c r="H290" s="378" t="s">
        <v>192</v>
      </c>
      <c r="I290" s="451" t="n">
        <v>43691</v>
      </c>
      <c r="J290" s="452" t="n">
        <v>8</v>
      </c>
      <c r="K290" s="548" t="s">
        <v>47</v>
      </c>
      <c r="L290" s="378" t="s">
        <v>60</v>
      </c>
      <c r="M290" s="546" t="n">
        <f aca="false">I290-D290</f>
        <v>2088</v>
      </c>
    </row>
    <row r="291" customFormat="false" ht="12.75" hidden="true" customHeight="true" outlineLevel="0" collapsed="false">
      <c r="A291" s="456" t="n">
        <v>29019</v>
      </c>
      <c r="B291" s="458" t="s">
        <v>13412</v>
      </c>
      <c r="C291" s="458" t="n">
        <v>2009</v>
      </c>
      <c r="D291" s="459" t="n">
        <v>40101</v>
      </c>
      <c r="E291" s="460" t="s">
        <v>13413</v>
      </c>
      <c r="F291" s="380" t="s">
        <v>13414</v>
      </c>
      <c r="G291" s="460" t="s">
        <v>1188</v>
      </c>
      <c r="H291" s="380" t="s">
        <v>134</v>
      </c>
      <c r="I291" s="459" t="n">
        <v>43691</v>
      </c>
      <c r="J291" s="460" t="n">
        <v>8</v>
      </c>
      <c r="K291" s="548" t="s">
        <v>47</v>
      </c>
      <c r="L291" s="380" t="s">
        <v>58</v>
      </c>
      <c r="M291" s="545" t="n">
        <f aca="false">I291-D291</f>
        <v>3590</v>
      </c>
    </row>
    <row r="292" customFormat="false" ht="12.75" hidden="true" customHeight="true" outlineLevel="0" collapsed="false">
      <c r="A292" s="449" t="n">
        <v>29119</v>
      </c>
      <c r="B292" s="450" t="s">
        <v>13415</v>
      </c>
      <c r="C292" s="450" t="n">
        <v>2010</v>
      </c>
      <c r="D292" s="451" t="n">
        <v>40379</v>
      </c>
      <c r="E292" s="452" t="s">
        <v>13416</v>
      </c>
      <c r="F292" s="378" t="s">
        <v>13417</v>
      </c>
      <c r="G292" s="452" t="s">
        <v>1188</v>
      </c>
      <c r="H292" s="378" t="s">
        <v>1109</v>
      </c>
      <c r="I292" s="451" t="n">
        <v>43691</v>
      </c>
      <c r="J292" s="452" t="n">
        <v>8</v>
      </c>
      <c r="K292" s="552" t="s">
        <v>42</v>
      </c>
      <c r="L292" s="378" t="s">
        <v>58</v>
      </c>
      <c r="M292" s="546" t="n">
        <f aca="false">I292-D292</f>
        <v>3312</v>
      </c>
    </row>
    <row r="293" customFormat="false" ht="12.75" hidden="false" customHeight="true" outlineLevel="0" collapsed="false">
      <c r="A293" s="456" t="n">
        <v>29219</v>
      </c>
      <c r="B293" s="458" t="s">
        <v>13418</v>
      </c>
      <c r="C293" s="458" t="n">
        <v>2015</v>
      </c>
      <c r="D293" s="459" t="n">
        <v>42216</v>
      </c>
      <c r="E293" s="460" t="s">
        <v>13419</v>
      </c>
      <c r="F293" s="380" t="s">
        <v>7432</v>
      </c>
      <c r="G293" s="460" t="s">
        <v>1174</v>
      </c>
      <c r="H293" s="380" t="s">
        <v>267</v>
      </c>
      <c r="I293" s="459" t="n">
        <v>43691</v>
      </c>
      <c r="J293" s="460" t="n">
        <v>8</v>
      </c>
      <c r="K293" s="548" t="s">
        <v>47</v>
      </c>
      <c r="L293" s="380" t="s">
        <v>58</v>
      </c>
      <c r="M293" s="545" t="n">
        <f aca="false">I293-D293</f>
        <v>1475</v>
      </c>
    </row>
    <row r="294" customFormat="false" ht="12.75" hidden="false" customHeight="true" outlineLevel="0" collapsed="false">
      <c r="A294" s="449" t="n">
        <v>29319</v>
      </c>
      <c r="B294" s="450" t="s">
        <v>13420</v>
      </c>
      <c r="C294" s="450" t="n">
        <v>2017</v>
      </c>
      <c r="D294" s="451" t="n">
        <v>42802</v>
      </c>
      <c r="E294" s="452" t="s">
        <v>13421</v>
      </c>
      <c r="F294" s="378" t="s">
        <v>509</v>
      </c>
      <c r="G294" s="452" t="s">
        <v>1174</v>
      </c>
      <c r="H294" s="378" t="s">
        <v>2677</v>
      </c>
      <c r="I294" s="451" t="n">
        <v>43693</v>
      </c>
      <c r="J294" s="452" t="n">
        <v>8</v>
      </c>
      <c r="K294" s="556" t="s">
        <v>45</v>
      </c>
      <c r="L294" s="378" t="s">
        <v>58</v>
      </c>
      <c r="M294" s="546" t="n">
        <f aca="false">I294-D294</f>
        <v>891</v>
      </c>
    </row>
    <row r="295" customFormat="false" ht="12.75" hidden="false" customHeight="true" outlineLevel="0" collapsed="false">
      <c r="A295" s="456" t="n">
        <v>29419</v>
      </c>
      <c r="B295" s="458" t="s">
        <v>13422</v>
      </c>
      <c r="C295" s="458" t="n">
        <v>2018</v>
      </c>
      <c r="D295" s="459" t="n">
        <v>43131</v>
      </c>
      <c r="E295" s="460" t="s">
        <v>13423</v>
      </c>
      <c r="F295" s="380" t="s">
        <v>509</v>
      </c>
      <c r="G295" s="460" t="s">
        <v>1174</v>
      </c>
      <c r="H295" s="380" t="s">
        <v>522</v>
      </c>
      <c r="I295" s="459" t="n">
        <v>43693</v>
      </c>
      <c r="J295" s="460" t="n">
        <v>8</v>
      </c>
      <c r="K295" s="556" t="s">
        <v>45</v>
      </c>
      <c r="L295" s="380" t="s">
        <v>58</v>
      </c>
      <c r="M295" s="545" t="n">
        <f aca="false">I295-D295</f>
        <v>562</v>
      </c>
    </row>
    <row r="296" customFormat="false" ht="12.75" hidden="false" customHeight="true" outlineLevel="0" collapsed="false">
      <c r="A296" s="449" t="n">
        <v>29519</v>
      </c>
      <c r="B296" s="450" t="s">
        <v>13424</v>
      </c>
      <c r="C296" s="450" t="n">
        <v>2018</v>
      </c>
      <c r="D296" s="451" t="n">
        <v>43403</v>
      </c>
      <c r="E296" s="452" t="s">
        <v>13425</v>
      </c>
      <c r="F296" s="378" t="s">
        <v>509</v>
      </c>
      <c r="G296" s="452" t="s">
        <v>1174</v>
      </c>
      <c r="H296" s="378" t="s">
        <v>208</v>
      </c>
      <c r="I296" s="451" t="n">
        <v>43693</v>
      </c>
      <c r="J296" s="452" t="n">
        <v>8</v>
      </c>
      <c r="K296" s="556" t="s">
        <v>45</v>
      </c>
      <c r="L296" s="378" t="s">
        <v>58</v>
      </c>
      <c r="M296" s="546" t="n">
        <f aca="false">I296-D296</f>
        <v>290</v>
      </c>
    </row>
    <row r="297" customFormat="false" ht="12.75" hidden="false" customHeight="true" outlineLevel="0" collapsed="false">
      <c r="A297" s="456" t="n">
        <v>29619</v>
      </c>
      <c r="B297" s="458" t="s">
        <v>13426</v>
      </c>
      <c r="C297" s="458" t="n">
        <v>2018</v>
      </c>
      <c r="D297" s="459" t="n">
        <v>43445</v>
      </c>
      <c r="E297" s="460" t="s">
        <v>13427</v>
      </c>
      <c r="F297" s="380" t="s">
        <v>509</v>
      </c>
      <c r="G297" s="460" t="s">
        <v>1174</v>
      </c>
      <c r="H297" s="380" t="s">
        <v>267</v>
      </c>
      <c r="I297" s="459" t="n">
        <v>43693</v>
      </c>
      <c r="J297" s="460" t="n">
        <v>8</v>
      </c>
      <c r="K297" s="556" t="s">
        <v>45</v>
      </c>
      <c r="L297" s="380" t="s">
        <v>58</v>
      </c>
      <c r="M297" s="545" t="n">
        <f aca="false">I297-D297</f>
        <v>248</v>
      </c>
    </row>
    <row r="298" customFormat="false" ht="12.75" hidden="false" customHeight="true" outlineLevel="0" collapsed="false">
      <c r="A298" s="449" t="n">
        <v>29719</v>
      </c>
      <c r="B298" s="450" t="s">
        <v>13428</v>
      </c>
      <c r="C298" s="450" t="n">
        <v>2016</v>
      </c>
      <c r="D298" s="451" t="n">
        <v>42628</v>
      </c>
      <c r="E298" s="452" t="s">
        <v>13429</v>
      </c>
      <c r="F298" s="378" t="s">
        <v>1200</v>
      </c>
      <c r="G298" s="452" t="s">
        <v>1174</v>
      </c>
      <c r="H298" s="378" t="s">
        <v>267</v>
      </c>
      <c r="I298" s="451" t="n">
        <v>43693</v>
      </c>
      <c r="J298" s="452" t="n">
        <v>8</v>
      </c>
      <c r="K298" s="548" t="s">
        <v>47</v>
      </c>
      <c r="L298" s="378" t="s">
        <v>58</v>
      </c>
      <c r="M298" s="546" t="n">
        <f aca="false">I298-D298</f>
        <v>1065</v>
      </c>
    </row>
    <row r="299" customFormat="false" ht="12.75" hidden="false" customHeight="true" outlineLevel="0" collapsed="false">
      <c r="A299" s="456" t="n">
        <v>29819</v>
      </c>
      <c r="B299" s="458" t="s">
        <v>13430</v>
      </c>
      <c r="C299" s="458" t="n">
        <v>2017</v>
      </c>
      <c r="D299" s="459" t="n">
        <v>43021</v>
      </c>
      <c r="E299" s="460" t="s">
        <v>13431</v>
      </c>
      <c r="F299" s="380" t="s">
        <v>1200</v>
      </c>
      <c r="G299" s="460" t="s">
        <v>1174</v>
      </c>
      <c r="H299" s="380" t="s">
        <v>350</v>
      </c>
      <c r="I299" s="459" t="n">
        <v>43697</v>
      </c>
      <c r="J299" s="460" t="n">
        <v>8</v>
      </c>
      <c r="K299" s="548" t="s">
        <v>47</v>
      </c>
      <c r="L299" s="380" t="s">
        <v>58</v>
      </c>
      <c r="M299" s="545" t="n">
        <f aca="false">I299-D299</f>
        <v>676</v>
      </c>
    </row>
    <row r="300" customFormat="false" ht="12.75" hidden="false" customHeight="true" outlineLevel="0" collapsed="false">
      <c r="A300" s="449" t="n">
        <v>29919</v>
      </c>
      <c r="B300" s="450" t="s">
        <v>13432</v>
      </c>
      <c r="C300" s="450" t="n">
        <v>2016</v>
      </c>
      <c r="D300" s="451" t="n">
        <v>42711</v>
      </c>
      <c r="E300" s="452" t="s">
        <v>13433</v>
      </c>
      <c r="F300" s="378" t="s">
        <v>1200</v>
      </c>
      <c r="G300" s="452" t="s">
        <v>1174</v>
      </c>
      <c r="H300" s="378" t="s">
        <v>693</v>
      </c>
      <c r="I300" s="451" t="n">
        <v>43697</v>
      </c>
      <c r="J300" s="452" t="n">
        <v>8</v>
      </c>
      <c r="K300" s="548" t="s">
        <v>47</v>
      </c>
      <c r="L300" s="378" t="s">
        <v>58</v>
      </c>
      <c r="M300" s="546" t="n">
        <f aca="false">I300-D300</f>
        <v>986</v>
      </c>
    </row>
    <row r="301" customFormat="false" ht="12.75" hidden="false" customHeight="true" outlineLevel="0" collapsed="false">
      <c r="A301" s="456" t="n">
        <v>30019</v>
      </c>
      <c r="B301" s="458" t="s">
        <v>13434</v>
      </c>
      <c r="C301" s="458" t="n">
        <v>2018</v>
      </c>
      <c r="D301" s="459" t="n">
        <v>43154</v>
      </c>
      <c r="E301" s="460" t="s">
        <v>13435</v>
      </c>
      <c r="F301" s="380" t="s">
        <v>1200</v>
      </c>
      <c r="G301" s="460" t="s">
        <v>1174</v>
      </c>
      <c r="H301" s="380" t="s">
        <v>1258</v>
      </c>
      <c r="I301" s="459" t="n">
        <v>43697</v>
      </c>
      <c r="J301" s="460" t="n">
        <v>8</v>
      </c>
      <c r="K301" s="548" t="s">
        <v>47</v>
      </c>
      <c r="L301" s="380" t="s">
        <v>58</v>
      </c>
      <c r="M301" s="545" t="n">
        <f aca="false">I301-D301</f>
        <v>543</v>
      </c>
    </row>
    <row r="302" customFormat="false" ht="12.75" hidden="false" customHeight="true" outlineLevel="0" collapsed="false">
      <c r="A302" s="449" t="n">
        <v>30119</v>
      </c>
      <c r="B302" s="450" t="s">
        <v>13436</v>
      </c>
      <c r="C302" s="450" t="n">
        <v>2013</v>
      </c>
      <c r="D302" s="451" t="n">
        <v>41628</v>
      </c>
      <c r="E302" s="452" t="s">
        <v>13437</v>
      </c>
      <c r="F302" s="378" t="s">
        <v>1200</v>
      </c>
      <c r="G302" s="452" t="s">
        <v>1174</v>
      </c>
      <c r="H302" s="378" t="s">
        <v>12106</v>
      </c>
      <c r="I302" s="451" t="n">
        <v>43697</v>
      </c>
      <c r="J302" s="452" t="n">
        <v>8</v>
      </c>
      <c r="K302" s="548" t="s">
        <v>47</v>
      </c>
      <c r="L302" s="378" t="s">
        <v>58</v>
      </c>
      <c r="M302" s="546" t="n">
        <f aca="false">I302-D302</f>
        <v>2069</v>
      </c>
    </row>
    <row r="303" customFormat="false" ht="12.75" hidden="false" customHeight="true" outlineLevel="0" collapsed="false">
      <c r="A303" s="456" t="n">
        <v>30219</v>
      </c>
      <c r="B303" s="458" t="s">
        <v>13438</v>
      </c>
      <c r="C303" s="458" t="n">
        <v>2016</v>
      </c>
      <c r="D303" s="459" t="n">
        <v>42626</v>
      </c>
      <c r="E303" s="460" t="s">
        <v>13439</v>
      </c>
      <c r="F303" s="380" t="s">
        <v>1200</v>
      </c>
      <c r="G303" s="460" t="s">
        <v>1174</v>
      </c>
      <c r="H303" s="380" t="s">
        <v>1571</v>
      </c>
      <c r="I303" s="459" t="n">
        <v>43697</v>
      </c>
      <c r="J303" s="460" t="n">
        <v>8</v>
      </c>
      <c r="K303" s="548" t="s">
        <v>47</v>
      </c>
      <c r="L303" s="380" t="s">
        <v>58</v>
      </c>
      <c r="M303" s="545" t="n">
        <f aca="false">I303-D303</f>
        <v>1071</v>
      </c>
    </row>
    <row r="304" customFormat="false" ht="12.75" hidden="false" customHeight="true" outlineLevel="0" collapsed="false">
      <c r="A304" s="449" t="n">
        <v>30319</v>
      </c>
      <c r="B304" s="450" t="s">
        <v>13440</v>
      </c>
      <c r="C304" s="450" t="n">
        <v>2012</v>
      </c>
      <c r="D304" s="451" t="n">
        <v>41219</v>
      </c>
      <c r="E304" s="452" t="s">
        <v>13441</v>
      </c>
      <c r="F304" s="378" t="s">
        <v>1200</v>
      </c>
      <c r="G304" s="452" t="s">
        <v>1174</v>
      </c>
      <c r="H304" s="378" t="s">
        <v>10614</v>
      </c>
      <c r="I304" s="451" t="n">
        <v>43697</v>
      </c>
      <c r="J304" s="452" t="n">
        <v>8</v>
      </c>
      <c r="K304" s="548" t="s">
        <v>47</v>
      </c>
      <c r="L304" s="378" t="s">
        <v>58</v>
      </c>
      <c r="M304" s="546" t="n">
        <f aca="false">I304-D304</f>
        <v>2478</v>
      </c>
    </row>
    <row r="305" customFormat="false" ht="12.75" hidden="false" customHeight="true" outlineLevel="0" collapsed="false">
      <c r="A305" s="456" t="n">
        <v>30419</v>
      </c>
      <c r="B305" s="458" t="s">
        <v>13442</v>
      </c>
      <c r="C305" s="458" t="n">
        <v>2012</v>
      </c>
      <c r="D305" s="459" t="n">
        <v>41263</v>
      </c>
      <c r="E305" s="460" t="s">
        <v>13443</v>
      </c>
      <c r="F305" s="380" t="s">
        <v>2151</v>
      </c>
      <c r="G305" s="460" t="s">
        <v>1174</v>
      </c>
      <c r="H305" s="380" t="s">
        <v>1501</v>
      </c>
      <c r="I305" s="459" t="n">
        <v>43697</v>
      </c>
      <c r="J305" s="460" t="n">
        <v>8</v>
      </c>
      <c r="K305" s="548" t="s">
        <v>47</v>
      </c>
      <c r="L305" s="380" t="s">
        <v>58</v>
      </c>
      <c r="M305" s="545" t="n">
        <f aca="false">I305-D305</f>
        <v>2434</v>
      </c>
    </row>
    <row r="306" customFormat="false" ht="12.75" hidden="false" customHeight="true" outlineLevel="0" collapsed="false">
      <c r="A306" s="449" t="n">
        <v>30519</v>
      </c>
      <c r="B306" s="450" t="s">
        <v>13444</v>
      </c>
      <c r="C306" s="450" t="n">
        <v>2013</v>
      </c>
      <c r="D306" s="451" t="n">
        <v>41618</v>
      </c>
      <c r="E306" s="452" t="s">
        <v>13445</v>
      </c>
      <c r="F306" s="378" t="s">
        <v>2151</v>
      </c>
      <c r="G306" s="452" t="s">
        <v>1174</v>
      </c>
      <c r="H306" s="378" t="s">
        <v>243</v>
      </c>
      <c r="I306" s="451" t="n">
        <v>43697</v>
      </c>
      <c r="J306" s="452" t="n">
        <v>8</v>
      </c>
      <c r="K306" s="548" t="s">
        <v>47</v>
      </c>
      <c r="L306" s="378" t="s">
        <v>58</v>
      </c>
      <c r="M306" s="546" t="n">
        <f aca="false">I306-D306</f>
        <v>2079</v>
      </c>
    </row>
    <row r="307" customFormat="false" ht="12.75" hidden="false" customHeight="true" outlineLevel="0" collapsed="false">
      <c r="A307" s="456" t="n">
        <v>30619</v>
      </c>
      <c r="B307" s="458" t="s">
        <v>13446</v>
      </c>
      <c r="C307" s="458" t="n">
        <v>2013</v>
      </c>
      <c r="D307" s="459" t="n">
        <v>41604</v>
      </c>
      <c r="E307" s="460" t="s">
        <v>13447</v>
      </c>
      <c r="F307" s="380" t="s">
        <v>2151</v>
      </c>
      <c r="G307" s="460" t="s">
        <v>1174</v>
      </c>
      <c r="H307" s="380" t="s">
        <v>10614</v>
      </c>
      <c r="I307" s="459" t="n">
        <v>43697</v>
      </c>
      <c r="J307" s="460" t="n">
        <v>8</v>
      </c>
      <c r="K307" s="548" t="s">
        <v>47</v>
      </c>
      <c r="L307" s="380" t="s">
        <v>58</v>
      </c>
      <c r="M307" s="545" t="n">
        <f aca="false">I307-D307</f>
        <v>2093</v>
      </c>
    </row>
    <row r="308" customFormat="false" ht="12.75" hidden="false" customHeight="true" outlineLevel="0" collapsed="false">
      <c r="A308" s="449" t="n">
        <v>30719</v>
      </c>
      <c r="B308" s="450" t="s">
        <v>13448</v>
      </c>
      <c r="C308" s="450" t="n">
        <v>2018</v>
      </c>
      <c r="D308" s="451" t="n">
        <v>43343</v>
      </c>
      <c r="E308" s="452" t="s">
        <v>13449</v>
      </c>
      <c r="F308" s="378" t="s">
        <v>1277</v>
      </c>
      <c r="G308" s="452" t="s">
        <v>1174</v>
      </c>
      <c r="H308" s="378" t="s">
        <v>267</v>
      </c>
      <c r="I308" s="451" t="n">
        <v>43697</v>
      </c>
      <c r="J308" s="452" t="n">
        <v>8</v>
      </c>
      <c r="K308" s="556" t="s">
        <v>45</v>
      </c>
      <c r="L308" s="378" t="s">
        <v>58</v>
      </c>
      <c r="M308" s="546" t="n">
        <f aca="false">I308-D308</f>
        <v>354</v>
      </c>
    </row>
    <row r="309" customFormat="false" ht="12.75" hidden="false" customHeight="true" outlineLevel="0" collapsed="false">
      <c r="A309" s="456" t="n">
        <v>30819</v>
      </c>
      <c r="B309" s="458" t="s">
        <v>13450</v>
      </c>
      <c r="C309" s="458" t="n">
        <v>2012</v>
      </c>
      <c r="D309" s="459" t="n">
        <v>40954</v>
      </c>
      <c r="E309" s="460" t="s">
        <v>13451</v>
      </c>
      <c r="F309" s="380" t="s">
        <v>5572</v>
      </c>
      <c r="G309" s="460" t="s">
        <v>1174</v>
      </c>
      <c r="H309" s="380" t="s">
        <v>1059</v>
      </c>
      <c r="I309" s="459" t="n">
        <v>43697</v>
      </c>
      <c r="J309" s="460" t="n">
        <v>8</v>
      </c>
      <c r="K309" s="548" t="s">
        <v>47</v>
      </c>
      <c r="L309" s="380" t="s">
        <v>60</v>
      </c>
      <c r="M309" s="545" t="n">
        <f aca="false">I309-D309</f>
        <v>2743</v>
      </c>
    </row>
    <row r="310" customFormat="false" ht="12.75" hidden="false" customHeight="true" outlineLevel="0" collapsed="false">
      <c r="A310" s="449" t="n">
        <v>30919</v>
      </c>
      <c r="B310" s="450" t="s">
        <v>13452</v>
      </c>
      <c r="C310" s="450" t="n">
        <v>2011</v>
      </c>
      <c r="D310" s="451" t="n">
        <v>40905</v>
      </c>
      <c r="E310" s="452" t="s">
        <v>13453</v>
      </c>
      <c r="F310" s="378" t="s">
        <v>5572</v>
      </c>
      <c r="G310" s="452" t="s">
        <v>1174</v>
      </c>
      <c r="H310" s="378" t="s">
        <v>192</v>
      </c>
      <c r="I310" s="451" t="n">
        <v>43697</v>
      </c>
      <c r="J310" s="452" t="n">
        <v>8</v>
      </c>
      <c r="K310" s="548" t="s">
        <v>47</v>
      </c>
      <c r="L310" s="378" t="s">
        <v>60</v>
      </c>
      <c r="M310" s="546" t="n">
        <f aca="false">I310-D310</f>
        <v>2792</v>
      </c>
    </row>
    <row r="311" customFormat="false" ht="12.75" hidden="false" customHeight="true" outlineLevel="0" collapsed="false">
      <c r="A311" s="456" t="n">
        <v>31019</v>
      </c>
      <c r="B311" s="458" t="s">
        <v>13454</v>
      </c>
      <c r="C311" s="458" t="n">
        <v>2014</v>
      </c>
      <c r="D311" s="459" t="n">
        <v>41669</v>
      </c>
      <c r="E311" s="460" t="s">
        <v>13455</v>
      </c>
      <c r="F311" s="380" t="s">
        <v>3444</v>
      </c>
      <c r="G311" s="460" t="s">
        <v>1174</v>
      </c>
      <c r="H311" s="380" t="s">
        <v>12106</v>
      </c>
      <c r="I311" s="459" t="n">
        <v>43697</v>
      </c>
      <c r="J311" s="460" t="n">
        <v>8</v>
      </c>
      <c r="K311" s="587" t="s">
        <v>50</v>
      </c>
      <c r="L311" s="380" t="s">
        <v>58</v>
      </c>
      <c r="M311" s="545" t="n">
        <f aca="false">I311-D311</f>
        <v>2028</v>
      </c>
    </row>
    <row r="312" customFormat="false" ht="12.75" hidden="false" customHeight="true" outlineLevel="0" collapsed="false">
      <c r="A312" s="449" t="n">
        <v>31119</v>
      </c>
      <c r="B312" s="450" t="s">
        <v>13456</v>
      </c>
      <c r="C312" s="450" t="n">
        <v>2013</v>
      </c>
      <c r="D312" s="451" t="n">
        <v>41569</v>
      </c>
      <c r="E312" s="452" t="s">
        <v>13457</v>
      </c>
      <c r="F312" s="378" t="s">
        <v>823</v>
      </c>
      <c r="G312" s="452" t="s">
        <v>1174</v>
      </c>
      <c r="H312" s="378" t="s">
        <v>184</v>
      </c>
      <c r="I312" s="451" t="n">
        <v>43699</v>
      </c>
      <c r="J312" s="452" t="n">
        <v>8</v>
      </c>
      <c r="K312" s="588" t="s">
        <v>53</v>
      </c>
      <c r="L312" s="378" t="s">
        <v>58</v>
      </c>
      <c r="M312" s="546" t="n">
        <f aca="false">I312-D312</f>
        <v>2130</v>
      </c>
    </row>
    <row r="313" customFormat="false" ht="12.75" hidden="false" customHeight="true" outlineLevel="0" collapsed="false">
      <c r="A313" s="456" t="n">
        <v>31219</v>
      </c>
      <c r="B313" s="458" t="s">
        <v>13458</v>
      </c>
      <c r="C313" s="458" t="n">
        <v>2013</v>
      </c>
      <c r="D313" s="459" t="n">
        <v>41590</v>
      </c>
      <c r="E313" s="460" t="s">
        <v>13459</v>
      </c>
      <c r="F313" s="380" t="s">
        <v>823</v>
      </c>
      <c r="G313" s="460" t="s">
        <v>1174</v>
      </c>
      <c r="H313" s="380" t="s">
        <v>2677</v>
      </c>
      <c r="I313" s="459" t="n">
        <v>43699</v>
      </c>
      <c r="J313" s="460" t="n">
        <v>8</v>
      </c>
      <c r="K313" s="588" t="s">
        <v>53</v>
      </c>
      <c r="L313" s="380" t="s">
        <v>58</v>
      </c>
      <c r="M313" s="545" t="n">
        <f aca="false">I313-D313</f>
        <v>2109</v>
      </c>
    </row>
    <row r="314" customFormat="false" ht="12.75" hidden="false" customHeight="true" outlineLevel="0" collapsed="false">
      <c r="A314" s="449" t="n">
        <v>31319</v>
      </c>
      <c r="B314" s="450" t="s">
        <v>13460</v>
      </c>
      <c r="C314" s="450" t="n">
        <v>2014</v>
      </c>
      <c r="D314" s="451" t="n">
        <v>41835</v>
      </c>
      <c r="E314" s="452" t="s">
        <v>13461</v>
      </c>
      <c r="F314" s="378" t="s">
        <v>823</v>
      </c>
      <c r="G314" s="452" t="s">
        <v>1174</v>
      </c>
      <c r="H314" s="378" t="s">
        <v>522</v>
      </c>
      <c r="I314" s="451" t="n">
        <v>43699</v>
      </c>
      <c r="J314" s="452" t="n">
        <v>8</v>
      </c>
      <c r="K314" s="588" t="s">
        <v>53</v>
      </c>
      <c r="L314" s="378" t="s">
        <v>58</v>
      </c>
      <c r="M314" s="546" t="n">
        <f aca="false">I314-D314</f>
        <v>1864</v>
      </c>
    </row>
    <row r="315" customFormat="false" ht="12.75" hidden="false" customHeight="true" outlineLevel="0" collapsed="false">
      <c r="A315" s="456" t="n">
        <v>31419</v>
      </c>
      <c r="B315" s="458" t="s">
        <v>13462</v>
      </c>
      <c r="C315" s="458" t="n">
        <v>2016</v>
      </c>
      <c r="D315" s="459" t="n">
        <v>42685</v>
      </c>
      <c r="E315" s="460" t="s">
        <v>13463</v>
      </c>
      <c r="F315" s="380" t="s">
        <v>823</v>
      </c>
      <c r="G315" s="460" t="s">
        <v>1174</v>
      </c>
      <c r="H315" s="380" t="s">
        <v>267</v>
      </c>
      <c r="I315" s="459" t="n">
        <v>43699</v>
      </c>
      <c r="J315" s="460" t="n">
        <v>8</v>
      </c>
      <c r="K315" s="588" t="s">
        <v>53</v>
      </c>
      <c r="L315" s="380" t="s">
        <v>58</v>
      </c>
      <c r="M315" s="545" t="n">
        <f aca="false">I315-D315</f>
        <v>1014</v>
      </c>
    </row>
    <row r="316" customFormat="false" ht="12.75" hidden="false" customHeight="true" outlineLevel="0" collapsed="false">
      <c r="A316" s="449" t="n">
        <v>31519</v>
      </c>
      <c r="B316" s="450" t="s">
        <v>13464</v>
      </c>
      <c r="C316" s="450" t="n">
        <v>2017</v>
      </c>
      <c r="D316" s="451" t="n">
        <v>42990</v>
      </c>
      <c r="E316" s="452" t="s">
        <v>13465</v>
      </c>
      <c r="F316" s="378" t="s">
        <v>823</v>
      </c>
      <c r="G316" s="452" t="s">
        <v>1174</v>
      </c>
      <c r="H316" s="378" t="s">
        <v>1258</v>
      </c>
      <c r="I316" s="451" t="n">
        <v>43699</v>
      </c>
      <c r="J316" s="452" t="n">
        <v>8</v>
      </c>
      <c r="K316" s="588" t="s">
        <v>53</v>
      </c>
      <c r="L316" s="378" t="s">
        <v>58</v>
      </c>
      <c r="M316" s="546" t="n">
        <f aca="false">I316-D316</f>
        <v>709</v>
      </c>
    </row>
    <row r="317" customFormat="false" ht="12.75" hidden="false" customHeight="true" outlineLevel="0" collapsed="false">
      <c r="A317" s="456" t="n">
        <v>31619</v>
      </c>
      <c r="B317" s="458" t="s">
        <v>13466</v>
      </c>
      <c r="C317" s="458" t="n">
        <v>2019</v>
      </c>
      <c r="D317" s="459" t="n">
        <v>43509</v>
      </c>
      <c r="E317" s="460" t="s">
        <v>13467</v>
      </c>
      <c r="F317" s="380" t="s">
        <v>823</v>
      </c>
      <c r="G317" s="460" t="s">
        <v>1174</v>
      </c>
      <c r="H317" s="380" t="s">
        <v>243</v>
      </c>
      <c r="I317" s="459" t="n">
        <v>43699</v>
      </c>
      <c r="J317" s="460" t="n">
        <v>8</v>
      </c>
      <c r="K317" s="588" t="s">
        <v>53</v>
      </c>
      <c r="L317" s="380" t="s">
        <v>58</v>
      </c>
      <c r="M317" s="545" t="n">
        <f aca="false">I317-D317</f>
        <v>190</v>
      </c>
    </row>
    <row r="318" customFormat="false" ht="12.75" hidden="false" customHeight="true" outlineLevel="0" collapsed="false">
      <c r="A318" s="449" t="n">
        <v>31719</v>
      </c>
      <c r="B318" s="450" t="s">
        <v>13468</v>
      </c>
      <c r="C318" s="450" t="n">
        <v>2013</v>
      </c>
      <c r="D318" s="451" t="n">
        <v>41498</v>
      </c>
      <c r="E318" s="452" t="s">
        <v>13469</v>
      </c>
      <c r="F318" s="378" t="s">
        <v>823</v>
      </c>
      <c r="G318" s="452" t="s">
        <v>1174</v>
      </c>
      <c r="H318" s="378" t="s">
        <v>706</v>
      </c>
      <c r="I318" s="451" t="n">
        <v>43699</v>
      </c>
      <c r="J318" s="452" t="n">
        <v>8</v>
      </c>
      <c r="K318" s="548" t="s">
        <v>47</v>
      </c>
      <c r="L318" s="378" t="s">
        <v>58</v>
      </c>
      <c r="M318" s="546" t="n">
        <f aca="false">I318-D318</f>
        <v>2201</v>
      </c>
    </row>
    <row r="319" customFormat="false" ht="12.75" hidden="false" customHeight="true" outlineLevel="0" collapsed="false">
      <c r="A319" s="456" t="n">
        <v>31819</v>
      </c>
      <c r="B319" s="458" t="s">
        <v>13470</v>
      </c>
      <c r="C319" s="458" t="n">
        <v>2015</v>
      </c>
      <c r="D319" s="459" t="n">
        <v>42072</v>
      </c>
      <c r="E319" s="460" t="s">
        <v>13471</v>
      </c>
      <c r="F319" s="380" t="s">
        <v>823</v>
      </c>
      <c r="G319" s="460" t="s">
        <v>1174</v>
      </c>
      <c r="H319" s="380" t="s">
        <v>1059</v>
      </c>
      <c r="I319" s="459" t="n">
        <v>43699</v>
      </c>
      <c r="J319" s="460" t="n">
        <v>8</v>
      </c>
      <c r="K319" s="548" t="s">
        <v>47</v>
      </c>
      <c r="L319" s="380" t="s">
        <v>58</v>
      </c>
      <c r="M319" s="545" t="n">
        <f aca="false">I319-D319</f>
        <v>1627</v>
      </c>
    </row>
    <row r="320" customFormat="false" ht="12.75" hidden="false" customHeight="true" outlineLevel="0" collapsed="false">
      <c r="A320" s="449" t="n">
        <v>31919</v>
      </c>
      <c r="B320" s="450" t="s">
        <v>13472</v>
      </c>
      <c r="C320" s="450" t="n">
        <v>2013</v>
      </c>
      <c r="D320" s="451" t="n">
        <v>41509</v>
      </c>
      <c r="E320" s="452" t="s">
        <v>13473</v>
      </c>
      <c r="F320" s="378" t="s">
        <v>1916</v>
      </c>
      <c r="G320" s="452" t="s">
        <v>1174</v>
      </c>
      <c r="H320" s="378" t="s">
        <v>2654</v>
      </c>
      <c r="I320" s="451" t="n">
        <v>43699</v>
      </c>
      <c r="J320" s="452" t="n">
        <v>8</v>
      </c>
      <c r="K320" s="548" t="s">
        <v>47</v>
      </c>
      <c r="L320" s="378" t="s">
        <v>58</v>
      </c>
      <c r="M320" s="546" t="n">
        <f aca="false">I320-D320</f>
        <v>2190</v>
      </c>
    </row>
    <row r="321" customFormat="false" ht="12.75" hidden="true" customHeight="true" outlineLevel="0" collapsed="false">
      <c r="A321" s="456" t="n">
        <v>32019</v>
      </c>
      <c r="B321" s="458" t="s">
        <v>13394</v>
      </c>
      <c r="C321" s="458" t="n">
        <v>2013</v>
      </c>
      <c r="D321" s="459" t="n">
        <v>41627</v>
      </c>
      <c r="E321" s="460" t="s">
        <v>13474</v>
      </c>
      <c r="F321" s="380" t="s">
        <v>13396</v>
      </c>
      <c r="G321" s="460" t="s">
        <v>115</v>
      </c>
      <c r="H321" s="380" t="s">
        <v>10110</v>
      </c>
      <c r="I321" s="459" t="n">
        <v>43699</v>
      </c>
      <c r="J321" s="460" t="n">
        <v>8</v>
      </c>
      <c r="K321" s="552" t="s">
        <v>42</v>
      </c>
      <c r="L321" s="380" t="s">
        <v>57</v>
      </c>
      <c r="M321" s="545" t="n">
        <f aca="false">I321-D321</f>
        <v>2072</v>
      </c>
    </row>
    <row r="322" customFormat="false" ht="12.75" hidden="true" customHeight="true" outlineLevel="0" collapsed="false">
      <c r="A322" s="449" t="n">
        <v>32119</v>
      </c>
      <c r="B322" s="450" t="s">
        <v>13475</v>
      </c>
      <c r="C322" s="450" t="n">
        <v>2014</v>
      </c>
      <c r="D322" s="451" t="n">
        <v>41726</v>
      </c>
      <c r="E322" s="452" t="s">
        <v>13476</v>
      </c>
      <c r="F322" s="378" t="s">
        <v>13396</v>
      </c>
      <c r="G322" s="452" t="s">
        <v>115</v>
      </c>
      <c r="H322" s="378" t="s">
        <v>10110</v>
      </c>
      <c r="I322" s="451" t="n">
        <v>43699</v>
      </c>
      <c r="J322" s="452" t="n">
        <v>8</v>
      </c>
      <c r="K322" s="552" t="s">
        <v>42</v>
      </c>
      <c r="L322" s="378" t="s">
        <v>57</v>
      </c>
      <c r="M322" s="546" t="n">
        <f aca="false">I322-D322</f>
        <v>1973</v>
      </c>
    </row>
    <row r="323" customFormat="false" ht="12.75" hidden="true" customHeight="true" outlineLevel="0" collapsed="false">
      <c r="A323" s="456" t="n">
        <v>32219</v>
      </c>
      <c r="B323" s="458" t="s">
        <v>13477</v>
      </c>
      <c r="C323" s="458" t="n">
        <v>2015</v>
      </c>
      <c r="D323" s="459" t="n">
        <v>42023</v>
      </c>
      <c r="E323" s="460" t="s">
        <v>13478</v>
      </c>
      <c r="F323" s="380" t="s">
        <v>138</v>
      </c>
      <c r="G323" s="460" t="s">
        <v>441</v>
      </c>
      <c r="H323" s="380" t="s">
        <v>13479</v>
      </c>
      <c r="I323" s="459" t="n">
        <v>43699</v>
      </c>
      <c r="J323" s="460" t="n">
        <v>8</v>
      </c>
      <c r="K323" s="552" t="s">
        <v>42</v>
      </c>
      <c r="L323" s="380" t="s">
        <v>60</v>
      </c>
      <c r="M323" s="545" t="n">
        <f aca="false">I323-D323</f>
        <v>1676</v>
      </c>
    </row>
    <row r="324" customFormat="false" ht="12.75" hidden="true" customHeight="true" outlineLevel="0" collapsed="false">
      <c r="A324" s="449" t="n">
        <v>32319</v>
      </c>
      <c r="B324" s="450" t="s">
        <v>13480</v>
      </c>
      <c r="C324" s="450" t="n">
        <v>2016</v>
      </c>
      <c r="D324" s="451" t="n">
        <v>42703</v>
      </c>
      <c r="E324" s="452" t="s">
        <v>13481</v>
      </c>
      <c r="F324" s="378" t="s">
        <v>13414</v>
      </c>
      <c r="G324" s="452" t="s">
        <v>115</v>
      </c>
      <c r="H324" s="378" t="s">
        <v>134</v>
      </c>
      <c r="I324" s="451" t="n">
        <v>43700</v>
      </c>
      <c r="J324" s="452" t="n">
        <v>8</v>
      </c>
      <c r="K324" s="548" t="s">
        <v>47</v>
      </c>
      <c r="L324" s="378" t="s">
        <v>60</v>
      </c>
      <c r="M324" s="546" t="n">
        <f aca="false">I324-D324</f>
        <v>997</v>
      </c>
    </row>
    <row r="325" customFormat="false" ht="12.75" hidden="true" customHeight="true" outlineLevel="0" collapsed="false">
      <c r="A325" s="456" t="n">
        <v>32419</v>
      </c>
      <c r="B325" s="458" t="s">
        <v>13482</v>
      </c>
      <c r="C325" s="458" t="n">
        <v>2012</v>
      </c>
      <c r="D325" s="459" t="n">
        <v>41099</v>
      </c>
      <c r="E325" s="460" t="s">
        <v>13483</v>
      </c>
      <c r="F325" s="380" t="s">
        <v>113</v>
      </c>
      <c r="G325" s="460" t="s">
        <v>441</v>
      </c>
      <c r="H325" s="380" t="s">
        <v>1567</v>
      </c>
      <c r="I325" s="459" t="n">
        <v>43700</v>
      </c>
      <c r="J325" s="460" t="n">
        <v>8</v>
      </c>
      <c r="K325" s="556" t="s">
        <v>45</v>
      </c>
      <c r="L325" s="380" t="s">
        <v>60</v>
      </c>
      <c r="M325" s="545" t="n">
        <f aca="false">I325-D325</f>
        <v>2601</v>
      </c>
    </row>
    <row r="326" customFormat="false" ht="12.75" hidden="true" customHeight="true" outlineLevel="0" collapsed="false">
      <c r="A326" s="449" t="n">
        <v>32519</v>
      </c>
      <c r="B326" s="450" t="s">
        <v>13484</v>
      </c>
      <c r="C326" s="450" t="n">
        <v>2018</v>
      </c>
      <c r="D326" s="451" t="n">
        <v>43122</v>
      </c>
      <c r="E326" s="452" t="s">
        <v>13485</v>
      </c>
      <c r="F326" s="378" t="s">
        <v>11013</v>
      </c>
      <c r="G326" s="452" t="s">
        <v>115</v>
      </c>
      <c r="H326" s="378" t="s">
        <v>10110</v>
      </c>
      <c r="I326" s="451" t="n">
        <v>43700</v>
      </c>
      <c r="J326" s="452" t="n">
        <v>8</v>
      </c>
      <c r="K326" s="548" t="s">
        <v>47</v>
      </c>
      <c r="L326" s="378" t="s">
        <v>60</v>
      </c>
      <c r="M326" s="546" t="n">
        <f aca="false">I326-D326</f>
        <v>578</v>
      </c>
    </row>
    <row r="327" customFormat="false" ht="12.75" hidden="true" customHeight="true" outlineLevel="0" collapsed="false">
      <c r="A327" s="456" t="n">
        <v>32619</v>
      </c>
      <c r="B327" s="458" t="s">
        <v>13486</v>
      </c>
      <c r="C327" s="458" t="n">
        <v>2011</v>
      </c>
      <c r="D327" s="459" t="n">
        <v>40765</v>
      </c>
      <c r="E327" s="460" t="s">
        <v>13487</v>
      </c>
      <c r="F327" s="380" t="s">
        <v>5620</v>
      </c>
      <c r="G327" s="460" t="s">
        <v>441</v>
      </c>
      <c r="H327" s="380" t="s">
        <v>310</v>
      </c>
      <c r="I327" s="459" t="n">
        <v>43714</v>
      </c>
      <c r="J327" s="460" t="n">
        <v>9</v>
      </c>
      <c r="K327" s="548" t="s">
        <v>47</v>
      </c>
      <c r="L327" s="380" t="s">
        <v>60</v>
      </c>
      <c r="M327" s="545" t="n">
        <f aca="false">I327-D327</f>
        <v>2949</v>
      </c>
    </row>
    <row r="328" customFormat="false" ht="12.75" hidden="true" customHeight="true" outlineLevel="0" collapsed="false">
      <c r="A328" s="449" t="n">
        <v>32719</v>
      </c>
      <c r="B328" s="450" t="s">
        <v>13488</v>
      </c>
      <c r="C328" s="450" t="n">
        <v>2011</v>
      </c>
      <c r="D328" s="451" t="n">
        <v>40626</v>
      </c>
      <c r="E328" s="452" t="s">
        <v>13489</v>
      </c>
      <c r="F328" s="378" t="s">
        <v>13417</v>
      </c>
      <c r="G328" s="452" t="s">
        <v>115</v>
      </c>
      <c r="H328" s="378" t="s">
        <v>1109</v>
      </c>
      <c r="I328" s="451" t="n">
        <v>43714</v>
      </c>
      <c r="J328" s="452" t="n">
        <v>9</v>
      </c>
      <c r="K328" s="548" t="s">
        <v>49</v>
      </c>
      <c r="L328" s="378" t="s">
        <v>58</v>
      </c>
      <c r="M328" s="546" t="n">
        <f aca="false">I328-D328</f>
        <v>3088</v>
      </c>
    </row>
    <row r="329" customFormat="false" ht="12.75" hidden="true" customHeight="true" outlineLevel="0" collapsed="false">
      <c r="A329" s="456" t="n">
        <v>32819</v>
      </c>
      <c r="B329" s="458" t="s">
        <v>13490</v>
      </c>
      <c r="C329" s="458" t="n">
        <v>2017</v>
      </c>
      <c r="D329" s="459" t="n">
        <v>42852</v>
      </c>
      <c r="E329" s="460" t="s">
        <v>13491</v>
      </c>
      <c r="F329" s="380" t="s">
        <v>13414</v>
      </c>
      <c r="G329" s="460" t="s">
        <v>115</v>
      </c>
      <c r="H329" s="380" t="s">
        <v>134</v>
      </c>
      <c r="I329" s="459" t="n">
        <v>43714</v>
      </c>
      <c r="J329" s="460" t="n">
        <v>9</v>
      </c>
      <c r="K329" s="548" t="s">
        <v>47</v>
      </c>
      <c r="L329" s="380" t="s">
        <v>58</v>
      </c>
      <c r="M329" s="545" t="n">
        <f aca="false">I329-D329</f>
        <v>862</v>
      </c>
    </row>
    <row r="330" customFormat="false" ht="12.75" hidden="true" customHeight="true" outlineLevel="0" collapsed="false">
      <c r="A330" s="449" t="n">
        <v>32919</v>
      </c>
      <c r="B330" s="450" t="s">
        <v>13492</v>
      </c>
      <c r="C330" s="450" t="n">
        <v>2011</v>
      </c>
      <c r="D330" s="451" t="n">
        <v>40599</v>
      </c>
      <c r="E330" s="452" t="s">
        <v>13493</v>
      </c>
      <c r="F330" s="378" t="s">
        <v>13417</v>
      </c>
      <c r="G330" s="452" t="s">
        <v>115</v>
      </c>
      <c r="H330" s="378" t="s">
        <v>1109</v>
      </c>
      <c r="I330" s="451" t="n">
        <v>43714</v>
      </c>
      <c r="J330" s="452" t="n">
        <v>9</v>
      </c>
      <c r="K330" s="548" t="s">
        <v>49</v>
      </c>
      <c r="L330" s="378" t="s">
        <v>58</v>
      </c>
      <c r="M330" s="546" t="n">
        <f aca="false">I330-D330</f>
        <v>3115</v>
      </c>
    </row>
    <row r="331" customFormat="false" ht="12.75" hidden="true" customHeight="true" outlineLevel="0" collapsed="false">
      <c r="A331" s="456" t="n">
        <v>33019</v>
      </c>
      <c r="B331" s="458" t="s">
        <v>13494</v>
      </c>
      <c r="C331" s="458" t="n">
        <v>2009</v>
      </c>
      <c r="D331" s="459" t="n">
        <v>39954</v>
      </c>
      <c r="E331" s="460" t="s">
        <v>13495</v>
      </c>
      <c r="F331" s="380" t="s">
        <v>537</v>
      </c>
      <c r="G331" s="460" t="s">
        <v>144</v>
      </c>
      <c r="H331" s="380" t="s">
        <v>373</v>
      </c>
      <c r="I331" s="459" t="n">
        <v>43714</v>
      </c>
      <c r="J331" s="460" t="n">
        <v>9</v>
      </c>
      <c r="K331" s="587" t="s">
        <v>50</v>
      </c>
      <c r="L331" s="380" t="s">
        <v>58</v>
      </c>
      <c r="M331" s="545" t="n">
        <f aca="false">I331-D331</f>
        <v>3760</v>
      </c>
    </row>
    <row r="332" customFormat="false" ht="12.75" hidden="true" customHeight="true" outlineLevel="0" collapsed="false">
      <c r="A332" s="449" t="n">
        <v>33119</v>
      </c>
      <c r="B332" s="450" t="s">
        <v>13496</v>
      </c>
      <c r="C332" s="450" t="n">
        <v>2015</v>
      </c>
      <c r="D332" s="451" t="n">
        <v>42094</v>
      </c>
      <c r="E332" s="452" t="s">
        <v>13497</v>
      </c>
      <c r="F332" s="378" t="s">
        <v>13498</v>
      </c>
      <c r="G332" s="452" t="s">
        <v>115</v>
      </c>
      <c r="H332" s="378" t="s">
        <v>1109</v>
      </c>
      <c r="I332" s="451" t="n">
        <v>43714</v>
      </c>
      <c r="J332" s="452" t="n">
        <v>9</v>
      </c>
      <c r="K332" s="548" t="s">
        <v>48</v>
      </c>
      <c r="L332" s="378" t="s">
        <v>57</v>
      </c>
      <c r="M332" s="546" t="n">
        <f aca="false">I332-D332</f>
        <v>1620</v>
      </c>
    </row>
    <row r="333" customFormat="false" ht="12.75" hidden="false" customHeight="true" outlineLevel="0" collapsed="false">
      <c r="A333" s="456" t="n">
        <v>33219</v>
      </c>
      <c r="B333" s="458" t="s">
        <v>13499</v>
      </c>
      <c r="C333" s="458" t="n">
        <v>2014</v>
      </c>
      <c r="D333" s="459" t="n">
        <v>41927</v>
      </c>
      <c r="E333" s="460" t="s">
        <v>13500</v>
      </c>
      <c r="F333" s="380" t="s">
        <v>1025</v>
      </c>
      <c r="G333" s="460" t="s">
        <v>1174</v>
      </c>
      <c r="H333" s="380" t="s">
        <v>208</v>
      </c>
      <c r="I333" s="459" t="n">
        <v>43714</v>
      </c>
      <c r="J333" s="460" t="n">
        <v>9</v>
      </c>
      <c r="K333" s="556" t="s">
        <v>45</v>
      </c>
      <c r="L333" s="380" t="s">
        <v>58</v>
      </c>
      <c r="M333" s="545" t="n">
        <f aca="false">I333-D333</f>
        <v>1787</v>
      </c>
    </row>
    <row r="334" customFormat="false" ht="12.75" hidden="false" customHeight="true" outlineLevel="0" collapsed="false">
      <c r="A334" s="449" t="n">
        <v>33319</v>
      </c>
      <c r="B334" s="450" t="s">
        <v>13501</v>
      </c>
      <c r="C334" s="450" t="n">
        <v>2016</v>
      </c>
      <c r="D334" s="451" t="n">
        <v>42412</v>
      </c>
      <c r="E334" s="452" t="s">
        <v>13502</v>
      </c>
      <c r="F334" s="378" t="s">
        <v>1025</v>
      </c>
      <c r="G334" s="452" t="s">
        <v>1174</v>
      </c>
      <c r="H334" s="378" t="s">
        <v>3493</v>
      </c>
      <c r="I334" s="451" t="n">
        <v>43714</v>
      </c>
      <c r="J334" s="452" t="n">
        <v>9</v>
      </c>
      <c r="K334" s="556" t="s">
        <v>45</v>
      </c>
      <c r="L334" s="378" t="s">
        <v>58</v>
      </c>
      <c r="M334" s="546" t="n">
        <f aca="false">I334-D334</f>
        <v>1302</v>
      </c>
    </row>
    <row r="335" customFormat="false" ht="12.75" hidden="false" customHeight="true" outlineLevel="0" collapsed="false">
      <c r="A335" s="456" t="n">
        <v>33419</v>
      </c>
      <c r="B335" s="458" t="s">
        <v>13503</v>
      </c>
      <c r="C335" s="458" t="n">
        <v>2014</v>
      </c>
      <c r="D335" s="459" t="n">
        <v>41786</v>
      </c>
      <c r="E335" s="460" t="s">
        <v>13504</v>
      </c>
      <c r="F335" s="380" t="s">
        <v>1025</v>
      </c>
      <c r="G335" s="460" t="s">
        <v>1174</v>
      </c>
      <c r="H335" s="380" t="s">
        <v>184</v>
      </c>
      <c r="I335" s="459" t="n">
        <v>43714</v>
      </c>
      <c r="J335" s="460" t="n">
        <v>9</v>
      </c>
      <c r="K335" s="556" t="s">
        <v>45</v>
      </c>
      <c r="L335" s="380" t="s">
        <v>58</v>
      </c>
      <c r="M335" s="545" t="n">
        <f aca="false">I335-D335</f>
        <v>1928</v>
      </c>
    </row>
    <row r="336" customFormat="false" ht="12.75" hidden="false" customHeight="true" outlineLevel="0" collapsed="false">
      <c r="A336" s="449" t="n">
        <v>33519</v>
      </c>
      <c r="B336" s="450" t="s">
        <v>13505</v>
      </c>
      <c r="C336" s="450" t="n">
        <v>2014</v>
      </c>
      <c r="D336" s="451" t="n">
        <v>41886</v>
      </c>
      <c r="E336" s="452" t="s">
        <v>13506</v>
      </c>
      <c r="F336" s="378" t="s">
        <v>3844</v>
      </c>
      <c r="G336" s="452" t="s">
        <v>1174</v>
      </c>
      <c r="H336" s="378" t="s">
        <v>350</v>
      </c>
      <c r="I336" s="451" t="n">
        <v>43714</v>
      </c>
      <c r="J336" s="452" t="n">
        <v>9</v>
      </c>
      <c r="K336" s="588" t="s">
        <v>53</v>
      </c>
      <c r="L336" s="378" t="s">
        <v>58</v>
      </c>
      <c r="M336" s="546" t="n">
        <f aca="false">I336-D336</f>
        <v>1828</v>
      </c>
    </row>
    <row r="337" customFormat="false" ht="12.75" hidden="false" customHeight="true" outlineLevel="0" collapsed="false">
      <c r="A337" s="456" t="n">
        <v>33619</v>
      </c>
      <c r="B337" s="458" t="s">
        <v>13507</v>
      </c>
      <c r="C337" s="458" t="n">
        <v>2013</v>
      </c>
      <c r="D337" s="459" t="n">
        <v>41592</v>
      </c>
      <c r="E337" s="460" t="s">
        <v>13508</v>
      </c>
      <c r="F337" s="380" t="s">
        <v>668</v>
      </c>
      <c r="G337" s="460" t="s">
        <v>1174</v>
      </c>
      <c r="H337" s="380" t="s">
        <v>2677</v>
      </c>
      <c r="I337" s="459" t="n">
        <v>43714</v>
      </c>
      <c r="J337" s="460" t="n">
        <v>9</v>
      </c>
      <c r="K337" s="588" t="s">
        <v>53</v>
      </c>
      <c r="L337" s="380" t="s">
        <v>58</v>
      </c>
      <c r="M337" s="545" t="n">
        <f aca="false">I337-D337</f>
        <v>2122</v>
      </c>
    </row>
    <row r="338" customFormat="false" ht="12.75" hidden="false" customHeight="true" outlineLevel="0" collapsed="false">
      <c r="A338" s="449" t="n">
        <v>33719</v>
      </c>
      <c r="B338" s="450" t="s">
        <v>13509</v>
      </c>
      <c r="C338" s="450" t="n">
        <v>2016</v>
      </c>
      <c r="D338" s="451" t="n">
        <v>42674</v>
      </c>
      <c r="E338" s="452" t="s">
        <v>13510</v>
      </c>
      <c r="F338" s="378" t="s">
        <v>668</v>
      </c>
      <c r="G338" s="452" t="s">
        <v>1174</v>
      </c>
      <c r="H338" s="378" t="s">
        <v>2677</v>
      </c>
      <c r="I338" s="451" t="n">
        <v>43714</v>
      </c>
      <c r="J338" s="452" t="n">
        <v>9</v>
      </c>
      <c r="K338" s="588" t="s">
        <v>53</v>
      </c>
      <c r="L338" s="378" t="s">
        <v>58</v>
      </c>
      <c r="M338" s="546" t="n">
        <f aca="false">I338-D338</f>
        <v>1040</v>
      </c>
    </row>
    <row r="339" customFormat="false" ht="12.75" hidden="false" customHeight="true" outlineLevel="0" collapsed="false">
      <c r="A339" s="456" t="n">
        <v>33819</v>
      </c>
      <c r="B339" s="458" t="s">
        <v>13511</v>
      </c>
      <c r="C339" s="458" t="n">
        <v>2015</v>
      </c>
      <c r="D339" s="459" t="n">
        <v>42359</v>
      </c>
      <c r="E339" s="460" t="s">
        <v>13512</v>
      </c>
      <c r="F339" s="380" t="s">
        <v>668</v>
      </c>
      <c r="G339" s="460" t="s">
        <v>1174</v>
      </c>
      <c r="H339" s="380" t="s">
        <v>267</v>
      </c>
      <c r="I339" s="459" t="n">
        <v>43714</v>
      </c>
      <c r="J339" s="460" t="n">
        <v>9</v>
      </c>
      <c r="K339" s="588" t="s">
        <v>53</v>
      </c>
      <c r="L339" s="380" t="s">
        <v>58</v>
      </c>
      <c r="M339" s="545" t="n">
        <f aca="false">I339-D339</f>
        <v>1355</v>
      </c>
    </row>
    <row r="340" customFormat="false" ht="12.75" hidden="false" customHeight="true" outlineLevel="0" collapsed="false">
      <c r="A340" s="449" t="n">
        <v>33919</v>
      </c>
      <c r="B340" s="450" t="s">
        <v>13513</v>
      </c>
      <c r="C340" s="450" t="n">
        <v>2019</v>
      </c>
      <c r="D340" s="451" t="n">
        <v>43607</v>
      </c>
      <c r="E340" s="452" t="s">
        <v>13514</v>
      </c>
      <c r="F340" s="378" t="s">
        <v>168</v>
      </c>
      <c r="G340" s="452" t="s">
        <v>1174</v>
      </c>
      <c r="H340" s="378" t="s">
        <v>409</v>
      </c>
      <c r="I340" s="451" t="n">
        <v>43714</v>
      </c>
      <c r="J340" s="452" t="n">
        <v>9</v>
      </c>
      <c r="K340" s="588" t="s">
        <v>53</v>
      </c>
      <c r="L340" s="378" t="s">
        <v>58</v>
      </c>
      <c r="M340" s="546" t="n">
        <f aca="false">I340-D340</f>
        <v>107</v>
      </c>
    </row>
    <row r="341" customFormat="false" ht="12.75" hidden="false" customHeight="true" outlineLevel="0" collapsed="false">
      <c r="A341" s="456" t="n">
        <v>34019</v>
      </c>
      <c r="B341" s="458" t="s">
        <v>13515</v>
      </c>
      <c r="C341" s="458" t="n">
        <v>2018</v>
      </c>
      <c r="D341" s="459" t="n">
        <v>43448</v>
      </c>
      <c r="E341" s="460" t="s">
        <v>13516</v>
      </c>
      <c r="F341" s="380" t="s">
        <v>1916</v>
      </c>
      <c r="G341" s="460" t="s">
        <v>1174</v>
      </c>
      <c r="H341" s="380" t="s">
        <v>267</v>
      </c>
      <c r="I341" s="459" t="n">
        <v>43714</v>
      </c>
      <c r="J341" s="460" t="n">
        <v>9</v>
      </c>
      <c r="K341" s="588" t="s">
        <v>53</v>
      </c>
      <c r="L341" s="380" t="s">
        <v>58</v>
      </c>
      <c r="M341" s="545" t="n">
        <f aca="false">I341-D341</f>
        <v>266</v>
      </c>
    </row>
    <row r="342" customFormat="false" ht="12.75" hidden="false" customHeight="true" outlineLevel="0" collapsed="false">
      <c r="A342" s="449" t="n">
        <v>34119</v>
      </c>
      <c r="B342" s="450" t="s">
        <v>13517</v>
      </c>
      <c r="C342" s="450" t="n">
        <v>2015</v>
      </c>
      <c r="D342" s="451" t="n">
        <v>42271</v>
      </c>
      <c r="E342" s="452" t="s">
        <v>13518</v>
      </c>
      <c r="F342" s="378" t="s">
        <v>12900</v>
      </c>
      <c r="G342" s="452" t="s">
        <v>1174</v>
      </c>
      <c r="H342" s="378" t="s">
        <v>9385</v>
      </c>
      <c r="I342" s="451" t="n">
        <v>43714</v>
      </c>
      <c r="J342" s="452" t="n">
        <v>9</v>
      </c>
      <c r="K342" s="588" t="s">
        <v>53</v>
      </c>
      <c r="L342" s="378" t="s">
        <v>60</v>
      </c>
      <c r="M342" s="546" t="n">
        <f aca="false">I342-D342</f>
        <v>1443</v>
      </c>
    </row>
    <row r="343" customFormat="false" ht="12.75" hidden="false" customHeight="true" outlineLevel="0" collapsed="false">
      <c r="A343" s="456" t="n">
        <v>34219</v>
      </c>
      <c r="B343" s="458" t="s">
        <v>13519</v>
      </c>
      <c r="C343" s="458" t="n">
        <v>2011</v>
      </c>
      <c r="D343" s="459" t="n">
        <v>40863</v>
      </c>
      <c r="E343" s="460" t="s">
        <v>13520</v>
      </c>
      <c r="F343" s="380" t="s">
        <v>2913</v>
      </c>
      <c r="G343" s="460" t="s">
        <v>1174</v>
      </c>
      <c r="H343" s="380" t="s">
        <v>192</v>
      </c>
      <c r="I343" s="459" t="n">
        <v>43714</v>
      </c>
      <c r="J343" s="460" t="n">
        <v>9</v>
      </c>
      <c r="K343" s="588" t="s">
        <v>53</v>
      </c>
      <c r="L343" s="380" t="s">
        <v>60</v>
      </c>
      <c r="M343" s="545" t="n">
        <f aca="false">I343-D343</f>
        <v>2851</v>
      </c>
    </row>
    <row r="344" customFormat="false" ht="12.75" hidden="false" customHeight="true" outlineLevel="0" collapsed="false">
      <c r="A344" s="449" t="n">
        <v>34319</v>
      </c>
      <c r="B344" s="450" t="s">
        <v>13521</v>
      </c>
      <c r="C344" s="450" t="n">
        <v>2012</v>
      </c>
      <c r="D344" s="451" t="n">
        <v>41248</v>
      </c>
      <c r="E344" s="452" t="s">
        <v>13522</v>
      </c>
      <c r="F344" s="378" t="s">
        <v>13523</v>
      </c>
      <c r="G344" s="452" t="s">
        <v>1174</v>
      </c>
      <c r="H344" s="378" t="s">
        <v>2147</v>
      </c>
      <c r="I344" s="451" t="n">
        <v>43714</v>
      </c>
      <c r="J344" s="452" t="n">
        <v>9</v>
      </c>
      <c r="K344" s="588" t="s">
        <v>53</v>
      </c>
      <c r="L344" s="378" t="s">
        <v>60</v>
      </c>
      <c r="M344" s="546" t="n">
        <f aca="false">I344-D344</f>
        <v>2466</v>
      </c>
    </row>
    <row r="345" customFormat="false" ht="12.75" hidden="false" customHeight="true" outlineLevel="0" collapsed="false">
      <c r="A345" s="456" t="n">
        <v>34419</v>
      </c>
      <c r="B345" s="458" t="s">
        <v>13524</v>
      </c>
      <c r="C345" s="458" t="n">
        <v>2013</v>
      </c>
      <c r="D345" s="459" t="n">
        <v>41347</v>
      </c>
      <c r="E345" s="460" t="s">
        <v>13525</v>
      </c>
      <c r="F345" s="380" t="s">
        <v>699</v>
      </c>
      <c r="G345" s="460" t="s">
        <v>1174</v>
      </c>
      <c r="H345" s="380" t="s">
        <v>706</v>
      </c>
      <c r="I345" s="459" t="n">
        <v>43714</v>
      </c>
      <c r="J345" s="460" t="n">
        <v>9</v>
      </c>
      <c r="K345" s="588" t="s">
        <v>53</v>
      </c>
      <c r="L345" s="380" t="s">
        <v>60</v>
      </c>
      <c r="M345" s="545" t="n">
        <f aca="false">I345-D345</f>
        <v>2367</v>
      </c>
    </row>
    <row r="346" customFormat="false" ht="12.75" hidden="false" customHeight="true" outlineLevel="0" collapsed="false">
      <c r="A346" s="449" t="n">
        <v>34519</v>
      </c>
      <c r="B346" s="450" t="s">
        <v>13526</v>
      </c>
      <c r="C346" s="450" t="n">
        <v>2013</v>
      </c>
      <c r="D346" s="451" t="n">
        <v>41443</v>
      </c>
      <c r="E346" s="452" t="s">
        <v>13527</v>
      </c>
      <c r="F346" s="378" t="s">
        <v>13523</v>
      </c>
      <c r="G346" s="452" t="s">
        <v>1174</v>
      </c>
      <c r="H346" s="378" t="s">
        <v>192</v>
      </c>
      <c r="I346" s="451" t="n">
        <v>43714</v>
      </c>
      <c r="J346" s="452" t="n">
        <v>9</v>
      </c>
      <c r="K346" s="588" t="s">
        <v>53</v>
      </c>
      <c r="L346" s="378" t="s">
        <v>60</v>
      </c>
      <c r="M346" s="546" t="n">
        <f aca="false">I346-D346</f>
        <v>2271</v>
      </c>
    </row>
    <row r="347" customFormat="false" ht="12.75" hidden="false" customHeight="true" outlineLevel="0" collapsed="false">
      <c r="A347" s="456" t="n">
        <v>34619</v>
      </c>
      <c r="B347" s="458" t="s">
        <v>13528</v>
      </c>
      <c r="C347" s="458" t="n">
        <v>2012</v>
      </c>
      <c r="D347" s="459" t="n">
        <v>40988</v>
      </c>
      <c r="E347" s="460" t="s">
        <v>13529</v>
      </c>
      <c r="F347" s="380" t="s">
        <v>5572</v>
      </c>
      <c r="G347" s="460" t="s">
        <v>1174</v>
      </c>
      <c r="H347" s="380" t="s">
        <v>1567</v>
      </c>
      <c r="I347" s="459" t="n">
        <v>43714</v>
      </c>
      <c r="J347" s="460" t="n">
        <v>9</v>
      </c>
      <c r="K347" s="548" t="s">
        <v>47</v>
      </c>
      <c r="L347" s="380" t="s">
        <v>60</v>
      </c>
      <c r="M347" s="545" t="n">
        <f aca="false">I347-D347</f>
        <v>2726</v>
      </c>
    </row>
    <row r="348" customFormat="false" ht="12.75" hidden="false" customHeight="true" outlineLevel="0" collapsed="false">
      <c r="A348" s="449" t="n">
        <v>34719</v>
      </c>
      <c r="B348" s="450" t="s">
        <v>13530</v>
      </c>
      <c r="C348" s="450" t="n">
        <v>2013</v>
      </c>
      <c r="D348" s="451" t="n">
        <v>41326</v>
      </c>
      <c r="E348" s="452" t="s">
        <v>13531</v>
      </c>
      <c r="F348" s="378" t="s">
        <v>1817</v>
      </c>
      <c r="G348" s="452" t="s">
        <v>1174</v>
      </c>
      <c r="H348" s="378" t="s">
        <v>1501</v>
      </c>
      <c r="I348" s="451" t="n">
        <v>44096</v>
      </c>
      <c r="J348" s="452" t="n">
        <v>9</v>
      </c>
      <c r="K348" s="588" t="s">
        <v>53</v>
      </c>
      <c r="L348" s="378" t="s">
        <v>58</v>
      </c>
      <c r="M348" s="546" t="n">
        <f aca="false">I348-D348</f>
        <v>2770</v>
      </c>
    </row>
    <row r="349" customFormat="false" ht="12.75" hidden="false" customHeight="true" outlineLevel="0" collapsed="false">
      <c r="A349" s="456" t="n">
        <v>34819</v>
      </c>
      <c r="B349" s="458" t="s">
        <v>13532</v>
      </c>
      <c r="C349" s="458" t="n">
        <v>2017</v>
      </c>
      <c r="D349" s="459" t="n">
        <v>42878</v>
      </c>
      <c r="E349" s="460" t="s">
        <v>13533</v>
      </c>
      <c r="F349" s="380" t="s">
        <v>138</v>
      </c>
      <c r="G349" s="460" t="s">
        <v>1174</v>
      </c>
      <c r="H349" s="380" t="s">
        <v>10614</v>
      </c>
      <c r="I349" s="459" t="n">
        <v>43714</v>
      </c>
      <c r="J349" s="460" t="n">
        <v>9</v>
      </c>
      <c r="K349" s="588" t="s">
        <v>53</v>
      </c>
      <c r="L349" s="380" t="s">
        <v>60</v>
      </c>
      <c r="M349" s="545" t="n">
        <f aca="false">I349-D349</f>
        <v>836</v>
      </c>
    </row>
    <row r="350" customFormat="false" ht="12.75" hidden="false" customHeight="true" outlineLevel="0" collapsed="false">
      <c r="A350" s="449" t="n">
        <v>34919</v>
      </c>
      <c r="B350" s="450" t="s">
        <v>13534</v>
      </c>
      <c r="C350" s="450" t="n">
        <v>2016</v>
      </c>
      <c r="D350" s="451" t="n">
        <v>42607</v>
      </c>
      <c r="E350" s="452" t="s">
        <v>13535</v>
      </c>
      <c r="F350" s="378" t="s">
        <v>138</v>
      </c>
      <c r="G350" s="452" t="s">
        <v>1174</v>
      </c>
      <c r="H350" s="378" t="s">
        <v>267</v>
      </c>
      <c r="I350" s="451" t="n">
        <v>43714</v>
      </c>
      <c r="J350" s="452" t="n">
        <v>9</v>
      </c>
      <c r="K350" s="588" t="s">
        <v>53</v>
      </c>
      <c r="L350" s="378" t="s">
        <v>60</v>
      </c>
      <c r="M350" s="546" t="n">
        <f aca="false">I350-D350</f>
        <v>1107</v>
      </c>
    </row>
    <row r="351" customFormat="false" ht="12.75" hidden="false" customHeight="true" outlineLevel="0" collapsed="false">
      <c r="A351" s="456" t="n">
        <v>35019</v>
      </c>
      <c r="B351" s="458" t="s">
        <v>13536</v>
      </c>
      <c r="C351" s="458" t="n">
        <v>2015</v>
      </c>
      <c r="D351" s="459" t="n">
        <v>42130</v>
      </c>
      <c r="E351" s="460" t="s">
        <v>13537</v>
      </c>
      <c r="F351" s="380" t="s">
        <v>138</v>
      </c>
      <c r="G351" s="460" t="s">
        <v>1174</v>
      </c>
      <c r="H351" s="380" t="s">
        <v>2677</v>
      </c>
      <c r="I351" s="459" t="n">
        <v>43714</v>
      </c>
      <c r="J351" s="460" t="n">
        <v>9</v>
      </c>
      <c r="K351" s="588" t="s">
        <v>53</v>
      </c>
      <c r="L351" s="380" t="s">
        <v>60</v>
      </c>
      <c r="M351" s="545" t="n">
        <f aca="false">I351-D351</f>
        <v>1584</v>
      </c>
    </row>
    <row r="352" customFormat="false" ht="12.75" hidden="false" customHeight="true" outlineLevel="0" collapsed="false">
      <c r="A352" s="449" t="n">
        <v>35119</v>
      </c>
      <c r="B352" s="450" t="s">
        <v>13538</v>
      </c>
      <c r="C352" s="450" t="n">
        <v>2014</v>
      </c>
      <c r="D352" s="451" t="n">
        <v>41736</v>
      </c>
      <c r="E352" s="452" t="s">
        <v>13539</v>
      </c>
      <c r="F352" s="378" t="s">
        <v>138</v>
      </c>
      <c r="G352" s="452" t="s">
        <v>1174</v>
      </c>
      <c r="H352" s="378" t="s">
        <v>243</v>
      </c>
      <c r="I352" s="451" t="n">
        <v>43714</v>
      </c>
      <c r="J352" s="452" t="n">
        <v>9</v>
      </c>
      <c r="K352" s="588" t="s">
        <v>53</v>
      </c>
      <c r="L352" s="378" t="s">
        <v>60</v>
      </c>
      <c r="M352" s="546" t="n">
        <f aca="false">I352-D352</f>
        <v>1978</v>
      </c>
    </row>
    <row r="353" customFormat="false" ht="12.75" hidden="false" customHeight="true" outlineLevel="0" collapsed="false">
      <c r="A353" s="456" t="n">
        <v>35219</v>
      </c>
      <c r="B353" s="458" t="s">
        <v>13540</v>
      </c>
      <c r="C353" s="458" t="n">
        <v>2013</v>
      </c>
      <c r="D353" s="459" t="n">
        <v>41596</v>
      </c>
      <c r="E353" s="460" t="s">
        <v>13541</v>
      </c>
      <c r="F353" s="380" t="s">
        <v>138</v>
      </c>
      <c r="G353" s="460" t="s">
        <v>1174</v>
      </c>
      <c r="H353" s="380" t="s">
        <v>1501</v>
      </c>
      <c r="I353" s="459" t="n">
        <v>43714</v>
      </c>
      <c r="J353" s="460" t="n">
        <v>9</v>
      </c>
      <c r="K353" s="588" t="s">
        <v>53</v>
      </c>
      <c r="L353" s="380" t="s">
        <v>60</v>
      </c>
      <c r="M353" s="545" t="n">
        <f aca="false">I353-D353</f>
        <v>2118</v>
      </c>
    </row>
    <row r="354" customFormat="false" ht="12.75" hidden="false" customHeight="true" outlineLevel="0" collapsed="false">
      <c r="A354" s="449" t="n">
        <v>35319</v>
      </c>
      <c r="B354" s="450" t="s">
        <v>13542</v>
      </c>
      <c r="C354" s="450" t="n">
        <v>2018</v>
      </c>
      <c r="D354" s="451" t="n">
        <v>43404</v>
      </c>
      <c r="E354" s="452" t="s">
        <v>13543</v>
      </c>
      <c r="F354" s="378" t="s">
        <v>1277</v>
      </c>
      <c r="G354" s="452" t="s">
        <v>1174</v>
      </c>
      <c r="H354" s="378" t="s">
        <v>2744</v>
      </c>
      <c r="I354" s="451" t="n">
        <v>43714</v>
      </c>
      <c r="J354" s="452" t="n">
        <v>9</v>
      </c>
      <c r="K354" s="588" t="s">
        <v>53</v>
      </c>
      <c r="L354" s="378" t="s">
        <v>58</v>
      </c>
      <c r="M354" s="546" t="n">
        <f aca="false">I354-D354</f>
        <v>310</v>
      </c>
    </row>
    <row r="355" customFormat="false" ht="12.75" hidden="true" customHeight="true" outlineLevel="0" collapsed="false">
      <c r="A355" s="456" t="n">
        <v>35419</v>
      </c>
      <c r="B355" s="458" t="s">
        <v>13544</v>
      </c>
      <c r="C355" s="458" t="n">
        <v>2018</v>
      </c>
      <c r="D355" s="459" t="n">
        <v>43441</v>
      </c>
      <c r="E355" s="460" t="s">
        <v>13545</v>
      </c>
      <c r="F355" s="380" t="s">
        <v>10768</v>
      </c>
      <c r="G355" s="460" t="s">
        <v>125</v>
      </c>
      <c r="H355" s="380" t="s">
        <v>3707</v>
      </c>
      <c r="I355" s="459" t="n">
        <v>43714</v>
      </c>
      <c r="J355" s="460" t="n">
        <v>9</v>
      </c>
      <c r="K355" s="587" t="s">
        <v>50</v>
      </c>
      <c r="L355" s="380" t="s">
        <v>61</v>
      </c>
      <c r="M355" s="545" t="n">
        <f aca="false">I355-D355</f>
        <v>273</v>
      </c>
    </row>
    <row r="356" customFormat="false" ht="12.75" hidden="true" customHeight="true" outlineLevel="0" collapsed="false">
      <c r="A356" s="449" t="n">
        <v>35519</v>
      </c>
      <c r="B356" s="450" t="s">
        <v>13546</v>
      </c>
      <c r="C356" s="450" t="n">
        <v>2018</v>
      </c>
      <c r="D356" s="451" t="n">
        <v>43398</v>
      </c>
      <c r="E356" s="452" t="s">
        <v>13547</v>
      </c>
      <c r="F356" s="378" t="s">
        <v>8160</v>
      </c>
      <c r="G356" s="452" t="s">
        <v>125</v>
      </c>
      <c r="H356" s="378" t="s">
        <v>391</v>
      </c>
      <c r="I356" s="451" t="n">
        <v>43714</v>
      </c>
      <c r="J356" s="452" t="n">
        <v>9</v>
      </c>
      <c r="K356" s="587" t="s">
        <v>51</v>
      </c>
      <c r="L356" s="378" t="s">
        <v>61</v>
      </c>
      <c r="M356" s="546" t="n">
        <f aca="false">I356-D356</f>
        <v>316</v>
      </c>
    </row>
    <row r="357" customFormat="false" ht="12.75" hidden="true" customHeight="true" outlineLevel="0" collapsed="false">
      <c r="A357" s="456" t="n">
        <v>35619</v>
      </c>
      <c r="B357" s="458" t="s">
        <v>13548</v>
      </c>
      <c r="C357" s="458" t="n">
        <v>2015</v>
      </c>
      <c r="D357" s="459" t="n">
        <v>42094</v>
      </c>
      <c r="E357" s="460" t="s">
        <v>13549</v>
      </c>
      <c r="F357" s="380" t="s">
        <v>13550</v>
      </c>
      <c r="G357" s="460" t="s">
        <v>115</v>
      </c>
      <c r="H357" s="380" t="s">
        <v>1109</v>
      </c>
      <c r="I357" s="459" t="n">
        <v>43714</v>
      </c>
      <c r="J357" s="460" t="n">
        <v>9</v>
      </c>
      <c r="K357" s="548" t="s">
        <v>49</v>
      </c>
      <c r="L357" s="380" t="s">
        <v>57</v>
      </c>
      <c r="M357" s="545" t="n">
        <f aca="false">I357-D357</f>
        <v>1620</v>
      </c>
    </row>
    <row r="358" customFormat="false" ht="12.75" hidden="true" customHeight="true" outlineLevel="0" collapsed="false">
      <c r="A358" s="449" t="n">
        <v>35719</v>
      </c>
      <c r="B358" s="450" t="s">
        <v>13551</v>
      </c>
      <c r="C358" s="450" t="n">
        <v>2019</v>
      </c>
      <c r="D358" s="451" t="n">
        <v>43530</v>
      </c>
      <c r="E358" s="452" t="s">
        <v>13552</v>
      </c>
      <c r="F358" s="378" t="s">
        <v>12895</v>
      </c>
      <c r="G358" s="452" t="s">
        <v>125</v>
      </c>
      <c r="H358" s="378" t="s">
        <v>3472</v>
      </c>
      <c r="I358" s="451" t="n">
        <v>43714</v>
      </c>
      <c r="J358" s="452" t="n">
        <v>9</v>
      </c>
      <c r="K358" s="548" t="s">
        <v>47</v>
      </c>
      <c r="L358" s="378" t="s">
        <v>61</v>
      </c>
      <c r="M358" s="546" t="n">
        <f aca="false">I358-D358</f>
        <v>184</v>
      </c>
    </row>
    <row r="359" customFormat="false" ht="12.75" hidden="true" customHeight="true" outlineLevel="0" collapsed="false">
      <c r="A359" s="456" t="n">
        <v>35819</v>
      </c>
      <c r="B359" s="458" t="s">
        <v>13553</v>
      </c>
      <c r="C359" s="458" t="n">
        <v>2014</v>
      </c>
      <c r="D359" s="459" t="n">
        <v>41677</v>
      </c>
      <c r="E359" s="460" t="s">
        <v>13554</v>
      </c>
      <c r="F359" s="380" t="s">
        <v>1097</v>
      </c>
      <c r="G359" s="460" t="s">
        <v>441</v>
      </c>
      <c r="H359" s="380" t="s">
        <v>11617</v>
      </c>
      <c r="I359" s="459" t="n">
        <v>43714</v>
      </c>
      <c r="J359" s="460" t="n">
        <v>9</v>
      </c>
      <c r="K359" s="552" t="s">
        <v>42</v>
      </c>
      <c r="L359" s="380" t="s">
        <v>60</v>
      </c>
      <c r="M359" s="545" t="n">
        <f aca="false">I359-D359</f>
        <v>2037</v>
      </c>
    </row>
    <row r="360" customFormat="false" ht="12.75" hidden="true" customHeight="true" outlineLevel="0" collapsed="false">
      <c r="A360" s="449" t="n">
        <v>35919</v>
      </c>
      <c r="B360" s="450" t="s">
        <v>13555</v>
      </c>
      <c r="C360" s="450" t="n">
        <v>2018</v>
      </c>
      <c r="D360" s="451" t="n">
        <v>43413</v>
      </c>
      <c r="E360" s="452" t="s">
        <v>13556</v>
      </c>
      <c r="F360" s="378" t="s">
        <v>13557</v>
      </c>
      <c r="G360" s="452" t="s">
        <v>125</v>
      </c>
      <c r="H360" s="378" t="s">
        <v>4176</v>
      </c>
      <c r="I360" s="451" t="n">
        <v>43717</v>
      </c>
      <c r="J360" s="452" t="n">
        <v>9</v>
      </c>
      <c r="K360" s="587" t="s">
        <v>50</v>
      </c>
      <c r="L360" s="378" t="s">
        <v>61</v>
      </c>
      <c r="M360" s="546" t="n">
        <f aca="false">I360-D360</f>
        <v>304</v>
      </c>
    </row>
    <row r="361" customFormat="false" ht="12.75" hidden="true" customHeight="true" outlineLevel="0" collapsed="false">
      <c r="A361" s="456" t="n">
        <v>36019</v>
      </c>
      <c r="B361" s="458" t="s">
        <v>13558</v>
      </c>
      <c r="C361" s="458" t="n">
        <v>2018</v>
      </c>
      <c r="D361" s="459" t="n">
        <v>43378</v>
      </c>
      <c r="E361" s="460" t="s">
        <v>13559</v>
      </c>
      <c r="F361" s="380" t="s">
        <v>13557</v>
      </c>
      <c r="G361" s="460" t="s">
        <v>125</v>
      </c>
      <c r="H361" s="380" t="s">
        <v>4176</v>
      </c>
      <c r="I361" s="459" t="n">
        <v>43717</v>
      </c>
      <c r="J361" s="460" t="n">
        <v>9</v>
      </c>
      <c r="K361" s="587" t="s">
        <v>50</v>
      </c>
      <c r="L361" s="380" t="s">
        <v>61</v>
      </c>
      <c r="M361" s="545" t="n">
        <f aca="false">I361-D361</f>
        <v>339</v>
      </c>
    </row>
    <row r="362" customFormat="false" ht="12.75" hidden="true" customHeight="true" outlineLevel="0" collapsed="false">
      <c r="A362" s="449" t="n">
        <v>36119</v>
      </c>
      <c r="B362" s="450" t="s">
        <v>13560</v>
      </c>
      <c r="C362" s="450" t="n">
        <v>2014</v>
      </c>
      <c r="D362" s="451" t="n">
        <v>41829</v>
      </c>
      <c r="E362" s="452" t="s">
        <v>13561</v>
      </c>
      <c r="F362" s="378" t="s">
        <v>13562</v>
      </c>
      <c r="G362" s="452" t="s">
        <v>441</v>
      </c>
      <c r="H362" s="378" t="s">
        <v>2506</v>
      </c>
      <c r="I362" s="451" t="n">
        <v>43717</v>
      </c>
      <c r="J362" s="452" t="n">
        <v>9</v>
      </c>
      <c r="K362" s="552" t="s">
        <v>42</v>
      </c>
      <c r="L362" s="378" t="s">
        <v>60</v>
      </c>
      <c r="M362" s="546" t="n">
        <f aca="false">I362-D362</f>
        <v>1888</v>
      </c>
    </row>
    <row r="363" customFormat="false" ht="12.75" hidden="false" customHeight="true" outlineLevel="0" collapsed="false">
      <c r="A363" s="456" t="n">
        <v>36219</v>
      </c>
      <c r="B363" s="458" t="s">
        <v>13563</v>
      </c>
      <c r="C363" s="458" t="n">
        <v>2018</v>
      </c>
      <c r="D363" s="459" t="n">
        <v>43276</v>
      </c>
      <c r="E363" s="460" t="s">
        <v>13564</v>
      </c>
      <c r="F363" s="380" t="s">
        <v>12900</v>
      </c>
      <c r="G363" s="460" t="s">
        <v>1174</v>
      </c>
      <c r="H363" s="380" t="s">
        <v>2677</v>
      </c>
      <c r="I363" s="459" t="n">
        <v>43718</v>
      </c>
      <c r="J363" s="460" t="n">
        <v>9</v>
      </c>
      <c r="K363" s="588" t="s">
        <v>53</v>
      </c>
      <c r="L363" s="380" t="s">
        <v>60</v>
      </c>
      <c r="M363" s="545" t="n">
        <f aca="false">I363-D363</f>
        <v>442</v>
      </c>
    </row>
    <row r="364" customFormat="false" ht="12.75" hidden="false" customHeight="true" outlineLevel="0" collapsed="false">
      <c r="A364" s="449" t="n">
        <v>36319</v>
      </c>
      <c r="B364" s="450" t="s">
        <v>13565</v>
      </c>
      <c r="C364" s="450" t="n">
        <v>2017</v>
      </c>
      <c r="D364" s="451" t="n">
        <v>43014</v>
      </c>
      <c r="E364" s="452" t="s">
        <v>13566</v>
      </c>
      <c r="F364" s="378" t="s">
        <v>12900</v>
      </c>
      <c r="G364" s="452" t="s">
        <v>1174</v>
      </c>
      <c r="H364" s="378" t="s">
        <v>310</v>
      </c>
      <c r="I364" s="451" t="n">
        <v>43718</v>
      </c>
      <c r="J364" s="452" t="n">
        <v>9</v>
      </c>
      <c r="K364" s="588" t="s">
        <v>53</v>
      </c>
      <c r="L364" s="378" t="s">
        <v>60</v>
      </c>
      <c r="M364" s="546" t="n">
        <f aca="false">I364-D364</f>
        <v>704</v>
      </c>
    </row>
    <row r="365" customFormat="false" ht="12.75" hidden="true" customHeight="true" outlineLevel="0" collapsed="false">
      <c r="A365" s="456" t="n">
        <v>36419</v>
      </c>
      <c r="B365" s="458" t="s">
        <v>13567</v>
      </c>
      <c r="C365" s="458" t="n">
        <v>2016</v>
      </c>
      <c r="D365" s="459" t="n">
        <v>42494</v>
      </c>
      <c r="E365" s="460" t="s">
        <v>13568</v>
      </c>
      <c r="F365" s="380" t="s">
        <v>902</v>
      </c>
      <c r="G365" s="460" t="s">
        <v>441</v>
      </c>
      <c r="H365" s="380" t="s">
        <v>9385</v>
      </c>
      <c r="I365" s="459" t="n">
        <v>43720</v>
      </c>
      <c r="J365" s="460" t="n">
        <v>9</v>
      </c>
      <c r="K365" s="552" t="s">
        <v>42</v>
      </c>
      <c r="L365" s="380" t="s">
        <v>58</v>
      </c>
      <c r="M365" s="545" t="n">
        <f aca="false">I365-D365</f>
        <v>1226</v>
      </c>
    </row>
    <row r="366" customFormat="false" ht="12.75" hidden="true" customHeight="true" outlineLevel="0" collapsed="false">
      <c r="A366" s="449" t="n">
        <v>36519</v>
      </c>
      <c r="B366" s="450" t="s">
        <v>13569</v>
      </c>
      <c r="C366" s="450" t="n">
        <v>2014</v>
      </c>
      <c r="D366" s="451" t="n">
        <v>41789</v>
      </c>
      <c r="E366" s="452" t="s">
        <v>13570</v>
      </c>
      <c r="F366" s="378" t="s">
        <v>13414</v>
      </c>
      <c r="G366" s="452" t="s">
        <v>115</v>
      </c>
      <c r="H366" s="378" t="s">
        <v>134</v>
      </c>
      <c r="I366" s="451" t="n">
        <v>43720</v>
      </c>
      <c r="J366" s="452" t="n">
        <v>9</v>
      </c>
      <c r="K366" s="548" t="s">
        <v>47</v>
      </c>
      <c r="L366" s="378" t="s">
        <v>60</v>
      </c>
      <c r="M366" s="546" t="n">
        <f aca="false">I366-D366</f>
        <v>1931</v>
      </c>
    </row>
    <row r="367" customFormat="false" ht="12.75" hidden="true" customHeight="true" outlineLevel="0" collapsed="false">
      <c r="A367" s="456" t="n">
        <v>36619</v>
      </c>
      <c r="B367" s="458" t="s">
        <v>13571</v>
      </c>
      <c r="C367" s="458" t="n">
        <v>2012</v>
      </c>
      <c r="D367" s="459" t="n">
        <v>41107</v>
      </c>
      <c r="E367" s="460" t="s">
        <v>13572</v>
      </c>
      <c r="F367" s="380" t="s">
        <v>13573</v>
      </c>
      <c r="G367" s="460" t="s">
        <v>441</v>
      </c>
      <c r="H367" s="380" t="s">
        <v>1072</v>
      </c>
      <c r="I367" s="459" t="n">
        <v>43720</v>
      </c>
      <c r="J367" s="460" t="n">
        <v>9</v>
      </c>
      <c r="K367" s="552" t="s">
        <v>42</v>
      </c>
      <c r="L367" s="380" t="s">
        <v>58</v>
      </c>
      <c r="M367" s="545" t="n">
        <f aca="false">I367-D367</f>
        <v>2613</v>
      </c>
    </row>
    <row r="368" customFormat="false" ht="12.75" hidden="true" customHeight="true" outlineLevel="0" collapsed="false">
      <c r="A368" s="449" t="n">
        <v>36719</v>
      </c>
      <c r="B368" s="450" t="s">
        <v>13574</v>
      </c>
      <c r="C368" s="450" t="n">
        <v>2011</v>
      </c>
      <c r="D368" s="451" t="n">
        <v>40653</v>
      </c>
      <c r="E368" s="452" t="s">
        <v>13575</v>
      </c>
      <c r="F368" s="378" t="s">
        <v>699</v>
      </c>
      <c r="G368" s="452" t="s">
        <v>441</v>
      </c>
      <c r="H368" s="378" t="s">
        <v>2283</v>
      </c>
      <c r="I368" s="451" t="n">
        <v>43720</v>
      </c>
      <c r="J368" s="452" t="n">
        <v>9</v>
      </c>
      <c r="K368" s="556" t="s">
        <v>45</v>
      </c>
      <c r="L368" s="378" t="s">
        <v>60</v>
      </c>
      <c r="M368" s="546" t="n">
        <f aca="false">I368-D368</f>
        <v>3067</v>
      </c>
    </row>
    <row r="369" customFormat="false" ht="12.75" hidden="true" customHeight="true" outlineLevel="0" collapsed="false">
      <c r="A369" s="456" t="n">
        <v>36819</v>
      </c>
      <c r="B369" s="458" t="s">
        <v>13576</v>
      </c>
      <c r="C369" s="458" t="n">
        <v>2018</v>
      </c>
      <c r="D369" s="459" t="n">
        <v>43458</v>
      </c>
      <c r="E369" s="460" t="s">
        <v>13577</v>
      </c>
      <c r="F369" s="536" t="s">
        <v>12631</v>
      </c>
      <c r="G369" s="460" t="s">
        <v>125</v>
      </c>
      <c r="H369" s="380" t="s">
        <v>12530</v>
      </c>
      <c r="I369" s="459" t="n">
        <v>43720</v>
      </c>
      <c r="J369" s="460" t="n">
        <v>9</v>
      </c>
      <c r="K369" s="548" t="s">
        <v>47</v>
      </c>
      <c r="L369" s="380" t="s">
        <v>61</v>
      </c>
      <c r="M369" s="545" t="n">
        <f aca="false">I369-D369</f>
        <v>262</v>
      </c>
    </row>
    <row r="370" customFormat="false" ht="12.75" hidden="true" customHeight="true" outlineLevel="0" collapsed="false">
      <c r="A370" s="449" t="n">
        <v>36919</v>
      </c>
      <c r="B370" s="450" t="s">
        <v>13578</v>
      </c>
      <c r="C370" s="450" t="n">
        <v>2017</v>
      </c>
      <c r="D370" s="451" t="n">
        <v>43069</v>
      </c>
      <c r="E370" s="452" t="s">
        <v>13579</v>
      </c>
      <c r="F370" s="378" t="s">
        <v>1424</v>
      </c>
      <c r="G370" s="452" t="s">
        <v>441</v>
      </c>
      <c r="H370" s="378" t="s">
        <v>1424</v>
      </c>
      <c r="I370" s="451" t="n">
        <v>43720</v>
      </c>
      <c r="J370" s="452" t="n">
        <v>9</v>
      </c>
      <c r="K370" s="548" t="s">
        <v>47</v>
      </c>
      <c r="L370" s="378" t="s">
        <v>58</v>
      </c>
      <c r="M370" s="546" t="n">
        <f aca="false">I370-D370</f>
        <v>651</v>
      </c>
    </row>
    <row r="371" customFormat="false" ht="12.75" hidden="true" customHeight="true" outlineLevel="0" collapsed="false">
      <c r="A371" s="456" t="n">
        <v>37019</v>
      </c>
      <c r="B371" s="458" t="s">
        <v>13580</v>
      </c>
      <c r="C371" s="458" t="n">
        <v>2013</v>
      </c>
      <c r="D371" s="459" t="n">
        <v>41631</v>
      </c>
      <c r="E371" s="460" t="s">
        <v>13581</v>
      </c>
      <c r="F371" s="380" t="s">
        <v>1243</v>
      </c>
      <c r="G371" s="460" t="s">
        <v>441</v>
      </c>
      <c r="H371" s="380" t="s">
        <v>350</v>
      </c>
      <c r="I371" s="459" t="n">
        <v>43721</v>
      </c>
      <c r="J371" s="460" t="n">
        <v>9</v>
      </c>
      <c r="K371" s="548" t="s">
        <v>47</v>
      </c>
      <c r="L371" s="380" t="s">
        <v>60</v>
      </c>
      <c r="M371" s="545" t="n">
        <f aca="false">I371-D371</f>
        <v>2090</v>
      </c>
    </row>
    <row r="372" customFormat="false" ht="12.75" hidden="true" customHeight="true" outlineLevel="0" collapsed="false">
      <c r="A372" s="449" t="n">
        <v>37119</v>
      </c>
      <c r="B372" s="450" t="s">
        <v>13582</v>
      </c>
      <c r="C372" s="450" t="n">
        <v>2018</v>
      </c>
      <c r="D372" s="451" t="n">
        <v>43409</v>
      </c>
      <c r="E372" s="452" t="s">
        <v>13583</v>
      </c>
      <c r="F372" s="537" t="s">
        <v>3207</v>
      </c>
      <c r="G372" s="452" t="s">
        <v>130</v>
      </c>
      <c r="H372" s="378" t="s">
        <v>13584</v>
      </c>
      <c r="I372" s="451" t="n">
        <v>43721</v>
      </c>
      <c r="J372" s="452" t="n">
        <v>9</v>
      </c>
      <c r="K372" s="587" t="s">
        <v>2407</v>
      </c>
      <c r="L372" s="378" t="s">
        <v>61</v>
      </c>
      <c r="M372" s="546" t="n">
        <f aca="false">I372-D372</f>
        <v>312</v>
      </c>
    </row>
    <row r="373" customFormat="false" ht="12.75" hidden="false" customHeight="true" outlineLevel="0" collapsed="false">
      <c r="A373" s="456" t="n">
        <v>37219</v>
      </c>
      <c r="B373" s="458" t="s">
        <v>13585</v>
      </c>
      <c r="C373" s="458" t="n">
        <v>2013</v>
      </c>
      <c r="D373" s="459" t="n">
        <v>41492</v>
      </c>
      <c r="E373" s="460" t="s">
        <v>13586</v>
      </c>
      <c r="F373" s="380" t="s">
        <v>1200</v>
      </c>
      <c r="G373" s="460" t="s">
        <v>1174</v>
      </c>
      <c r="H373" s="380" t="s">
        <v>192</v>
      </c>
      <c r="I373" s="459" t="n">
        <v>43724</v>
      </c>
      <c r="J373" s="460" t="n">
        <v>9</v>
      </c>
      <c r="K373" s="548" t="s">
        <v>47</v>
      </c>
      <c r="L373" s="380" t="s">
        <v>58</v>
      </c>
      <c r="M373" s="545" t="n">
        <f aca="false">I373-D373</f>
        <v>2232</v>
      </c>
    </row>
    <row r="374" customFormat="false" ht="12.75" hidden="false" customHeight="true" outlineLevel="0" collapsed="false">
      <c r="A374" s="449" t="n">
        <v>37319</v>
      </c>
      <c r="B374" s="450" t="s">
        <v>13587</v>
      </c>
      <c r="C374" s="450" t="n">
        <v>2017</v>
      </c>
      <c r="D374" s="451" t="n">
        <v>42885</v>
      </c>
      <c r="E374" s="452" t="s">
        <v>13588</v>
      </c>
      <c r="F374" s="378" t="s">
        <v>1025</v>
      </c>
      <c r="G374" s="452" t="s">
        <v>1174</v>
      </c>
      <c r="H374" s="378" t="s">
        <v>1059</v>
      </c>
      <c r="I374" s="451" t="n">
        <v>43724</v>
      </c>
      <c r="J374" s="452" t="n">
        <v>9</v>
      </c>
      <c r="K374" s="556" t="s">
        <v>45</v>
      </c>
      <c r="L374" s="378" t="s">
        <v>58</v>
      </c>
      <c r="M374" s="546" t="n">
        <f aca="false">I374-D374</f>
        <v>839</v>
      </c>
    </row>
    <row r="375" customFormat="false" ht="12.75" hidden="false" customHeight="true" outlineLevel="0" collapsed="false">
      <c r="A375" s="456" t="n">
        <v>37419</v>
      </c>
      <c r="B375" s="458" t="s">
        <v>13589</v>
      </c>
      <c r="C375" s="458" t="n">
        <v>2017</v>
      </c>
      <c r="D375" s="459" t="n">
        <v>42975</v>
      </c>
      <c r="E375" s="460" t="s">
        <v>13590</v>
      </c>
      <c r="F375" s="380" t="s">
        <v>12900</v>
      </c>
      <c r="G375" s="460" t="s">
        <v>1174</v>
      </c>
      <c r="H375" s="380" t="s">
        <v>350</v>
      </c>
      <c r="I375" s="459" t="n">
        <v>43724</v>
      </c>
      <c r="J375" s="460" t="n">
        <v>9</v>
      </c>
      <c r="K375" s="588" t="s">
        <v>53</v>
      </c>
      <c r="L375" s="380" t="s">
        <v>60</v>
      </c>
      <c r="M375" s="545" t="n">
        <f aca="false">I375-D375</f>
        <v>749</v>
      </c>
    </row>
    <row r="376" customFormat="false" ht="12.75" hidden="false" customHeight="true" outlineLevel="0" collapsed="false">
      <c r="A376" s="449" t="n">
        <v>37519</v>
      </c>
      <c r="B376" s="450" t="s">
        <v>13591</v>
      </c>
      <c r="C376" s="450" t="n">
        <v>2018</v>
      </c>
      <c r="D376" s="451" t="n">
        <v>43369</v>
      </c>
      <c r="E376" s="452" t="s">
        <v>13592</v>
      </c>
      <c r="F376" s="378" t="s">
        <v>12900</v>
      </c>
      <c r="G376" s="452" t="s">
        <v>1174</v>
      </c>
      <c r="H376" s="378" t="s">
        <v>192</v>
      </c>
      <c r="I376" s="451" t="n">
        <v>43724</v>
      </c>
      <c r="J376" s="452" t="n">
        <v>9</v>
      </c>
      <c r="K376" s="588" t="s">
        <v>53</v>
      </c>
      <c r="L376" s="378" t="s">
        <v>60</v>
      </c>
      <c r="M376" s="546" t="n">
        <f aca="false">I376-D376</f>
        <v>355</v>
      </c>
    </row>
    <row r="377" customFormat="false" ht="12.75" hidden="true" customHeight="true" outlineLevel="0" collapsed="false">
      <c r="A377" s="456" t="n">
        <v>37619</v>
      </c>
      <c r="B377" s="458" t="s">
        <v>13593</v>
      </c>
      <c r="C377" s="458" t="n">
        <v>2013</v>
      </c>
      <c r="D377" s="459" t="n">
        <v>41466</v>
      </c>
      <c r="E377" s="460" t="s">
        <v>13594</v>
      </c>
      <c r="F377" s="380" t="s">
        <v>4819</v>
      </c>
      <c r="G377" s="460" t="s">
        <v>441</v>
      </c>
      <c r="H377" s="380" t="s">
        <v>693</v>
      </c>
      <c r="I377" s="459" t="n">
        <v>43726</v>
      </c>
      <c r="J377" s="460" t="n">
        <v>9</v>
      </c>
      <c r="K377" s="587" t="s">
        <v>50</v>
      </c>
      <c r="L377" s="380" t="s">
        <v>60</v>
      </c>
      <c r="M377" s="545" t="n">
        <f aca="false">I377-D377</f>
        <v>2260</v>
      </c>
    </row>
    <row r="378" customFormat="false" ht="12.75" hidden="true" customHeight="true" outlineLevel="0" collapsed="false">
      <c r="A378" s="449" t="n">
        <v>37719</v>
      </c>
      <c r="B378" s="450" t="s">
        <v>13595</v>
      </c>
      <c r="C378" s="450" t="n">
        <v>2008</v>
      </c>
      <c r="D378" s="451" t="n">
        <v>39584</v>
      </c>
      <c r="E378" s="452" t="s">
        <v>13596</v>
      </c>
      <c r="F378" s="378" t="s">
        <v>3091</v>
      </c>
      <c r="G378" s="452" t="s">
        <v>441</v>
      </c>
      <c r="H378" s="378" t="s">
        <v>639</v>
      </c>
      <c r="I378" s="451" t="n">
        <v>43726</v>
      </c>
      <c r="J378" s="452" t="n">
        <v>9</v>
      </c>
      <c r="K378" s="552" t="s">
        <v>42</v>
      </c>
      <c r="L378" s="378" t="s">
        <v>58</v>
      </c>
      <c r="M378" s="546" t="n">
        <f aca="false">I378-D378</f>
        <v>4142</v>
      </c>
    </row>
    <row r="379" customFormat="false" ht="12.75" hidden="true" customHeight="true" outlineLevel="0" collapsed="false">
      <c r="A379" s="456" t="n">
        <v>37819</v>
      </c>
      <c r="B379" s="458" t="s">
        <v>13597</v>
      </c>
      <c r="C379" s="458" t="n">
        <v>2018</v>
      </c>
      <c r="D379" s="459" t="n">
        <v>43333</v>
      </c>
      <c r="E379" s="460" t="s">
        <v>13598</v>
      </c>
      <c r="F379" s="536" t="s">
        <v>9785</v>
      </c>
      <c r="G379" s="460" t="s">
        <v>125</v>
      </c>
      <c r="H379" s="380" t="s">
        <v>980</v>
      </c>
      <c r="I379" s="459" t="n">
        <v>43738</v>
      </c>
      <c r="J379" s="460" t="n">
        <v>9</v>
      </c>
      <c r="K379" s="548" t="s">
        <v>47</v>
      </c>
      <c r="L379" s="380" t="s">
        <v>61</v>
      </c>
      <c r="M379" s="545" t="n">
        <f aca="false">I379-D379</f>
        <v>405</v>
      </c>
    </row>
    <row r="380" customFormat="false" ht="12.75" hidden="false" customHeight="true" outlineLevel="0" collapsed="false">
      <c r="A380" s="449" t="n">
        <v>37919</v>
      </c>
      <c r="B380" s="450" t="s">
        <v>13599</v>
      </c>
      <c r="C380" s="450" t="n">
        <v>2019</v>
      </c>
      <c r="D380" s="451" t="n">
        <v>43644</v>
      </c>
      <c r="E380" s="452" t="s">
        <v>13600</v>
      </c>
      <c r="F380" s="378" t="s">
        <v>168</v>
      </c>
      <c r="G380" s="452" t="s">
        <v>1174</v>
      </c>
      <c r="H380" s="378" t="s">
        <v>9385</v>
      </c>
      <c r="I380" s="451" t="n">
        <v>43739</v>
      </c>
      <c r="J380" s="452" t="n">
        <v>10</v>
      </c>
      <c r="K380" s="588" t="s">
        <v>53</v>
      </c>
      <c r="L380" s="378" t="s">
        <v>58</v>
      </c>
      <c r="M380" s="546" t="n">
        <f aca="false">I380-D380</f>
        <v>95</v>
      </c>
    </row>
    <row r="381" customFormat="false" ht="12.75" hidden="true" customHeight="true" outlineLevel="0" collapsed="false">
      <c r="A381" s="456" t="n">
        <v>38019</v>
      </c>
      <c r="B381" s="458" t="s">
        <v>13601</v>
      </c>
      <c r="C381" s="458" t="n">
        <v>2019</v>
      </c>
      <c r="D381" s="459" t="n">
        <v>43553</v>
      </c>
      <c r="E381" s="460" t="s">
        <v>13602</v>
      </c>
      <c r="F381" s="536" t="s">
        <v>6315</v>
      </c>
      <c r="G381" s="460" t="s">
        <v>130</v>
      </c>
      <c r="H381" s="380" t="s">
        <v>398</v>
      </c>
      <c r="I381" s="459" t="n">
        <v>43739</v>
      </c>
      <c r="J381" s="460" t="n">
        <v>10</v>
      </c>
      <c r="K381" s="587" t="s">
        <v>50</v>
      </c>
      <c r="L381" s="380" t="s">
        <v>61</v>
      </c>
      <c r="M381" s="545" t="n">
        <f aca="false">I381-D381</f>
        <v>186</v>
      </c>
    </row>
    <row r="382" customFormat="false" ht="12.75" hidden="true" customHeight="true" outlineLevel="0" collapsed="false">
      <c r="A382" s="449" t="n">
        <v>38119</v>
      </c>
      <c r="B382" s="450" t="s">
        <v>13603</v>
      </c>
      <c r="C382" s="450" t="n">
        <v>2018</v>
      </c>
      <c r="D382" s="451" t="n">
        <v>43398</v>
      </c>
      <c r="E382" s="452" t="s">
        <v>13604</v>
      </c>
      <c r="F382" s="537" t="s">
        <v>12437</v>
      </c>
      <c r="G382" s="452" t="s">
        <v>125</v>
      </c>
      <c r="H382" s="378" t="s">
        <v>3707</v>
      </c>
      <c r="I382" s="451" t="n">
        <v>43739</v>
      </c>
      <c r="J382" s="452" t="n">
        <v>10</v>
      </c>
      <c r="K382" s="587" t="s">
        <v>50</v>
      </c>
      <c r="L382" s="378" t="s">
        <v>61</v>
      </c>
      <c r="M382" s="546" t="n">
        <f aca="false">I382-D382</f>
        <v>341</v>
      </c>
    </row>
    <row r="383" customFormat="false" ht="12.75" hidden="true" customHeight="true" outlineLevel="0" collapsed="false">
      <c r="A383" s="456" t="n">
        <v>38219</v>
      </c>
      <c r="B383" s="458" t="s">
        <v>13605</v>
      </c>
      <c r="C383" s="458" t="n">
        <v>2012</v>
      </c>
      <c r="D383" s="459" t="n">
        <v>41031</v>
      </c>
      <c r="E383" s="460" t="s">
        <v>13606</v>
      </c>
      <c r="F383" s="380" t="s">
        <v>3260</v>
      </c>
      <c r="G383" s="460" t="s">
        <v>441</v>
      </c>
      <c r="H383" s="380" t="s">
        <v>1567</v>
      </c>
      <c r="I383" s="459" t="n">
        <v>43740</v>
      </c>
      <c r="J383" s="460" t="n">
        <v>10</v>
      </c>
      <c r="K383" s="548" t="s">
        <v>47</v>
      </c>
      <c r="L383" s="380" t="s">
        <v>60</v>
      </c>
      <c r="M383" s="545" t="n">
        <f aca="false">I383-D383</f>
        <v>2709</v>
      </c>
    </row>
    <row r="384" customFormat="false" ht="12.75" hidden="true" customHeight="true" outlineLevel="0" collapsed="false">
      <c r="A384" s="449" t="n">
        <v>38319</v>
      </c>
      <c r="B384" s="450" t="s">
        <v>13607</v>
      </c>
      <c r="C384" s="450" t="n">
        <v>2015</v>
      </c>
      <c r="D384" s="451" t="n">
        <v>42216</v>
      </c>
      <c r="E384" s="452" t="s">
        <v>13608</v>
      </c>
      <c r="F384" s="378" t="s">
        <v>13609</v>
      </c>
      <c r="G384" s="452" t="s">
        <v>115</v>
      </c>
      <c r="H384" s="378" t="s">
        <v>1109</v>
      </c>
      <c r="I384" s="451" t="n">
        <v>43762</v>
      </c>
      <c r="J384" s="452" t="n">
        <v>10</v>
      </c>
      <c r="K384" s="548" t="s">
        <v>49</v>
      </c>
      <c r="L384" s="378" t="s">
        <v>58</v>
      </c>
      <c r="M384" s="546" t="n">
        <f aca="false">I384-D384</f>
        <v>1546</v>
      </c>
    </row>
    <row r="385" customFormat="false" ht="12.75" hidden="true" customHeight="true" outlineLevel="0" collapsed="false">
      <c r="A385" s="456" t="n">
        <v>38419</v>
      </c>
      <c r="B385" s="458" t="s">
        <v>13610</v>
      </c>
      <c r="C385" s="458" t="n">
        <v>2017</v>
      </c>
      <c r="D385" s="459" t="n">
        <v>42737</v>
      </c>
      <c r="E385" s="460" t="s">
        <v>13611</v>
      </c>
      <c r="F385" s="380" t="s">
        <v>13612</v>
      </c>
      <c r="G385" s="460" t="s">
        <v>125</v>
      </c>
      <c r="H385" s="380" t="s">
        <v>7412</v>
      </c>
      <c r="I385" s="459" t="n">
        <v>43762</v>
      </c>
      <c r="J385" s="460" t="n">
        <v>10</v>
      </c>
      <c r="K385" s="548" t="s">
        <v>49</v>
      </c>
      <c r="L385" s="380" t="s">
        <v>61</v>
      </c>
      <c r="M385" s="545" t="n">
        <f aca="false">I385-D385</f>
        <v>1025</v>
      </c>
    </row>
    <row r="386" customFormat="false" ht="12.75" hidden="true" customHeight="true" outlineLevel="0" collapsed="false">
      <c r="A386" s="449" t="n">
        <v>38519</v>
      </c>
      <c r="B386" s="450" t="s">
        <v>13613</v>
      </c>
      <c r="C386" s="450" t="n">
        <v>2015</v>
      </c>
      <c r="D386" s="451" t="n">
        <v>42090</v>
      </c>
      <c r="E386" s="452" t="s">
        <v>13614</v>
      </c>
      <c r="F386" s="378" t="s">
        <v>12900</v>
      </c>
      <c r="G386" s="452" t="s">
        <v>441</v>
      </c>
      <c r="H386" s="378" t="s">
        <v>2654</v>
      </c>
      <c r="I386" s="451" t="n">
        <v>43762</v>
      </c>
      <c r="J386" s="452" t="n">
        <v>10</v>
      </c>
      <c r="K386" s="556" t="s">
        <v>45</v>
      </c>
      <c r="L386" s="378" t="s">
        <v>60</v>
      </c>
      <c r="M386" s="546" t="n">
        <f aca="false">I386-D386</f>
        <v>1672</v>
      </c>
    </row>
    <row r="387" customFormat="false" ht="12.75" hidden="false" customHeight="true" outlineLevel="0" collapsed="false">
      <c r="A387" s="456" t="n">
        <v>38619</v>
      </c>
      <c r="B387" s="458" t="s">
        <v>13615</v>
      </c>
      <c r="C387" s="458" t="n">
        <v>2013</v>
      </c>
      <c r="D387" s="459" t="n">
        <v>41549</v>
      </c>
      <c r="E387" s="460" t="s">
        <v>13616</v>
      </c>
      <c r="F387" s="380" t="s">
        <v>211</v>
      </c>
      <c r="G387" s="460" t="s">
        <v>1174</v>
      </c>
      <c r="H387" s="380" t="s">
        <v>693</v>
      </c>
      <c r="I387" s="459" t="n">
        <v>43762</v>
      </c>
      <c r="J387" s="460" t="n">
        <v>10</v>
      </c>
      <c r="K387" s="588" t="s">
        <v>53</v>
      </c>
      <c r="L387" s="380" t="s">
        <v>58</v>
      </c>
      <c r="M387" s="545" t="n">
        <f aca="false">I387-D387</f>
        <v>2213</v>
      </c>
    </row>
    <row r="388" customFormat="false" ht="12.75" hidden="false" customHeight="true" outlineLevel="0" collapsed="false">
      <c r="A388" s="449" t="n">
        <v>38719</v>
      </c>
      <c r="B388" s="450" t="s">
        <v>13617</v>
      </c>
      <c r="C388" s="450" t="n">
        <v>2014</v>
      </c>
      <c r="D388" s="451" t="n">
        <v>41659</v>
      </c>
      <c r="E388" s="452" t="s">
        <v>13618</v>
      </c>
      <c r="F388" s="378" t="s">
        <v>207</v>
      </c>
      <c r="G388" s="452" t="s">
        <v>1174</v>
      </c>
      <c r="H388" s="378" t="s">
        <v>1072</v>
      </c>
      <c r="I388" s="451" t="n">
        <v>43762</v>
      </c>
      <c r="J388" s="452" t="n">
        <v>10</v>
      </c>
      <c r="K388" s="588" t="s">
        <v>53</v>
      </c>
      <c r="L388" s="378" t="s">
        <v>58</v>
      </c>
      <c r="M388" s="546" t="n">
        <f aca="false">I388-D388</f>
        <v>2103</v>
      </c>
    </row>
    <row r="389" customFormat="false" ht="12.75" hidden="false" customHeight="true" outlineLevel="0" collapsed="false">
      <c r="A389" s="456" t="n">
        <v>38819</v>
      </c>
      <c r="B389" s="458" t="s">
        <v>13619</v>
      </c>
      <c r="C389" s="458" t="n">
        <v>2014</v>
      </c>
      <c r="D389" s="459" t="n">
        <v>41704</v>
      </c>
      <c r="E389" s="460" t="s">
        <v>13620</v>
      </c>
      <c r="F389" s="380" t="s">
        <v>222</v>
      </c>
      <c r="G389" s="460" t="s">
        <v>1174</v>
      </c>
      <c r="H389" s="380" t="s">
        <v>639</v>
      </c>
      <c r="I389" s="459" t="n">
        <v>43762</v>
      </c>
      <c r="J389" s="460" t="n">
        <v>10</v>
      </c>
      <c r="K389" s="588" t="s">
        <v>53</v>
      </c>
      <c r="L389" s="380" t="s">
        <v>58</v>
      </c>
      <c r="M389" s="545" t="n">
        <f aca="false">I389-D389</f>
        <v>2058</v>
      </c>
    </row>
    <row r="390" customFormat="false" ht="12.75" hidden="false" customHeight="true" outlineLevel="0" collapsed="false">
      <c r="A390" s="449" t="n">
        <v>38919</v>
      </c>
      <c r="B390" s="450" t="s">
        <v>13621</v>
      </c>
      <c r="C390" s="450" t="n">
        <v>2014</v>
      </c>
      <c r="D390" s="451" t="n">
        <v>41775</v>
      </c>
      <c r="E390" s="452" t="s">
        <v>13622</v>
      </c>
      <c r="F390" s="378" t="s">
        <v>699</v>
      </c>
      <c r="G390" s="452" t="s">
        <v>1174</v>
      </c>
      <c r="H390" s="378" t="s">
        <v>706</v>
      </c>
      <c r="I390" s="451" t="n">
        <v>43762</v>
      </c>
      <c r="J390" s="452" t="n">
        <v>10</v>
      </c>
      <c r="K390" s="588" t="s">
        <v>53</v>
      </c>
      <c r="L390" s="378" t="s">
        <v>60</v>
      </c>
      <c r="M390" s="546" t="n">
        <f aca="false">I390-D390</f>
        <v>1987</v>
      </c>
    </row>
    <row r="391" customFormat="false" ht="12.75" hidden="false" customHeight="true" outlineLevel="0" collapsed="false">
      <c r="A391" s="456" t="n">
        <v>39019</v>
      </c>
      <c r="B391" s="458" t="s">
        <v>13623</v>
      </c>
      <c r="C391" s="458" t="n">
        <v>2014</v>
      </c>
      <c r="D391" s="459" t="n">
        <v>41779</v>
      </c>
      <c r="E391" s="460" t="s">
        <v>13624</v>
      </c>
      <c r="F391" s="380" t="s">
        <v>211</v>
      </c>
      <c r="G391" s="460" t="s">
        <v>1174</v>
      </c>
      <c r="H391" s="380" t="s">
        <v>2677</v>
      </c>
      <c r="I391" s="459" t="n">
        <v>43762</v>
      </c>
      <c r="J391" s="460" t="n">
        <v>10</v>
      </c>
      <c r="K391" s="588" t="s">
        <v>53</v>
      </c>
      <c r="L391" s="380" t="s">
        <v>58</v>
      </c>
      <c r="M391" s="545" t="n">
        <f aca="false">I391-D391</f>
        <v>1983</v>
      </c>
    </row>
    <row r="392" customFormat="false" ht="12.75" hidden="false" customHeight="true" outlineLevel="0" collapsed="false">
      <c r="A392" s="449" t="n">
        <v>39119</v>
      </c>
      <c r="B392" s="450" t="s">
        <v>13625</v>
      </c>
      <c r="C392" s="450" t="n">
        <v>2015</v>
      </c>
      <c r="D392" s="451" t="n">
        <v>42132</v>
      </c>
      <c r="E392" s="452" t="s">
        <v>13626</v>
      </c>
      <c r="F392" s="378" t="s">
        <v>823</v>
      </c>
      <c r="G392" s="452" t="s">
        <v>1174</v>
      </c>
      <c r="H392" s="378" t="s">
        <v>471</v>
      </c>
      <c r="I392" s="451" t="n">
        <v>43762</v>
      </c>
      <c r="J392" s="452" t="n">
        <v>10</v>
      </c>
      <c r="K392" s="588" t="s">
        <v>53</v>
      </c>
      <c r="L392" s="378" t="s">
        <v>58</v>
      </c>
      <c r="M392" s="546" t="n">
        <f aca="false">I392-D392</f>
        <v>1630</v>
      </c>
    </row>
    <row r="393" customFormat="false" ht="12.75" hidden="false" customHeight="true" outlineLevel="0" collapsed="false">
      <c r="A393" s="456" t="n">
        <v>39219</v>
      </c>
      <c r="B393" s="458" t="s">
        <v>13627</v>
      </c>
      <c r="C393" s="458" t="n">
        <v>2016</v>
      </c>
      <c r="D393" s="459" t="n">
        <v>42460</v>
      </c>
      <c r="E393" s="460" t="s">
        <v>13628</v>
      </c>
      <c r="F393" s="380" t="s">
        <v>2459</v>
      </c>
      <c r="G393" s="460" t="s">
        <v>1174</v>
      </c>
      <c r="H393" s="380" t="s">
        <v>5486</v>
      </c>
      <c r="I393" s="459" t="n">
        <v>43762</v>
      </c>
      <c r="J393" s="460" t="n">
        <v>10</v>
      </c>
      <c r="K393" s="588" t="s">
        <v>53</v>
      </c>
      <c r="L393" s="380" t="s">
        <v>58</v>
      </c>
      <c r="M393" s="545" t="n">
        <f aca="false">I393-D393</f>
        <v>1302</v>
      </c>
    </row>
    <row r="394" customFormat="false" ht="12.75" hidden="false" customHeight="true" outlineLevel="0" collapsed="false">
      <c r="A394" s="449" t="n">
        <v>39319</v>
      </c>
      <c r="B394" s="450" t="s">
        <v>13629</v>
      </c>
      <c r="C394" s="450" t="n">
        <v>2017</v>
      </c>
      <c r="D394" s="451" t="n">
        <v>42759</v>
      </c>
      <c r="E394" s="452" t="s">
        <v>13630</v>
      </c>
      <c r="F394" s="378" t="s">
        <v>1200</v>
      </c>
      <c r="G394" s="452" t="s">
        <v>1174</v>
      </c>
      <c r="H394" s="378" t="s">
        <v>263</v>
      </c>
      <c r="I394" s="451" t="n">
        <v>43762</v>
      </c>
      <c r="J394" s="452" t="n">
        <v>10</v>
      </c>
      <c r="K394" s="588" t="s">
        <v>53</v>
      </c>
      <c r="L394" s="378" t="s">
        <v>58</v>
      </c>
      <c r="M394" s="546" t="n">
        <f aca="false">I394-D394</f>
        <v>1003</v>
      </c>
    </row>
    <row r="395" customFormat="false" ht="12.75" hidden="false" customHeight="true" outlineLevel="0" collapsed="false">
      <c r="A395" s="456" t="n">
        <v>39419</v>
      </c>
      <c r="B395" s="458" t="s">
        <v>13631</v>
      </c>
      <c r="C395" s="458" t="n">
        <v>2017</v>
      </c>
      <c r="D395" s="459" t="n">
        <v>42825</v>
      </c>
      <c r="E395" s="460" t="s">
        <v>13632</v>
      </c>
      <c r="F395" s="380" t="s">
        <v>12900</v>
      </c>
      <c r="G395" s="460" t="s">
        <v>1174</v>
      </c>
      <c r="H395" s="380" t="s">
        <v>706</v>
      </c>
      <c r="I395" s="459" t="n">
        <v>43762</v>
      </c>
      <c r="J395" s="460" t="n">
        <v>10</v>
      </c>
      <c r="K395" s="548" t="s">
        <v>47</v>
      </c>
      <c r="L395" s="380" t="s">
        <v>60</v>
      </c>
      <c r="M395" s="545" t="n">
        <f aca="false">I395-D395</f>
        <v>937</v>
      </c>
    </row>
    <row r="396" customFormat="false" ht="12.75" hidden="false" customHeight="true" outlineLevel="0" collapsed="false">
      <c r="A396" s="449" t="n">
        <v>39519</v>
      </c>
      <c r="B396" s="450" t="s">
        <v>13633</v>
      </c>
      <c r="C396" s="450" t="n">
        <v>2015</v>
      </c>
      <c r="D396" s="451" t="n">
        <v>42096</v>
      </c>
      <c r="E396" s="452" t="s">
        <v>13634</v>
      </c>
      <c r="F396" s="378" t="s">
        <v>207</v>
      </c>
      <c r="G396" s="452" t="s">
        <v>1174</v>
      </c>
      <c r="H396" s="378" t="s">
        <v>11617</v>
      </c>
      <c r="I396" s="451" t="n">
        <v>43762</v>
      </c>
      <c r="J396" s="452" t="n">
        <v>10</v>
      </c>
      <c r="K396" s="588" t="s">
        <v>53</v>
      </c>
      <c r="L396" s="378" t="s">
        <v>58</v>
      </c>
      <c r="M396" s="546" t="n">
        <f aca="false">I396-D396</f>
        <v>1666</v>
      </c>
    </row>
    <row r="397" customFormat="false" ht="12.75" hidden="false" customHeight="true" outlineLevel="0" collapsed="false">
      <c r="A397" s="456" t="n">
        <v>39619</v>
      </c>
      <c r="B397" s="458" t="s">
        <v>13635</v>
      </c>
      <c r="C397" s="458" t="n">
        <v>2014</v>
      </c>
      <c r="D397" s="459" t="n">
        <v>41927</v>
      </c>
      <c r="E397" s="460" t="s">
        <v>13636</v>
      </c>
      <c r="F397" s="380" t="s">
        <v>3865</v>
      </c>
      <c r="G397" s="460" t="s">
        <v>1174</v>
      </c>
      <c r="H397" s="380" t="s">
        <v>243</v>
      </c>
      <c r="I397" s="459" t="n">
        <v>43762</v>
      </c>
      <c r="J397" s="460" t="n">
        <v>10</v>
      </c>
      <c r="K397" s="588" t="s">
        <v>53</v>
      </c>
      <c r="L397" s="380" t="s">
        <v>60</v>
      </c>
      <c r="M397" s="545" t="n">
        <f aca="false">I397-D397</f>
        <v>1835</v>
      </c>
    </row>
    <row r="398" customFormat="false" ht="12.75" hidden="false" customHeight="true" outlineLevel="0" collapsed="false">
      <c r="A398" s="449" t="n">
        <v>39719</v>
      </c>
      <c r="B398" s="450" t="s">
        <v>13637</v>
      </c>
      <c r="C398" s="450" t="n">
        <v>2018</v>
      </c>
      <c r="D398" s="451" t="n">
        <v>43402</v>
      </c>
      <c r="E398" s="452" t="s">
        <v>13638</v>
      </c>
      <c r="F398" s="378" t="s">
        <v>1097</v>
      </c>
      <c r="G398" s="452" t="s">
        <v>1174</v>
      </c>
      <c r="H398" s="378" t="s">
        <v>706</v>
      </c>
      <c r="I398" s="451" t="n">
        <v>43762</v>
      </c>
      <c r="J398" s="452" t="n">
        <v>10</v>
      </c>
      <c r="K398" s="552" t="s">
        <v>42</v>
      </c>
      <c r="L398" s="378" t="s">
        <v>60</v>
      </c>
      <c r="M398" s="546" t="n">
        <f aca="false">I398-D398</f>
        <v>360</v>
      </c>
    </row>
    <row r="399" customFormat="false" ht="12.75" hidden="false" customHeight="true" outlineLevel="0" collapsed="false">
      <c r="A399" s="456" t="n">
        <v>39819</v>
      </c>
      <c r="B399" s="458" t="s">
        <v>13639</v>
      </c>
      <c r="C399" s="458" t="n">
        <v>2012</v>
      </c>
      <c r="D399" s="459" t="n">
        <v>41050</v>
      </c>
      <c r="E399" s="460" t="s">
        <v>13640</v>
      </c>
      <c r="F399" s="380" t="s">
        <v>671</v>
      </c>
      <c r="G399" s="460" t="s">
        <v>1174</v>
      </c>
      <c r="H399" s="380" t="s">
        <v>6610</v>
      </c>
      <c r="I399" s="459" t="n">
        <v>43762</v>
      </c>
      <c r="J399" s="460" t="n">
        <v>10</v>
      </c>
      <c r="K399" s="588" t="s">
        <v>53</v>
      </c>
      <c r="L399" s="380" t="s">
        <v>57</v>
      </c>
      <c r="M399" s="545" t="n">
        <f aca="false">I399-D399</f>
        <v>2712</v>
      </c>
    </row>
    <row r="400" customFormat="false" ht="12.75" hidden="true" customHeight="true" outlineLevel="0" collapsed="false">
      <c r="A400" s="449" t="n">
        <v>39919</v>
      </c>
      <c r="B400" s="450" t="s">
        <v>13641</v>
      </c>
      <c r="C400" s="450" t="n">
        <v>2019</v>
      </c>
      <c r="D400" s="451" t="n">
        <v>43546</v>
      </c>
      <c r="E400" s="452" t="s">
        <v>13642</v>
      </c>
      <c r="F400" s="537" t="s">
        <v>13643</v>
      </c>
      <c r="G400" s="452" t="s">
        <v>125</v>
      </c>
      <c r="H400" s="378" t="s">
        <v>13644</v>
      </c>
      <c r="I400" s="451" t="n">
        <v>43762</v>
      </c>
      <c r="J400" s="452" t="n">
        <v>10</v>
      </c>
      <c r="K400" s="587" t="s">
        <v>51</v>
      </c>
      <c r="L400" s="378" t="s">
        <v>61</v>
      </c>
      <c r="M400" s="546" t="n">
        <f aca="false">I400-D400</f>
        <v>216</v>
      </c>
    </row>
    <row r="401" customFormat="false" ht="12.75" hidden="true" customHeight="true" outlineLevel="0" collapsed="false">
      <c r="A401" s="456" t="n">
        <v>40019</v>
      </c>
      <c r="B401" s="458" t="s">
        <v>13645</v>
      </c>
      <c r="C401" s="458" t="n">
        <v>2019</v>
      </c>
      <c r="D401" s="459" t="n">
        <v>43616</v>
      </c>
      <c r="E401" s="460" t="s">
        <v>13646</v>
      </c>
      <c r="F401" s="536" t="s">
        <v>6303</v>
      </c>
      <c r="G401" s="460" t="s">
        <v>125</v>
      </c>
      <c r="H401" s="380" t="s">
        <v>5376</v>
      </c>
      <c r="I401" s="459" t="n">
        <v>43762</v>
      </c>
      <c r="J401" s="460" t="n">
        <v>10</v>
      </c>
      <c r="K401" s="587" t="s">
        <v>50</v>
      </c>
      <c r="L401" s="380" t="s">
        <v>61</v>
      </c>
      <c r="M401" s="545" t="n">
        <f aca="false">I401-D401</f>
        <v>146</v>
      </c>
    </row>
    <row r="402" customFormat="false" ht="12.75" hidden="true" customHeight="true" outlineLevel="0" collapsed="false">
      <c r="A402" s="449" t="n">
        <v>40119</v>
      </c>
      <c r="B402" s="450" t="s">
        <v>13647</v>
      </c>
      <c r="C402" s="450" t="n">
        <v>2018</v>
      </c>
      <c r="D402" s="451" t="n">
        <v>43447</v>
      </c>
      <c r="E402" s="452" t="s">
        <v>13648</v>
      </c>
      <c r="F402" s="537" t="s">
        <v>13649</v>
      </c>
      <c r="G402" s="452" t="s">
        <v>125</v>
      </c>
      <c r="H402" s="378" t="s">
        <v>3472</v>
      </c>
      <c r="I402" s="451" t="n">
        <v>43762</v>
      </c>
      <c r="J402" s="452" t="n">
        <v>10</v>
      </c>
      <c r="K402" s="587" t="s">
        <v>50</v>
      </c>
      <c r="L402" s="378" t="s">
        <v>61</v>
      </c>
      <c r="M402" s="546" t="n">
        <f aca="false">I402-D402</f>
        <v>315</v>
      </c>
    </row>
    <row r="403" customFormat="false" ht="12.75" hidden="false" customHeight="true" outlineLevel="0" collapsed="false">
      <c r="A403" s="456" t="n">
        <v>40219</v>
      </c>
      <c r="B403" s="458" t="s">
        <v>13650</v>
      </c>
      <c r="C403" s="458" t="n">
        <v>2013</v>
      </c>
      <c r="D403" s="459" t="n">
        <v>41421</v>
      </c>
      <c r="E403" s="460" t="s">
        <v>13651</v>
      </c>
      <c r="F403" s="380" t="s">
        <v>705</v>
      </c>
      <c r="G403" s="460" t="s">
        <v>1174</v>
      </c>
      <c r="H403" s="380" t="s">
        <v>706</v>
      </c>
      <c r="I403" s="459" t="n">
        <v>43773</v>
      </c>
      <c r="J403" s="460" t="n">
        <v>11</v>
      </c>
      <c r="K403" s="548" t="s">
        <v>47</v>
      </c>
      <c r="L403" s="380" t="s">
        <v>58</v>
      </c>
      <c r="M403" s="545" t="n">
        <f aca="false">I403-D403</f>
        <v>2352</v>
      </c>
    </row>
    <row r="404" customFormat="false" ht="12.75" hidden="false" customHeight="true" outlineLevel="0" collapsed="false">
      <c r="A404" s="449" t="n">
        <v>40319</v>
      </c>
      <c r="B404" s="450" t="s">
        <v>13652</v>
      </c>
      <c r="C404" s="450" t="n">
        <v>2019</v>
      </c>
      <c r="D404" s="451" t="n">
        <v>43677</v>
      </c>
      <c r="E404" s="452" t="s">
        <v>13653</v>
      </c>
      <c r="F404" s="378" t="s">
        <v>168</v>
      </c>
      <c r="G404" s="452" t="s">
        <v>1174</v>
      </c>
      <c r="H404" s="378" t="s">
        <v>522</v>
      </c>
      <c r="I404" s="451" t="n">
        <v>43773</v>
      </c>
      <c r="J404" s="452" t="n">
        <v>11</v>
      </c>
      <c r="K404" s="588" t="s">
        <v>53</v>
      </c>
      <c r="L404" s="378" t="s">
        <v>58</v>
      </c>
      <c r="M404" s="546" t="n">
        <f aca="false">I404-D404</f>
        <v>96</v>
      </c>
    </row>
    <row r="405" customFormat="false" ht="12.75" hidden="true" customHeight="true" outlineLevel="0" collapsed="false">
      <c r="A405" s="456" t="n">
        <v>40419</v>
      </c>
      <c r="B405" s="458" t="s">
        <v>13654</v>
      </c>
      <c r="C405" s="458" t="n">
        <v>2017</v>
      </c>
      <c r="D405" s="459" t="n">
        <v>42758</v>
      </c>
      <c r="E405" s="460" t="s">
        <v>13655</v>
      </c>
      <c r="F405" s="380" t="s">
        <v>793</v>
      </c>
      <c r="G405" s="460" t="s">
        <v>144</v>
      </c>
      <c r="H405" s="380" t="s">
        <v>134</v>
      </c>
      <c r="I405" s="459" t="n">
        <v>43776</v>
      </c>
      <c r="J405" s="460" t="n">
        <v>11</v>
      </c>
      <c r="K405" s="548" t="s">
        <v>47</v>
      </c>
      <c r="L405" s="380" t="s">
        <v>58</v>
      </c>
      <c r="M405" s="545" t="n">
        <f aca="false">I405-D405</f>
        <v>1018</v>
      </c>
    </row>
    <row r="406" customFormat="false" ht="12.75" hidden="true" customHeight="true" outlineLevel="0" collapsed="false">
      <c r="A406" s="449" t="n">
        <v>40519</v>
      </c>
      <c r="B406" s="450" t="s">
        <v>13656</v>
      </c>
      <c r="C406" s="450" t="n">
        <v>2019</v>
      </c>
      <c r="D406" s="451" t="n">
        <v>43515</v>
      </c>
      <c r="E406" s="452" t="s">
        <v>13657</v>
      </c>
      <c r="F406" s="537" t="s">
        <v>13658</v>
      </c>
      <c r="G406" s="452" t="s">
        <v>125</v>
      </c>
      <c r="H406" s="378" t="s">
        <v>980</v>
      </c>
      <c r="I406" s="451" t="n">
        <v>43776</v>
      </c>
      <c r="J406" s="452" t="n">
        <v>11</v>
      </c>
      <c r="K406" s="587" t="s">
        <v>51</v>
      </c>
      <c r="L406" s="378" t="s">
        <v>61</v>
      </c>
      <c r="M406" s="546" t="n">
        <f aca="false">I406-D406</f>
        <v>261</v>
      </c>
    </row>
    <row r="407" customFormat="false" ht="12.75" hidden="true" customHeight="true" outlineLevel="0" collapsed="false">
      <c r="A407" s="456" t="n">
        <v>40619</v>
      </c>
      <c r="B407" s="458" t="s">
        <v>13659</v>
      </c>
      <c r="C407" s="458" t="n">
        <v>2018</v>
      </c>
      <c r="D407" s="459" t="n">
        <v>43349</v>
      </c>
      <c r="E407" s="460" t="s">
        <v>13660</v>
      </c>
      <c r="F407" s="536" t="s">
        <v>12895</v>
      </c>
      <c r="G407" s="460" t="s">
        <v>125</v>
      </c>
      <c r="H407" s="380" t="s">
        <v>12530</v>
      </c>
      <c r="I407" s="459" t="n">
        <v>43776</v>
      </c>
      <c r="J407" s="460" t="n">
        <v>11</v>
      </c>
      <c r="K407" s="587" t="s">
        <v>50</v>
      </c>
      <c r="L407" s="380" t="s">
        <v>61</v>
      </c>
      <c r="M407" s="545" t="n">
        <f aca="false">I407-D407</f>
        <v>427</v>
      </c>
    </row>
    <row r="408" customFormat="false" ht="12.75" hidden="true" customHeight="true" outlineLevel="0" collapsed="false">
      <c r="A408" s="449" t="n">
        <v>40719</v>
      </c>
      <c r="B408" s="450" t="s">
        <v>13661</v>
      </c>
      <c r="C408" s="450" t="n">
        <v>2018</v>
      </c>
      <c r="D408" s="451" t="n">
        <v>43349</v>
      </c>
      <c r="E408" s="452" t="s">
        <v>13662</v>
      </c>
      <c r="F408" s="537" t="s">
        <v>13663</v>
      </c>
      <c r="G408" s="452" t="s">
        <v>125</v>
      </c>
      <c r="H408" s="378" t="s">
        <v>12530</v>
      </c>
      <c r="I408" s="451" t="n">
        <v>43776</v>
      </c>
      <c r="J408" s="452" t="n">
        <v>11</v>
      </c>
      <c r="K408" s="587" t="s">
        <v>50</v>
      </c>
      <c r="L408" s="378" t="s">
        <v>61</v>
      </c>
      <c r="M408" s="546" t="n">
        <f aca="false">I408-D408</f>
        <v>427</v>
      </c>
    </row>
    <row r="409" customFormat="false" ht="12.75" hidden="false" customHeight="true" outlineLevel="0" collapsed="false">
      <c r="A409" s="456" t="n">
        <v>40819</v>
      </c>
      <c r="B409" s="458" t="s">
        <v>13664</v>
      </c>
      <c r="C409" s="458" t="n">
        <v>2013</v>
      </c>
      <c r="D409" s="459" t="n">
        <v>41324</v>
      </c>
      <c r="E409" s="460" t="s">
        <v>13665</v>
      </c>
      <c r="F409" s="380" t="s">
        <v>7739</v>
      </c>
      <c r="G409" s="460" t="s">
        <v>1174</v>
      </c>
      <c r="H409" s="380" t="s">
        <v>1567</v>
      </c>
      <c r="I409" s="459" t="n">
        <v>43781</v>
      </c>
      <c r="J409" s="460" t="n">
        <v>11</v>
      </c>
      <c r="K409" s="588" t="s">
        <v>53</v>
      </c>
      <c r="L409" s="380" t="s">
        <v>60</v>
      </c>
      <c r="M409" s="545" t="n">
        <f aca="false">I409-D409</f>
        <v>2457</v>
      </c>
    </row>
    <row r="410" customFormat="false" ht="12.75" hidden="false" customHeight="true" outlineLevel="0" collapsed="false">
      <c r="A410" s="449" t="n">
        <v>40919</v>
      </c>
      <c r="B410" s="450" t="s">
        <v>13666</v>
      </c>
      <c r="C410" s="450" t="n">
        <v>2013</v>
      </c>
      <c r="D410" s="451" t="n">
        <v>41337</v>
      </c>
      <c r="E410" s="452" t="s">
        <v>13667</v>
      </c>
      <c r="F410" s="378" t="s">
        <v>1817</v>
      </c>
      <c r="G410" s="452" t="s">
        <v>1174</v>
      </c>
      <c r="H410" s="378" t="s">
        <v>639</v>
      </c>
      <c r="I410" s="451" t="n">
        <v>43781</v>
      </c>
      <c r="J410" s="452" t="n">
        <v>11</v>
      </c>
      <c r="K410" s="588" t="s">
        <v>53</v>
      </c>
      <c r="L410" s="378" t="s">
        <v>60</v>
      </c>
      <c r="M410" s="546" t="n">
        <f aca="false">I410-D410</f>
        <v>2444</v>
      </c>
    </row>
    <row r="411" customFormat="false" ht="12.75" hidden="false" customHeight="true" outlineLevel="0" collapsed="false">
      <c r="A411" s="456" t="n">
        <v>41019</v>
      </c>
      <c r="B411" s="458" t="s">
        <v>13668</v>
      </c>
      <c r="C411" s="458" t="n">
        <v>2013</v>
      </c>
      <c r="D411" s="459" t="n">
        <v>41446</v>
      </c>
      <c r="E411" s="460" t="s">
        <v>13669</v>
      </c>
      <c r="F411" s="380" t="s">
        <v>1243</v>
      </c>
      <c r="G411" s="460" t="s">
        <v>1174</v>
      </c>
      <c r="H411" s="380" t="s">
        <v>1567</v>
      </c>
      <c r="I411" s="459" t="n">
        <v>43781</v>
      </c>
      <c r="J411" s="460" t="n">
        <v>11</v>
      </c>
      <c r="K411" s="588" t="s">
        <v>53</v>
      </c>
      <c r="L411" s="380" t="s">
        <v>60</v>
      </c>
      <c r="M411" s="545" t="n">
        <f aca="false">I411-D411</f>
        <v>2335</v>
      </c>
    </row>
    <row r="412" customFormat="false" ht="12.75" hidden="false" customHeight="true" outlineLevel="0" collapsed="false">
      <c r="A412" s="449" t="n">
        <v>41119</v>
      </c>
      <c r="B412" s="450" t="s">
        <v>13670</v>
      </c>
      <c r="C412" s="450" t="n">
        <v>2013</v>
      </c>
      <c r="D412" s="451" t="n">
        <v>41493</v>
      </c>
      <c r="E412" s="452" t="s">
        <v>13671</v>
      </c>
      <c r="F412" s="378" t="s">
        <v>1243</v>
      </c>
      <c r="G412" s="452" t="s">
        <v>1174</v>
      </c>
      <c r="H412" s="378" t="s">
        <v>471</v>
      </c>
      <c r="I412" s="451" t="n">
        <v>43781</v>
      </c>
      <c r="J412" s="452" t="n">
        <v>11</v>
      </c>
      <c r="K412" s="588" t="s">
        <v>53</v>
      </c>
      <c r="L412" s="378" t="s">
        <v>60</v>
      </c>
      <c r="M412" s="546" t="n">
        <f aca="false">I412-D412</f>
        <v>2288</v>
      </c>
    </row>
    <row r="413" customFormat="false" ht="12.75" hidden="false" customHeight="true" outlineLevel="0" collapsed="false">
      <c r="A413" s="456" t="n">
        <v>41219</v>
      </c>
      <c r="B413" s="458" t="s">
        <v>13672</v>
      </c>
      <c r="C413" s="458" t="n">
        <v>2013</v>
      </c>
      <c r="D413" s="459" t="n">
        <v>41579</v>
      </c>
      <c r="E413" s="460" t="s">
        <v>13673</v>
      </c>
      <c r="F413" s="380" t="s">
        <v>365</v>
      </c>
      <c r="G413" s="460" t="s">
        <v>1174</v>
      </c>
      <c r="H413" s="380" t="s">
        <v>1567</v>
      </c>
      <c r="I413" s="459" t="n">
        <v>43781</v>
      </c>
      <c r="J413" s="460" t="n">
        <v>11</v>
      </c>
      <c r="K413" s="588" t="s">
        <v>53</v>
      </c>
      <c r="L413" s="380" t="s">
        <v>60</v>
      </c>
      <c r="M413" s="545" t="n">
        <f aca="false">I413-D413</f>
        <v>2202</v>
      </c>
    </row>
    <row r="414" customFormat="false" ht="12.75" hidden="false" customHeight="true" outlineLevel="0" collapsed="false">
      <c r="A414" s="449" t="n">
        <v>41319</v>
      </c>
      <c r="B414" s="450" t="s">
        <v>13674</v>
      </c>
      <c r="C414" s="450" t="n">
        <v>2013</v>
      </c>
      <c r="D414" s="451" t="n">
        <v>41556</v>
      </c>
      <c r="E414" s="452" t="s">
        <v>13675</v>
      </c>
      <c r="F414" s="378" t="s">
        <v>1727</v>
      </c>
      <c r="G414" s="452" t="s">
        <v>1174</v>
      </c>
      <c r="H414" s="378" t="s">
        <v>192</v>
      </c>
      <c r="I414" s="451" t="n">
        <v>43781</v>
      </c>
      <c r="J414" s="452" t="n">
        <v>11</v>
      </c>
      <c r="K414" s="588" t="s">
        <v>53</v>
      </c>
      <c r="L414" s="378" t="s">
        <v>58</v>
      </c>
      <c r="M414" s="546" t="n">
        <f aca="false">I414-D414</f>
        <v>2225</v>
      </c>
    </row>
    <row r="415" customFormat="false" ht="12.75" hidden="false" customHeight="true" outlineLevel="0" collapsed="false">
      <c r="A415" s="456" t="n">
        <v>41419</v>
      </c>
      <c r="B415" s="458" t="s">
        <v>13676</v>
      </c>
      <c r="C415" s="458" t="n">
        <v>2014</v>
      </c>
      <c r="D415" s="459" t="n">
        <v>41722</v>
      </c>
      <c r="E415" s="460" t="s">
        <v>13677</v>
      </c>
      <c r="F415" s="380" t="s">
        <v>365</v>
      </c>
      <c r="G415" s="460" t="s">
        <v>1174</v>
      </c>
      <c r="H415" s="380" t="s">
        <v>243</v>
      </c>
      <c r="I415" s="459" t="n">
        <v>43781</v>
      </c>
      <c r="J415" s="460" t="n">
        <v>11</v>
      </c>
      <c r="K415" s="588" t="s">
        <v>53</v>
      </c>
      <c r="L415" s="380" t="s">
        <v>60</v>
      </c>
      <c r="M415" s="545" t="n">
        <f aca="false">I415-D415</f>
        <v>2059</v>
      </c>
    </row>
    <row r="416" customFormat="false" ht="12.75" hidden="false" customHeight="true" outlineLevel="0" collapsed="false">
      <c r="A416" s="449" t="n">
        <v>41519</v>
      </c>
      <c r="B416" s="450" t="s">
        <v>13678</v>
      </c>
      <c r="C416" s="450" t="n">
        <v>2014</v>
      </c>
      <c r="D416" s="451" t="n">
        <v>41747</v>
      </c>
      <c r="E416" s="452" t="s">
        <v>13679</v>
      </c>
      <c r="F416" s="378" t="s">
        <v>207</v>
      </c>
      <c r="G416" s="452" t="s">
        <v>1174</v>
      </c>
      <c r="H416" s="378" t="s">
        <v>1258</v>
      </c>
      <c r="I416" s="451" t="n">
        <v>43781</v>
      </c>
      <c r="J416" s="452" t="n">
        <v>11</v>
      </c>
      <c r="K416" s="588" t="s">
        <v>53</v>
      </c>
      <c r="L416" s="378" t="s">
        <v>58</v>
      </c>
      <c r="M416" s="546" t="n">
        <f aca="false">I416-D416</f>
        <v>2034</v>
      </c>
    </row>
    <row r="417" customFormat="false" ht="12.75" hidden="false" customHeight="true" outlineLevel="0" collapsed="false">
      <c r="A417" s="456" t="n">
        <v>41619</v>
      </c>
      <c r="B417" s="458" t="s">
        <v>13680</v>
      </c>
      <c r="C417" s="458" t="n">
        <v>2014</v>
      </c>
      <c r="D417" s="459" t="n">
        <v>41829</v>
      </c>
      <c r="E417" s="460" t="s">
        <v>13681</v>
      </c>
      <c r="F417" s="380" t="s">
        <v>1727</v>
      </c>
      <c r="G417" s="460" t="s">
        <v>1174</v>
      </c>
      <c r="H417" s="380" t="s">
        <v>1567</v>
      </c>
      <c r="I417" s="459" t="n">
        <v>43781</v>
      </c>
      <c r="J417" s="460" t="n">
        <v>11</v>
      </c>
      <c r="K417" s="588" t="s">
        <v>53</v>
      </c>
      <c r="L417" s="380" t="s">
        <v>58</v>
      </c>
      <c r="M417" s="545" t="n">
        <f aca="false">I417-D417</f>
        <v>1952</v>
      </c>
    </row>
    <row r="418" customFormat="false" ht="12.75" hidden="false" customHeight="true" outlineLevel="0" collapsed="false">
      <c r="A418" s="449" t="n">
        <v>41719</v>
      </c>
      <c r="B418" s="450" t="s">
        <v>13682</v>
      </c>
      <c r="C418" s="450" t="n">
        <v>2014</v>
      </c>
      <c r="D418" s="451" t="n">
        <v>41787</v>
      </c>
      <c r="E418" s="452" t="s">
        <v>13683</v>
      </c>
      <c r="F418" s="378" t="s">
        <v>1243</v>
      </c>
      <c r="G418" s="452" t="s">
        <v>1174</v>
      </c>
      <c r="H418" s="378" t="s">
        <v>1567</v>
      </c>
      <c r="I418" s="451" t="n">
        <v>43781</v>
      </c>
      <c r="J418" s="452" t="n">
        <v>11</v>
      </c>
      <c r="K418" s="588" t="s">
        <v>53</v>
      </c>
      <c r="L418" s="378" t="s">
        <v>60</v>
      </c>
      <c r="M418" s="546" t="n">
        <f aca="false">I418-D418</f>
        <v>1994</v>
      </c>
    </row>
    <row r="419" customFormat="false" ht="12.75" hidden="false" customHeight="true" outlineLevel="0" collapsed="false">
      <c r="A419" s="456" t="n">
        <v>41819</v>
      </c>
      <c r="B419" s="458" t="s">
        <v>13684</v>
      </c>
      <c r="C419" s="458" t="n">
        <v>2015</v>
      </c>
      <c r="D419" s="459" t="n">
        <v>42165</v>
      </c>
      <c r="E419" s="460" t="s">
        <v>13685</v>
      </c>
      <c r="F419" s="380" t="s">
        <v>238</v>
      </c>
      <c r="G419" s="460" t="s">
        <v>1174</v>
      </c>
      <c r="H419" s="380" t="s">
        <v>706</v>
      </c>
      <c r="I419" s="459" t="n">
        <v>43781</v>
      </c>
      <c r="J419" s="460" t="n">
        <v>11</v>
      </c>
      <c r="K419" s="588" t="s">
        <v>53</v>
      </c>
      <c r="L419" s="380" t="s">
        <v>58</v>
      </c>
      <c r="M419" s="545" t="n">
        <f aca="false">I419-D419</f>
        <v>1616</v>
      </c>
    </row>
    <row r="420" customFormat="false" ht="12.75" hidden="false" customHeight="true" outlineLevel="0" collapsed="false">
      <c r="A420" s="449" t="n">
        <v>41919</v>
      </c>
      <c r="B420" s="450" t="s">
        <v>13686</v>
      </c>
      <c r="C420" s="450" t="n">
        <v>2016</v>
      </c>
      <c r="D420" s="451" t="n">
        <v>42445</v>
      </c>
      <c r="E420" s="452" t="s">
        <v>13687</v>
      </c>
      <c r="F420" s="378" t="s">
        <v>1211</v>
      </c>
      <c r="G420" s="452" t="s">
        <v>1174</v>
      </c>
      <c r="H420" s="378" t="s">
        <v>267</v>
      </c>
      <c r="I420" s="451" t="n">
        <v>43781</v>
      </c>
      <c r="J420" s="452" t="n">
        <v>11</v>
      </c>
      <c r="K420" s="588" t="s">
        <v>53</v>
      </c>
      <c r="L420" s="378" t="s">
        <v>60</v>
      </c>
      <c r="M420" s="546" t="n">
        <f aca="false">I420-D420</f>
        <v>1336</v>
      </c>
    </row>
    <row r="421" customFormat="false" ht="12.75" hidden="false" customHeight="true" outlineLevel="0" collapsed="false">
      <c r="A421" s="456" t="n">
        <v>42019</v>
      </c>
      <c r="B421" s="458" t="s">
        <v>13688</v>
      </c>
      <c r="C421" s="458" t="n">
        <v>2016</v>
      </c>
      <c r="D421" s="459" t="n">
        <v>42591</v>
      </c>
      <c r="E421" s="460" t="s">
        <v>13689</v>
      </c>
      <c r="F421" s="380" t="s">
        <v>671</v>
      </c>
      <c r="G421" s="460" t="s">
        <v>1174</v>
      </c>
      <c r="H421" s="380" t="s">
        <v>12106</v>
      </c>
      <c r="I421" s="459" t="n">
        <v>43781</v>
      </c>
      <c r="J421" s="460" t="n">
        <v>11</v>
      </c>
      <c r="K421" s="588" t="s">
        <v>53</v>
      </c>
      <c r="L421" s="380" t="s">
        <v>57</v>
      </c>
      <c r="M421" s="545" t="n">
        <f aca="false">I421-D421</f>
        <v>1190</v>
      </c>
    </row>
    <row r="422" customFormat="false" ht="12.75" hidden="false" customHeight="true" outlineLevel="0" collapsed="false">
      <c r="A422" s="449" t="n">
        <v>42119</v>
      </c>
      <c r="B422" s="450" t="s">
        <v>13690</v>
      </c>
      <c r="C422" s="450" t="n">
        <v>2019</v>
      </c>
      <c r="D422" s="451" t="n">
        <v>43580</v>
      </c>
      <c r="E422" s="452" t="s">
        <v>13691</v>
      </c>
      <c r="F422" s="378" t="s">
        <v>211</v>
      </c>
      <c r="G422" s="452" t="s">
        <v>1174</v>
      </c>
      <c r="H422" s="378" t="s">
        <v>250</v>
      </c>
      <c r="I422" s="451" t="n">
        <v>43781</v>
      </c>
      <c r="J422" s="452" t="n">
        <v>11</v>
      </c>
      <c r="K422" s="588" t="s">
        <v>53</v>
      </c>
      <c r="L422" s="378" t="s">
        <v>58</v>
      </c>
      <c r="M422" s="546" t="n">
        <f aca="false">I422-D422</f>
        <v>201</v>
      </c>
    </row>
    <row r="423" customFormat="false" ht="12.75" hidden="false" customHeight="true" outlineLevel="0" collapsed="false">
      <c r="A423" s="456" t="n">
        <v>42219</v>
      </c>
      <c r="B423" s="458" t="s">
        <v>13692</v>
      </c>
      <c r="C423" s="458" t="n">
        <v>2019</v>
      </c>
      <c r="D423" s="459" t="n">
        <v>43633</v>
      </c>
      <c r="E423" s="460" t="s">
        <v>13693</v>
      </c>
      <c r="F423" s="380" t="s">
        <v>477</v>
      </c>
      <c r="G423" s="460" t="s">
        <v>1174</v>
      </c>
      <c r="H423" s="380" t="s">
        <v>13694</v>
      </c>
      <c r="I423" s="459" t="n">
        <v>43781</v>
      </c>
      <c r="J423" s="460" t="n">
        <v>11</v>
      </c>
      <c r="K423" s="588" t="s">
        <v>53</v>
      </c>
      <c r="L423" s="380" t="s">
        <v>58</v>
      </c>
      <c r="M423" s="545" t="n">
        <f aca="false">I423-D423</f>
        <v>148</v>
      </c>
    </row>
    <row r="424" customFormat="false" ht="12.75" hidden="false" customHeight="true" outlineLevel="0" collapsed="false">
      <c r="A424" s="449" t="n">
        <v>42319</v>
      </c>
      <c r="B424" s="450" t="s">
        <v>13695</v>
      </c>
      <c r="C424" s="450" t="n">
        <v>2018</v>
      </c>
      <c r="D424" s="451" t="n">
        <v>43315</v>
      </c>
      <c r="E424" s="452" t="s">
        <v>13696</v>
      </c>
      <c r="F424" s="378" t="s">
        <v>12900</v>
      </c>
      <c r="G424" s="452" t="s">
        <v>1174</v>
      </c>
      <c r="H424" s="378" t="s">
        <v>12106</v>
      </c>
      <c r="I424" s="451" t="n">
        <v>43781</v>
      </c>
      <c r="J424" s="452" t="n">
        <v>11</v>
      </c>
      <c r="K424" s="588" t="s">
        <v>53</v>
      </c>
      <c r="L424" s="378" t="s">
        <v>60</v>
      </c>
      <c r="M424" s="546" t="n">
        <f aca="false">I424-D424</f>
        <v>466</v>
      </c>
    </row>
    <row r="425" customFormat="false" ht="12.75" hidden="false" customHeight="true" outlineLevel="0" collapsed="false">
      <c r="A425" s="456" t="n">
        <v>42419</v>
      </c>
      <c r="B425" s="458" t="s">
        <v>13697</v>
      </c>
      <c r="C425" s="458" t="n">
        <v>2018</v>
      </c>
      <c r="D425" s="459" t="n">
        <v>43255</v>
      </c>
      <c r="E425" s="460" t="s">
        <v>13698</v>
      </c>
      <c r="F425" s="380" t="s">
        <v>12900</v>
      </c>
      <c r="G425" s="460" t="s">
        <v>1174</v>
      </c>
      <c r="H425" s="380" t="s">
        <v>12073</v>
      </c>
      <c r="I425" s="459" t="n">
        <v>43781</v>
      </c>
      <c r="J425" s="460" t="n">
        <v>11</v>
      </c>
      <c r="K425" s="588" t="s">
        <v>53</v>
      </c>
      <c r="L425" s="380" t="s">
        <v>60</v>
      </c>
      <c r="M425" s="545" t="n">
        <f aca="false">I425-D425</f>
        <v>526</v>
      </c>
    </row>
    <row r="426" customFormat="false" ht="12.75" hidden="false" customHeight="true" outlineLevel="0" collapsed="false">
      <c r="A426" s="449" t="n">
        <v>42519</v>
      </c>
      <c r="B426" s="450" t="s">
        <v>13699</v>
      </c>
      <c r="C426" s="450" t="n">
        <v>2018</v>
      </c>
      <c r="D426" s="451" t="n">
        <v>43285</v>
      </c>
      <c r="E426" s="452" t="s">
        <v>13700</v>
      </c>
      <c r="F426" s="378" t="s">
        <v>12900</v>
      </c>
      <c r="G426" s="452" t="s">
        <v>1174</v>
      </c>
      <c r="H426" s="378" t="s">
        <v>1258</v>
      </c>
      <c r="I426" s="451" t="n">
        <v>43781</v>
      </c>
      <c r="J426" s="452" t="n">
        <v>11</v>
      </c>
      <c r="K426" s="588" t="s">
        <v>53</v>
      </c>
      <c r="L426" s="378" t="s">
        <v>60</v>
      </c>
      <c r="M426" s="546" t="n">
        <f aca="false">I426-D426</f>
        <v>496</v>
      </c>
    </row>
    <row r="427" customFormat="false" ht="12.75" hidden="false" customHeight="true" outlineLevel="0" collapsed="false">
      <c r="A427" s="456" t="n">
        <v>42619</v>
      </c>
      <c r="B427" s="458" t="s">
        <v>13701</v>
      </c>
      <c r="C427" s="458" t="n">
        <v>2016</v>
      </c>
      <c r="D427" s="459" t="n">
        <v>42677</v>
      </c>
      <c r="E427" s="460" t="s">
        <v>13702</v>
      </c>
      <c r="F427" s="380" t="s">
        <v>12900</v>
      </c>
      <c r="G427" s="460" t="s">
        <v>1174</v>
      </c>
      <c r="H427" s="380" t="s">
        <v>267</v>
      </c>
      <c r="I427" s="459" t="n">
        <v>43781</v>
      </c>
      <c r="J427" s="460" t="n">
        <v>11</v>
      </c>
      <c r="K427" s="588" t="s">
        <v>53</v>
      </c>
      <c r="L427" s="380" t="s">
        <v>60</v>
      </c>
      <c r="M427" s="545" t="n">
        <f aca="false">I427-D427</f>
        <v>1104</v>
      </c>
    </row>
    <row r="428" customFormat="false" ht="12.75" hidden="true" customHeight="true" outlineLevel="0" collapsed="false">
      <c r="A428" s="449" t="n">
        <v>42719</v>
      </c>
      <c r="B428" s="450" t="s">
        <v>13703</v>
      </c>
      <c r="C428" s="450" t="n">
        <v>2014</v>
      </c>
      <c r="D428" s="451" t="n">
        <v>41893</v>
      </c>
      <c r="E428" s="452" t="s">
        <v>13704</v>
      </c>
      <c r="F428" s="378" t="s">
        <v>1347</v>
      </c>
      <c r="G428" s="452" t="s">
        <v>441</v>
      </c>
      <c r="H428" s="378" t="s">
        <v>471</v>
      </c>
      <c r="I428" s="451" t="n">
        <v>43789</v>
      </c>
      <c r="J428" s="452" t="n">
        <v>11</v>
      </c>
      <c r="K428" s="552" t="s">
        <v>42</v>
      </c>
      <c r="L428" s="378" t="s">
        <v>60</v>
      </c>
      <c r="M428" s="546" t="n">
        <f aca="false">I428-D428</f>
        <v>1896</v>
      </c>
    </row>
    <row r="429" customFormat="false" ht="12.75" hidden="true" customHeight="true" outlineLevel="0" collapsed="false">
      <c r="A429" s="456" t="n">
        <v>42819</v>
      </c>
      <c r="B429" s="458" t="s">
        <v>13705</v>
      </c>
      <c r="C429" s="458" t="n">
        <v>2017</v>
      </c>
      <c r="D429" s="459" t="n">
        <v>42935</v>
      </c>
      <c r="E429" s="460" t="s">
        <v>13706</v>
      </c>
      <c r="F429" s="380" t="s">
        <v>477</v>
      </c>
      <c r="G429" s="460" t="s">
        <v>441</v>
      </c>
      <c r="H429" s="380" t="s">
        <v>350</v>
      </c>
      <c r="I429" s="459" t="n">
        <v>43789</v>
      </c>
      <c r="J429" s="460" t="n">
        <v>11</v>
      </c>
      <c r="K429" s="548" t="s">
        <v>47</v>
      </c>
      <c r="L429" s="380" t="s">
        <v>58</v>
      </c>
      <c r="M429" s="545" t="n">
        <f aca="false">I429-D429</f>
        <v>854</v>
      </c>
    </row>
    <row r="430" customFormat="false" ht="12.75" hidden="true" customHeight="true" outlineLevel="0" collapsed="false">
      <c r="A430" s="449" t="n">
        <v>42919</v>
      </c>
      <c r="B430" s="450" t="s">
        <v>13707</v>
      </c>
      <c r="C430" s="450" t="n">
        <v>2013</v>
      </c>
      <c r="D430" s="451" t="n">
        <v>41414</v>
      </c>
      <c r="E430" s="452" t="s">
        <v>13708</v>
      </c>
      <c r="F430" s="378" t="s">
        <v>4956</v>
      </c>
      <c r="G430" s="452" t="s">
        <v>441</v>
      </c>
      <c r="H430" s="378" t="s">
        <v>4132</v>
      </c>
      <c r="I430" s="451" t="n">
        <v>43789</v>
      </c>
      <c r="J430" s="452" t="n">
        <v>11</v>
      </c>
      <c r="K430" s="548" t="s">
        <v>48</v>
      </c>
      <c r="L430" s="378" t="s">
        <v>58</v>
      </c>
      <c r="M430" s="546" t="n">
        <f aca="false">I430-D430</f>
        <v>2375</v>
      </c>
    </row>
    <row r="431" customFormat="false" ht="12.75" hidden="true" customHeight="true" outlineLevel="0" collapsed="false">
      <c r="A431" s="456" t="n">
        <v>43019</v>
      </c>
      <c r="B431" s="458" t="s">
        <v>13709</v>
      </c>
      <c r="C431" s="458" t="n">
        <v>2018</v>
      </c>
      <c r="D431" s="459" t="n">
        <v>43455</v>
      </c>
      <c r="E431" s="460" t="s">
        <v>13710</v>
      </c>
      <c r="F431" s="536" t="s">
        <v>13658</v>
      </c>
      <c r="G431" s="460" t="s">
        <v>125</v>
      </c>
      <c r="H431" s="380" t="s">
        <v>3493</v>
      </c>
      <c r="I431" s="459" t="n">
        <v>43789</v>
      </c>
      <c r="J431" s="460" t="n">
        <v>11</v>
      </c>
      <c r="K431" s="548" t="s">
        <v>47</v>
      </c>
      <c r="L431" s="380" t="s">
        <v>61</v>
      </c>
      <c r="M431" s="545" t="n">
        <f aca="false">I431-D431</f>
        <v>334</v>
      </c>
    </row>
    <row r="432" customFormat="false" ht="12.75" hidden="true" customHeight="true" outlineLevel="0" collapsed="false">
      <c r="A432" s="449" t="n">
        <v>43119</v>
      </c>
      <c r="B432" s="450" t="s">
        <v>13711</v>
      </c>
      <c r="C432" s="450" t="n">
        <v>2019</v>
      </c>
      <c r="D432" s="451" t="n">
        <v>43600</v>
      </c>
      <c r="E432" s="452" t="s">
        <v>13712</v>
      </c>
      <c r="F432" s="537" t="s">
        <v>6315</v>
      </c>
      <c r="G432" s="452" t="s">
        <v>125</v>
      </c>
      <c r="H432" s="378" t="s">
        <v>13713</v>
      </c>
      <c r="I432" s="451" t="n">
        <v>43789</v>
      </c>
      <c r="J432" s="452" t="n">
        <v>11</v>
      </c>
      <c r="K432" s="548" t="s">
        <v>49</v>
      </c>
      <c r="L432" s="378" t="s">
        <v>61</v>
      </c>
      <c r="M432" s="546" t="n">
        <f aca="false">I432-D432</f>
        <v>189</v>
      </c>
    </row>
    <row r="433" customFormat="false" ht="12.75" hidden="true" customHeight="true" outlineLevel="0" collapsed="false">
      <c r="A433" s="456" t="n">
        <v>43219</v>
      </c>
      <c r="B433" s="458" t="s">
        <v>13714</v>
      </c>
      <c r="C433" s="458" t="n">
        <v>2012</v>
      </c>
      <c r="D433" s="459" t="n">
        <v>40991</v>
      </c>
      <c r="E433" s="460" t="s">
        <v>13715</v>
      </c>
      <c r="F433" s="380" t="s">
        <v>1916</v>
      </c>
      <c r="G433" s="460" t="s">
        <v>441</v>
      </c>
      <c r="H433" s="380" t="s">
        <v>522</v>
      </c>
      <c r="I433" s="459" t="n">
        <v>43789</v>
      </c>
      <c r="J433" s="460" t="n">
        <v>11</v>
      </c>
      <c r="K433" s="548" t="s">
        <v>48</v>
      </c>
      <c r="L433" s="380" t="s">
        <v>58</v>
      </c>
      <c r="M433" s="545" t="n">
        <f aca="false">I433-D433</f>
        <v>2798</v>
      </c>
    </row>
    <row r="434" customFormat="false" ht="12.75" hidden="false" customHeight="true" outlineLevel="0" collapsed="false">
      <c r="A434" s="449" t="n">
        <v>43319</v>
      </c>
      <c r="B434" s="450" t="s">
        <v>13716</v>
      </c>
      <c r="C434" s="450" t="n">
        <v>2014</v>
      </c>
      <c r="D434" s="451" t="n">
        <v>41766</v>
      </c>
      <c r="E434" s="452" t="s">
        <v>13717</v>
      </c>
      <c r="F434" s="378" t="s">
        <v>1727</v>
      </c>
      <c r="G434" s="452" t="s">
        <v>1174</v>
      </c>
      <c r="H434" s="378" t="s">
        <v>184</v>
      </c>
      <c r="I434" s="451" t="n">
        <v>43790</v>
      </c>
      <c r="J434" s="452" t="n">
        <v>11</v>
      </c>
      <c r="K434" s="588" t="s">
        <v>53</v>
      </c>
      <c r="L434" s="378" t="s">
        <v>58</v>
      </c>
      <c r="M434" s="546" t="n">
        <f aca="false">I434-D434</f>
        <v>2024</v>
      </c>
    </row>
    <row r="435" customFormat="false" ht="12.75" hidden="true" customHeight="true" outlineLevel="0" collapsed="false">
      <c r="A435" s="456" t="n">
        <v>43419</v>
      </c>
      <c r="B435" s="458" t="s">
        <v>13718</v>
      </c>
      <c r="C435" s="458" t="n">
        <v>2019</v>
      </c>
      <c r="D435" s="459" t="n">
        <v>43553</v>
      </c>
      <c r="E435" s="460" t="s">
        <v>13719</v>
      </c>
      <c r="F435" s="536" t="s">
        <v>6315</v>
      </c>
      <c r="G435" s="460" t="s">
        <v>130</v>
      </c>
      <c r="H435" s="380" t="s">
        <v>5376</v>
      </c>
      <c r="I435" s="459" t="n">
        <v>43790</v>
      </c>
      <c r="J435" s="460" t="n">
        <v>11</v>
      </c>
      <c r="K435" s="587" t="s">
        <v>50</v>
      </c>
      <c r="L435" s="380" t="s">
        <v>61</v>
      </c>
      <c r="M435" s="545" t="n">
        <f aca="false">I435-D435</f>
        <v>237</v>
      </c>
    </row>
    <row r="436" customFormat="false" ht="12.75" hidden="false" customHeight="true" outlineLevel="0" collapsed="false">
      <c r="A436" s="449" t="n">
        <v>43519</v>
      </c>
      <c r="B436" s="450" t="s">
        <v>13720</v>
      </c>
      <c r="C436" s="450" t="n">
        <v>2016</v>
      </c>
      <c r="D436" s="451" t="n">
        <v>42396</v>
      </c>
      <c r="E436" s="452" t="s">
        <v>13721</v>
      </c>
      <c r="F436" s="378" t="s">
        <v>113</v>
      </c>
      <c r="G436" s="452" t="s">
        <v>1174</v>
      </c>
      <c r="H436" s="378" t="s">
        <v>2677</v>
      </c>
      <c r="I436" s="451" t="n">
        <v>43791</v>
      </c>
      <c r="J436" s="452" t="n">
        <v>11</v>
      </c>
      <c r="K436" s="588" t="s">
        <v>53</v>
      </c>
      <c r="L436" s="378" t="s">
        <v>60</v>
      </c>
      <c r="M436" s="546" t="n">
        <f aca="false">I436-D436</f>
        <v>1395</v>
      </c>
    </row>
    <row r="437" customFormat="false" ht="12.75" hidden="true" customHeight="true" outlineLevel="0" collapsed="false">
      <c r="A437" s="456" t="n">
        <v>43619</v>
      </c>
      <c r="B437" s="458" t="s">
        <v>13722</v>
      </c>
      <c r="C437" s="458" t="n">
        <v>2016</v>
      </c>
      <c r="D437" s="459" t="n">
        <v>42648</v>
      </c>
      <c r="E437" s="460" t="s">
        <v>13723</v>
      </c>
      <c r="F437" s="380" t="s">
        <v>449</v>
      </c>
      <c r="G437" s="460" t="s">
        <v>441</v>
      </c>
      <c r="H437" s="380" t="s">
        <v>192</v>
      </c>
      <c r="I437" s="459" t="n">
        <v>43791</v>
      </c>
      <c r="J437" s="460" t="n">
        <v>11</v>
      </c>
      <c r="K437" s="548" t="s">
        <v>47</v>
      </c>
      <c r="L437" s="380" t="s">
        <v>58</v>
      </c>
      <c r="M437" s="545" t="n">
        <f aca="false">I437-D437</f>
        <v>1143</v>
      </c>
    </row>
    <row r="438" customFormat="false" ht="12.75" hidden="true" customHeight="true" outlineLevel="0" collapsed="false">
      <c r="A438" s="449" t="n">
        <v>43719</v>
      </c>
      <c r="B438" s="450" t="s">
        <v>13724</v>
      </c>
      <c r="C438" s="450" t="n">
        <v>2019</v>
      </c>
      <c r="D438" s="451" t="n">
        <v>43504</v>
      </c>
      <c r="E438" s="452" t="s">
        <v>13725</v>
      </c>
      <c r="F438" s="537" t="s">
        <v>13649</v>
      </c>
      <c r="G438" s="452" t="s">
        <v>125</v>
      </c>
      <c r="H438" s="378" t="s">
        <v>3472</v>
      </c>
      <c r="I438" s="451" t="n">
        <v>43791</v>
      </c>
      <c r="J438" s="452" t="n">
        <v>11</v>
      </c>
      <c r="K438" s="587" t="s">
        <v>50</v>
      </c>
      <c r="L438" s="378" t="s">
        <v>61</v>
      </c>
      <c r="M438" s="546" t="n">
        <f aca="false">I438-D438</f>
        <v>287</v>
      </c>
    </row>
    <row r="439" customFormat="false" ht="12.75" hidden="true" customHeight="true" outlineLevel="0" collapsed="false">
      <c r="A439" s="456" t="n">
        <v>43819</v>
      </c>
      <c r="B439" s="458" t="s">
        <v>13726</v>
      </c>
      <c r="C439" s="458" t="n">
        <v>2018</v>
      </c>
      <c r="D439" s="459" t="n">
        <v>43441</v>
      </c>
      <c r="E439" s="460" t="s">
        <v>13727</v>
      </c>
      <c r="F439" s="536" t="s">
        <v>6315</v>
      </c>
      <c r="G439" s="460" t="s">
        <v>130</v>
      </c>
      <c r="H439" s="380" t="s">
        <v>13728</v>
      </c>
      <c r="I439" s="459" t="n">
        <v>43791</v>
      </c>
      <c r="J439" s="460" t="n">
        <v>11</v>
      </c>
      <c r="K439" s="587" t="s">
        <v>50</v>
      </c>
      <c r="L439" s="380" t="s">
        <v>61</v>
      </c>
      <c r="M439" s="545" t="n">
        <f aca="false">I439-D439</f>
        <v>350</v>
      </c>
    </row>
    <row r="440" customFormat="false" ht="12.75" hidden="true" customHeight="true" outlineLevel="0" collapsed="false">
      <c r="A440" s="449" t="n">
        <v>43919</v>
      </c>
      <c r="B440" s="450" t="s">
        <v>13729</v>
      </c>
      <c r="C440" s="450" t="n">
        <v>2019</v>
      </c>
      <c r="D440" s="451" t="n">
        <v>43497</v>
      </c>
      <c r="E440" s="452" t="s">
        <v>13730</v>
      </c>
      <c r="F440" s="537" t="s">
        <v>13731</v>
      </c>
      <c r="G440" s="452" t="s">
        <v>125</v>
      </c>
      <c r="H440" s="378" t="s">
        <v>13732</v>
      </c>
      <c r="I440" s="451" t="n">
        <v>43794</v>
      </c>
      <c r="J440" s="452" t="n">
        <v>11</v>
      </c>
      <c r="K440" s="587" t="s">
        <v>2407</v>
      </c>
      <c r="L440" s="378" t="s">
        <v>61</v>
      </c>
      <c r="M440" s="546" t="n">
        <f aca="false">I440-D440</f>
        <v>297</v>
      </c>
    </row>
    <row r="441" customFormat="false" ht="12.75" hidden="true" customHeight="true" outlineLevel="0" collapsed="false">
      <c r="A441" s="456" t="n">
        <v>44019</v>
      </c>
      <c r="B441" s="458" t="s">
        <v>13733</v>
      </c>
      <c r="C441" s="458" t="n">
        <v>2011</v>
      </c>
      <c r="D441" s="459" t="n">
        <v>40602</v>
      </c>
      <c r="E441" s="460" t="s">
        <v>13734</v>
      </c>
      <c r="F441" s="380" t="s">
        <v>1277</v>
      </c>
      <c r="G441" s="460" t="s">
        <v>441</v>
      </c>
      <c r="H441" s="380" t="s">
        <v>243</v>
      </c>
      <c r="I441" s="459" t="n">
        <v>43803</v>
      </c>
      <c r="J441" s="460" t="n">
        <v>12</v>
      </c>
      <c r="K441" s="552" t="s">
        <v>42</v>
      </c>
      <c r="L441" s="380" t="s">
        <v>58</v>
      </c>
      <c r="M441" s="545" t="n">
        <f aca="false">I441-D441</f>
        <v>3201</v>
      </c>
    </row>
    <row r="442" customFormat="false" ht="12.75" hidden="false" customHeight="true" outlineLevel="0" collapsed="false">
      <c r="A442" s="449" t="n">
        <v>44119</v>
      </c>
      <c r="B442" s="450" t="s">
        <v>13735</v>
      </c>
      <c r="C442" s="450" t="n">
        <v>2011</v>
      </c>
      <c r="D442" s="451" t="n">
        <v>40802</v>
      </c>
      <c r="E442" s="452" t="s">
        <v>13736</v>
      </c>
      <c r="F442" s="378" t="s">
        <v>1277</v>
      </c>
      <c r="G442" s="452" t="s">
        <v>1174</v>
      </c>
      <c r="H442" s="378" t="s">
        <v>706</v>
      </c>
      <c r="I442" s="451" t="n">
        <v>43803</v>
      </c>
      <c r="J442" s="452" t="n">
        <v>12</v>
      </c>
      <c r="K442" s="588" t="s">
        <v>53</v>
      </c>
      <c r="L442" s="378" t="s">
        <v>58</v>
      </c>
      <c r="M442" s="546" t="n">
        <f aca="false">I442-D442</f>
        <v>3001</v>
      </c>
    </row>
    <row r="443" customFormat="false" ht="12.75" hidden="false" customHeight="true" outlineLevel="0" collapsed="false">
      <c r="A443" s="456" t="n">
        <v>44219</v>
      </c>
      <c r="B443" s="458" t="s">
        <v>13737</v>
      </c>
      <c r="C443" s="458" t="n">
        <v>2013</v>
      </c>
      <c r="D443" s="459" t="n">
        <v>41396</v>
      </c>
      <c r="E443" s="460" t="s">
        <v>13738</v>
      </c>
      <c r="F443" s="380" t="s">
        <v>2151</v>
      </c>
      <c r="G443" s="460" t="s">
        <v>1174</v>
      </c>
      <c r="H443" s="380" t="s">
        <v>9385</v>
      </c>
      <c r="I443" s="459" t="n">
        <v>43803</v>
      </c>
      <c r="J443" s="460" t="n">
        <v>12</v>
      </c>
      <c r="K443" s="588" t="s">
        <v>53</v>
      </c>
      <c r="L443" s="380" t="s">
        <v>58</v>
      </c>
      <c r="M443" s="545" t="n">
        <f aca="false">I443-D443</f>
        <v>2407</v>
      </c>
    </row>
    <row r="444" customFormat="false" ht="12.75" hidden="false" customHeight="true" outlineLevel="0" collapsed="false">
      <c r="A444" s="449" t="n">
        <v>44319</v>
      </c>
      <c r="B444" s="450" t="s">
        <v>13739</v>
      </c>
      <c r="C444" s="450" t="n">
        <v>2013</v>
      </c>
      <c r="D444" s="451" t="n">
        <v>41311</v>
      </c>
      <c r="E444" s="452" t="s">
        <v>13740</v>
      </c>
      <c r="F444" s="378" t="s">
        <v>2151</v>
      </c>
      <c r="G444" s="452" t="s">
        <v>1174</v>
      </c>
      <c r="H444" s="378" t="s">
        <v>639</v>
      </c>
      <c r="I444" s="451" t="n">
        <v>43803</v>
      </c>
      <c r="J444" s="452" t="n">
        <v>12</v>
      </c>
      <c r="K444" s="588" t="s">
        <v>53</v>
      </c>
      <c r="L444" s="378" t="s">
        <v>58</v>
      </c>
      <c r="M444" s="546" t="n">
        <f aca="false">I444-D444</f>
        <v>2492</v>
      </c>
    </row>
    <row r="445" customFormat="false" ht="12.75" hidden="false" customHeight="true" outlineLevel="0" collapsed="false">
      <c r="A445" s="456" t="n">
        <v>44419</v>
      </c>
      <c r="B445" s="458" t="s">
        <v>13741</v>
      </c>
      <c r="C445" s="458" t="n">
        <v>2013</v>
      </c>
      <c r="D445" s="459" t="n">
        <v>41513</v>
      </c>
      <c r="E445" s="460" t="s">
        <v>13742</v>
      </c>
      <c r="F445" s="380" t="s">
        <v>168</v>
      </c>
      <c r="G445" s="460" t="s">
        <v>1174</v>
      </c>
      <c r="H445" s="380" t="s">
        <v>2654</v>
      </c>
      <c r="I445" s="459" t="n">
        <v>43803</v>
      </c>
      <c r="J445" s="460" t="n">
        <v>12</v>
      </c>
      <c r="K445" s="588" t="s">
        <v>53</v>
      </c>
      <c r="L445" s="380" t="s">
        <v>58</v>
      </c>
      <c r="M445" s="545" t="n">
        <f aca="false">I445-D445</f>
        <v>2290</v>
      </c>
    </row>
    <row r="446" customFormat="false" ht="12.75" hidden="false" customHeight="true" outlineLevel="0" collapsed="false">
      <c r="A446" s="449" t="n">
        <v>44519</v>
      </c>
      <c r="B446" s="450" t="s">
        <v>13743</v>
      </c>
      <c r="C446" s="450" t="n">
        <v>2014</v>
      </c>
      <c r="D446" s="451" t="n">
        <v>41981</v>
      </c>
      <c r="E446" s="452" t="s">
        <v>13744</v>
      </c>
      <c r="F446" s="378" t="s">
        <v>823</v>
      </c>
      <c r="G446" s="452" t="s">
        <v>1174</v>
      </c>
      <c r="H446" s="378" t="s">
        <v>639</v>
      </c>
      <c r="I446" s="451" t="n">
        <v>43803</v>
      </c>
      <c r="J446" s="452" t="n">
        <v>12</v>
      </c>
      <c r="K446" s="588" t="s">
        <v>53</v>
      </c>
      <c r="L446" s="378" t="s">
        <v>58</v>
      </c>
      <c r="M446" s="546" t="n">
        <f aca="false">I446-D446</f>
        <v>1822</v>
      </c>
    </row>
    <row r="447" customFormat="false" ht="12.75" hidden="false" customHeight="true" outlineLevel="0" collapsed="false">
      <c r="A447" s="456" t="n">
        <v>44619</v>
      </c>
      <c r="B447" s="458" t="s">
        <v>13745</v>
      </c>
      <c r="C447" s="458" t="n">
        <v>2016</v>
      </c>
      <c r="D447" s="459" t="n">
        <v>42720</v>
      </c>
      <c r="E447" s="460" t="s">
        <v>13746</v>
      </c>
      <c r="F447" s="380" t="s">
        <v>3865</v>
      </c>
      <c r="G447" s="460" t="s">
        <v>1174</v>
      </c>
      <c r="H447" s="380" t="s">
        <v>1059</v>
      </c>
      <c r="I447" s="459" t="n">
        <v>43803</v>
      </c>
      <c r="J447" s="460" t="n">
        <v>12</v>
      </c>
      <c r="K447" s="588" t="s">
        <v>53</v>
      </c>
      <c r="L447" s="380" t="s">
        <v>60</v>
      </c>
      <c r="M447" s="545" t="n">
        <f aca="false">I447-D447</f>
        <v>1083</v>
      </c>
    </row>
    <row r="448" customFormat="false" ht="12.75" hidden="false" customHeight="true" outlineLevel="0" collapsed="false">
      <c r="A448" s="449" t="n">
        <v>44719</v>
      </c>
      <c r="B448" s="450" t="s">
        <v>13747</v>
      </c>
      <c r="C448" s="450" t="n">
        <v>2017</v>
      </c>
      <c r="D448" s="451" t="n">
        <v>42835</v>
      </c>
      <c r="E448" s="452" t="s">
        <v>13748</v>
      </c>
      <c r="F448" s="378" t="s">
        <v>3865</v>
      </c>
      <c r="G448" s="452" t="s">
        <v>1174</v>
      </c>
      <c r="H448" s="378" t="s">
        <v>267</v>
      </c>
      <c r="I448" s="451" t="n">
        <v>43803</v>
      </c>
      <c r="J448" s="452" t="n">
        <v>12</v>
      </c>
      <c r="K448" s="588" t="s">
        <v>53</v>
      </c>
      <c r="L448" s="378" t="s">
        <v>60</v>
      </c>
      <c r="M448" s="546" t="n">
        <f aca="false">I448-D448</f>
        <v>968</v>
      </c>
    </row>
    <row r="449" customFormat="false" ht="12.75" hidden="false" customHeight="true" outlineLevel="0" collapsed="false">
      <c r="A449" s="456" t="n">
        <v>44819</v>
      </c>
      <c r="B449" s="458" t="s">
        <v>13749</v>
      </c>
      <c r="C449" s="458" t="n">
        <v>2017</v>
      </c>
      <c r="D449" s="459" t="n">
        <v>43069</v>
      </c>
      <c r="E449" s="460" t="s">
        <v>13750</v>
      </c>
      <c r="F449" s="380" t="s">
        <v>3865</v>
      </c>
      <c r="G449" s="460" t="s">
        <v>1174</v>
      </c>
      <c r="H449" s="380" t="s">
        <v>208</v>
      </c>
      <c r="I449" s="459" t="n">
        <v>43803</v>
      </c>
      <c r="J449" s="460" t="n">
        <v>12</v>
      </c>
      <c r="K449" s="588" t="s">
        <v>53</v>
      </c>
      <c r="L449" s="380" t="s">
        <v>60</v>
      </c>
      <c r="M449" s="545" t="n">
        <f aca="false">I449-D449</f>
        <v>734</v>
      </c>
    </row>
    <row r="450" customFormat="false" ht="12.75" hidden="false" customHeight="true" outlineLevel="0" collapsed="false">
      <c r="A450" s="449" t="n">
        <v>44919</v>
      </c>
      <c r="B450" s="450" t="s">
        <v>13751</v>
      </c>
      <c r="C450" s="450" t="n">
        <v>2018</v>
      </c>
      <c r="D450" s="451" t="n">
        <v>43264</v>
      </c>
      <c r="E450" s="452" t="s">
        <v>13752</v>
      </c>
      <c r="F450" s="378" t="s">
        <v>1527</v>
      </c>
      <c r="G450" s="452" t="s">
        <v>1174</v>
      </c>
      <c r="H450" s="378" t="s">
        <v>10614</v>
      </c>
      <c r="I450" s="451" t="n">
        <v>43803</v>
      </c>
      <c r="J450" s="452" t="n">
        <v>12</v>
      </c>
      <c r="K450" s="588" t="s">
        <v>53</v>
      </c>
      <c r="L450" s="378" t="s">
        <v>58</v>
      </c>
      <c r="M450" s="546" t="n">
        <f aca="false">I450-D450</f>
        <v>539</v>
      </c>
    </row>
    <row r="451" customFormat="false" ht="12.75" hidden="false" customHeight="true" outlineLevel="0" collapsed="false">
      <c r="A451" s="456" t="n">
        <v>45019</v>
      </c>
      <c r="B451" s="458" t="s">
        <v>13753</v>
      </c>
      <c r="C451" s="458" t="n">
        <v>2013</v>
      </c>
      <c r="D451" s="459" t="n">
        <v>41457</v>
      </c>
      <c r="E451" s="460" t="s">
        <v>13754</v>
      </c>
      <c r="F451" s="380" t="s">
        <v>13755</v>
      </c>
      <c r="G451" s="460" t="s">
        <v>1174</v>
      </c>
      <c r="H451" s="380" t="s">
        <v>192</v>
      </c>
      <c r="I451" s="459" t="n">
        <v>43803</v>
      </c>
      <c r="J451" s="460" t="n">
        <v>12</v>
      </c>
      <c r="K451" s="588" t="s">
        <v>53</v>
      </c>
      <c r="L451" s="380" t="s">
        <v>58</v>
      </c>
      <c r="M451" s="545" t="n">
        <f aca="false">I451-D451</f>
        <v>2346</v>
      </c>
    </row>
    <row r="452" customFormat="false" ht="12.75" hidden="true" customHeight="true" outlineLevel="0" collapsed="false">
      <c r="A452" s="449" t="n">
        <v>45119</v>
      </c>
      <c r="B452" s="450" t="s">
        <v>13756</v>
      </c>
      <c r="C452" s="450" t="n">
        <v>2018</v>
      </c>
      <c r="D452" s="451" t="n">
        <v>43458</v>
      </c>
      <c r="E452" s="452" t="s">
        <v>13757</v>
      </c>
      <c r="F452" s="537" t="s">
        <v>6315</v>
      </c>
      <c r="G452" s="452" t="s">
        <v>125</v>
      </c>
      <c r="H452" s="378" t="s">
        <v>3493</v>
      </c>
      <c r="I452" s="451" t="n">
        <v>43803</v>
      </c>
      <c r="J452" s="452" t="n">
        <v>12</v>
      </c>
      <c r="K452" s="548" t="s">
        <v>49</v>
      </c>
      <c r="L452" s="378" t="s">
        <v>61</v>
      </c>
      <c r="M452" s="546" t="n">
        <f aca="false">I452-D452</f>
        <v>345</v>
      </c>
    </row>
    <row r="453" customFormat="false" ht="12.75" hidden="true" customHeight="true" outlineLevel="0" collapsed="false">
      <c r="A453" s="456" t="n">
        <v>45219</v>
      </c>
      <c r="B453" s="458" t="s">
        <v>13758</v>
      </c>
      <c r="C453" s="458" t="n">
        <v>2017</v>
      </c>
      <c r="D453" s="459" t="n">
        <v>43089</v>
      </c>
      <c r="E453" s="460" t="s">
        <v>13759</v>
      </c>
      <c r="F453" s="380" t="s">
        <v>346</v>
      </c>
      <c r="G453" s="460" t="s">
        <v>441</v>
      </c>
      <c r="H453" s="380" t="s">
        <v>350</v>
      </c>
      <c r="I453" s="459" t="n">
        <v>43803</v>
      </c>
      <c r="J453" s="460" t="n">
        <v>12</v>
      </c>
      <c r="K453" s="548" t="s">
        <v>47</v>
      </c>
      <c r="L453" s="380" t="s">
        <v>58</v>
      </c>
      <c r="M453" s="545" t="n">
        <f aca="false">I453-D453</f>
        <v>714</v>
      </c>
    </row>
    <row r="454" customFormat="false" ht="12.75" hidden="true" customHeight="true" outlineLevel="0" collapsed="false">
      <c r="A454" s="449" t="n">
        <v>45319</v>
      </c>
      <c r="B454" s="450" t="s">
        <v>13760</v>
      </c>
      <c r="C454" s="450" t="n">
        <v>2019</v>
      </c>
      <c r="D454" s="451" t="n">
        <v>43553</v>
      </c>
      <c r="E454" s="452" t="s">
        <v>13761</v>
      </c>
      <c r="F454" s="537" t="s">
        <v>6303</v>
      </c>
      <c r="G454" s="452" t="s">
        <v>130</v>
      </c>
      <c r="H454" s="378" t="s">
        <v>398</v>
      </c>
      <c r="I454" s="451" t="n">
        <v>43803</v>
      </c>
      <c r="J454" s="452" t="n">
        <v>12</v>
      </c>
      <c r="K454" s="587" t="s">
        <v>50</v>
      </c>
      <c r="L454" s="378" t="s">
        <v>61</v>
      </c>
      <c r="M454" s="546" t="n">
        <f aca="false">I454-D454</f>
        <v>250</v>
      </c>
    </row>
    <row r="455" customFormat="false" ht="12.75" hidden="true" customHeight="true" outlineLevel="0" collapsed="false">
      <c r="A455" s="456" t="n">
        <v>45419</v>
      </c>
      <c r="B455" s="458" t="s">
        <v>13762</v>
      </c>
      <c r="C455" s="458" t="n">
        <v>2011</v>
      </c>
      <c r="D455" s="459" t="n">
        <v>40905</v>
      </c>
      <c r="E455" s="460" t="s">
        <v>13763</v>
      </c>
      <c r="F455" s="380" t="s">
        <v>1916</v>
      </c>
      <c r="G455" s="460" t="s">
        <v>441</v>
      </c>
      <c r="H455" s="380" t="s">
        <v>706</v>
      </c>
      <c r="I455" s="459" t="n">
        <v>43809</v>
      </c>
      <c r="J455" s="460" t="n">
        <v>12</v>
      </c>
      <c r="K455" s="552" t="s">
        <v>42</v>
      </c>
      <c r="L455" s="380" t="s">
        <v>58</v>
      </c>
      <c r="M455" s="545" t="n">
        <f aca="false">I455-D455</f>
        <v>2904</v>
      </c>
    </row>
    <row r="456" customFormat="false" ht="12.75" hidden="true" customHeight="true" outlineLevel="0" collapsed="false">
      <c r="A456" s="449" t="n">
        <v>45519</v>
      </c>
      <c r="B456" s="450" t="s">
        <v>13764</v>
      </c>
      <c r="C456" s="450" t="n">
        <v>2016</v>
      </c>
      <c r="D456" s="451" t="n">
        <v>42627</v>
      </c>
      <c r="E456" s="452" t="s">
        <v>13765</v>
      </c>
      <c r="F456" s="378" t="s">
        <v>3844</v>
      </c>
      <c r="G456" s="452" t="s">
        <v>441</v>
      </c>
      <c r="H456" s="378" t="s">
        <v>184</v>
      </c>
      <c r="I456" s="451" t="n">
        <v>43809</v>
      </c>
      <c r="J456" s="452" t="n">
        <v>12</v>
      </c>
      <c r="K456" s="548" t="s">
        <v>49</v>
      </c>
      <c r="L456" s="378" t="s">
        <v>58</v>
      </c>
      <c r="M456" s="546" t="n">
        <f aca="false">I456-D456</f>
        <v>1182</v>
      </c>
    </row>
    <row r="457" customFormat="false" ht="12.75" hidden="true" customHeight="true" outlineLevel="0" collapsed="false">
      <c r="A457" s="456" t="n">
        <v>45619</v>
      </c>
      <c r="B457" s="458" t="s">
        <v>13766</v>
      </c>
      <c r="C457" s="458" t="n">
        <v>2016</v>
      </c>
      <c r="D457" s="459" t="n">
        <v>42503</v>
      </c>
      <c r="E457" s="460" t="s">
        <v>13767</v>
      </c>
      <c r="F457" s="380" t="s">
        <v>1693</v>
      </c>
      <c r="G457" s="460" t="s">
        <v>441</v>
      </c>
      <c r="H457" s="380" t="s">
        <v>471</v>
      </c>
      <c r="I457" s="459" t="n">
        <v>43810</v>
      </c>
      <c r="J457" s="460" t="n">
        <v>12</v>
      </c>
      <c r="K457" s="548" t="s">
        <v>48</v>
      </c>
      <c r="L457" s="380" t="s">
        <v>58</v>
      </c>
      <c r="M457" s="545" t="n">
        <f aca="false">I457-D457</f>
        <v>1307</v>
      </c>
    </row>
    <row r="458" customFormat="false" ht="12.75" hidden="true" customHeight="true" outlineLevel="0" collapsed="false">
      <c r="A458" s="449" t="n">
        <v>45719</v>
      </c>
      <c r="B458" s="450" t="s">
        <v>13768</v>
      </c>
      <c r="C458" s="450" t="n">
        <v>2011</v>
      </c>
      <c r="D458" s="451" t="n">
        <v>40687</v>
      </c>
      <c r="E458" s="452" t="s">
        <v>13769</v>
      </c>
      <c r="F458" s="378" t="s">
        <v>1527</v>
      </c>
      <c r="G458" s="452" t="s">
        <v>441</v>
      </c>
      <c r="H458" s="378" t="s">
        <v>693</v>
      </c>
      <c r="I458" s="451" t="n">
        <v>43810</v>
      </c>
      <c r="J458" s="452" t="n">
        <v>12</v>
      </c>
      <c r="K458" s="548" t="s">
        <v>48</v>
      </c>
      <c r="L458" s="378" t="s">
        <v>58</v>
      </c>
      <c r="M458" s="546" t="n">
        <f aca="false">I458-D458</f>
        <v>3123</v>
      </c>
    </row>
    <row r="459" customFormat="false" ht="12.75" hidden="false" customHeight="true" outlineLevel="0" collapsed="false">
      <c r="A459" s="456" t="n">
        <v>45819</v>
      </c>
      <c r="B459" s="458" t="s">
        <v>13770</v>
      </c>
      <c r="C459" s="458" t="n">
        <v>2014</v>
      </c>
      <c r="D459" s="459" t="n">
        <v>41726</v>
      </c>
      <c r="E459" s="460" t="s">
        <v>13771</v>
      </c>
      <c r="F459" s="380" t="s">
        <v>238</v>
      </c>
      <c r="G459" s="460" t="s">
        <v>1174</v>
      </c>
      <c r="H459" s="380" t="s">
        <v>119</v>
      </c>
      <c r="I459" s="459" t="n">
        <v>43816</v>
      </c>
      <c r="J459" s="460" t="n">
        <v>12</v>
      </c>
      <c r="K459" s="588" t="s">
        <v>53</v>
      </c>
      <c r="L459" s="380" t="s">
        <v>58</v>
      </c>
      <c r="M459" s="545" t="n">
        <f aca="false">I459-D459</f>
        <v>2090</v>
      </c>
    </row>
    <row r="460" customFormat="false" ht="12.75" hidden="false" customHeight="true" outlineLevel="0" collapsed="false">
      <c r="A460" s="449" t="n">
        <v>45919</v>
      </c>
      <c r="B460" s="450" t="s">
        <v>13772</v>
      </c>
      <c r="C460" s="450" t="n">
        <v>2017</v>
      </c>
      <c r="D460" s="451" t="n">
        <v>43014</v>
      </c>
      <c r="E460" s="452" t="s">
        <v>13773</v>
      </c>
      <c r="F460" s="378" t="s">
        <v>2913</v>
      </c>
      <c r="G460" s="452" t="s">
        <v>1174</v>
      </c>
      <c r="H460" s="378" t="s">
        <v>310</v>
      </c>
      <c r="I460" s="451" t="n">
        <v>43816</v>
      </c>
      <c r="J460" s="452" t="n">
        <v>12</v>
      </c>
      <c r="K460" s="588" t="s">
        <v>53</v>
      </c>
      <c r="L460" s="378" t="s">
        <v>60</v>
      </c>
      <c r="M460" s="546" t="n">
        <f aca="false">I460-D460</f>
        <v>802</v>
      </c>
    </row>
    <row r="461" customFormat="false" ht="12.75" hidden="false" customHeight="true" outlineLevel="0" collapsed="false">
      <c r="A461" s="456" t="n">
        <v>46019</v>
      </c>
      <c r="B461" s="458" t="s">
        <v>13774</v>
      </c>
      <c r="C461" s="458" t="n">
        <v>2013</v>
      </c>
      <c r="D461" s="459" t="n">
        <v>41599</v>
      </c>
      <c r="E461" s="460" t="s">
        <v>13775</v>
      </c>
      <c r="F461" s="380" t="s">
        <v>346</v>
      </c>
      <c r="G461" s="460" t="s">
        <v>1174</v>
      </c>
      <c r="H461" s="380" t="s">
        <v>471</v>
      </c>
      <c r="I461" s="459" t="n">
        <v>43816</v>
      </c>
      <c r="J461" s="460" t="n">
        <v>12</v>
      </c>
      <c r="K461" s="588" t="s">
        <v>53</v>
      </c>
      <c r="L461" s="380" t="s">
        <v>58</v>
      </c>
      <c r="M461" s="545" t="n">
        <f aca="false">I461-D461</f>
        <v>2217</v>
      </c>
    </row>
    <row r="462" customFormat="false" ht="12.75" hidden="false" customHeight="true" outlineLevel="0" collapsed="false">
      <c r="A462" s="449" t="n">
        <v>46119</v>
      </c>
      <c r="B462" s="450" t="s">
        <v>13776</v>
      </c>
      <c r="C462" s="450" t="n">
        <v>2014</v>
      </c>
      <c r="D462" s="451" t="n">
        <v>41892</v>
      </c>
      <c r="E462" s="452" t="s">
        <v>13777</v>
      </c>
      <c r="F462" s="378" t="s">
        <v>346</v>
      </c>
      <c r="G462" s="452" t="s">
        <v>1174</v>
      </c>
      <c r="H462" s="378" t="s">
        <v>267</v>
      </c>
      <c r="I462" s="451" t="n">
        <v>43816</v>
      </c>
      <c r="J462" s="452" t="n">
        <v>12</v>
      </c>
      <c r="K462" s="588" t="s">
        <v>53</v>
      </c>
      <c r="L462" s="378" t="s">
        <v>58</v>
      </c>
      <c r="M462" s="546" t="n">
        <f aca="false">I462-D462</f>
        <v>1924</v>
      </c>
    </row>
    <row r="463" customFormat="false" ht="12.75" hidden="false" customHeight="true" outlineLevel="0" collapsed="false">
      <c r="A463" s="456" t="n">
        <v>46219</v>
      </c>
      <c r="B463" s="458" t="s">
        <v>13778</v>
      </c>
      <c r="C463" s="458" t="n">
        <v>2018</v>
      </c>
      <c r="D463" s="459" t="n">
        <v>43122</v>
      </c>
      <c r="E463" s="460" t="s">
        <v>13779</v>
      </c>
      <c r="F463" s="380" t="s">
        <v>113</v>
      </c>
      <c r="G463" s="460" t="s">
        <v>1174</v>
      </c>
      <c r="H463" s="380" t="s">
        <v>192</v>
      </c>
      <c r="I463" s="459" t="n">
        <v>43816</v>
      </c>
      <c r="J463" s="460" t="n">
        <v>12</v>
      </c>
      <c r="K463" s="588" t="s">
        <v>53</v>
      </c>
      <c r="L463" s="380" t="s">
        <v>60</v>
      </c>
      <c r="M463" s="545" t="n">
        <f aca="false">I463-D463</f>
        <v>694</v>
      </c>
    </row>
    <row r="464" customFormat="false" ht="12.75" hidden="false" customHeight="true" outlineLevel="0" collapsed="false">
      <c r="A464" s="449" t="n">
        <v>46319</v>
      </c>
      <c r="B464" s="450" t="s">
        <v>13780</v>
      </c>
      <c r="C464" s="450" t="n">
        <v>2017</v>
      </c>
      <c r="D464" s="451" t="n">
        <v>42996</v>
      </c>
      <c r="E464" s="452" t="s">
        <v>13781</v>
      </c>
      <c r="F464" s="378" t="s">
        <v>1211</v>
      </c>
      <c r="G464" s="452" t="s">
        <v>1174</v>
      </c>
      <c r="H464" s="378" t="s">
        <v>192</v>
      </c>
      <c r="I464" s="451" t="n">
        <v>43816</v>
      </c>
      <c r="J464" s="452" t="n">
        <v>12</v>
      </c>
      <c r="K464" s="588" t="s">
        <v>53</v>
      </c>
      <c r="L464" s="378" t="s">
        <v>60</v>
      </c>
      <c r="M464" s="546" t="n">
        <f aca="false">I464-D464</f>
        <v>820</v>
      </c>
    </row>
    <row r="465" customFormat="false" ht="12.75" hidden="true" customHeight="true" outlineLevel="0" collapsed="false">
      <c r="A465" s="456" t="n">
        <v>46419</v>
      </c>
      <c r="B465" s="458" t="s">
        <v>13782</v>
      </c>
      <c r="C465" s="458" t="n">
        <v>2013</v>
      </c>
      <c r="D465" s="459" t="n">
        <v>41414</v>
      </c>
      <c r="E465" s="460" t="s">
        <v>13783</v>
      </c>
      <c r="F465" s="380" t="s">
        <v>5620</v>
      </c>
      <c r="G465" s="460" t="s">
        <v>441</v>
      </c>
      <c r="H465" s="380" t="s">
        <v>4132</v>
      </c>
      <c r="I465" s="459" t="n">
        <v>43822</v>
      </c>
      <c r="J465" s="460" t="n">
        <v>12</v>
      </c>
      <c r="K465" s="548" t="s">
        <v>49</v>
      </c>
      <c r="L465" s="380" t="s">
        <v>60</v>
      </c>
      <c r="M465" s="545" t="n">
        <f aca="false">I465-D465</f>
        <v>2408</v>
      </c>
    </row>
    <row r="466" customFormat="false" ht="12.75" hidden="true" customHeight="true" outlineLevel="0" collapsed="false">
      <c r="A466" s="449" t="n">
        <v>46519</v>
      </c>
      <c r="B466" s="450" t="s">
        <v>13784</v>
      </c>
      <c r="C466" s="450" t="n">
        <v>2015</v>
      </c>
      <c r="D466" s="451" t="n">
        <v>42270</v>
      </c>
      <c r="E466" s="452" t="s">
        <v>13785</v>
      </c>
      <c r="F466" s="378" t="s">
        <v>3260</v>
      </c>
      <c r="G466" s="452" t="s">
        <v>441</v>
      </c>
      <c r="H466" s="378" t="s">
        <v>12106</v>
      </c>
      <c r="I466" s="451" t="n">
        <v>43822</v>
      </c>
      <c r="J466" s="452" t="n">
        <v>12</v>
      </c>
      <c r="K466" s="548" t="s">
        <v>49</v>
      </c>
      <c r="L466" s="378" t="s">
        <v>60</v>
      </c>
      <c r="M466" s="546" t="n">
        <f aca="false">I466-D466</f>
        <v>1552</v>
      </c>
    </row>
    <row r="467" customFormat="false" ht="12.75" hidden="true" customHeight="true" outlineLevel="0" collapsed="false">
      <c r="A467" s="456" t="n">
        <v>46619</v>
      </c>
      <c r="B467" s="458" t="s">
        <v>13786</v>
      </c>
      <c r="C467" s="458" t="n">
        <v>2019</v>
      </c>
      <c r="D467" s="459" t="n">
        <v>43546</v>
      </c>
      <c r="E467" s="460" t="s">
        <v>13787</v>
      </c>
      <c r="F467" s="536" t="s">
        <v>3207</v>
      </c>
      <c r="G467" s="460" t="s">
        <v>130</v>
      </c>
      <c r="H467" s="380" t="s">
        <v>13644</v>
      </c>
      <c r="I467" s="459" t="n">
        <v>43822</v>
      </c>
      <c r="J467" s="460" t="n">
        <v>12</v>
      </c>
      <c r="K467" s="587" t="s">
        <v>51</v>
      </c>
      <c r="L467" s="380" t="s">
        <v>61</v>
      </c>
      <c r="M467" s="545" t="n">
        <f aca="false">I467-D467</f>
        <v>276</v>
      </c>
    </row>
    <row r="468" customFormat="false" ht="12.75" hidden="true" customHeight="true" outlineLevel="0" collapsed="false">
      <c r="A468" s="449" t="n">
        <v>46719</v>
      </c>
      <c r="B468" s="450" t="s">
        <v>13788</v>
      </c>
      <c r="C468" s="450" t="n">
        <v>2019</v>
      </c>
      <c r="D468" s="451" t="n">
        <v>43585</v>
      </c>
      <c r="E468" s="452" t="s">
        <v>13789</v>
      </c>
      <c r="F468" s="537" t="s">
        <v>3946</v>
      </c>
      <c r="G468" s="452" t="s">
        <v>125</v>
      </c>
      <c r="H468" s="378" t="s">
        <v>3605</v>
      </c>
      <c r="I468" s="451" t="n">
        <v>43822</v>
      </c>
      <c r="J468" s="452" t="n">
        <v>12</v>
      </c>
      <c r="K468" s="548" t="s">
        <v>49</v>
      </c>
      <c r="L468" s="378" t="s">
        <v>61</v>
      </c>
      <c r="M468" s="546" t="n">
        <f aca="false">I468-D468</f>
        <v>237</v>
      </c>
    </row>
    <row r="469" customFormat="false" ht="12.75" hidden="true" customHeight="true" outlineLevel="0" collapsed="false">
      <c r="A469" s="456" t="n">
        <v>46819</v>
      </c>
      <c r="B469" s="458" t="s">
        <v>13790</v>
      </c>
      <c r="C469" s="458" t="n">
        <v>2019</v>
      </c>
      <c r="D469" s="459" t="n">
        <v>43686</v>
      </c>
      <c r="E469" s="460" t="s">
        <v>13791</v>
      </c>
      <c r="F469" s="536" t="s">
        <v>13643</v>
      </c>
      <c r="G469" s="460" t="s">
        <v>130</v>
      </c>
      <c r="H469" s="380" t="s">
        <v>9130</v>
      </c>
      <c r="I469" s="459" t="n">
        <v>43822</v>
      </c>
      <c r="J469" s="460" t="n">
        <v>12</v>
      </c>
      <c r="K469" s="587" t="s">
        <v>51</v>
      </c>
      <c r="L469" s="380" t="s">
        <v>61</v>
      </c>
      <c r="M469" s="545" t="n">
        <f aca="false">I469-D469</f>
        <v>136</v>
      </c>
    </row>
    <row r="470" customFormat="false" ht="12.75" hidden="false" customHeight="true" outlineLevel="0" collapsed="false">
      <c r="A470" s="449" t="n">
        <v>46919</v>
      </c>
      <c r="B470" s="450" t="s">
        <v>13792</v>
      </c>
      <c r="C470" s="450" t="n">
        <v>2011</v>
      </c>
      <c r="D470" s="451" t="n">
        <v>40662</v>
      </c>
      <c r="E470" s="452" t="s">
        <v>13793</v>
      </c>
      <c r="F470" s="378" t="s">
        <v>671</v>
      </c>
      <c r="G470" s="452" t="s">
        <v>1174</v>
      </c>
      <c r="H470" s="378" t="s">
        <v>310</v>
      </c>
      <c r="I470" s="451" t="n">
        <v>43822</v>
      </c>
      <c r="J470" s="452" t="n">
        <v>12</v>
      </c>
      <c r="K470" s="588" t="s">
        <v>53</v>
      </c>
      <c r="L470" s="378" t="s">
        <v>58</v>
      </c>
      <c r="M470" s="546" t="n">
        <f aca="false">I470-D470</f>
        <v>3160</v>
      </c>
    </row>
    <row r="471" customFormat="false" ht="12.75" hidden="false" customHeight="true" outlineLevel="0" collapsed="false">
      <c r="A471" s="456" t="n">
        <v>47019</v>
      </c>
      <c r="B471" s="458" t="s">
        <v>13794</v>
      </c>
      <c r="C471" s="458" t="n">
        <v>2013</v>
      </c>
      <c r="D471" s="459" t="n">
        <v>41354</v>
      </c>
      <c r="E471" s="460" t="s">
        <v>13795</v>
      </c>
      <c r="F471" s="380" t="s">
        <v>365</v>
      </c>
      <c r="G471" s="460" t="s">
        <v>1174</v>
      </c>
      <c r="H471" s="380" t="s">
        <v>13796</v>
      </c>
      <c r="I471" s="459" t="n">
        <v>43822</v>
      </c>
      <c r="J471" s="460" t="n">
        <v>12</v>
      </c>
      <c r="K471" s="588" t="s">
        <v>53</v>
      </c>
      <c r="L471" s="380" t="s">
        <v>60</v>
      </c>
      <c r="M471" s="545" t="n">
        <f aca="false">I471-D471</f>
        <v>2468</v>
      </c>
    </row>
    <row r="472" customFormat="false" ht="12.75" hidden="true" customHeight="true" outlineLevel="0" collapsed="false">
      <c r="A472" s="449" t="n">
        <v>47119</v>
      </c>
      <c r="B472" s="450" t="s">
        <v>13797</v>
      </c>
      <c r="C472" s="450" t="n">
        <v>2014</v>
      </c>
      <c r="D472" s="451" t="n">
        <v>41939</v>
      </c>
      <c r="E472" s="452" t="s">
        <v>13798</v>
      </c>
      <c r="F472" s="378" t="s">
        <v>13799</v>
      </c>
      <c r="G472" s="452" t="s">
        <v>1474</v>
      </c>
      <c r="H472" s="378" t="s">
        <v>3832</v>
      </c>
      <c r="I472" s="451" t="n">
        <v>43822</v>
      </c>
      <c r="J472" s="452" t="n">
        <v>12</v>
      </c>
      <c r="K472" s="548" t="s">
        <v>49</v>
      </c>
      <c r="L472" s="378" t="s">
        <v>61</v>
      </c>
      <c r="M472" s="546" t="n">
        <f aca="false">I472-D472</f>
        <v>1883</v>
      </c>
    </row>
    <row r="473" customFormat="false" ht="12.75" hidden="false" customHeight="true" outlineLevel="0" collapsed="false">
      <c r="A473" s="456" t="n">
        <v>47219</v>
      </c>
      <c r="B473" s="458" t="s">
        <v>13800</v>
      </c>
      <c r="C473" s="458" t="n">
        <v>2015</v>
      </c>
      <c r="D473" s="459" t="n">
        <v>42352</v>
      </c>
      <c r="E473" s="460" t="s">
        <v>13801</v>
      </c>
      <c r="F473" s="380" t="s">
        <v>1916</v>
      </c>
      <c r="G473" s="460" t="s">
        <v>1174</v>
      </c>
      <c r="H473" s="380" t="s">
        <v>544</v>
      </c>
      <c r="I473" s="459" t="n">
        <v>43822</v>
      </c>
      <c r="J473" s="460" t="n">
        <v>12</v>
      </c>
      <c r="K473" s="588" t="s">
        <v>53</v>
      </c>
      <c r="L473" s="380" t="s">
        <v>58</v>
      </c>
      <c r="M473" s="545" t="n">
        <f aca="false">I473-D473</f>
        <v>1470</v>
      </c>
    </row>
    <row r="474" customFormat="false" ht="12.75" hidden="false" customHeight="true" outlineLevel="0" collapsed="false">
      <c r="A474" s="449" t="n">
        <v>47319</v>
      </c>
      <c r="B474" s="450" t="s">
        <v>13802</v>
      </c>
      <c r="C474" s="450" t="n">
        <v>2017</v>
      </c>
      <c r="D474" s="451" t="n">
        <v>43059</v>
      </c>
      <c r="E474" s="452" t="s">
        <v>13803</v>
      </c>
      <c r="F474" s="378" t="s">
        <v>1211</v>
      </c>
      <c r="G474" s="452" t="s">
        <v>1174</v>
      </c>
      <c r="H474" s="378" t="s">
        <v>184</v>
      </c>
      <c r="I474" s="451" t="n">
        <v>43822</v>
      </c>
      <c r="J474" s="452" t="n">
        <v>12</v>
      </c>
      <c r="K474" s="588" t="s">
        <v>53</v>
      </c>
      <c r="L474" s="378" t="s">
        <v>60</v>
      </c>
      <c r="M474" s="546" t="n">
        <f aca="false">I474-D474</f>
        <v>763</v>
      </c>
    </row>
    <row r="475" customFormat="false" ht="12.75" hidden="false" customHeight="true" outlineLevel="0" collapsed="false">
      <c r="A475" s="456" t="n">
        <v>47419</v>
      </c>
      <c r="B475" s="458" t="s">
        <v>13804</v>
      </c>
      <c r="C475" s="458" t="n">
        <v>2018</v>
      </c>
      <c r="D475" s="459" t="n">
        <v>43175</v>
      </c>
      <c r="E475" s="460" t="s">
        <v>13805</v>
      </c>
      <c r="F475" s="380" t="s">
        <v>1211</v>
      </c>
      <c r="G475" s="460" t="s">
        <v>1174</v>
      </c>
      <c r="H475" s="380" t="s">
        <v>2677</v>
      </c>
      <c r="I475" s="459" t="n">
        <v>43822</v>
      </c>
      <c r="J475" s="460" t="n">
        <v>12</v>
      </c>
      <c r="K475" s="588" t="s">
        <v>53</v>
      </c>
      <c r="L475" s="380" t="s">
        <v>60</v>
      </c>
      <c r="M475" s="545" t="n">
        <f aca="false">I475-D475</f>
        <v>647</v>
      </c>
    </row>
    <row r="476" customFormat="false" ht="12.75" hidden="false" customHeight="true" outlineLevel="0" collapsed="false">
      <c r="A476" s="449" t="n">
        <v>47519</v>
      </c>
      <c r="B476" s="450" t="s">
        <v>13806</v>
      </c>
      <c r="C476" s="450" t="n">
        <v>2013</v>
      </c>
      <c r="D476" s="451" t="n">
        <v>41436</v>
      </c>
      <c r="E476" s="452" t="s">
        <v>13807</v>
      </c>
      <c r="F476" s="378" t="s">
        <v>1156</v>
      </c>
      <c r="G476" s="452" t="s">
        <v>1174</v>
      </c>
      <c r="H476" s="378" t="s">
        <v>2452</v>
      </c>
      <c r="I476" s="451" t="n">
        <v>43822</v>
      </c>
      <c r="J476" s="452" t="n">
        <v>12</v>
      </c>
      <c r="K476" s="589" t="s">
        <v>53</v>
      </c>
      <c r="L476" s="378" t="s">
        <v>57</v>
      </c>
      <c r="M476" s="546" t="n">
        <f aca="false">I476-D476</f>
        <v>2386</v>
      </c>
    </row>
    <row r="477" customFormat="false" ht="12.75" hidden="true" customHeight="false" outlineLevel="0" collapsed="false"/>
    <row r="478" customFormat="false" ht="12.75" hidden="true" customHeight="false" outlineLevel="0" collapsed="false"/>
    <row r="479" customFormat="false" ht="12.75" hidden="true" customHeight="false" outlineLevel="0" collapsed="false"/>
    <row r="480" customFormat="false" ht="12.75" hidden="true" customHeight="false" outlineLevel="0" collapsed="false"/>
    <row r="481" customFormat="false" ht="12.75" hidden="true" customHeight="false" outlineLevel="0" collapsed="false"/>
    <row r="482" customFormat="false" ht="12.75" hidden="true" customHeight="false" outlineLevel="0" collapsed="false"/>
    <row r="483" customFormat="false" ht="12.75" hidden="true" customHeight="false" outlineLevel="0" collapsed="false"/>
    <row r="484" customFormat="false" ht="12.75" hidden="true" customHeight="false" outlineLevel="0" collapsed="false"/>
    <row r="485" customFormat="false" ht="12.75" hidden="true" customHeight="false" outlineLevel="0" collapsed="false"/>
    <row r="486" customFormat="false" ht="12.75" hidden="true" customHeight="false" outlineLevel="0" collapsed="false"/>
    <row r="487" customFormat="false" ht="12.75" hidden="true" customHeight="false" outlineLevel="0" collapsed="false"/>
    <row r="488" customFormat="false" ht="12.75" hidden="true" customHeight="false" outlineLevel="0" collapsed="false"/>
    <row r="489" customFormat="false" ht="12.75" hidden="true" customHeight="false" outlineLevel="0" collapsed="false"/>
    <row r="490" customFormat="false" ht="12.75" hidden="true" customHeight="false" outlineLevel="0" collapsed="false"/>
    <row r="491" customFormat="false" ht="12.75" hidden="true" customHeight="false" outlineLevel="0" collapsed="false"/>
    <row r="492" customFormat="false" ht="12.75" hidden="true" customHeight="false" outlineLevel="0" collapsed="false"/>
    <row r="493" customFormat="false" ht="12.75" hidden="true" customHeight="false" outlineLevel="0" collapsed="false"/>
  </sheetData>
  <autoFilter ref="A1:L493">
    <filterColumn colId="6">
      <filters>
        <filter val="PTE"/>
      </filters>
    </filterColumn>
  </autoFilter>
  <mergeCells count="76">
    <mergeCell ref="O2:P2"/>
    <mergeCell ref="O14:S15"/>
    <mergeCell ref="O16:S16"/>
    <mergeCell ref="O17:S17"/>
    <mergeCell ref="O18:S18"/>
    <mergeCell ref="O19:S19"/>
    <mergeCell ref="O20:S20"/>
    <mergeCell ref="O21:S21"/>
    <mergeCell ref="O22:S22"/>
    <mergeCell ref="O23:S23"/>
    <mergeCell ref="O24:S24"/>
    <mergeCell ref="O26:S27"/>
    <mergeCell ref="P28:R28"/>
    <mergeCell ref="P29:R29"/>
    <mergeCell ref="P30:R30"/>
    <mergeCell ref="P31:R31"/>
    <mergeCell ref="P32:R32"/>
    <mergeCell ref="P33:R33"/>
    <mergeCell ref="P34:R34"/>
    <mergeCell ref="P35:R35"/>
    <mergeCell ref="P36:R36"/>
    <mergeCell ref="P37:R37"/>
    <mergeCell ref="P38:R38"/>
    <mergeCell ref="P39:R39"/>
    <mergeCell ref="P40:R40"/>
    <mergeCell ref="P41:R41"/>
    <mergeCell ref="P42:R42"/>
    <mergeCell ref="O44:S45"/>
    <mergeCell ref="P46:R46"/>
    <mergeCell ref="P47:R47"/>
    <mergeCell ref="P48:R48"/>
    <mergeCell ref="P49:R49"/>
    <mergeCell ref="P50:R50"/>
    <mergeCell ref="P51:R51"/>
    <mergeCell ref="P52:R52"/>
    <mergeCell ref="P53:R53"/>
    <mergeCell ref="P54:R54"/>
    <mergeCell ref="P55:R55"/>
    <mergeCell ref="P56:R56"/>
    <mergeCell ref="P57:R57"/>
    <mergeCell ref="P58:R58"/>
    <mergeCell ref="P59:R59"/>
    <mergeCell ref="O61:T62"/>
    <mergeCell ref="O63:R63"/>
    <mergeCell ref="O64:R64"/>
    <mergeCell ref="O65:R65"/>
    <mergeCell ref="O66:R66"/>
    <mergeCell ref="O67:R67"/>
    <mergeCell ref="O68:R68"/>
    <mergeCell ref="O69:R69"/>
    <mergeCell ref="O70:R70"/>
    <mergeCell ref="O71:R71"/>
    <mergeCell ref="O72:R72"/>
    <mergeCell ref="O73:R73"/>
    <mergeCell ref="O74:R74"/>
    <mergeCell ref="O75:R75"/>
    <mergeCell ref="O76:R76"/>
    <mergeCell ref="O78:T79"/>
    <mergeCell ref="O80:R80"/>
    <mergeCell ref="O81:R81"/>
    <mergeCell ref="O82:R82"/>
    <mergeCell ref="O83:R83"/>
    <mergeCell ref="O84:R84"/>
    <mergeCell ref="O85:R85"/>
    <mergeCell ref="O87:R88"/>
    <mergeCell ref="P89:R89"/>
    <mergeCell ref="P90:R90"/>
    <mergeCell ref="P91:R91"/>
    <mergeCell ref="P92:R92"/>
    <mergeCell ref="P93:R93"/>
    <mergeCell ref="P94:R94"/>
    <mergeCell ref="P95:R95"/>
    <mergeCell ref="P96:R96"/>
    <mergeCell ref="P97:R97"/>
    <mergeCell ref="P98:R98"/>
    <mergeCell ref="P99:R99"/>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true">
    <pageSetUpPr fitToPage="true"/>
  </sheetPr>
  <dimension ref="A1:T45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E5" activePane="bottomRight" state="frozen"/>
      <selection pane="topLeft" activeCell="A1" activeCellId="0" sqref="A1"/>
      <selection pane="topRight" activeCell="E1" activeCellId="0" sqref="E1"/>
      <selection pane="bottomLeft" activeCell="A5" activeCellId="0" sqref="A5"/>
      <selection pane="bottomRight" activeCell="E1" activeCellId="0" sqref="E1"/>
    </sheetView>
  </sheetViews>
  <sheetFormatPr defaultColWidth="14.2890625" defaultRowHeight="12.75" customHeight="false" zeroHeight="false" outlineLevelRow="0" outlineLevelCol="0"/>
  <cols>
    <col collapsed="false" customWidth="true" hidden="false" outlineLevel="0" max="1" min="1" style="0" width="18.85"/>
    <col collapsed="false" customWidth="true" hidden="false" outlineLevel="0" max="3" min="2" style="0" width="23.42"/>
    <col collapsed="false" customWidth="true" hidden="false" outlineLevel="0" max="4" min="4" style="0" width="23.58"/>
    <col collapsed="false" customWidth="true" hidden="false" outlineLevel="0" max="5" min="5" style="0" width="60.29"/>
    <col collapsed="false" customWidth="true" hidden="false" outlineLevel="0" max="6" min="6" style="0" width="72"/>
    <col collapsed="false" customWidth="true" hidden="false" outlineLevel="0" max="7" min="7" style="0" width="15.42"/>
    <col collapsed="false" customWidth="true" hidden="false" outlineLevel="0" max="8" min="8" style="0" width="39"/>
    <col collapsed="false" customWidth="true" hidden="false" outlineLevel="0" max="9" min="9" style="0" width="30.72"/>
    <col collapsed="false" customWidth="true" hidden="false" outlineLevel="0" max="10" min="10" style="0" width="28.28"/>
    <col collapsed="false" customWidth="true" hidden="false" outlineLevel="0" max="11" min="11" style="0" width="63.71"/>
    <col collapsed="false" customWidth="true" hidden="false" outlineLevel="0" max="12" min="12" style="0" width="76.14"/>
    <col collapsed="false" customWidth="true" hidden="false" outlineLevel="0" max="13" min="13" style="0" width="47.14"/>
    <col collapsed="false" customWidth="true" hidden="false" outlineLevel="0" max="14" min="14" style="0" width="10.72"/>
    <col collapsed="false" customWidth="true" hidden="false" outlineLevel="0" max="15" min="15" style="0" width="27.14"/>
    <col collapsed="false" customWidth="true" hidden="false" outlineLevel="0" max="16" min="16" style="0" width="9.85"/>
    <col collapsed="false" customWidth="true" hidden="false" outlineLevel="0" max="17" min="17" style="0" width="3.42"/>
    <col collapsed="false" customWidth="true" hidden="false" outlineLevel="0" max="18" min="18" style="0" width="39"/>
    <col collapsed="false" customWidth="true" hidden="false" outlineLevel="0" max="19" min="19" style="0" width="62.85"/>
    <col collapsed="false" customWidth="true" hidden="false" outlineLevel="0" max="20" min="20" style="0" width="13.71"/>
    <col collapsed="false" customWidth="true" hidden="false" outlineLevel="0" max="26" min="21" style="0" width="8.71"/>
  </cols>
  <sheetData>
    <row r="1" customFormat="false" ht="12.75" hidden="false" customHeight="true" outlineLevel="0" collapsed="false">
      <c r="A1" s="582" t="s">
        <v>92</v>
      </c>
      <c r="B1" s="583" t="s">
        <v>93</v>
      </c>
      <c r="C1" s="583" t="s">
        <v>89</v>
      </c>
      <c r="D1" s="584" t="s">
        <v>94</v>
      </c>
      <c r="E1" s="585" t="s">
        <v>95</v>
      </c>
      <c r="F1" s="276" t="s">
        <v>96</v>
      </c>
      <c r="G1" s="585" t="s">
        <v>97</v>
      </c>
      <c r="H1" s="276" t="s">
        <v>98</v>
      </c>
      <c r="I1" s="584" t="s">
        <v>13808</v>
      </c>
      <c r="J1" s="585" t="s">
        <v>62</v>
      </c>
      <c r="K1" s="586" t="s">
        <v>101</v>
      </c>
      <c r="L1" s="586" t="s">
        <v>102</v>
      </c>
      <c r="M1" s="279" t="s">
        <v>103</v>
      </c>
      <c r="N1" s="590"/>
      <c r="O1" s="590"/>
      <c r="P1" s="590"/>
      <c r="Q1" s="590"/>
      <c r="R1" s="590"/>
      <c r="S1" s="590"/>
    </row>
    <row r="2" customFormat="false" ht="12.75" hidden="true" customHeight="true" outlineLevel="0" collapsed="false">
      <c r="A2" s="449" t="n">
        <v>118</v>
      </c>
      <c r="B2" s="450" t="s">
        <v>13809</v>
      </c>
      <c r="C2" s="450" t="n">
        <v>2014</v>
      </c>
      <c r="D2" s="451" t="n">
        <v>41989</v>
      </c>
      <c r="E2" s="452" t="s">
        <v>13810</v>
      </c>
      <c r="F2" s="378" t="s">
        <v>1500</v>
      </c>
      <c r="G2" s="452" t="s">
        <v>441</v>
      </c>
      <c r="H2" s="378" t="s">
        <v>1567</v>
      </c>
      <c r="I2" s="451" t="n">
        <v>43103</v>
      </c>
      <c r="J2" s="452" t="n">
        <v>1</v>
      </c>
      <c r="K2" s="591" t="s">
        <v>47</v>
      </c>
      <c r="L2" s="378" t="s">
        <v>60</v>
      </c>
      <c r="M2" s="546" t="n">
        <f aca="false">I2-D2</f>
        <v>1114</v>
      </c>
      <c r="N2" s="590"/>
      <c r="O2" s="280" t="s">
        <v>13811</v>
      </c>
      <c r="P2" s="280"/>
      <c r="Q2" s="146"/>
      <c r="R2" s="146"/>
      <c r="S2" s="146"/>
    </row>
    <row r="3" customFormat="false" ht="12.75" hidden="true" customHeight="true" outlineLevel="0" collapsed="false">
      <c r="A3" s="456" t="n">
        <v>218</v>
      </c>
      <c r="B3" s="458" t="s">
        <v>13812</v>
      </c>
      <c r="C3" s="458" t="n">
        <v>2016</v>
      </c>
      <c r="D3" s="459" t="n">
        <v>42718</v>
      </c>
      <c r="E3" s="460" t="s">
        <v>13813</v>
      </c>
      <c r="F3" s="380" t="s">
        <v>1500</v>
      </c>
      <c r="G3" s="460" t="s">
        <v>441</v>
      </c>
      <c r="H3" s="380" t="s">
        <v>1567</v>
      </c>
      <c r="I3" s="459" t="n">
        <v>43103</v>
      </c>
      <c r="J3" s="460" t="n">
        <v>1</v>
      </c>
      <c r="K3" s="591" t="s">
        <v>47</v>
      </c>
      <c r="L3" s="380" t="s">
        <v>60</v>
      </c>
      <c r="M3" s="545" t="n">
        <f aca="false">I3-D3</f>
        <v>385</v>
      </c>
      <c r="N3" s="45"/>
      <c r="O3" s="281" t="s">
        <v>1182</v>
      </c>
      <c r="P3" s="281" t="n">
        <f aca="false">COUNTIF($G$2:$G$476,"PT")</f>
        <v>0</v>
      </c>
      <c r="Q3" s="146"/>
      <c r="R3" s="153"/>
      <c r="S3" s="146"/>
    </row>
    <row r="4" customFormat="false" ht="12.75" hidden="true" customHeight="true" outlineLevel="0" collapsed="false">
      <c r="A4" s="449" t="n">
        <v>318</v>
      </c>
      <c r="B4" s="450" t="s">
        <v>13814</v>
      </c>
      <c r="C4" s="450" t="n">
        <v>2010</v>
      </c>
      <c r="D4" s="451" t="n">
        <v>40193</v>
      </c>
      <c r="E4" s="452" t="s">
        <v>13815</v>
      </c>
      <c r="F4" s="378" t="s">
        <v>699</v>
      </c>
      <c r="G4" s="452" t="s">
        <v>441</v>
      </c>
      <c r="H4" s="378" t="s">
        <v>13816</v>
      </c>
      <c r="I4" s="451" t="n">
        <v>43103</v>
      </c>
      <c r="J4" s="452" t="n">
        <v>1</v>
      </c>
      <c r="K4" s="591" t="s">
        <v>47</v>
      </c>
      <c r="L4" s="378" t="s">
        <v>60</v>
      </c>
      <c r="M4" s="546" t="n">
        <f aca="false">I4-D4</f>
        <v>2910</v>
      </c>
      <c r="N4" s="45"/>
      <c r="O4" s="282" t="s">
        <v>1188</v>
      </c>
      <c r="P4" s="282" t="n">
        <f aca="false">COUNTIF($G$2:$G$476,"PTN")</f>
        <v>2</v>
      </c>
      <c r="Q4" s="153"/>
      <c r="R4" s="153"/>
      <c r="S4" s="153"/>
    </row>
    <row r="5" customFormat="false" ht="12.75" hidden="false" customHeight="true" outlineLevel="0" collapsed="false">
      <c r="A5" s="456" t="n">
        <v>418</v>
      </c>
      <c r="B5" s="458" t="s">
        <v>13817</v>
      </c>
      <c r="C5" s="458" t="n">
        <v>2012</v>
      </c>
      <c r="D5" s="459" t="n">
        <v>41150</v>
      </c>
      <c r="E5" s="460" t="s">
        <v>13818</v>
      </c>
      <c r="F5" s="380" t="s">
        <v>699</v>
      </c>
      <c r="G5" s="460" t="s">
        <v>1174</v>
      </c>
      <c r="H5" s="380" t="s">
        <v>5907</v>
      </c>
      <c r="I5" s="459" t="n">
        <v>43104</v>
      </c>
      <c r="J5" s="460" t="n">
        <v>1</v>
      </c>
      <c r="K5" s="592" t="s">
        <v>42</v>
      </c>
      <c r="L5" s="380" t="s">
        <v>60</v>
      </c>
      <c r="M5" s="545" t="n">
        <f aca="false">I5-D5</f>
        <v>1954</v>
      </c>
      <c r="N5" s="45"/>
      <c r="O5" s="283" t="s">
        <v>1192</v>
      </c>
      <c r="P5" s="283" t="n">
        <f aca="false">COUNTIF($G$2:$G$476,"PTE")</f>
        <v>193</v>
      </c>
      <c r="Q5" s="153"/>
      <c r="R5" s="153"/>
      <c r="S5" s="153"/>
    </row>
    <row r="6" customFormat="false" ht="12.75" hidden="false" customHeight="true" outlineLevel="0" collapsed="false">
      <c r="A6" s="449" t="n">
        <v>518</v>
      </c>
      <c r="B6" s="450" t="s">
        <v>13819</v>
      </c>
      <c r="C6" s="450" t="n">
        <v>2012</v>
      </c>
      <c r="D6" s="451" t="n">
        <v>41256</v>
      </c>
      <c r="E6" s="452" t="s">
        <v>13820</v>
      </c>
      <c r="F6" s="378" t="s">
        <v>1196</v>
      </c>
      <c r="G6" s="452" t="s">
        <v>1174</v>
      </c>
      <c r="H6" s="378" t="s">
        <v>13821</v>
      </c>
      <c r="I6" s="451" t="n">
        <v>43108</v>
      </c>
      <c r="J6" s="452" t="n">
        <v>1</v>
      </c>
      <c r="K6" s="591" t="s">
        <v>47</v>
      </c>
      <c r="L6" s="378" t="s">
        <v>58</v>
      </c>
      <c r="M6" s="546" t="n">
        <f aca="false">I6-D6</f>
        <v>1852</v>
      </c>
      <c r="N6" s="45"/>
      <c r="O6" s="282" t="s">
        <v>8</v>
      </c>
      <c r="P6" s="282" t="n">
        <f aca="false">COUNTIF($G$2:$G$476,"Pré-Mistura")</f>
        <v>2</v>
      </c>
      <c r="Q6" s="153"/>
      <c r="R6" s="153"/>
      <c r="S6" s="153"/>
    </row>
    <row r="7" customFormat="false" ht="12.75" hidden="true" customHeight="true" outlineLevel="0" collapsed="false">
      <c r="A7" s="456" t="n">
        <v>618</v>
      </c>
      <c r="B7" s="458" t="s">
        <v>13822</v>
      </c>
      <c r="C7" s="458" t="n">
        <v>2015</v>
      </c>
      <c r="D7" s="459" t="n">
        <v>42244</v>
      </c>
      <c r="E7" s="460" t="s">
        <v>13823</v>
      </c>
      <c r="F7" s="380" t="s">
        <v>113</v>
      </c>
      <c r="G7" s="460" t="s">
        <v>441</v>
      </c>
      <c r="H7" s="380" t="s">
        <v>350</v>
      </c>
      <c r="I7" s="459" t="n">
        <v>43108</v>
      </c>
      <c r="J7" s="460" t="n">
        <v>1</v>
      </c>
      <c r="K7" s="591" t="s">
        <v>47</v>
      </c>
      <c r="L7" s="380" t="s">
        <v>60</v>
      </c>
      <c r="M7" s="545" t="n">
        <f aca="false">I7-D7</f>
        <v>864</v>
      </c>
      <c r="N7" s="45"/>
      <c r="O7" s="283" t="s">
        <v>110</v>
      </c>
      <c r="P7" s="283" t="n">
        <f aca="false">COUNTIF($G$2:$G$476,"PF")</f>
        <v>48</v>
      </c>
      <c r="Q7" s="153"/>
      <c r="R7" s="153"/>
      <c r="S7" s="153"/>
    </row>
    <row r="8" customFormat="false" ht="12.75" hidden="false" customHeight="true" outlineLevel="0" collapsed="false">
      <c r="A8" s="449" t="n">
        <v>718</v>
      </c>
      <c r="B8" s="450" t="s">
        <v>13824</v>
      </c>
      <c r="C8" s="450" t="n">
        <v>2014</v>
      </c>
      <c r="D8" s="451" t="n">
        <v>41794</v>
      </c>
      <c r="E8" s="452" t="s">
        <v>13825</v>
      </c>
      <c r="F8" s="378" t="s">
        <v>211</v>
      </c>
      <c r="G8" s="452" t="s">
        <v>1174</v>
      </c>
      <c r="H8" s="378" t="s">
        <v>2278</v>
      </c>
      <c r="I8" s="451" t="n">
        <v>43108</v>
      </c>
      <c r="J8" s="452" t="n">
        <v>1</v>
      </c>
      <c r="K8" s="592" t="s">
        <v>42</v>
      </c>
      <c r="L8" s="378" t="s">
        <v>58</v>
      </c>
      <c r="M8" s="546" t="n">
        <f aca="false">I8-D8</f>
        <v>1314</v>
      </c>
      <c r="N8" s="45"/>
      <c r="O8" s="282" t="s">
        <v>115</v>
      </c>
      <c r="P8" s="282" t="n">
        <f aca="false">COUNTIF($G$2:$G$476,"PFN")</f>
        <v>4</v>
      </c>
      <c r="Q8" s="153"/>
      <c r="R8" s="153"/>
      <c r="S8" s="153"/>
    </row>
    <row r="9" customFormat="false" ht="12.75" hidden="true" customHeight="true" outlineLevel="0" collapsed="false">
      <c r="A9" s="456" t="n">
        <v>818</v>
      </c>
      <c r="B9" s="458" t="s">
        <v>13826</v>
      </c>
      <c r="C9" s="458" t="n">
        <v>2009</v>
      </c>
      <c r="D9" s="459" t="n">
        <v>39945</v>
      </c>
      <c r="E9" s="460" t="s">
        <v>13827</v>
      </c>
      <c r="F9" s="380" t="s">
        <v>1277</v>
      </c>
      <c r="G9" s="460" t="s">
        <v>441</v>
      </c>
      <c r="H9" s="380" t="s">
        <v>13828</v>
      </c>
      <c r="I9" s="459" t="n">
        <v>43110</v>
      </c>
      <c r="J9" s="460" t="n">
        <v>1</v>
      </c>
      <c r="K9" s="591" t="s">
        <v>47</v>
      </c>
      <c r="L9" s="380" t="s">
        <v>58</v>
      </c>
      <c r="M9" s="545" t="n">
        <f aca="false">I9-D9</f>
        <v>3165</v>
      </c>
      <c r="N9" s="45"/>
      <c r="O9" s="283" t="s">
        <v>120</v>
      </c>
      <c r="P9" s="283" t="n">
        <f aca="false">COUNTIF($G$2:$G$476,"PF/PTE")</f>
        <v>148</v>
      </c>
      <c r="Q9" s="153"/>
      <c r="R9" s="153"/>
      <c r="S9" s="153"/>
    </row>
    <row r="10" customFormat="false" ht="12.75" hidden="true" customHeight="true" outlineLevel="0" collapsed="false">
      <c r="A10" s="449" t="n">
        <v>918</v>
      </c>
      <c r="B10" s="450" t="s">
        <v>13829</v>
      </c>
      <c r="C10" s="450" t="n">
        <v>2009</v>
      </c>
      <c r="D10" s="451" t="n">
        <v>39909</v>
      </c>
      <c r="E10" s="452" t="s">
        <v>13830</v>
      </c>
      <c r="F10" s="378" t="s">
        <v>1277</v>
      </c>
      <c r="G10" s="452" t="s">
        <v>441</v>
      </c>
      <c r="H10" s="378" t="s">
        <v>13828</v>
      </c>
      <c r="I10" s="451" t="n">
        <v>43110</v>
      </c>
      <c r="J10" s="452" t="n">
        <v>1</v>
      </c>
      <c r="K10" s="591" t="s">
        <v>47</v>
      </c>
      <c r="L10" s="378" t="s">
        <v>58</v>
      </c>
      <c r="M10" s="546" t="n">
        <f aca="false">I10-D10</f>
        <v>3201</v>
      </c>
      <c r="N10" s="45"/>
      <c r="O10" s="282" t="s">
        <v>125</v>
      </c>
      <c r="P10" s="282" t="n">
        <f aca="false">COUNTIF($G$2:$G$476,"Bio")</f>
        <v>35</v>
      </c>
      <c r="Q10" s="153"/>
      <c r="R10" s="153"/>
      <c r="S10" s="153"/>
    </row>
    <row r="11" customFormat="false" ht="12.75" hidden="false" customHeight="true" outlineLevel="0" collapsed="false">
      <c r="A11" s="456" t="n">
        <v>1018</v>
      </c>
      <c r="B11" s="458" t="s">
        <v>13831</v>
      </c>
      <c r="C11" s="458" t="n">
        <v>2015</v>
      </c>
      <c r="D11" s="459" t="n">
        <v>42228</v>
      </c>
      <c r="E11" s="460" t="s">
        <v>13832</v>
      </c>
      <c r="F11" s="380" t="s">
        <v>211</v>
      </c>
      <c r="G11" s="460" t="s">
        <v>1174</v>
      </c>
      <c r="H11" s="380" t="s">
        <v>13833</v>
      </c>
      <c r="I11" s="459" t="n">
        <v>43111</v>
      </c>
      <c r="J11" s="460" t="n">
        <v>1</v>
      </c>
      <c r="K11" s="592" t="s">
        <v>42</v>
      </c>
      <c r="L11" s="380" t="s">
        <v>58</v>
      </c>
      <c r="M11" s="545" t="n">
        <f aca="false">I11-D11</f>
        <v>883</v>
      </c>
      <c r="N11" s="45"/>
      <c r="O11" s="284" t="s">
        <v>130</v>
      </c>
      <c r="P11" s="284" t="n">
        <f aca="false">COUNTIF($G$2:$G$476,"Bio/Org")</f>
        <v>17</v>
      </c>
      <c r="Q11" s="153"/>
      <c r="R11" s="153"/>
      <c r="S11" s="153"/>
    </row>
    <row r="12" customFormat="false" ht="12.75" hidden="true" customHeight="true" outlineLevel="0" collapsed="false">
      <c r="A12" s="449" t="n">
        <v>1118</v>
      </c>
      <c r="B12" s="450" t="s">
        <v>13834</v>
      </c>
      <c r="C12" s="450" t="n">
        <v>2012</v>
      </c>
      <c r="D12" s="451" t="n">
        <v>40998</v>
      </c>
      <c r="E12" s="452" t="s">
        <v>13835</v>
      </c>
      <c r="F12" s="378" t="s">
        <v>9647</v>
      </c>
      <c r="G12" s="452" t="s">
        <v>144</v>
      </c>
      <c r="H12" s="378" t="s">
        <v>1557</v>
      </c>
      <c r="I12" s="451" t="n">
        <v>43112</v>
      </c>
      <c r="J12" s="452" t="n">
        <v>1</v>
      </c>
      <c r="K12" s="591" t="s">
        <v>47</v>
      </c>
      <c r="L12" s="378" t="s">
        <v>60</v>
      </c>
      <c r="M12" s="546" t="n">
        <f aca="false">I12-D12</f>
        <v>2114</v>
      </c>
      <c r="N12" s="45"/>
      <c r="O12" s="285" t="s">
        <v>140</v>
      </c>
      <c r="P12" s="286" t="n">
        <f aca="false">SUM(P3:P11)</f>
        <v>449</v>
      </c>
      <c r="Q12" s="153"/>
      <c r="R12" s="153"/>
      <c r="S12" s="153"/>
    </row>
    <row r="13" customFormat="false" ht="12.75" hidden="true" customHeight="true" outlineLevel="0" collapsed="false">
      <c r="A13" s="456" t="n">
        <v>1218</v>
      </c>
      <c r="B13" s="458" t="s">
        <v>13836</v>
      </c>
      <c r="C13" s="458" t="n">
        <v>2015</v>
      </c>
      <c r="D13" s="459" t="n">
        <v>42243</v>
      </c>
      <c r="E13" s="460" t="s">
        <v>13837</v>
      </c>
      <c r="F13" s="380" t="s">
        <v>449</v>
      </c>
      <c r="G13" s="460" t="s">
        <v>441</v>
      </c>
      <c r="H13" s="380" t="s">
        <v>192</v>
      </c>
      <c r="I13" s="459" t="n">
        <v>42747</v>
      </c>
      <c r="J13" s="460" t="n">
        <v>1</v>
      </c>
      <c r="K13" s="591" t="s">
        <v>47</v>
      </c>
      <c r="L13" s="380" t="s">
        <v>58</v>
      </c>
      <c r="M13" s="545" t="n">
        <f aca="false">I13-D13</f>
        <v>504</v>
      </c>
      <c r="N13" s="45"/>
      <c r="O13" s="153"/>
      <c r="P13" s="153"/>
      <c r="Q13" s="153"/>
      <c r="R13" s="287"/>
      <c r="S13" s="287"/>
    </row>
    <row r="14" customFormat="false" ht="13.5" hidden="false" customHeight="true" outlineLevel="0" collapsed="false">
      <c r="A14" s="449" t="n">
        <v>1318</v>
      </c>
      <c r="B14" s="450" t="s">
        <v>13838</v>
      </c>
      <c r="C14" s="450" t="n">
        <v>2012</v>
      </c>
      <c r="D14" s="451" t="n">
        <v>41088</v>
      </c>
      <c r="E14" s="452" t="s">
        <v>13839</v>
      </c>
      <c r="F14" s="378" t="s">
        <v>1693</v>
      </c>
      <c r="G14" s="452" t="s">
        <v>1174</v>
      </c>
      <c r="H14" s="378" t="s">
        <v>192</v>
      </c>
      <c r="I14" s="451" t="n">
        <v>43116</v>
      </c>
      <c r="J14" s="452" t="n">
        <v>1</v>
      </c>
      <c r="K14" s="593" t="s">
        <v>45</v>
      </c>
      <c r="L14" s="378" t="s">
        <v>58</v>
      </c>
      <c r="M14" s="546" t="n">
        <f aca="false">I14-D14</f>
        <v>2028</v>
      </c>
      <c r="N14" s="45"/>
      <c r="O14" s="411" t="s">
        <v>151</v>
      </c>
      <c r="P14" s="411"/>
      <c r="Q14" s="411"/>
      <c r="R14" s="411"/>
      <c r="S14" s="411"/>
    </row>
    <row r="15" customFormat="false" ht="15" hidden="false" customHeight="true" outlineLevel="0" collapsed="false">
      <c r="A15" s="456" t="n">
        <v>1418</v>
      </c>
      <c r="B15" s="458" t="s">
        <v>13840</v>
      </c>
      <c r="C15" s="458" t="n">
        <v>2015</v>
      </c>
      <c r="D15" s="459" t="n">
        <v>42223</v>
      </c>
      <c r="E15" s="460" t="s">
        <v>13841</v>
      </c>
      <c r="F15" s="380" t="s">
        <v>705</v>
      </c>
      <c r="G15" s="460" t="s">
        <v>1174</v>
      </c>
      <c r="H15" s="380" t="s">
        <v>13833</v>
      </c>
      <c r="I15" s="459" t="n">
        <v>43116</v>
      </c>
      <c r="J15" s="460" t="n">
        <v>1</v>
      </c>
      <c r="K15" s="591" t="s">
        <v>47</v>
      </c>
      <c r="L15" s="380" t="s">
        <v>58</v>
      </c>
      <c r="M15" s="545" t="n">
        <f aca="false">I15-D15</f>
        <v>893</v>
      </c>
      <c r="N15" s="45"/>
      <c r="O15" s="411"/>
      <c r="P15" s="411"/>
      <c r="Q15" s="411"/>
      <c r="R15" s="411"/>
      <c r="S15" s="411"/>
    </row>
    <row r="16" customFormat="false" ht="15.75" hidden="false" customHeight="true" outlineLevel="0" collapsed="false">
      <c r="A16" s="449" t="n">
        <v>1518</v>
      </c>
      <c r="B16" s="450" t="s">
        <v>13842</v>
      </c>
      <c r="C16" s="450" t="n">
        <v>2013</v>
      </c>
      <c r="D16" s="451" t="n">
        <v>41302</v>
      </c>
      <c r="E16" s="452" t="s">
        <v>13843</v>
      </c>
      <c r="F16" s="378" t="s">
        <v>823</v>
      </c>
      <c r="G16" s="452" t="s">
        <v>1174</v>
      </c>
      <c r="H16" s="378" t="s">
        <v>1072</v>
      </c>
      <c r="I16" s="451" t="n">
        <v>43116</v>
      </c>
      <c r="J16" s="452" t="n">
        <v>1</v>
      </c>
      <c r="K16" s="591" t="s">
        <v>47</v>
      </c>
      <c r="L16" s="378" t="s">
        <v>58</v>
      </c>
      <c r="M16" s="546" t="n">
        <f aca="false">I16-D16</f>
        <v>1814</v>
      </c>
      <c r="N16" s="45"/>
      <c r="O16" s="412" t="s">
        <v>2194</v>
      </c>
      <c r="P16" s="412"/>
      <c r="Q16" s="412"/>
      <c r="R16" s="412"/>
      <c r="S16" s="412"/>
    </row>
    <row r="17" customFormat="false" ht="12.75" hidden="false" customHeight="true" outlineLevel="0" collapsed="false">
      <c r="A17" s="456" t="n">
        <v>1618</v>
      </c>
      <c r="B17" s="458" t="s">
        <v>13297</v>
      </c>
      <c r="C17" s="458" t="n">
        <v>2013</v>
      </c>
      <c r="D17" s="459" t="n">
        <v>41570</v>
      </c>
      <c r="E17" s="460" t="s">
        <v>13844</v>
      </c>
      <c r="F17" s="380" t="s">
        <v>823</v>
      </c>
      <c r="G17" s="460" t="s">
        <v>1174</v>
      </c>
      <c r="H17" s="380" t="s">
        <v>513</v>
      </c>
      <c r="I17" s="459" t="n">
        <v>43116</v>
      </c>
      <c r="J17" s="460" t="n">
        <v>1</v>
      </c>
      <c r="K17" s="591" t="s">
        <v>47</v>
      </c>
      <c r="L17" s="380" t="s">
        <v>58</v>
      </c>
      <c r="M17" s="545" t="n">
        <f aca="false">I17-D17</f>
        <v>1546</v>
      </c>
      <c r="N17" s="45"/>
      <c r="O17" s="413" t="s">
        <v>2198</v>
      </c>
      <c r="P17" s="413"/>
      <c r="Q17" s="413"/>
      <c r="R17" s="413"/>
      <c r="S17" s="413"/>
    </row>
    <row r="18" customFormat="false" ht="12.75" hidden="false" customHeight="true" outlineLevel="0" collapsed="false">
      <c r="A18" s="449" t="n">
        <v>1718</v>
      </c>
      <c r="B18" s="450" t="s">
        <v>13845</v>
      </c>
      <c r="C18" s="450" t="n">
        <v>2014</v>
      </c>
      <c r="D18" s="451" t="n">
        <v>41992</v>
      </c>
      <c r="E18" s="452" t="s">
        <v>13846</v>
      </c>
      <c r="F18" s="378" t="s">
        <v>823</v>
      </c>
      <c r="G18" s="452" t="s">
        <v>1174</v>
      </c>
      <c r="H18" s="378" t="s">
        <v>13847</v>
      </c>
      <c r="I18" s="451" t="n">
        <v>43117</v>
      </c>
      <c r="J18" s="452" t="n">
        <v>1</v>
      </c>
      <c r="K18" s="591" t="s">
        <v>47</v>
      </c>
      <c r="L18" s="378" t="s">
        <v>58</v>
      </c>
      <c r="M18" s="546" t="n">
        <f aca="false">I18-D18</f>
        <v>1125</v>
      </c>
      <c r="N18" s="45"/>
      <c r="O18" s="414" t="s">
        <v>2203</v>
      </c>
      <c r="P18" s="414"/>
      <c r="Q18" s="414"/>
      <c r="R18" s="414"/>
      <c r="S18" s="414"/>
    </row>
    <row r="19" customFormat="false" ht="12.75" hidden="false" customHeight="true" outlineLevel="0" collapsed="false">
      <c r="A19" s="456" t="n">
        <v>1818</v>
      </c>
      <c r="B19" s="458" t="s">
        <v>13848</v>
      </c>
      <c r="C19" s="458" t="n">
        <v>2015</v>
      </c>
      <c r="D19" s="459" t="n">
        <v>42335</v>
      </c>
      <c r="E19" s="460" t="s">
        <v>13849</v>
      </c>
      <c r="F19" s="380" t="s">
        <v>705</v>
      </c>
      <c r="G19" s="460" t="s">
        <v>1174</v>
      </c>
      <c r="H19" s="380" t="s">
        <v>3268</v>
      </c>
      <c r="I19" s="459" t="n">
        <v>43118</v>
      </c>
      <c r="J19" s="460" t="n">
        <v>1</v>
      </c>
      <c r="K19" s="591" t="s">
        <v>47</v>
      </c>
      <c r="L19" s="380" t="s">
        <v>58</v>
      </c>
      <c r="M19" s="545" t="n">
        <f aca="false">I19-D19</f>
        <v>783</v>
      </c>
      <c r="N19" s="45"/>
      <c r="O19" s="413" t="s">
        <v>2207</v>
      </c>
      <c r="P19" s="413"/>
      <c r="Q19" s="413"/>
      <c r="R19" s="413"/>
      <c r="S19" s="413"/>
    </row>
    <row r="20" customFormat="false" ht="12.75" hidden="false" customHeight="true" outlineLevel="0" collapsed="false">
      <c r="A20" s="449" t="n">
        <v>1918</v>
      </c>
      <c r="B20" s="450" t="s">
        <v>13850</v>
      </c>
      <c r="C20" s="450" t="n">
        <v>2010</v>
      </c>
      <c r="D20" s="451" t="n">
        <v>40451</v>
      </c>
      <c r="E20" s="452" t="s">
        <v>13851</v>
      </c>
      <c r="F20" s="378" t="s">
        <v>705</v>
      </c>
      <c r="G20" s="452" t="s">
        <v>1174</v>
      </c>
      <c r="H20" s="378" t="s">
        <v>4919</v>
      </c>
      <c r="I20" s="451" t="n">
        <v>43118</v>
      </c>
      <c r="J20" s="452" t="n">
        <v>1</v>
      </c>
      <c r="K20" s="591" t="s">
        <v>47</v>
      </c>
      <c r="L20" s="378" t="s">
        <v>58</v>
      </c>
      <c r="M20" s="546" t="n">
        <f aca="false">I20-D20</f>
        <v>2667</v>
      </c>
      <c r="N20" s="45"/>
      <c r="O20" s="414" t="s">
        <v>2211</v>
      </c>
      <c r="P20" s="414"/>
      <c r="Q20" s="414"/>
      <c r="R20" s="414"/>
      <c r="S20" s="414"/>
    </row>
    <row r="21" customFormat="false" ht="12.75" hidden="false" customHeight="true" outlineLevel="0" collapsed="false">
      <c r="A21" s="456" t="n">
        <v>2018</v>
      </c>
      <c r="B21" s="458" t="s">
        <v>13852</v>
      </c>
      <c r="C21" s="458" t="n">
        <v>2011</v>
      </c>
      <c r="D21" s="459" t="n">
        <v>40618</v>
      </c>
      <c r="E21" s="460" t="s">
        <v>13853</v>
      </c>
      <c r="F21" s="380" t="s">
        <v>699</v>
      </c>
      <c r="G21" s="460" t="s">
        <v>1174</v>
      </c>
      <c r="H21" s="380" t="s">
        <v>1567</v>
      </c>
      <c r="I21" s="459" t="n">
        <v>43123</v>
      </c>
      <c r="J21" s="460" t="n">
        <v>1</v>
      </c>
      <c r="K21" s="592" t="s">
        <v>42</v>
      </c>
      <c r="L21" s="380" t="s">
        <v>60</v>
      </c>
      <c r="M21" s="545" t="n">
        <f aca="false">I21-D21</f>
        <v>2505</v>
      </c>
      <c r="N21" s="45"/>
      <c r="O21" s="413" t="s">
        <v>2215</v>
      </c>
      <c r="P21" s="413"/>
      <c r="Q21" s="413"/>
      <c r="R21" s="413"/>
      <c r="S21" s="413"/>
    </row>
    <row r="22" customFormat="false" ht="12.75" hidden="false" customHeight="true" outlineLevel="0" collapsed="false">
      <c r="A22" s="449" t="n">
        <v>2118</v>
      </c>
      <c r="B22" s="450" t="s">
        <v>13854</v>
      </c>
      <c r="C22" s="450" t="n">
        <v>2012</v>
      </c>
      <c r="D22" s="451" t="n">
        <v>41262</v>
      </c>
      <c r="E22" s="452" t="s">
        <v>13855</v>
      </c>
      <c r="F22" s="378" t="s">
        <v>1243</v>
      </c>
      <c r="G22" s="452" t="s">
        <v>1174</v>
      </c>
      <c r="H22" s="378" t="s">
        <v>350</v>
      </c>
      <c r="I22" s="451" t="n">
        <v>43123</v>
      </c>
      <c r="J22" s="452" t="n">
        <v>1</v>
      </c>
      <c r="K22" s="591" t="s">
        <v>47</v>
      </c>
      <c r="L22" s="378" t="s">
        <v>60</v>
      </c>
      <c r="M22" s="546" t="n">
        <f aca="false">I22-D22</f>
        <v>1861</v>
      </c>
      <c r="N22" s="45"/>
      <c r="O22" s="414" t="s">
        <v>2220</v>
      </c>
      <c r="P22" s="414"/>
      <c r="Q22" s="414"/>
      <c r="R22" s="414"/>
      <c r="S22" s="414"/>
    </row>
    <row r="23" customFormat="false" ht="12.75" hidden="true" customHeight="true" outlineLevel="0" collapsed="false">
      <c r="A23" s="456" t="n">
        <v>2218</v>
      </c>
      <c r="B23" s="458" t="s">
        <v>13856</v>
      </c>
      <c r="C23" s="458" t="n">
        <v>2015</v>
      </c>
      <c r="D23" s="459" t="n">
        <v>42094</v>
      </c>
      <c r="E23" s="460" t="s">
        <v>13857</v>
      </c>
      <c r="F23" s="380" t="s">
        <v>449</v>
      </c>
      <c r="G23" s="460" t="s">
        <v>441</v>
      </c>
      <c r="H23" s="380" t="s">
        <v>13858</v>
      </c>
      <c r="I23" s="459" t="n">
        <v>43123</v>
      </c>
      <c r="J23" s="460" t="n">
        <v>1</v>
      </c>
      <c r="K23" s="591" t="s">
        <v>47</v>
      </c>
      <c r="L23" s="380" t="s">
        <v>58</v>
      </c>
      <c r="M23" s="545" t="n">
        <f aca="false">I23-D23</f>
        <v>1029</v>
      </c>
      <c r="N23" s="45"/>
      <c r="O23" s="413" t="s">
        <v>13859</v>
      </c>
      <c r="P23" s="413"/>
      <c r="Q23" s="413"/>
      <c r="R23" s="413"/>
      <c r="S23" s="413"/>
    </row>
    <row r="24" customFormat="false" ht="12.75" hidden="true" customHeight="true" outlineLevel="0" collapsed="false">
      <c r="A24" s="449" t="n">
        <v>2318</v>
      </c>
      <c r="B24" s="450" t="s">
        <v>13860</v>
      </c>
      <c r="C24" s="450" t="n">
        <v>2014</v>
      </c>
      <c r="D24" s="451" t="n">
        <v>41689</v>
      </c>
      <c r="E24" s="452" t="s">
        <v>13861</v>
      </c>
      <c r="F24" s="378" t="s">
        <v>1097</v>
      </c>
      <c r="G24" s="452" t="s">
        <v>441</v>
      </c>
      <c r="H24" s="378" t="s">
        <v>184</v>
      </c>
      <c r="I24" s="451" t="n">
        <v>43123</v>
      </c>
      <c r="J24" s="452" t="n">
        <v>1</v>
      </c>
      <c r="K24" s="592" t="s">
        <v>42</v>
      </c>
      <c r="L24" s="378" t="s">
        <v>60</v>
      </c>
      <c r="M24" s="546" t="n">
        <f aca="false">I24-D24</f>
        <v>1434</v>
      </c>
      <c r="N24" s="45"/>
      <c r="O24" s="415" t="s">
        <v>2229</v>
      </c>
      <c r="P24" s="415"/>
      <c r="Q24" s="415"/>
      <c r="R24" s="415"/>
      <c r="S24" s="415"/>
    </row>
    <row r="25" customFormat="false" ht="12.75" hidden="true" customHeight="true" outlineLevel="0" collapsed="false">
      <c r="A25" s="456" t="n">
        <v>2418</v>
      </c>
      <c r="B25" s="458" t="s">
        <v>13862</v>
      </c>
      <c r="C25" s="458" t="n">
        <v>2013</v>
      </c>
      <c r="D25" s="459" t="n">
        <v>41292</v>
      </c>
      <c r="E25" s="460" t="s">
        <v>13863</v>
      </c>
      <c r="F25" s="380" t="s">
        <v>379</v>
      </c>
      <c r="G25" s="460" t="s">
        <v>441</v>
      </c>
      <c r="H25" s="380" t="s">
        <v>13858</v>
      </c>
      <c r="I25" s="459" t="n">
        <v>43123</v>
      </c>
      <c r="J25" s="460" t="n">
        <v>1</v>
      </c>
      <c r="K25" s="591" t="s">
        <v>47</v>
      </c>
      <c r="L25" s="380" t="s">
        <v>60</v>
      </c>
      <c r="M25" s="545" t="n">
        <f aca="false">I25-D25</f>
        <v>1831</v>
      </c>
      <c r="N25" s="45"/>
      <c r="O25" s="153"/>
      <c r="P25" s="153"/>
      <c r="Q25" s="153"/>
      <c r="R25" s="153"/>
      <c r="S25" s="153"/>
    </row>
    <row r="26" customFormat="false" ht="15" hidden="true" customHeight="true" outlineLevel="0" collapsed="false">
      <c r="A26" s="449" t="n">
        <v>2518</v>
      </c>
      <c r="B26" s="450" t="s">
        <v>13864</v>
      </c>
      <c r="C26" s="450" t="n">
        <v>2009</v>
      </c>
      <c r="D26" s="451" t="n">
        <v>40143</v>
      </c>
      <c r="E26" s="452" t="s">
        <v>13865</v>
      </c>
      <c r="F26" s="378" t="s">
        <v>211</v>
      </c>
      <c r="G26" s="452" t="s">
        <v>441</v>
      </c>
      <c r="H26" s="378" t="s">
        <v>13858</v>
      </c>
      <c r="I26" s="451" t="n">
        <v>43123</v>
      </c>
      <c r="J26" s="452" t="n">
        <v>1</v>
      </c>
      <c r="K26" s="592" t="s">
        <v>42</v>
      </c>
      <c r="L26" s="378" t="s">
        <v>58</v>
      </c>
      <c r="M26" s="546" t="n">
        <f aca="false">I26-D26</f>
        <v>2980</v>
      </c>
      <c r="N26" s="45"/>
      <c r="O26" s="326" t="s">
        <v>185</v>
      </c>
      <c r="P26" s="326"/>
      <c r="Q26" s="326"/>
      <c r="R26" s="326"/>
      <c r="S26" s="326"/>
    </row>
    <row r="27" customFormat="false" ht="15" hidden="true" customHeight="true" outlineLevel="0" collapsed="false">
      <c r="A27" s="456" t="n">
        <v>2618</v>
      </c>
      <c r="B27" s="458" t="s">
        <v>13866</v>
      </c>
      <c r="C27" s="458" t="n">
        <v>2009</v>
      </c>
      <c r="D27" s="459" t="n">
        <v>40155</v>
      </c>
      <c r="E27" s="460" t="s">
        <v>13867</v>
      </c>
      <c r="F27" s="380" t="s">
        <v>211</v>
      </c>
      <c r="G27" s="460" t="s">
        <v>441</v>
      </c>
      <c r="H27" s="380" t="s">
        <v>13858</v>
      </c>
      <c r="I27" s="459" t="n">
        <v>43123</v>
      </c>
      <c r="J27" s="460" t="n">
        <v>1</v>
      </c>
      <c r="K27" s="591" t="s">
        <v>47</v>
      </c>
      <c r="L27" s="380" t="s">
        <v>60</v>
      </c>
      <c r="M27" s="545" t="n">
        <f aca="false">I27-D27</f>
        <v>2968</v>
      </c>
      <c r="N27" s="45"/>
      <c r="O27" s="326"/>
      <c r="P27" s="326"/>
      <c r="Q27" s="326"/>
      <c r="R27" s="326"/>
      <c r="S27" s="326"/>
    </row>
    <row r="28" customFormat="false" ht="13.5" hidden="true" customHeight="true" outlineLevel="0" collapsed="false">
      <c r="A28" s="449" t="n">
        <v>2718</v>
      </c>
      <c r="B28" s="450" t="s">
        <v>13868</v>
      </c>
      <c r="C28" s="450" t="n">
        <v>2011</v>
      </c>
      <c r="D28" s="451" t="n">
        <v>40640</v>
      </c>
      <c r="E28" s="452" t="s">
        <v>13869</v>
      </c>
      <c r="F28" s="378" t="s">
        <v>9092</v>
      </c>
      <c r="G28" s="452" t="s">
        <v>144</v>
      </c>
      <c r="H28" s="378" t="s">
        <v>10901</v>
      </c>
      <c r="I28" s="451" t="n">
        <v>43124</v>
      </c>
      <c r="J28" s="452" t="n">
        <v>1</v>
      </c>
      <c r="K28" s="591" t="s">
        <v>47</v>
      </c>
      <c r="L28" s="378" t="s">
        <v>58</v>
      </c>
      <c r="M28" s="546" t="n">
        <f aca="false">I28-D28</f>
        <v>2484</v>
      </c>
      <c r="N28" s="45"/>
      <c r="O28" s="309" t="s">
        <v>39</v>
      </c>
      <c r="P28" s="416" t="s">
        <v>40</v>
      </c>
      <c r="Q28" s="416"/>
      <c r="R28" s="416"/>
      <c r="S28" s="313" t="s">
        <v>41</v>
      </c>
    </row>
    <row r="29" customFormat="false" ht="15.75" hidden="true" customHeight="true" outlineLevel="0" collapsed="false">
      <c r="A29" s="456" t="n">
        <v>2818</v>
      </c>
      <c r="B29" s="458" t="s">
        <v>13870</v>
      </c>
      <c r="C29" s="458" t="n">
        <v>2013</v>
      </c>
      <c r="D29" s="459" t="n">
        <v>41374</v>
      </c>
      <c r="E29" s="460" t="s">
        <v>13871</v>
      </c>
      <c r="F29" s="380" t="s">
        <v>723</v>
      </c>
      <c r="G29" s="460" t="s">
        <v>441</v>
      </c>
      <c r="H29" s="380" t="s">
        <v>1059</v>
      </c>
      <c r="I29" s="459" t="n">
        <v>43125</v>
      </c>
      <c r="J29" s="460" t="n">
        <v>1</v>
      </c>
      <c r="K29" s="592" t="s">
        <v>42</v>
      </c>
      <c r="L29" s="380" t="s">
        <v>58</v>
      </c>
      <c r="M29" s="545" t="n">
        <f aca="false">I29-D29</f>
        <v>1751</v>
      </c>
      <c r="N29" s="45"/>
      <c r="O29" s="283" t="n">
        <v>2006</v>
      </c>
      <c r="P29" s="283" t="n">
        <f aca="false">COUNTIF($C$2:$C$503,"2006")</f>
        <v>0</v>
      </c>
      <c r="Q29" s="283"/>
      <c r="R29" s="283"/>
      <c r="S29" s="315" t="n">
        <f aca="false">P29/P42</f>
        <v>0</v>
      </c>
    </row>
    <row r="30" customFormat="false" ht="12.75" hidden="true" customHeight="true" outlineLevel="0" collapsed="false">
      <c r="A30" s="449" t="n">
        <v>2918</v>
      </c>
      <c r="B30" s="450" t="s">
        <v>13872</v>
      </c>
      <c r="C30" s="450" t="n">
        <v>2010</v>
      </c>
      <c r="D30" s="451" t="n">
        <v>40357</v>
      </c>
      <c r="E30" s="452" t="s">
        <v>13873</v>
      </c>
      <c r="F30" s="378" t="s">
        <v>699</v>
      </c>
      <c r="G30" s="452" t="s">
        <v>441</v>
      </c>
      <c r="H30" s="378" t="s">
        <v>12073</v>
      </c>
      <c r="I30" s="451" t="n">
        <v>43125</v>
      </c>
      <c r="J30" s="452" t="n">
        <v>1</v>
      </c>
      <c r="K30" s="591" t="s">
        <v>47</v>
      </c>
      <c r="L30" s="378" t="s">
        <v>60</v>
      </c>
      <c r="M30" s="546" t="n">
        <f aca="false">I30-D30</f>
        <v>2768</v>
      </c>
      <c r="N30" s="45"/>
      <c r="O30" s="282" t="n">
        <v>2007</v>
      </c>
      <c r="P30" s="282" t="n">
        <f aca="false">COUNTIF($C$2:$C$503,"2007")</f>
        <v>0</v>
      </c>
      <c r="Q30" s="282"/>
      <c r="R30" s="282"/>
      <c r="S30" s="316" t="n">
        <f aca="false">(P30/P42)</f>
        <v>0</v>
      </c>
    </row>
    <row r="31" customFormat="false" ht="12.75" hidden="true" customHeight="true" outlineLevel="0" collapsed="false">
      <c r="A31" s="456" t="n">
        <v>3018</v>
      </c>
      <c r="B31" s="458" t="s">
        <v>13874</v>
      </c>
      <c r="C31" s="458" t="n">
        <v>2010</v>
      </c>
      <c r="D31" s="459" t="n">
        <v>40358</v>
      </c>
      <c r="E31" s="460" t="s">
        <v>13875</v>
      </c>
      <c r="F31" s="380" t="s">
        <v>699</v>
      </c>
      <c r="G31" s="460" t="s">
        <v>441</v>
      </c>
      <c r="H31" s="380" t="s">
        <v>12073</v>
      </c>
      <c r="I31" s="459" t="n">
        <v>43125</v>
      </c>
      <c r="J31" s="460" t="n">
        <v>1</v>
      </c>
      <c r="K31" s="591" t="s">
        <v>47</v>
      </c>
      <c r="L31" s="380" t="s">
        <v>60</v>
      </c>
      <c r="M31" s="545" t="n">
        <f aca="false">I31-D31</f>
        <v>2767</v>
      </c>
      <c r="N31" s="45"/>
      <c r="O31" s="283" t="n">
        <v>2008</v>
      </c>
      <c r="P31" s="283" t="n">
        <f aca="false">COUNTIF($C$2:$C$503,"2008")</f>
        <v>2</v>
      </c>
      <c r="Q31" s="283"/>
      <c r="R31" s="283"/>
      <c r="S31" s="315" t="n">
        <f aca="false">(P31/P42)</f>
        <v>0.0044543429844098</v>
      </c>
    </row>
    <row r="32" customFormat="false" ht="12.75" hidden="true" customHeight="true" outlineLevel="0" collapsed="false">
      <c r="A32" s="449" t="n">
        <v>3118</v>
      </c>
      <c r="B32" s="450" t="s">
        <v>13876</v>
      </c>
      <c r="C32" s="450" t="n">
        <v>2010</v>
      </c>
      <c r="D32" s="451" t="n">
        <v>40323</v>
      </c>
      <c r="E32" s="452" t="s">
        <v>13877</v>
      </c>
      <c r="F32" s="378" t="s">
        <v>699</v>
      </c>
      <c r="G32" s="452" t="s">
        <v>441</v>
      </c>
      <c r="H32" s="378" t="s">
        <v>12073</v>
      </c>
      <c r="I32" s="451" t="n">
        <v>43125</v>
      </c>
      <c r="J32" s="452" t="n">
        <v>1</v>
      </c>
      <c r="K32" s="591" t="s">
        <v>47</v>
      </c>
      <c r="L32" s="378" t="s">
        <v>60</v>
      </c>
      <c r="M32" s="546" t="n">
        <f aca="false">I32-D32</f>
        <v>2802</v>
      </c>
      <c r="N32" s="45"/>
      <c r="O32" s="282" t="n">
        <v>2009</v>
      </c>
      <c r="P32" s="282" t="n">
        <f aca="false">COUNTIF($C$2:$C$503,"2009")</f>
        <v>11</v>
      </c>
      <c r="Q32" s="282"/>
      <c r="R32" s="282"/>
      <c r="S32" s="316" t="n">
        <f aca="false">(P32/P42)</f>
        <v>0.0244988864142539</v>
      </c>
    </row>
    <row r="33" customFormat="false" ht="12.75" hidden="true" customHeight="true" outlineLevel="0" collapsed="false">
      <c r="A33" s="456" t="n">
        <v>3218</v>
      </c>
      <c r="B33" s="594" t="s">
        <v>10996</v>
      </c>
      <c r="C33" s="594" t="s">
        <v>10996</v>
      </c>
      <c r="D33" s="595" t="s">
        <v>10996</v>
      </c>
      <c r="E33" s="283" t="s">
        <v>10996</v>
      </c>
      <c r="F33" s="596" t="s">
        <v>10996</v>
      </c>
      <c r="G33" s="283" t="s">
        <v>10996</v>
      </c>
      <c r="H33" s="596" t="s">
        <v>10996</v>
      </c>
      <c r="I33" s="595" t="s">
        <v>10996</v>
      </c>
      <c r="J33" s="283" t="s">
        <v>10996</v>
      </c>
      <c r="K33" s="597" t="s">
        <v>10996</v>
      </c>
      <c r="L33" s="596" t="s">
        <v>10996</v>
      </c>
      <c r="M33" s="576" t="s">
        <v>10996</v>
      </c>
      <c r="N33" s="45"/>
      <c r="O33" s="283" t="n">
        <v>2010</v>
      </c>
      <c r="P33" s="283" t="n">
        <f aca="false">COUNTIF($C$2:$C$503,"2010")</f>
        <v>31</v>
      </c>
      <c r="Q33" s="283"/>
      <c r="R33" s="283"/>
      <c r="S33" s="315" t="n">
        <f aca="false">(P33/P42)</f>
        <v>0.0690423162583519</v>
      </c>
    </row>
    <row r="34" customFormat="false" ht="12.75" hidden="true" customHeight="true" outlineLevel="0" collapsed="false">
      <c r="A34" s="449" t="n">
        <v>3318</v>
      </c>
      <c r="B34" s="450" t="s">
        <v>13878</v>
      </c>
      <c r="C34" s="450" t="n">
        <v>2012</v>
      </c>
      <c r="D34" s="451" t="n">
        <v>41102</v>
      </c>
      <c r="E34" s="452" t="s">
        <v>13879</v>
      </c>
      <c r="F34" s="378" t="s">
        <v>1693</v>
      </c>
      <c r="G34" s="452" t="s">
        <v>441</v>
      </c>
      <c r="H34" s="378" t="s">
        <v>12073</v>
      </c>
      <c r="I34" s="451" t="n">
        <v>43126</v>
      </c>
      <c r="J34" s="452" t="n">
        <v>1</v>
      </c>
      <c r="K34" s="591" t="s">
        <v>47</v>
      </c>
      <c r="L34" s="378" t="s">
        <v>58</v>
      </c>
      <c r="M34" s="546" t="n">
        <f aca="false">I34-D34</f>
        <v>2024</v>
      </c>
      <c r="N34" s="45"/>
      <c r="O34" s="282" t="n">
        <v>2011</v>
      </c>
      <c r="P34" s="282" t="n">
        <f aca="false">COUNTIF($C$2:$C$503,"2011")</f>
        <v>46</v>
      </c>
      <c r="Q34" s="282"/>
      <c r="R34" s="282"/>
      <c r="S34" s="316" t="n">
        <f aca="false">(P34/P42)</f>
        <v>0.102449888641425</v>
      </c>
    </row>
    <row r="35" customFormat="false" ht="12.75" hidden="true" customHeight="true" outlineLevel="0" collapsed="false">
      <c r="A35" s="456" t="n">
        <v>3418</v>
      </c>
      <c r="B35" s="458" t="s">
        <v>13880</v>
      </c>
      <c r="C35" s="458" t="n">
        <v>2015</v>
      </c>
      <c r="D35" s="459" t="n">
        <v>42247</v>
      </c>
      <c r="E35" s="460" t="s">
        <v>13881</v>
      </c>
      <c r="F35" s="380" t="s">
        <v>449</v>
      </c>
      <c r="G35" s="460" t="s">
        <v>441</v>
      </c>
      <c r="H35" s="380" t="s">
        <v>192</v>
      </c>
      <c r="I35" s="459" t="n">
        <v>43126</v>
      </c>
      <c r="J35" s="460" t="n">
        <v>1</v>
      </c>
      <c r="K35" s="591" t="s">
        <v>47</v>
      </c>
      <c r="L35" s="380" t="s">
        <v>58</v>
      </c>
      <c r="M35" s="545" t="n">
        <f aca="false">I35-D35</f>
        <v>879</v>
      </c>
      <c r="N35" s="45"/>
      <c r="O35" s="283" t="n">
        <v>2012</v>
      </c>
      <c r="P35" s="283" t="n">
        <f aca="false">COUNTIF($C$2:$C$503,"2012")</f>
        <v>60</v>
      </c>
      <c r="Q35" s="283"/>
      <c r="R35" s="283"/>
      <c r="S35" s="315" t="n">
        <f aca="false">(P35/P42)</f>
        <v>0.133630289532294</v>
      </c>
    </row>
    <row r="36" customFormat="false" ht="12.75" hidden="true" customHeight="true" outlineLevel="0" collapsed="false">
      <c r="A36" s="449" t="n">
        <v>3518</v>
      </c>
      <c r="B36" s="450" t="s">
        <v>13882</v>
      </c>
      <c r="C36" s="450" t="n">
        <v>2013</v>
      </c>
      <c r="D36" s="451" t="n">
        <v>41536</v>
      </c>
      <c r="E36" s="452" t="s">
        <v>13883</v>
      </c>
      <c r="F36" s="378" t="s">
        <v>9092</v>
      </c>
      <c r="G36" s="452" t="s">
        <v>144</v>
      </c>
      <c r="H36" s="378" t="s">
        <v>10901</v>
      </c>
      <c r="I36" s="451" t="n">
        <v>43129</v>
      </c>
      <c r="J36" s="452" t="n">
        <v>1</v>
      </c>
      <c r="K36" s="591" t="s">
        <v>47</v>
      </c>
      <c r="L36" s="378" t="s">
        <v>58</v>
      </c>
      <c r="M36" s="546" t="n">
        <f aca="false">I36-D36</f>
        <v>1593</v>
      </c>
      <c r="N36" s="45"/>
      <c r="O36" s="282" t="n">
        <v>2013</v>
      </c>
      <c r="P36" s="282" t="n">
        <f aca="false">COUNTIF($C$2:$C$503,"2013")</f>
        <v>72</v>
      </c>
      <c r="Q36" s="282"/>
      <c r="R36" s="282"/>
      <c r="S36" s="316" t="n">
        <f aca="false">(P36/P42)</f>
        <v>0.160356347438753</v>
      </c>
    </row>
    <row r="37" customFormat="false" ht="12.75" hidden="true" customHeight="true" outlineLevel="0" collapsed="false">
      <c r="A37" s="456" t="n">
        <v>3618</v>
      </c>
      <c r="B37" s="458" t="s">
        <v>13884</v>
      </c>
      <c r="C37" s="458" t="n">
        <v>2012</v>
      </c>
      <c r="D37" s="459" t="n">
        <v>41269</v>
      </c>
      <c r="E37" s="460" t="s">
        <v>13885</v>
      </c>
      <c r="F37" s="380" t="s">
        <v>9092</v>
      </c>
      <c r="G37" s="460" t="s">
        <v>144</v>
      </c>
      <c r="H37" s="380" t="s">
        <v>10901</v>
      </c>
      <c r="I37" s="459" t="n">
        <v>43129</v>
      </c>
      <c r="J37" s="460" t="n">
        <v>1</v>
      </c>
      <c r="K37" s="591" t="s">
        <v>47</v>
      </c>
      <c r="L37" s="380" t="s">
        <v>58</v>
      </c>
      <c r="M37" s="545" t="n">
        <f aca="false">I37-D37</f>
        <v>1860</v>
      </c>
      <c r="N37" s="45"/>
      <c r="O37" s="283" t="n">
        <v>2014</v>
      </c>
      <c r="P37" s="283" t="n">
        <f aca="false">COUNTIF($C$2:$C$503,"2014")</f>
        <v>56</v>
      </c>
      <c r="Q37" s="283"/>
      <c r="R37" s="283"/>
      <c r="S37" s="315" t="n">
        <f aca="false">(P37/P42)</f>
        <v>0.124721603563474</v>
      </c>
    </row>
    <row r="38" customFormat="false" ht="12.75" hidden="true" customHeight="true" outlineLevel="0" collapsed="false">
      <c r="A38" s="449" t="n">
        <v>3718</v>
      </c>
      <c r="B38" s="450" t="s">
        <v>13886</v>
      </c>
      <c r="C38" s="450" t="n">
        <v>2013</v>
      </c>
      <c r="D38" s="451" t="n">
        <v>41536</v>
      </c>
      <c r="E38" s="452" t="s">
        <v>13887</v>
      </c>
      <c r="F38" s="378" t="s">
        <v>9092</v>
      </c>
      <c r="G38" s="452" t="s">
        <v>144</v>
      </c>
      <c r="H38" s="378" t="s">
        <v>10901</v>
      </c>
      <c r="I38" s="451" t="n">
        <v>43130</v>
      </c>
      <c r="J38" s="452" t="n">
        <v>1</v>
      </c>
      <c r="K38" s="591" t="s">
        <v>47</v>
      </c>
      <c r="L38" s="378" t="s">
        <v>58</v>
      </c>
      <c r="M38" s="546" t="n">
        <f aca="false">I38-D38</f>
        <v>1594</v>
      </c>
      <c r="N38" s="45"/>
      <c r="O38" s="282" t="n">
        <v>2015</v>
      </c>
      <c r="P38" s="282" t="n">
        <f aca="false">COUNTIF($C$2:$C$503,"2015")</f>
        <v>53</v>
      </c>
      <c r="Q38" s="282"/>
      <c r="R38" s="282"/>
      <c r="S38" s="316" t="n">
        <f aca="false">(P38/P42)</f>
        <v>0.11804008908686</v>
      </c>
    </row>
    <row r="39" customFormat="false" ht="12.75" hidden="true" customHeight="true" outlineLevel="0" collapsed="false">
      <c r="A39" s="456" t="n">
        <v>3818</v>
      </c>
      <c r="B39" s="458" t="s">
        <v>13888</v>
      </c>
      <c r="C39" s="458" t="n">
        <v>2013</v>
      </c>
      <c r="D39" s="459" t="n">
        <v>41536</v>
      </c>
      <c r="E39" s="460" t="s">
        <v>13889</v>
      </c>
      <c r="F39" s="380" t="s">
        <v>9092</v>
      </c>
      <c r="G39" s="460" t="s">
        <v>144</v>
      </c>
      <c r="H39" s="380" t="s">
        <v>10901</v>
      </c>
      <c r="I39" s="459" t="n">
        <v>43130</v>
      </c>
      <c r="J39" s="460" t="n">
        <v>1</v>
      </c>
      <c r="K39" s="591" t="s">
        <v>47</v>
      </c>
      <c r="L39" s="380" t="s">
        <v>58</v>
      </c>
      <c r="M39" s="545" t="n">
        <f aca="false">I39-D39</f>
        <v>1594</v>
      </c>
      <c r="N39" s="45"/>
      <c r="O39" s="283" t="n">
        <v>2016</v>
      </c>
      <c r="P39" s="283" t="n">
        <f aca="false">COUNTIF($C$2:$C$503,"2016")</f>
        <v>44</v>
      </c>
      <c r="Q39" s="283"/>
      <c r="R39" s="283"/>
      <c r="S39" s="315" t="n">
        <f aca="false">(P39/P42)</f>
        <v>0.0979955456570156</v>
      </c>
    </row>
    <row r="40" customFormat="false" ht="12.75" hidden="true" customHeight="true" outlineLevel="0" collapsed="false">
      <c r="A40" s="449" t="n">
        <v>3918</v>
      </c>
      <c r="B40" s="450" t="s">
        <v>13890</v>
      </c>
      <c r="C40" s="450" t="n">
        <v>2012</v>
      </c>
      <c r="D40" s="451" t="n">
        <v>41269</v>
      </c>
      <c r="E40" s="452" t="s">
        <v>13891</v>
      </c>
      <c r="F40" s="378" t="s">
        <v>9092</v>
      </c>
      <c r="G40" s="452" t="s">
        <v>144</v>
      </c>
      <c r="H40" s="378" t="s">
        <v>10901</v>
      </c>
      <c r="I40" s="451" t="n">
        <v>43130</v>
      </c>
      <c r="J40" s="452" t="n">
        <v>1</v>
      </c>
      <c r="K40" s="591" t="s">
        <v>47</v>
      </c>
      <c r="L40" s="378" t="s">
        <v>58</v>
      </c>
      <c r="M40" s="546" t="n">
        <f aca="false">I40-D40</f>
        <v>1861</v>
      </c>
      <c r="N40" s="45"/>
      <c r="O40" s="282" t="n">
        <v>2017</v>
      </c>
      <c r="P40" s="282" t="n">
        <f aca="false">COUNTIF($C$2:$C$503,"2017")</f>
        <v>51</v>
      </c>
      <c r="Q40" s="282"/>
      <c r="R40" s="282"/>
      <c r="S40" s="316" t="n">
        <f aca="false">(P40/P42)</f>
        <v>0.11358574610245</v>
      </c>
    </row>
    <row r="41" customFormat="false" ht="12.75" hidden="true" customHeight="true" outlineLevel="0" collapsed="false">
      <c r="A41" s="456" t="n">
        <v>4018</v>
      </c>
      <c r="B41" s="458" t="s">
        <v>13892</v>
      </c>
      <c r="C41" s="458" t="n">
        <v>2012</v>
      </c>
      <c r="D41" s="459" t="n">
        <v>41269</v>
      </c>
      <c r="E41" s="460" t="s">
        <v>13893</v>
      </c>
      <c r="F41" s="380" t="s">
        <v>9092</v>
      </c>
      <c r="G41" s="460" t="s">
        <v>144</v>
      </c>
      <c r="H41" s="380" t="s">
        <v>10901</v>
      </c>
      <c r="I41" s="459" t="n">
        <v>43130</v>
      </c>
      <c r="J41" s="460" t="n">
        <v>1</v>
      </c>
      <c r="K41" s="591" t="s">
        <v>47</v>
      </c>
      <c r="L41" s="380" t="s">
        <v>58</v>
      </c>
      <c r="M41" s="545" t="n">
        <f aca="false">I41-D41</f>
        <v>1861</v>
      </c>
      <c r="N41" s="45"/>
      <c r="O41" s="283" t="n">
        <v>2018</v>
      </c>
      <c r="P41" s="283" t="n">
        <f aca="false">COUNTIF($C$2:$C$503,"2018")</f>
        <v>23</v>
      </c>
      <c r="Q41" s="283"/>
      <c r="R41" s="283"/>
      <c r="S41" s="315" t="n">
        <f aca="false">(P41/P42)</f>
        <v>0.0512249443207127</v>
      </c>
    </row>
    <row r="42" customFormat="false" ht="12.75" hidden="true" customHeight="true" outlineLevel="0" collapsed="false">
      <c r="A42" s="449" t="n">
        <v>4118</v>
      </c>
      <c r="B42" s="450" t="s">
        <v>13894</v>
      </c>
      <c r="C42" s="450" t="n">
        <v>2012</v>
      </c>
      <c r="D42" s="451" t="n">
        <v>41269</v>
      </c>
      <c r="E42" s="452" t="s">
        <v>13895</v>
      </c>
      <c r="F42" s="378" t="s">
        <v>9092</v>
      </c>
      <c r="G42" s="452" t="s">
        <v>144</v>
      </c>
      <c r="H42" s="378" t="s">
        <v>10901</v>
      </c>
      <c r="I42" s="451" t="n">
        <v>43130</v>
      </c>
      <c r="J42" s="452" t="n">
        <v>1</v>
      </c>
      <c r="K42" s="591" t="s">
        <v>47</v>
      </c>
      <c r="L42" s="378" t="s">
        <v>58</v>
      </c>
      <c r="M42" s="546" t="n">
        <f aca="false">I42-D42</f>
        <v>1861</v>
      </c>
      <c r="N42" s="45"/>
      <c r="O42" s="323" t="s">
        <v>56</v>
      </c>
      <c r="P42" s="418" t="n">
        <f aca="false">SUM(P29:R41)</f>
        <v>449</v>
      </c>
      <c r="Q42" s="418"/>
      <c r="R42" s="418"/>
      <c r="S42" s="325" t="n">
        <f aca="false">SUM(S29:S41)</f>
        <v>1</v>
      </c>
    </row>
    <row r="43" customFormat="false" ht="13.5" hidden="false" customHeight="true" outlineLevel="0" collapsed="false">
      <c r="A43" s="456" t="n">
        <v>4218</v>
      </c>
      <c r="B43" s="458" t="s">
        <v>13896</v>
      </c>
      <c r="C43" s="458" t="n">
        <v>2015</v>
      </c>
      <c r="D43" s="459" t="n">
        <v>42340</v>
      </c>
      <c r="E43" s="460" t="s">
        <v>13897</v>
      </c>
      <c r="F43" s="380" t="s">
        <v>211</v>
      </c>
      <c r="G43" s="460" t="s">
        <v>1174</v>
      </c>
      <c r="H43" s="380" t="s">
        <v>12073</v>
      </c>
      <c r="I43" s="459" t="n">
        <v>43130</v>
      </c>
      <c r="J43" s="460" t="n">
        <v>1</v>
      </c>
      <c r="K43" s="592" t="s">
        <v>42</v>
      </c>
      <c r="L43" s="380" t="s">
        <v>58</v>
      </c>
      <c r="M43" s="545" t="n">
        <f aca="false">I43-D43</f>
        <v>790</v>
      </c>
      <c r="N43" s="45"/>
      <c r="O43" s="153"/>
      <c r="P43" s="153"/>
      <c r="Q43" s="153"/>
      <c r="R43" s="153"/>
      <c r="S43" s="153"/>
    </row>
    <row r="44" customFormat="false" ht="15" hidden="false" customHeight="true" outlineLevel="0" collapsed="false">
      <c r="A44" s="449" t="n">
        <v>4318</v>
      </c>
      <c r="B44" s="450" t="s">
        <v>13898</v>
      </c>
      <c r="C44" s="450" t="n">
        <v>2015</v>
      </c>
      <c r="D44" s="451" t="n">
        <v>42202</v>
      </c>
      <c r="E44" s="452" t="s">
        <v>13899</v>
      </c>
      <c r="F44" s="378" t="s">
        <v>176</v>
      </c>
      <c r="G44" s="452" t="s">
        <v>1174</v>
      </c>
      <c r="H44" s="378" t="s">
        <v>522</v>
      </c>
      <c r="I44" s="451" t="n">
        <v>43130</v>
      </c>
      <c r="J44" s="452" t="n">
        <v>1</v>
      </c>
      <c r="K44" s="591" t="s">
        <v>47</v>
      </c>
      <c r="L44" s="378" t="s">
        <v>60</v>
      </c>
      <c r="M44" s="546" t="n">
        <f aca="false">I44-D44</f>
        <v>928</v>
      </c>
      <c r="N44" s="45"/>
      <c r="O44" s="326" t="s">
        <v>272</v>
      </c>
      <c r="P44" s="326"/>
      <c r="Q44" s="326"/>
      <c r="R44" s="326"/>
      <c r="S44" s="326"/>
    </row>
    <row r="45" customFormat="false" ht="15" hidden="false" customHeight="true" outlineLevel="0" collapsed="false">
      <c r="A45" s="456" t="n">
        <v>4418</v>
      </c>
      <c r="B45" s="458" t="s">
        <v>13900</v>
      </c>
      <c r="C45" s="458" t="n">
        <v>2014</v>
      </c>
      <c r="D45" s="459" t="n">
        <v>41953</v>
      </c>
      <c r="E45" s="460" t="s">
        <v>13901</v>
      </c>
      <c r="F45" s="380" t="s">
        <v>176</v>
      </c>
      <c r="G45" s="460" t="s">
        <v>1174</v>
      </c>
      <c r="H45" s="380" t="s">
        <v>184</v>
      </c>
      <c r="I45" s="459" t="n">
        <v>43130</v>
      </c>
      <c r="J45" s="460" t="n">
        <v>1</v>
      </c>
      <c r="K45" s="591" t="s">
        <v>47</v>
      </c>
      <c r="L45" s="380" t="s">
        <v>60</v>
      </c>
      <c r="M45" s="545" t="n">
        <f aca="false">I45-D45</f>
        <v>1177</v>
      </c>
      <c r="N45" s="45"/>
      <c r="O45" s="326"/>
      <c r="P45" s="326"/>
      <c r="Q45" s="326"/>
      <c r="R45" s="326"/>
      <c r="S45" s="326"/>
    </row>
    <row r="46" customFormat="false" ht="13.5" hidden="false" customHeight="true" outlineLevel="0" collapsed="false">
      <c r="A46" s="449" t="n">
        <v>4518</v>
      </c>
      <c r="B46" s="450" t="s">
        <v>13902</v>
      </c>
      <c r="C46" s="450" t="n">
        <v>2011</v>
      </c>
      <c r="D46" s="451" t="n">
        <v>40794</v>
      </c>
      <c r="E46" s="452" t="s">
        <v>13903</v>
      </c>
      <c r="F46" s="378" t="s">
        <v>176</v>
      </c>
      <c r="G46" s="452" t="s">
        <v>1174</v>
      </c>
      <c r="H46" s="378" t="s">
        <v>1072</v>
      </c>
      <c r="I46" s="451" t="n">
        <v>43130</v>
      </c>
      <c r="J46" s="452" t="n">
        <v>1</v>
      </c>
      <c r="K46" s="591" t="s">
        <v>47</v>
      </c>
      <c r="L46" s="378" t="s">
        <v>60</v>
      </c>
      <c r="M46" s="546" t="n">
        <f aca="false">I46-D46</f>
        <v>2336</v>
      </c>
      <c r="N46" s="45"/>
      <c r="O46" s="309" t="s">
        <v>100</v>
      </c>
      <c r="P46" s="416" t="s">
        <v>40</v>
      </c>
      <c r="Q46" s="416"/>
      <c r="R46" s="416"/>
      <c r="S46" s="313" t="s">
        <v>41</v>
      </c>
    </row>
    <row r="47" customFormat="false" ht="15.75" hidden="true" customHeight="true" outlineLevel="0" collapsed="false">
      <c r="A47" s="456" t="n">
        <v>4618</v>
      </c>
      <c r="B47" s="458" t="s">
        <v>13904</v>
      </c>
      <c r="C47" s="458" t="n">
        <v>2013</v>
      </c>
      <c r="D47" s="459" t="n">
        <v>41536</v>
      </c>
      <c r="E47" s="460" t="s">
        <v>13905</v>
      </c>
      <c r="F47" s="380" t="s">
        <v>9092</v>
      </c>
      <c r="G47" s="460" t="s">
        <v>144</v>
      </c>
      <c r="H47" s="380" t="s">
        <v>10901</v>
      </c>
      <c r="I47" s="459" t="n">
        <v>43130</v>
      </c>
      <c r="J47" s="460" t="n">
        <v>1</v>
      </c>
      <c r="K47" s="591" t="s">
        <v>47</v>
      </c>
      <c r="L47" s="380" t="s">
        <v>58</v>
      </c>
      <c r="M47" s="545" t="n">
        <f aca="false">I47-D47</f>
        <v>1594</v>
      </c>
      <c r="N47" s="45"/>
      <c r="O47" s="314" t="s">
        <v>63</v>
      </c>
      <c r="P47" s="314" t="n">
        <f aca="false">COUNTIF($J$2:$J$476,"1")</f>
        <v>49</v>
      </c>
      <c r="Q47" s="314"/>
      <c r="R47" s="314"/>
      <c r="S47" s="469" t="n">
        <f aca="false">(P47/P59)</f>
        <v>0.10913140311804</v>
      </c>
    </row>
    <row r="48" customFormat="false" ht="12.75" hidden="false" customHeight="true" outlineLevel="0" collapsed="false">
      <c r="A48" s="449" t="n">
        <v>4718</v>
      </c>
      <c r="B48" s="450" t="s">
        <v>13906</v>
      </c>
      <c r="C48" s="450" t="n">
        <v>2012</v>
      </c>
      <c r="D48" s="451" t="n">
        <v>41169</v>
      </c>
      <c r="E48" s="452" t="s">
        <v>13907</v>
      </c>
      <c r="F48" s="378" t="s">
        <v>793</v>
      </c>
      <c r="G48" s="452" t="s">
        <v>1174</v>
      </c>
      <c r="H48" s="378" t="s">
        <v>13833</v>
      </c>
      <c r="I48" s="451" t="n">
        <v>43130</v>
      </c>
      <c r="J48" s="452" t="n">
        <v>1</v>
      </c>
      <c r="K48" s="591" t="s">
        <v>47</v>
      </c>
      <c r="L48" s="378" t="s">
        <v>58</v>
      </c>
      <c r="M48" s="546" t="n">
        <f aca="false">I48-D48</f>
        <v>1961</v>
      </c>
      <c r="N48" s="45"/>
      <c r="O48" s="282" t="s">
        <v>64</v>
      </c>
      <c r="P48" s="282" t="n">
        <f aca="false">COUNTIF($J$2:$J$476,"2")</f>
        <v>23</v>
      </c>
      <c r="Q48" s="282"/>
      <c r="R48" s="282"/>
      <c r="S48" s="316" t="n">
        <f aca="false">(P48/P59)</f>
        <v>0.0512249443207127</v>
      </c>
    </row>
    <row r="49" customFormat="false" ht="12.75" hidden="true" customHeight="true" outlineLevel="0" collapsed="false">
      <c r="A49" s="456" t="n">
        <v>4818</v>
      </c>
      <c r="B49" s="458" t="s">
        <v>13908</v>
      </c>
      <c r="C49" s="458" t="n">
        <v>2010</v>
      </c>
      <c r="D49" s="459" t="n">
        <v>40303</v>
      </c>
      <c r="E49" s="460" t="s">
        <v>13909</v>
      </c>
      <c r="F49" s="380" t="s">
        <v>9092</v>
      </c>
      <c r="G49" s="460" t="s">
        <v>144</v>
      </c>
      <c r="H49" s="380" t="s">
        <v>10901</v>
      </c>
      <c r="I49" s="459" t="n">
        <v>43130</v>
      </c>
      <c r="J49" s="460" t="n">
        <v>1</v>
      </c>
      <c r="K49" s="591" t="s">
        <v>47</v>
      </c>
      <c r="L49" s="380" t="s">
        <v>58</v>
      </c>
      <c r="M49" s="545" t="n">
        <f aca="false">I49-D49</f>
        <v>2827</v>
      </c>
      <c r="N49" s="45"/>
      <c r="O49" s="283" t="s">
        <v>66</v>
      </c>
      <c r="P49" s="283" t="n">
        <f aca="false">COUNTIF($J$2:$J$476,"3")</f>
        <v>42</v>
      </c>
      <c r="Q49" s="283"/>
      <c r="R49" s="283"/>
      <c r="S49" s="315" t="n">
        <f aca="false">(P49/P59)</f>
        <v>0.0935412026726058</v>
      </c>
      <c r="T49" s="153"/>
    </row>
    <row r="50" customFormat="false" ht="12.75" hidden="true" customHeight="true" outlineLevel="0" collapsed="false">
      <c r="A50" s="449" t="n">
        <v>4918</v>
      </c>
      <c r="B50" s="450" t="s">
        <v>13894</v>
      </c>
      <c r="C50" s="450" t="n">
        <v>2012</v>
      </c>
      <c r="D50" s="451" t="n">
        <v>41269</v>
      </c>
      <c r="E50" s="452" t="s">
        <v>13910</v>
      </c>
      <c r="F50" s="378" t="s">
        <v>9092</v>
      </c>
      <c r="G50" s="452" t="s">
        <v>144</v>
      </c>
      <c r="H50" s="378" t="s">
        <v>10901</v>
      </c>
      <c r="I50" s="451" t="n">
        <v>43130</v>
      </c>
      <c r="J50" s="452" t="n">
        <v>1</v>
      </c>
      <c r="K50" s="591" t="s">
        <v>47</v>
      </c>
      <c r="L50" s="378" t="s">
        <v>58</v>
      </c>
      <c r="M50" s="546" t="n">
        <f aca="false">I50-D50</f>
        <v>1861</v>
      </c>
      <c r="N50" s="45"/>
      <c r="O50" s="282" t="s">
        <v>67</v>
      </c>
      <c r="P50" s="282" t="n">
        <f aca="false">COUNTIF($J$2:$J$476,"4")</f>
        <v>21</v>
      </c>
      <c r="Q50" s="282"/>
      <c r="R50" s="282"/>
      <c r="S50" s="316" t="n">
        <f aca="false">(P50/P59)</f>
        <v>0.0467706013363029</v>
      </c>
      <c r="T50" s="153"/>
    </row>
    <row r="51" customFormat="false" ht="12.75" hidden="true" customHeight="true" outlineLevel="0" collapsed="false">
      <c r="A51" s="456" t="n">
        <v>5018</v>
      </c>
      <c r="B51" s="458" t="s">
        <v>13911</v>
      </c>
      <c r="C51" s="458" t="n">
        <v>2016</v>
      </c>
      <c r="D51" s="459" t="n">
        <v>42668</v>
      </c>
      <c r="E51" s="460" t="s">
        <v>13912</v>
      </c>
      <c r="F51" s="380" t="s">
        <v>288</v>
      </c>
      <c r="G51" s="460" t="s">
        <v>130</v>
      </c>
      <c r="H51" s="380" t="s">
        <v>13913</v>
      </c>
      <c r="I51" s="459" t="n">
        <v>43130</v>
      </c>
      <c r="J51" s="460" t="n">
        <v>1</v>
      </c>
      <c r="K51" s="598" t="s">
        <v>13914</v>
      </c>
      <c r="L51" s="380" t="s">
        <v>61</v>
      </c>
      <c r="M51" s="545" t="n">
        <f aca="false">I51-D51</f>
        <v>462</v>
      </c>
      <c r="N51" s="45"/>
      <c r="O51" s="283" t="s">
        <v>68</v>
      </c>
      <c r="P51" s="283" t="n">
        <f aca="false">COUNTIF($J$2:$J$476,"5")</f>
        <v>39</v>
      </c>
      <c r="Q51" s="283"/>
      <c r="R51" s="283"/>
      <c r="S51" s="315" t="n">
        <f aca="false">(P51/P59)</f>
        <v>0.0868596881959911</v>
      </c>
      <c r="T51" s="153"/>
    </row>
    <row r="52" customFormat="false" ht="12.75" hidden="false" customHeight="true" outlineLevel="0" collapsed="false">
      <c r="A52" s="449" t="n">
        <v>5118</v>
      </c>
      <c r="B52" s="450" t="s">
        <v>13915</v>
      </c>
      <c r="C52" s="450" t="n">
        <v>2016</v>
      </c>
      <c r="D52" s="451" t="n">
        <v>42527</v>
      </c>
      <c r="E52" s="452" t="s">
        <v>13916</v>
      </c>
      <c r="F52" s="378" t="s">
        <v>13917</v>
      </c>
      <c r="G52" s="452" t="s">
        <v>1174</v>
      </c>
      <c r="H52" s="378" t="s">
        <v>13816</v>
      </c>
      <c r="I52" s="451" t="n">
        <v>43132</v>
      </c>
      <c r="J52" s="452" t="n">
        <v>2</v>
      </c>
      <c r="K52" s="591" t="s">
        <v>47</v>
      </c>
      <c r="L52" s="378" t="s">
        <v>58</v>
      </c>
      <c r="M52" s="546" t="n">
        <f aca="false">I52-D52</f>
        <v>605</v>
      </c>
      <c r="N52" s="45"/>
      <c r="O52" s="282" t="s">
        <v>70</v>
      </c>
      <c r="P52" s="282" t="n">
        <f aca="false">COUNTIF($J$2:$J$476,"6")</f>
        <v>33</v>
      </c>
      <c r="Q52" s="282"/>
      <c r="R52" s="282"/>
      <c r="S52" s="316" t="n">
        <f aca="false">(P52/P59)</f>
        <v>0.0734966592427617</v>
      </c>
      <c r="T52" s="153"/>
    </row>
    <row r="53" customFormat="false" ht="13.5" hidden="false" customHeight="true" outlineLevel="0" collapsed="false">
      <c r="A53" s="456" t="n">
        <v>5218</v>
      </c>
      <c r="B53" s="458" t="s">
        <v>13918</v>
      </c>
      <c r="C53" s="458" t="n">
        <v>2016</v>
      </c>
      <c r="D53" s="459" t="n">
        <v>42681</v>
      </c>
      <c r="E53" s="460" t="s">
        <v>13919</v>
      </c>
      <c r="F53" s="380" t="s">
        <v>13917</v>
      </c>
      <c r="G53" s="460" t="s">
        <v>1174</v>
      </c>
      <c r="H53" s="380" t="s">
        <v>13858</v>
      </c>
      <c r="I53" s="459" t="n">
        <v>43132</v>
      </c>
      <c r="J53" s="460" t="n">
        <v>2</v>
      </c>
      <c r="K53" s="591" t="s">
        <v>47</v>
      </c>
      <c r="L53" s="380" t="s">
        <v>58</v>
      </c>
      <c r="M53" s="545" t="n">
        <f aca="false">I53-D53</f>
        <v>451</v>
      </c>
      <c r="N53" s="45"/>
      <c r="O53" s="283" t="s">
        <v>72</v>
      </c>
      <c r="P53" s="283" t="n">
        <f aca="false">COUNTIF($J$2:$J$476,"7")</f>
        <v>30</v>
      </c>
      <c r="Q53" s="283"/>
      <c r="R53" s="283"/>
      <c r="S53" s="315" t="n">
        <f aca="false">(P53/P59)</f>
        <v>0.066815144766147</v>
      </c>
      <c r="T53" s="153"/>
    </row>
    <row r="54" customFormat="false" ht="14.25" hidden="false" customHeight="true" outlineLevel="0" collapsed="false">
      <c r="A54" s="449" t="n">
        <v>5318</v>
      </c>
      <c r="B54" s="450" t="s">
        <v>13920</v>
      </c>
      <c r="C54" s="450" t="n">
        <v>2016</v>
      </c>
      <c r="D54" s="451" t="n">
        <v>42543</v>
      </c>
      <c r="E54" s="452" t="s">
        <v>13921</v>
      </c>
      <c r="F54" s="378" t="s">
        <v>13917</v>
      </c>
      <c r="G54" s="452" t="s">
        <v>1174</v>
      </c>
      <c r="H54" s="378" t="s">
        <v>184</v>
      </c>
      <c r="I54" s="451" t="n">
        <v>43132</v>
      </c>
      <c r="J54" s="452" t="n">
        <v>2</v>
      </c>
      <c r="K54" s="591" t="s">
        <v>47</v>
      </c>
      <c r="L54" s="378" t="s">
        <v>58</v>
      </c>
      <c r="M54" s="546" t="n">
        <f aca="false">I54-D54</f>
        <v>589</v>
      </c>
      <c r="N54" s="45"/>
      <c r="O54" s="282" t="s">
        <v>74</v>
      </c>
      <c r="P54" s="282" t="n">
        <f aca="false">COUNTIF($J$2:$J$476,"8")</f>
        <v>42</v>
      </c>
      <c r="Q54" s="282"/>
      <c r="R54" s="282"/>
      <c r="S54" s="316" t="n">
        <f aca="false">(P54/P59)</f>
        <v>0.0935412026726058</v>
      </c>
      <c r="T54" s="153"/>
    </row>
    <row r="55" customFormat="false" ht="12.75" hidden="false" customHeight="true" outlineLevel="0" collapsed="false">
      <c r="A55" s="456" t="n">
        <v>5418</v>
      </c>
      <c r="B55" s="458" t="s">
        <v>13922</v>
      </c>
      <c r="C55" s="458" t="n">
        <v>2011</v>
      </c>
      <c r="D55" s="459" t="n">
        <v>40598</v>
      </c>
      <c r="E55" s="460" t="s">
        <v>13923</v>
      </c>
      <c r="F55" s="380" t="s">
        <v>823</v>
      </c>
      <c r="G55" s="460" t="s">
        <v>1174</v>
      </c>
      <c r="H55" s="380" t="s">
        <v>1059</v>
      </c>
      <c r="I55" s="459" t="n">
        <v>43139</v>
      </c>
      <c r="J55" s="460" t="n">
        <v>2</v>
      </c>
      <c r="K55" s="591" t="s">
        <v>47</v>
      </c>
      <c r="L55" s="380" t="s">
        <v>58</v>
      </c>
      <c r="M55" s="545" t="n">
        <f aca="false">I55-D55</f>
        <v>2541</v>
      </c>
      <c r="N55" s="45"/>
      <c r="O55" s="283" t="s">
        <v>76</v>
      </c>
      <c r="P55" s="283" t="n">
        <f aca="false">COUNTIF($J$2:$J$476,"9")</f>
        <v>37</v>
      </c>
      <c r="Q55" s="283"/>
      <c r="R55" s="283"/>
      <c r="S55" s="315" t="n">
        <f aca="false">(P55/P59)</f>
        <v>0.0824053452115813</v>
      </c>
      <c r="T55" s="153"/>
    </row>
    <row r="56" customFormat="false" ht="12.75" hidden="false" customHeight="true" outlineLevel="0" collapsed="false">
      <c r="A56" s="449" t="n">
        <v>5518</v>
      </c>
      <c r="B56" s="450" t="s">
        <v>13924</v>
      </c>
      <c r="C56" s="450" t="n">
        <v>2014</v>
      </c>
      <c r="D56" s="451" t="n">
        <v>41978</v>
      </c>
      <c r="E56" s="452" t="s">
        <v>13925</v>
      </c>
      <c r="F56" s="378" t="s">
        <v>379</v>
      </c>
      <c r="G56" s="452" t="s">
        <v>1174</v>
      </c>
      <c r="H56" s="378" t="s">
        <v>350</v>
      </c>
      <c r="I56" s="451" t="n">
        <v>43140</v>
      </c>
      <c r="J56" s="452" t="n">
        <v>2</v>
      </c>
      <c r="K56" s="593" t="s">
        <v>45</v>
      </c>
      <c r="L56" s="378" t="s">
        <v>60</v>
      </c>
      <c r="M56" s="546" t="n">
        <f aca="false">I56-D56</f>
        <v>1162</v>
      </c>
      <c r="N56" s="45"/>
      <c r="O56" s="282" t="s">
        <v>78</v>
      </c>
      <c r="P56" s="282" t="n">
        <f aca="false">COUNTIF($J$2:$J$476,"10")</f>
        <v>26</v>
      </c>
      <c r="Q56" s="282"/>
      <c r="R56" s="282"/>
      <c r="S56" s="316" t="n">
        <f aca="false">(P56/P59)</f>
        <v>0.0579064587973274</v>
      </c>
      <c r="T56" s="153"/>
    </row>
    <row r="57" customFormat="false" ht="12.75" hidden="false" customHeight="true" outlineLevel="0" collapsed="false">
      <c r="A57" s="456" t="n">
        <v>5618</v>
      </c>
      <c r="B57" s="458" t="s">
        <v>13926</v>
      </c>
      <c r="C57" s="458" t="n">
        <v>2012</v>
      </c>
      <c r="D57" s="459" t="n">
        <v>41045</v>
      </c>
      <c r="E57" s="460" t="s">
        <v>13927</v>
      </c>
      <c r="F57" s="380" t="s">
        <v>211</v>
      </c>
      <c r="G57" s="460" t="s">
        <v>1174</v>
      </c>
      <c r="H57" s="380" t="s">
        <v>192</v>
      </c>
      <c r="I57" s="459" t="n">
        <v>43146</v>
      </c>
      <c r="J57" s="460" t="n">
        <v>2</v>
      </c>
      <c r="K57" s="592" t="s">
        <v>42</v>
      </c>
      <c r="L57" s="380" t="s">
        <v>58</v>
      </c>
      <c r="M57" s="545" t="n">
        <f aca="false">I57-D57</f>
        <v>2101</v>
      </c>
      <c r="N57" s="45"/>
      <c r="O57" s="283" t="s">
        <v>80</v>
      </c>
      <c r="P57" s="283" t="n">
        <f aca="false">COUNTIF($J$2:$J$476,"11")</f>
        <v>71</v>
      </c>
      <c r="Q57" s="283"/>
      <c r="R57" s="283"/>
      <c r="S57" s="315" t="n">
        <f aca="false">(P57/P59)</f>
        <v>0.158129175946548</v>
      </c>
      <c r="T57" s="153"/>
    </row>
    <row r="58" customFormat="false" ht="13.5" hidden="true" customHeight="true" outlineLevel="0" collapsed="false">
      <c r="A58" s="449" t="n">
        <v>5718</v>
      </c>
      <c r="B58" s="450" t="s">
        <v>13928</v>
      </c>
      <c r="C58" s="450" t="n">
        <v>2009</v>
      </c>
      <c r="D58" s="451" t="n">
        <v>39954</v>
      </c>
      <c r="E58" s="452" t="s">
        <v>13929</v>
      </c>
      <c r="F58" s="378" t="s">
        <v>446</v>
      </c>
      <c r="G58" s="452" t="s">
        <v>441</v>
      </c>
      <c r="H58" s="378" t="s">
        <v>513</v>
      </c>
      <c r="I58" s="451" t="n">
        <v>43147</v>
      </c>
      <c r="J58" s="452" t="n">
        <v>2</v>
      </c>
      <c r="K58" s="591" t="s">
        <v>47</v>
      </c>
      <c r="L58" s="378" t="s">
        <v>60</v>
      </c>
      <c r="M58" s="546" t="n">
        <f aca="false">I58-D58</f>
        <v>3193</v>
      </c>
      <c r="N58" s="45"/>
      <c r="O58" s="336" t="s">
        <v>82</v>
      </c>
      <c r="P58" s="282" t="n">
        <f aca="false">COUNTIF($J$2:$J$476,"12")</f>
        <v>36</v>
      </c>
      <c r="Q58" s="282"/>
      <c r="R58" s="282"/>
      <c r="S58" s="470" t="n">
        <f aca="false">(P58/P59)</f>
        <v>0.0801781737193764</v>
      </c>
      <c r="T58" s="153"/>
    </row>
    <row r="59" customFormat="false" ht="12.75" hidden="true" customHeight="true" outlineLevel="0" collapsed="false">
      <c r="A59" s="456" t="n">
        <v>5818</v>
      </c>
      <c r="B59" s="458" t="s">
        <v>13930</v>
      </c>
      <c r="C59" s="458" t="n">
        <v>2009</v>
      </c>
      <c r="D59" s="459" t="n">
        <v>39843</v>
      </c>
      <c r="E59" s="460" t="s">
        <v>13931</v>
      </c>
      <c r="F59" s="380" t="s">
        <v>13932</v>
      </c>
      <c r="G59" s="460" t="s">
        <v>144</v>
      </c>
      <c r="H59" s="380" t="s">
        <v>2602</v>
      </c>
      <c r="I59" s="459" t="n">
        <v>43150</v>
      </c>
      <c r="J59" s="460" t="n">
        <v>2</v>
      </c>
      <c r="K59" s="593" t="s">
        <v>45</v>
      </c>
      <c r="L59" s="380" t="s">
        <v>58</v>
      </c>
      <c r="M59" s="545" t="n">
        <f aca="false">I59-D59</f>
        <v>3307</v>
      </c>
      <c r="N59" s="45"/>
      <c r="O59" s="323" t="s">
        <v>54</v>
      </c>
      <c r="P59" s="418" t="n">
        <f aca="false">SUM(P47:R58)</f>
        <v>449</v>
      </c>
      <c r="Q59" s="418"/>
      <c r="R59" s="418"/>
      <c r="S59" s="325" t="n">
        <f aca="false">SUM(S47:S58)</f>
        <v>1</v>
      </c>
      <c r="T59" s="153"/>
    </row>
    <row r="60" customFormat="false" ht="12.75" hidden="true" customHeight="true" outlineLevel="0" collapsed="false">
      <c r="A60" s="449" t="n">
        <v>5918</v>
      </c>
      <c r="B60" s="450" t="s">
        <v>13933</v>
      </c>
      <c r="C60" s="450" t="n">
        <v>2011</v>
      </c>
      <c r="D60" s="451" t="n">
        <v>40602</v>
      </c>
      <c r="E60" s="452" t="s">
        <v>13934</v>
      </c>
      <c r="F60" s="378" t="s">
        <v>699</v>
      </c>
      <c r="G60" s="452" t="s">
        <v>441</v>
      </c>
      <c r="H60" s="378" t="s">
        <v>13816</v>
      </c>
      <c r="I60" s="451" t="n">
        <v>43150</v>
      </c>
      <c r="J60" s="452" t="n">
        <v>2</v>
      </c>
      <c r="K60" s="592" t="s">
        <v>42</v>
      </c>
      <c r="L60" s="378" t="s">
        <v>60</v>
      </c>
      <c r="M60" s="546" t="n">
        <f aca="false">I60-D60</f>
        <v>2548</v>
      </c>
      <c r="N60" s="45"/>
      <c r="O60" s="153"/>
      <c r="P60" s="153"/>
      <c r="Q60" s="153"/>
      <c r="R60" s="153"/>
      <c r="S60" s="153"/>
      <c r="T60" s="153"/>
    </row>
    <row r="61" customFormat="false" ht="13.5" hidden="true" customHeight="true" outlineLevel="0" collapsed="false">
      <c r="A61" s="456" t="n">
        <v>6018</v>
      </c>
      <c r="B61" s="458" t="s">
        <v>13935</v>
      </c>
      <c r="C61" s="458" t="n">
        <v>2017</v>
      </c>
      <c r="D61" s="459" t="n">
        <v>42887</v>
      </c>
      <c r="E61" s="460" t="s">
        <v>13936</v>
      </c>
      <c r="F61" s="380" t="s">
        <v>9105</v>
      </c>
      <c r="G61" s="460" t="s">
        <v>130</v>
      </c>
      <c r="H61" s="380" t="s">
        <v>10653</v>
      </c>
      <c r="I61" s="459" t="n">
        <v>43150</v>
      </c>
      <c r="J61" s="460" t="n">
        <v>2</v>
      </c>
      <c r="K61" s="598" t="s">
        <v>13914</v>
      </c>
      <c r="L61" s="380" t="s">
        <v>61</v>
      </c>
      <c r="M61" s="545" t="n">
        <f aca="false">I61-D61</f>
        <v>263</v>
      </c>
      <c r="N61" s="45"/>
      <c r="O61" s="339" t="s">
        <v>335</v>
      </c>
      <c r="P61" s="339"/>
      <c r="Q61" s="339"/>
      <c r="R61" s="339"/>
      <c r="S61" s="339"/>
      <c r="T61" s="339"/>
    </row>
    <row r="62" customFormat="false" ht="13.5" hidden="false" customHeight="true" outlineLevel="0" collapsed="false">
      <c r="A62" s="449" t="n">
        <v>6118</v>
      </c>
      <c r="B62" s="450" t="s">
        <v>13937</v>
      </c>
      <c r="C62" s="450" t="n">
        <v>2015</v>
      </c>
      <c r="D62" s="451" t="n">
        <v>42290</v>
      </c>
      <c r="E62" s="452" t="s">
        <v>13938</v>
      </c>
      <c r="F62" s="378" t="s">
        <v>671</v>
      </c>
      <c r="G62" s="452" t="s">
        <v>1174</v>
      </c>
      <c r="H62" s="378" t="s">
        <v>1059</v>
      </c>
      <c r="I62" s="451" t="n">
        <v>43153</v>
      </c>
      <c r="J62" s="452" t="n">
        <v>2</v>
      </c>
      <c r="K62" s="592" t="s">
        <v>42</v>
      </c>
      <c r="L62" s="378" t="s">
        <v>57</v>
      </c>
      <c r="M62" s="546" t="n">
        <f aca="false">I62-D62</f>
        <v>863</v>
      </c>
      <c r="N62" s="45"/>
      <c r="O62" s="339"/>
      <c r="P62" s="339"/>
      <c r="Q62" s="339"/>
      <c r="R62" s="339"/>
      <c r="S62" s="339"/>
      <c r="T62" s="339"/>
    </row>
    <row r="63" customFormat="false" ht="13.5" hidden="false" customHeight="true" outlineLevel="0" collapsed="false">
      <c r="A63" s="456" t="n">
        <v>6218</v>
      </c>
      <c r="B63" s="458" t="s">
        <v>13939</v>
      </c>
      <c r="C63" s="458" t="n">
        <v>2011</v>
      </c>
      <c r="D63" s="459" t="n">
        <v>40599</v>
      </c>
      <c r="E63" s="460" t="s">
        <v>13940</v>
      </c>
      <c r="F63" s="380" t="s">
        <v>671</v>
      </c>
      <c r="G63" s="460" t="s">
        <v>1174</v>
      </c>
      <c r="H63" s="380" t="s">
        <v>1567</v>
      </c>
      <c r="I63" s="459" t="n">
        <v>43153</v>
      </c>
      <c r="J63" s="460" t="n">
        <v>2</v>
      </c>
      <c r="K63" s="592" t="s">
        <v>42</v>
      </c>
      <c r="L63" s="380" t="s">
        <v>57</v>
      </c>
      <c r="M63" s="545" t="n">
        <f aca="false">I63-D63</f>
        <v>2554</v>
      </c>
      <c r="N63" s="45"/>
      <c r="O63" s="340" t="s">
        <v>38</v>
      </c>
      <c r="P63" s="340"/>
      <c r="Q63" s="340"/>
      <c r="R63" s="340"/>
      <c r="S63" s="341" t="s">
        <v>343</v>
      </c>
      <c r="T63" s="342" t="s">
        <v>41</v>
      </c>
    </row>
    <row r="64" customFormat="false" ht="12.75" hidden="false" customHeight="true" outlineLevel="0" collapsed="false">
      <c r="A64" s="449" t="n">
        <v>6318</v>
      </c>
      <c r="B64" s="450" t="s">
        <v>13941</v>
      </c>
      <c r="C64" s="450" t="n">
        <v>2015</v>
      </c>
      <c r="D64" s="451" t="n">
        <v>42233</v>
      </c>
      <c r="E64" s="452" t="s">
        <v>13942</v>
      </c>
      <c r="F64" s="378" t="s">
        <v>1097</v>
      </c>
      <c r="G64" s="452" t="s">
        <v>1174</v>
      </c>
      <c r="H64" s="378" t="s">
        <v>2278</v>
      </c>
      <c r="I64" s="451" t="n">
        <v>43153</v>
      </c>
      <c r="J64" s="452" t="n">
        <v>2</v>
      </c>
      <c r="K64" s="592" t="s">
        <v>42</v>
      </c>
      <c r="L64" s="378" t="s">
        <v>60</v>
      </c>
      <c r="M64" s="546" t="n">
        <f aca="false">I64-D64</f>
        <v>920</v>
      </c>
      <c r="N64" s="45"/>
      <c r="O64" s="471" t="s">
        <v>42</v>
      </c>
      <c r="P64" s="471"/>
      <c r="Q64" s="471"/>
      <c r="R64" s="471"/>
      <c r="S64" s="471" t="n">
        <f aca="false">COUNTIF($K$2:$K$476,"I - Extremamente tóxico")</f>
        <v>125</v>
      </c>
      <c r="T64" s="472" t="n">
        <f aca="false">(S64/S76)</f>
        <v>0.278396436525612</v>
      </c>
    </row>
    <row r="65" customFormat="false" ht="12.75" hidden="true" customHeight="true" outlineLevel="0" collapsed="false">
      <c r="A65" s="456" t="n">
        <v>6418</v>
      </c>
      <c r="B65" s="458" t="s">
        <v>13943</v>
      </c>
      <c r="C65" s="458" t="n">
        <v>2016</v>
      </c>
      <c r="D65" s="459" t="n">
        <v>42726</v>
      </c>
      <c r="E65" s="460" t="s">
        <v>13944</v>
      </c>
      <c r="F65" s="380" t="s">
        <v>6315</v>
      </c>
      <c r="G65" s="460" t="s">
        <v>130</v>
      </c>
      <c r="H65" s="380" t="s">
        <v>13945</v>
      </c>
      <c r="I65" s="459" t="n">
        <v>43157</v>
      </c>
      <c r="J65" s="460" t="n">
        <v>2</v>
      </c>
      <c r="K65" s="598" t="s">
        <v>50</v>
      </c>
      <c r="L65" s="380" t="s">
        <v>61</v>
      </c>
      <c r="M65" s="545" t="n">
        <f aca="false">I65-D65</f>
        <v>431</v>
      </c>
      <c r="N65" s="45"/>
      <c r="O65" s="345" t="s">
        <v>43</v>
      </c>
      <c r="P65" s="345"/>
      <c r="Q65" s="345"/>
      <c r="R65" s="345"/>
      <c r="S65" s="345" t="n">
        <f aca="false">COUNTIF($K$2:$K$476,"Categoria 1 - Produto Extremamente Tóxico")</f>
        <v>0</v>
      </c>
      <c r="T65" s="473" t="n">
        <f aca="false">(S65/S76)</f>
        <v>0</v>
      </c>
    </row>
    <row r="66" customFormat="false" ht="12.75" hidden="true" customHeight="true" outlineLevel="0" collapsed="false">
      <c r="A66" s="449" t="n">
        <v>6518</v>
      </c>
      <c r="B66" s="450" t="s">
        <v>13946</v>
      </c>
      <c r="C66" s="450" t="n">
        <v>2015</v>
      </c>
      <c r="D66" s="451" t="n">
        <v>42108</v>
      </c>
      <c r="E66" s="452" t="s">
        <v>13947</v>
      </c>
      <c r="F66" s="378" t="s">
        <v>449</v>
      </c>
      <c r="G66" s="452" t="s">
        <v>441</v>
      </c>
      <c r="H66" s="378" t="s">
        <v>13858</v>
      </c>
      <c r="I66" s="451" t="n">
        <v>43157</v>
      </c>
      <c r="J66" s="452" t="n">
        <v>2</v>
      </c>
      <c r="K66" s="591" t="s">
        <v>47</v>
      </c>
      <c r="L66" s="378" t="s">
        <v>58</v>
      </c>
      <c r="M66" s="546" t="n">
        <f aca="false">I66-D66</f>
        <v>1049</v>
      </c>
      <c r="N66" s="45"/>
      <c r="O66" s="345" t="s">
        <v>44</v>
      </c>
      <c r="P66" s="345"/>
      <c r="Q66" s="345"/>
      <c r="R66" s="345"/>
      <c r="S66" s="345" t="n">
        <f aca="false">COUNTIF($K$2:$K$476,"Categoria 2 - Produto Altamente Tóxico")</f>
        <v>0</v>
      </c>
      <c r="T66" s="473" t="n">
        <f aca="false">(S66/S76)</f>
        <v>0</v>
      </c>
    </row>
    <row r="67" customFormat="false" ht="12.75" hidden="true" customHeight="true" outlineLevel="0" collapsed="false">
      <c r="A67" s="456" t="n">
        <v>6618</v>
      </c>
      <c r="B67" s="458" t="s">
        <v>13948</v>
      </c>
      <c r="C67" s="458" t="n">
        <v>2016</v>
      </c>
      <c r="D67" s="459" t="n">
        <v>42494</v>
      </c>
      <c r="E67" s="460" t="s">
        <v>13949</v>
      </c>
      <c r="F67" s="380" t="s">
        <v>6361</v>
      </c>
      <c r="G67" s="460" t="s">
        <v>125</v>
      </c>
      <c r="H67" s="380" t="s">
        <v>13256</v>
      </c>
      <c r="I67" s="459" t="n">
        <v>43157</v>
      </c>
      <c r="J67" s="460" t="n">
        <v>2</v>
      </c>
      <c r="K67" s="598" t="s">
        <v>50</v>
      </c>
      <c r="L67" s="380" t="s">
        <v>61</v>
      </c>
      <c r="M67" s="545" t="n">
        <f aca="false">I67-D67</f>
        <v>663</v>
      </c>
      <c r="N67" s="45"/>
      <c r="O67" s="349" t="s">
        <v>45</v>
      </c>
      <c r="P67" s="349"/>
      <c r="Q67" s="349"/>
      <c r="R67" s="349"/>
      <c r="S67" s="349" t="n">
        <f aca="false">COUNTIF($K$2:$K$476,"II - Altamente tóxico")</f>
        <v>58</v>
      </c>
      <c r="T67" s="474" t="n">
        <f aca="false">(S67/S76)</f>
        <v>0.129175946547884</v>
      </c>
    </row>
    <row r="68" customFormat="false" ht="12.75" hidden="true" customHeight="true" outlineLevel="0" collapsed="false">
      <c r="A68" s="449" t="n">
        <v>6718</v>
      </c>
      <c r="B68" s="450" t="s">
        <v>13950</v>
      </c>
      <c r="C68" s="450" t="n">
        <v>2016</v>
      </c>
      <c r="D68" s="451" t="n">
        <v>42727</v>
      </c>
      <c r="E68" s="452" t="s">
        <v>13951</v>
      </c>
      <c r="F68" s="378" t="s">
        <v>13952</v>
      </c>
      <c r="G68" s="452" t="s">
        <v>130</v>
      </c>
      <c r="H68" s="378" t="s">
        <v>13953</v>
      </c>
      <c r="I68" s="451" t="n">
        <v>43157</v>
      </c>
      <c r="J68" s="452" t="n">
        <v>2</v>
      </c>
      <c r="K68" s="598" t="s">
        <v>50</v>
      </c>
      <c r="L68" s="378" t="s">
        <v>61</v>
      </c>
      <c r="M68" s="546" t="n">
        <f aca="false">I68-D68</f>
        <v>430</v>
      </c>
      <c r="N68" s="45"/>
      <c r="O68" s="349" t="s">
        <v>46</v>
      </c>
      <c r="P68" s="349"/>
      <c r="Q68" s="349"/>
      <c r="R68" s="349"/>
      <c r="S68" s="349" t="n">
        <f aca="false">COUNTIF($K$2:$K$476,"Categoria 3 - Produto Moderadamente Tóxico")</f>
        <v>0</v>
      </c>
      <c r="T68" s="474" t="n">
        <f aca="false">(S68/S76)</f>
        <v>0</v>
      </c>
    </row>
    <row r="69" customFormat="false" ht="12.75" hidden="false" customHeight="true" outlineLevel="0" collapsed="false">
      <c r="A69" s="456" t="n">
        <v>6818</v>
      </c>
      <c r="B69" s="458" t="s">
        <v>13954</v>
      </c>
      <c r="C69" s="458" t="n">
        <v>2017</v>
      </c>
      <c r="D69" s="459" t="n">
        <v>42789</v>
      </c>
      <c r="E69" s="460" t="s">
        <v>13955</v>
      </c>
      <c r="F69" s="380" t="s">
        <v>13917</v>
      </c>
      <c r="G69" s="460" t="s">
        <v>1174</v>
      </c>
      <c r="H69" s="380" t="s">
        <v>3268</v>
      </c>
      <c r="I69" s="459" t="n">
        <v>43158</v>
      </c>
      <c r="J69" s="460" t="n">
        <v>2</v>
      </c>
      <c r="K69" s="591" t="s">
        <v>47</v>
      </c>
      <c r="L69" s="380" t="s">
        <v>58</v>
      </c>
      <c r="M69" s="545" t="n">
        <f aca="false">I69-D69</f>
        <v>369</v>
      </c>
      <c r="N69" s="45"/>
      <c r="O69" s="351" t="s">
        <v>47</v>
      </c>
      <c r="P69" s="351"/>
      <c r="Q69" s="351"/>
      <c r="R69" s="351"/>
      <c r="S69" s="351" t="n">
        <f aca="false">COUNTIF($K$2:$K$476,"III - Medianamente tóxico")</f>
        <v>205</v>
      </c>
      <c r="T69" s="475" t="n">
        <f aca="false">(S69/S76)</f>
        <v>0.456570155902004</v>
      </c>
    </row>
    <row r="70" customFormat="false" ht="12.75" hidden="false" customHeight="true" outlineLevel="0" collapsed="false">
      <c r="A70" s="449" t="n">
        <v>6918</v>
      </c>
      <c r="B70" s="450" t="s">
        <v>13956</v>
      </c>
      <c r="C70" s="450" t="n">
        <v>2015</v>
      </c>
      <c r="D70" s="451" t="n">
        <v>42023</v>
      </c>
      <c r="E70" s="452" t="s">
        <v>13957</v>
      </c>
      <c r="F70" s="378" t="s">
        <v>13917</v>
      </c>
      <c r="G70" s="452" t="s">
        <v>1174</v>
      </c>
      <c r="H70" s="378" t="s">
        <v>13833</v>
      </c>
      <c r="I70" s="451" t="n">
        <v>43158</v>
      </c>
      <c r="J70" s="452" t="n">
        <v>2</v>
      </c>
      <c r="K70" s="591" t="s">
        <v>47</v>
      </c>
      <c r="L70" s="378" t="s">
        <v>58</v>
      </c>
      <c r="M70" s="546" t="n">
        <f aca="false">I70-D70</f>
        <v>1135</v>
      </c>
      <c r="N70" s="45"/>
      <c r="O70" s="351" t="s">
        <v>48</v>
      </c>
      <c r="P70" s="351"/>
      <c r="Q70" s="351"/>
      <c r="R70" s="351"/>
      <c r="S70" s="351" t="n">
        <f aca="false">COUNTIF($K$2:$K$476,"Categoria 4 - Produto Pouco Tóxico")</f>
        <v>0</v>
      </c>
      <c r="T70" s="475" t="n">
        <f aca="false">(S70/S76)</f>
        <v>0</v>
      </c>
    </row>
    <row r="71" customFormat="false" ht="12.75" hidden="false" customHeight="true" outlineLevel="0" collapsed="false">
      <c r="A71" s="456" t="n">
        <v>7018</v>
      </c>
      <c r="B71" s="458" t="s">
        <v>13958</v>
      </c>
      <c r="C71" s="458" t="n">
        <v>2016</v>
      </c>
      <c r="D71" s="459" t="n">
        <v>42389</v>
      </c>
      <c r="E71" s="460" t="s">
        <v>13959</v>
      </c>
      <c r="F71" s="380" t="s">
        <v>207</v>
      </c>
      <c r="G71" s="460" t="s">
        <v>1174</v>
      </c>
      <c r="H71" s="380" t="s">
        <v>12183</v>
      </c>
      <c r="I71" s="459" t="n">
        <v>43158</v>
      </c>
      <c r="J71" s="460" t="n">
        <v>2</v>
      </c>
      <c r="K71" s="592" t="s">
        <v>42</v>
      </c>
      <c r="L71" s="380" t="s">
        <v>58</v>
      </c>
      <c r="M71" s="545" t="n">
        <f aca="false">I71-D71</f>
        <v>769</v>
      </c>
      <c r="N71" s="45"/>
      <c r="O71" s="351" t="s">
        <v>49</v>
      </c>
      <c r="P71" s="351"/>
      <c r="Q71" s="351"/>
      <c r="R71" s="351"/>
      <c r="S71" s="351" t="n">
        <f aca="false">COUNTIF($K$2:$K$476,"Categoria 5 - Produto Improvável de Causar Dano Agudo")</f>
        <v>0</v>
      </c>
      <c r="T71" s="475" t="n">
        <f aca="false">(S71/S76)</f>
        <v>0</v>
      </c>
    </row>
    <row r="72" customFormat="false" ht="12.75" hidden="false" customHeight="true" outlineLevel="0" collapsed="false">
      <c r="A72" s="449" t="n">
        <v>7118</v>
      </c>
      <c r="B72" s="450" t="s">
        <v>13960</v>
      </c>
      <c r="C72" s="450" t="n">
        <v>2015</v>
      </c>
      <c r="D72" s="451" t="n">
        <v>42359</v>
      </c>
      <c r="E72" s="452" t="s">
        <v>13961</v>
      </c>
      <c r="F72" s="378" t="s">
        <v>2560</v>
      </c>
      <c r="G72" s="452" t="s">
        <v>1174</v>
      </c>
      <c r="H72" s="378" t="s">
        <v>522</v>
      </c>
      <c r="I72" s="451" t="n">
        <v>43158</v>
      </c>
      <c r="J72" s="452" t="n">
        <v>2</v>
      </c>
      <c r="K72" s="591" t="s">
        <v>47</v>
      </c>
      <c r="L72" s="378" t="s">
        <v>58</v>
      </c>
      <c r="M72" s="546" t="n">
        <f aca="false">I72-D72</f>
        <v>799</v>
      </c>
      <c r="N72" s="45"/>
      <c r="O72" s="353" t="s">
        <v>50</v>
      </c>
      <c r="P72" s="353"/>
      <c r="Q72" s="353"/>
      <c r="R72" s="353"/>
      <c r="S72" s="353" t="n">
        <f aca="false">COUNTIF($K$2:$K$476,"IV - Pouco tóxico")</f>
        <v>55</v>
      </c>
      <c r="T72" s="476" t="n">
        <f aca="false">(S72/S76)</f>
        <v>0.122494432071269</v>
      </c>
    </row>
    <row r="73" customFormat="false" ht="12.75" hidden="false" customHeight="true" outlineLevel="0" collapsed="false">
      <c r="A73" s="456" t="n">
        <v>7218</v>
      </c>
      <c r="B73" s="458" t="s">
        <v>13962</v>
      </c>
      <c r="C73" s="458" t="n">
        <v>2014</v>
      </c>
      <c r="D73" s="459" t="n">
        <v>41745</v>
      </c>
      <c r="E73" s="460" t="s">
        <v>13963</v>
      </c>
      <c r="F73" s="380" t="s">
        <v>13917</v>
      </c>
      <c r="G73" s="460" t="s">
        <v>1174</v>
      </c>
      <c r="H73" s="380" t="s">
        <v>192</v>
      </c>
      <c r="I73" s="459" t="n">
        <v>43158</v>
      </c>
      <c r="J73" s="460" t="n">
        <v>2</v>
      </c>
      <c r="K73" s="591" t="s">
        <v>47</v>
      </c>
      <c r="L73" s="380" t="s">
        <v>58</v>
      </c>
      <c r="M73" s="545" t="n">
        <f aca="false">I73-D73</f>
        <v>1413</v>
      </c>
      <c r="N73" s="45"/>
      <c r="O73" s="353" t="s">
        <v>51</v>
      </c>
      <c r="P73" s="353"/>
      <c r="Q73" s="353"/>
      <c r="R73" s="353"/>
      <c r="S73" s="353" t="n">
        <f aca="false">COUNTIF($K$2:$K$476,"Não classificado - Produto não classificado")</f>
        <v>0</v>
      </c>
      <c r="T73" s="476" t="n">
        <f aca="false">(S73/S76)</f>
        <v>0</v>
      </c>
    </row>
    <row r="74" customFormat="false" ht="12.75" hidden="false" customHeight="true" outlineLevel="0" collapsed="false">
      <c r="A74" s="449" t="n">
        <v>7318</v>
      </c>
      <c r="B74" s="450" t="s">
        <v>13964</v>
      </c>
      <c r="C74" s="450" t="n">
        <v>2014</v>
      </c>
      <c r="D74" s="451" t="n">
        <v>41936</v>
      </c>
      <c r="E74" s="452" t="s">
        <v>13965</v>
      </c>
      <c r="F74" s="378" t="s">
        <v>13917</v>
      </c>
      <c r="G74" s="452" t="s">
        <v>1174</v>
      </c>
      <c r="H74" s="378" t="s">
        <v>354</v>
      </c>
      <c r="I74" s="451" t="n">
        <v>43158</v>
      </c>
      <c r="J74" s="452" t="n">
        <v>2</v>
      </c>
      <c r="K74" s="591" t="s">
        <v>47</v>
      </c>
      <c r="L74" s="378" t="s">
        <v>58</v>
      </c>
      <c r="M74" s="546" t="n">
        <f aca="false">I74-D74</f>
        <v>1222</v>
      </c>
      <c r="N74" s="45"/>
      <c r="O74" s="353" t="s">
        <v>2407</v>
      </c>
      <c r="P74" s="353"/>
      <c r="Q74" s="353"/>
      <c r="R74" s="353"/>
      <c r="S74" s="353" t="n">
        <f aca="false">COUNTIF($K$2:$K$476,"Não determinada devido à natureza do produto (Inimigos naturais)")</f>
        <v>6</v>
      </c>
      <c r="T74" s="476" t="n">
        <f aca="false">(S74/S76)</f>
        <v>0.0133630289532294</v>
      </c>
    </row>
    <row r="75" customFormat="false" ht="13.5" hidden="false" customHeight="true" outlineLevel="0" collapsed="false">
      <c r="A75" s="456" t="n">
        <v>7418</v>
      </c>
      <c r="B75" s="458" t="s">
        <v>13966</v>
      </c>
      <c r="C75" s="458" t="n">
        <v>2015</v>
      </c>
      <c r="D75" s="459" t="n">
        <v>42177</v>
      </c>
      <c r="E75" s="460" t="s">
        <v>13967</v>
      </c>
      <c r="F75" s="380" t="s">
        <v>138</v>
      </c>
      <c r="G75" s="460" t="s">
        <v>1174</v>
      </c>
      <c r="H75" s="380" t="s">
        <v>13816</v>
      </c>
      <c r="I75" s="459" t="n">
        <v>43159</v>
      </c>
      <c r="J75" s="460" t="n">
        <v>3</v>
      </c>
      <c r="K75" s="593" t="s">
        <v>45</v>
      </c>
      <c r="L75" s="380" t="s">
        <v>60</v>
      </c>
      <c r="M75" s="545" t="n">
        <f aca="false">I75-D75</f>
        <v>982</v>
      </c>
      <c r="N75" s="45"/>
      <c r="O75" s="478" t="s">
        <v>53</v>
      </c>
      <c r="P75" s="478"/>
      <c r="Q75" s="478"/>
      <c r="R75" s="478"/>
      <c r="S75" s="478" t="n">
        <f aca="false">COUNTIF($K$2:$K$476,"O perfil toxicológico foi considerado equivalente ao produto técnico de referência")</f>
        <v>0</v>
      </c>
      <c r="T75" s="479" t="n">
        <f aca="false">(S75/S76)</f>
        <v>0</v>
      </c>
    </row>
    <row r="76" customFormat="false" ht="13.5" hidden="true" customHeight="true" outlineLevel="0" collapsed="false">
      <c r="A76" s="449" t="n">
        <v>7518</v>
      </c>
      <c r="B76" s="450" t="s">
        <v>13968</v>
      </c>
      <c r="C76" s="450" t="n">
        <v>2016</v>
      </c>
      <c r="D76" s="451" t="n">
        <v>42599</v>
      </c>
      <c r="E76" s="452" t="s">
        <v>13969</v>
      </c>
      <c r="F76" s="378" t="s">
        <v>138</v>
      </c>
      <c r="G76" s="452" t="s">
        <v>441</v>
      </c>
      <c r="H76" s="378" t="s">
        <v>184</v>
      </c>
      <c r="I76" s="451" t="n">
        <v>43161</v>
      </c>
      <c r="J76" s="452" t="n">
        <v>3</v>
      </c>
      <c r="K76" s="592" t="s">
        <v>42</v>
      </c>
      <c r="L76" s="378" t="s">
        <v>60</v>
      </c>
      <c r="M76" s="546" t="n">
        <f aca="false">I76-D76</f>
        <v>562</v>
      </c>
      <c r="N76" s="45"/>
      <c r="O76" s="419" t="s">
        <v>54</v>
      </c>
      <c r="P76" s="419"/>
      <c r="Q76" s="419"/>
      <c r="R76" s="419"/>
      <c r="S76" s="363" t="n">
        <f aca="false">SUM(S64:S75)</f>
        <v>449</v>
      </c>
      <c r="T76" s="364" t="n">
        <f aca="false">(S76/S76)</f>
        <v>1</v>
      </c>
    </row>
    <row r="77" customFormat="false" ht="15" hidden="true" customHeight="true" outlineLevel="0" collapsed="false">
      <c r="A77" s="456" t="n">
        <v>7618</v>
      </c>
      <c r="B77" s="458" t="s">
        <v>13970</v>
      </c>
      <c r="C77" s="458" t="n">
        <v>2012</v>
      </c>
      <c r="D77" s="459" t="n">
        <v>41061</v>
      </c>
      <c r="E77" s="460" t="s">
        <v>13971</v>
      </c>
      <c r="F77" s="380" t="s">
        <v>823</v>
      </c>
      <c r="G77" s="460" t="s">
        <v>441</v>
      </c>
      <c r="H77" s="380" t="s">
        <v>1567</v>
      </c>
      <c r="I77" s="459" t="n">
        <v>43164</v>
      </c>
      <c r="J77" s="460" t="n">
        <v>3</v>
      </c>
      <c r="K77" s="591" t="s">
        <v>47</v>
      </c>
      <c r="L77" s="380" t="s">
        <v>60</v>
      </c>
      <c r="M77" s="545" t="n">
        <f aca="false">I77-D77</f>
        <v>2103</v>
      </c>
      <c r="N77" s="45"/>
      <c r="O77" s="153"/>
      <c r="P77" s="153"/>
      <c r="Q77" s="153"/>
      <c r="R77" s="153"/>
      <c r="S77" s="153"/>
      <c r="T77" s="153"/>
    </row>
    <row r="78" customFormat="false" ht="13.5" hidden="true" customHeight="true" outlineLevel="0" collapsed="false">
      <c r="A78" s="449" t="n">
        <v>7718</v>
      </c>
      <c r="B78" s="450" t="s">
        <v>13972</v>
      </c>
      <c r="C78" s="450" t="n">
        <v>2015</v>
      </c>
      <c r="D78" s="451" t="n">
        <v>42107</v>
      </c>
      <c r="E78" s="452" t="s">
        <v>13973</v>
      </c>
      <c r="F78" s="378" t="s">
        <v>211</v>
      </c>
      <c r="G78" s="452" t="s">
        <v>441</v>
      </c>
      <c r="H78" s="378" t="s">
        <v>192</v>
      </c>
      <c r="I78" s="451" t="n">
        <v>43164</v>
      </c>
      <c r="J78" s="452" t="n">
        <v>3</v>
      </c>
      <c r="K78" s="591" t="s">
        <v>47</v>
      </c>
      <c r="L78" s="378" t="s">
        <v>60</v>
      </c>
      <c r="M78" s="546" t="n">
        <f aca="false">I78-D78</f>
        <v>1057</v>
      </c>
      <c r="N78" s="45"/>
      <c r="O78" s="339" t="s">
        <v>102</v>
      </c>
      <c r="P78" s="339"/>
      <c r="Q78" s="339"/>
      <c r="R78" s="339"/>
      <c r="S78" s="339"/>
      <c r="T78" s="339"/>
    </row>
    <row r="79" customFormat="false" ht="12.75" hidden="true" customHeight="true" outlineLevel="0" collapsed="false">
      <c r="A79" s="456" t="n">
        <v>7818</v>
      </c>
      <c r="B79" s="458" t="s">
        <v>13974</v>
      </c>
      <c r="C79" s="458" t="n">
        <v>2013</v>
      </c>
      <c r="D79" s="459" t="n">
        <v>41515</v>
      </c>
      <c r="E79" s="460" t="s">
        <v>13975</v>
      </c>
      <c r="F79" s="380" t="s">
        <v>1097</v>
      </c>
      <c r="G79" s="460" t="s">
        <v>441</v>
      </c>
      <c r="H79" s="380" t="s">
        <v>471</v>
      </c>
      <c r="I79" s="459" t="n">
        <v>43164</v>
      </c>
      <c r="J79" s="460" t="n">
        <v>3</v>
      </c>
      <c r="K79" s="592" t="s">
        <v>42</v>
      </c>
      <c r="L79" s="380" t="s">
        <v>60</v>
      </c>
      <c r="M79" s="545" t="n">
        <f aca="false">I79-D79</f>
        <v>1649</v>
      </c>
      <c r="N79" s="45"/>
      <c r="O79" s="339"/>
      <c r="P79" s="339"/>
      <c r="Q79" s="339"/>
      <c r="R79" s="339"/>
      <c r="S79" s="339"/>
      <c r="T79" s="339"/>
    </row>
    <row r="80" customFormat="false" ht="13.5" hidden="true" customHeight="true" outlineLevel="0" collapsed="false">
      <c r="A80" s="449" t="n">
        <v>7918</v>
      </c>
      <c r="B80" s="450" t="s">
        <v>13976</v>
      </c>
      <c r="C80" s="450" t="n">
        <v>2013</v>
      </c>
      <c r="D80" s="451" t="n">
        <v>41425</v>
      </c>
      <c r="E80" s="452" t="s">
        <v>13977</v>
      </c>
      <c r="F80" s="378" t="s">
        <v>6361</v>
      </c>
      <c r="G80" s="452" t="s">
        <v>125</v>
      </c>
      <c r="H80" s="378" t="s">
        <v>13978</v>
      </c>
      <c r="I80" s="451" t="n">
        <v>43164</v>
      </c>
      <c r="J80" s="452" t="n">
        <v>3</v>
      </c>
      <c r="K80" s="598" t="s">
        <v>50</v>
      </c>
      <c r="L80" s="378" t="s">
        <v>61</v>
      </c>
      <c r="M80" s="546" t="n">
        <f aca="false">I80-D80</f>
        <v>1739</v>
      </c>
      <c r="N80" s="45"/>
      <c r="O80" s="340" t="s">
        <v>38</v>
      </c>
      <c r="P80" s="340"/>
      <c r="Q80" s="340"/>
      <c r="R80" s="340"/>
      <c r="S80" s="374" t="s">
        <v>343</v>
      </c>
      <c r="T80" s="375" t="s">
        <v>41</v>
      </c>
    </row>
    <row r="81" customFormat="false" ht="15" hidden="true" customHeight="true" outlineLevel="0" collapsed="false">
      <c r="A81" s="456" t="n">
        <v>8018</v>
      </c>
      <c r="B81" s="458" t="s">
        <v>13979</v>
      </c>
      <c r="C81" s="458" t="n">
        <v>2013</v>
      </c>
      <c r="D81" s="459" t="n">
        <v>41631</v>
      </c>
      <c r="E81" s="460" t="s">
        <v>13980</v>
      </c>
      <c r="F81" s="380" t="s">
        <v>5605</v>
      </c>
      <c r="G81" s="460" t="s">
        <v>1188</v>
      </c>
      <c r="H81" s="380" t="s">
        <v>13833</v>
      </c>
      <c r="I81" s="459" t="n">
        <v>43165</v>
      </c>
      <c r="J81" s="460" t="n">
        <v>3</v>
      </c>
      <c r="K81" s="598" t="s">
        <v>50</v>
      </c>
      <c r="L81" s="380" t="s">
        <v>60</v>
      </c>
      <c r="M81" s="545" t="n">
        <f aca="false">I81-D81</f>
        <v>1534</v>
      </c>
      <c r="N81" s="45"/>
      <c r="O81" s="480" t="s">
        <v>57</v>
      </c>
      <c r="P81" s="480"/>
      <c r="Q81" s="480"/>
      <c r="R81" s="480"/>
      <c r="S81" s="536" t="n">
        <f aca="false">COUNTIF($L$2:$L$476,"I - Produto altamente perigoso ao meio ambiente")</f>
        <v>6</v>
      </c>
      <c r="T81" s="377" t="n">
        <f aca="false">(S81/S85)</f>
        <v>0.0133630289532294</v>
      </c>
    </row>
    <row r="82" customFormat="false" ht="13.5" hidden="false" customHeight="true" outlineLevel="0" collapsed="false">
      <c r="A82" s="449" t="n">
        <v>8118</v>
      </c>
      <c r="B82" s="450" t="s">
        <v>13981</v>
      </c>
      <c r="C82" s="450" t="n">
        <v>2013</v>
      </c>
      <c r="D82" s="451" t="n">
        <v>41309</v>
      </c>
      <c r="E82" s="452" t="s">
        <v>13982</v>
      </c>
      <c r="F82" s="378" t="s">
        <v>449</v>
      </c>
      <c r="G82" s="452" t="s">
        <v>1174</v>
      </c>
      <c r="H82" s="378" t="s">
        <v>2296</v>
      </c>
      <c r="I82" s="451" t="n">
        <v>43168</v>
      </c>
      <c r="J82" s="452" t="n">
        <v>3</v>
      </c>
      <c r="K82" s="592" t="s">
        <v>42</v>
      </c>
      <c r="L82" s="378" t="s">
        <v>58</v>
      </c>
      <c r="M82" s="546" t="n">
        <f aca="false">I82-D82</f>
        <v>1859</v>
      </c>
      <c r="N82" s="45"/>
      <c r="O82" s="378" t="s">
        <v>58</v>
      </c>
      <c r="P82" s="378"/>
      <c r="Q82" s="378"/>
      <c r="R82" s="378"/>
      <c r="S82" s="537" t="n">
        <f aca="false">COUNTIF($L$2:$L$476,"II - Produto muito perigoso ao meio ambiente")</f>
        <v>228</v>
      </c>
      <c r="T82" s="379" t="n">
        <f aca="false">(S82/S85)</f>
        <v>0.507795100222717</v>
      </c>
    </row>
    <row r="83" customFormat="false" ht="13.5" hidden="true" customHeight="true" outlineLevel="0" collapsed="false">
      <c r="A83" s="456" t="n">
        <v>8218</v>
      </c>
      <c r="B83" s="458" t="s">
        <v>13983</v>
      </c>
      <c r="C83" s="458" t="n">
        <v>2016</v>
      </c>
      <c r="D83" s="459" t="n">
        <v>42372</v>
      </c>
      <c r="E83" s="460" t="s">
        <v>13984</v>
      </c>
      <c r="F83" s="380" t="s">
        <v>5605</v>
      </c>
      <c r="G83" s="460" t="s">
        <v>115</v>
      </c>
      <c r="H83" s="380" t="s">
        <v>13833</v>
      </c>
      <c r="I83" s="459" t="n">
        <v>43168</v>
      </c>
      <c r="J83" s="460" t="n">
        <v>3</v>
      </c>
      <c r="K83" s="592" t="s">
        <v>42</v>
      </c>
      <c r="L83" s="380" t="s">
        <v>60</v>
      </c>
      <c r="M83" s="545" t="n">
        <f aca="false">I83-D83</f>
        <v>796</v>
      </c>
      <c r="N83" s="45"/>
      <c r="O83" s="380" t="s">
        <v>60</v>
      </c>
      <c r="P83" s="380"/>
      <c r="Q83" s="380"/>
      <c r="R83" s="380"/>
      <c r="S83" s="536" t="n">
        <f aca="false">COUNTIF($L$2:$L$476,"III - Produto perigoso ao meio ambiente")</f>
        <v>163</v>
      </c>
      <c r="T83" s="377" t="n">
        <f aca="false">(S83/S85)</f>
        <v>0.363028953229399</v>
      </c>
    </row>
    <row r="84" customFormat="false" ht="13.5" hidden="true" customHeight="true" outlineLevel="0" collapsed="false">
      <c r="A84" s="449" t="n">
        <v>8318</v>
      </c>
      <c r="B84" s="450" t="s">
        <v>13985</v>
      </c>
      <c r="C84" s="450" t="n">
        <v>2017</v>
      </c>
      <c r="D84" s="451" t="n">
        <v>42795</v>
      </c>
      <c r="E84" s="452" t="s">
        <v>13986</v>
      </c>
      <c r="F84" s="378" t="s">
        <v>10768</v>
      </c>
      <c r="G84" s="452" t="s">
        <v>125</v>
      </c>
      <c r="H84" s="378" t="s">
        <v>13945</v>
      </c>
      <c r="I84" s="451" t="n">
        <v>43168</v>
      </c>
      <c r="J84" s="452" t="n">
        <v>3</v>
      </c>
      <c r="K84" s="591" t="s">
        <v>47</v>
      </c>
      <c r="L84" s="378" t="s">
        <v>61</v>
      </c>
      <c r="M84" s="546" t="n">
        <f aca="false">I84-D84</f>
        <v>373</v>
      </c>
      <c r="N84" s="45"/>
      <c r="O84" s="378" t="s">
        <v>61</v>
      </c>
      <c r="P84" s="378"/>
      <c r="Q84" s="378"/>
      <c r="R84" s="378"/>
      <c r="S84" s="537" t="n">
        <f aca="false">COUNTIF($L$2:$L$476,"IV - Produto pouco perigoso ao meio ambiente")</f>
        <v>52</v>
      </c>
      <c r="T84" s="379" t="n">
        <f aca="false">(S84/S85)</f>
        <v>0.115812917594655</v>
      </c>
    </row>
    <row r="85" customFormat="false" ht="13.5" hidden="true" customHeight="true" outlineLevel="0" collapsed="false">
      <c r="A85" s="456" t="n">
        <v>8418</v>
      </c>
      <c r="B85" s="458" t="s">
        <v>13987</v>
      </c>
      <c r="C85" s="458" t="n">
        <v>2015</v>
      </c>
      <c r="D85" s="459" t="n">
        <v>42093</v>
      </c>
      <c r="E85" s="460" t="s">
        <v>13988</v>
      </c>
      <c r="F85" s="380" t="s">
        <v>211</v>
      </c>
      <c r="G85" s="460" t="s">
        <v>441</v>
      </c>
      <c r="H85" s="380" t="s">
        <v>192</v>
      </c>
      <c r="I85" s="459" t="n">
        <v>43168</v>
      </c>
      <c r="J85" s="460" t="n">
        <v>3</v>
      </c>
      <c r="K85" s="591" t="s">
        <v>47</v>
      </c>
      <c r="L85" s="380" t="s">
        <v>60</v>
      </c>
      <c r="M85" s="545" t="n">
        <f aca="false">I85-D85</f>
        <v>1075</v>
      </c>
      <c r="N85" s="45"/>
      <c r="O85" s="340" t="s">
        <v>54</v>
      </c>
      <c r="P85" s="340"/>
      <c r="Q85" s="340"/>
      <c r="R85" s="340"/>
      <c r="S85" s="363" t="n">
        <f aca="false">SUM(S81:S84)</f>
        <v>449</v>
      </c>
      <c r="T85" s="364" t="n">
        <f aca="false">(S85/S85)</f>
        <v>1</v>
      </c>
    </row>
    <row r="86" customFormat="false" ht="15" hidden="true" customHeight="true" outlineLevel="0" collapsed="false">
      <c r="A86" s="449" t="n">
        <v>8518</v>
      </c>
      <c r="B86" s="450" t="s">
        <v>13989</v>
      </c>
      <c r="C86" s="450" t="n">
        <v>2013</v>
      </c>
      <c r="D86" s="451" t="n">
        <v>41631</v>
      </c>
      <c r="E86" s="452" t="s">
        <v>13990</v>
      </c>
      <c r="F86" s="378" t="s">
        <v>5605</v>
      </c>
      <c r="G86" s="452" t="s">
        <v>115</v>
      </c>
      <c r="H86" s="378" t="s">
        <v>13833</v>
      </c>
      <c r="I86" s="451" t="n">
        <v>43168</v>
      </c>
      <c r="J86" s="452" t="n">
        <v>3</v>
      </c>
      <c r="K86" s="592" t="s">
        <v>42</v>
      </c>
      <c r="L86" s="378" t="s">
        <v>60</v>
      </c>
      <c r="M86" s="546" t="n">
        <f aca="false">I86-D86</f>
        <v>1537</v>
      </c>
      <c r="N86" s="45"/>
      <c r="O86" s="153"/>
      <c r="P86" s="153"/>
      <c r="Q86" s="153"/>
      <c r="R86" s="153"/>
      <c r="S86" s="153"/>
      <c r="T86" s="153"/>
    </row>
    <row r="87" customFormat="false" ht="13.5" hidden="false" customHeight="true" outlineLevel="0" collapsed="false">
      <c r="A87" s="456" t="n">
        <v>8618</v>
      </c>
      <c r="B87" s="458" t="s">
        <v>13991</v>
      </c>
      <c r="C87" s="458" t="n">
        <v>2013</v>
      </c>
      <c r="D87" s="459" t="n">
        <v>41628</v>
      </c>
      <c r="E87" s="460" t="s">
        <v>13992</v>
      </c>
      <c r="F87" s="380" t="s">
        <v>449</v>
      </c>
      <c r="G87" s="460" t="s">
        <v>1174</v>
      </c>
      <c r="H87" s="380" t="s">
        <v>13993</v>
      </c>
      <c r="I87" s="459" t="n">
        <v>43171</v>
      </c>
      <c r="J87" s="460" t="n">
        <v>3</v>
      </c>
      <c r="K87" s="591" t="s">
        <v>47</v>
      </c>
      <c r="L87" s="380" t="s">
        <v>58</v>
      </c>
      <c r="M87" s="545" t="n">
        <f aca="false">I87-D87</f>
        <v>1543</v>
      </c>
      <c r="N87" s="45"/>
      <c r="O87" s="421" t="s">
        <v>425</v>
      </c>
      <c r="P87" s="421"/>
      <c r="Q87" s="421"/>
      <c r="R87" s="421"/>
      <c r="S87" s="153"/>
      <c r="T87" s="153"/>
    </row>
    <row r="88" customFormat="false" ht="12.75" hidden="true" customHeight="true" outlineLevel="0" collapsed="false">
      <c r="A88" s="449" t="n">
        <v>8718</v>
      </c>
      <c r="B88" s="450" t="s">
        <v>13994</v>
      </c>
      <c r="C88" s="450" t="n">
        <v>2009</v>
      </c>
      <c r="D88" s="451" t="n">
        <v>40085</v>
      </c>
      <c r="E88" s="452" t="s">
        <v>13995</v>
      </c>
      <c r="F88" s="378" t="s">
        <v>1357</v>
      </c>
      <c r="G88" s="452" t="s">
        <v>441</v>
      </c>
      <c r="H88" s="378" t="s">
        <v>13996</v>
      </c>
      <c r="I88" s="451" t="n">
        <v>43173</v>
      </c>
      <c r="J88" s="452" t="n">
        <v>3</v>
      </c>
      <c r="K88" s="592" t="s">
        <v>42</v>
      </c>
      <c r="L88" s="378" t="s">
        <v>58</v>
      </c>
      <c r="M88" s="546" t="n">
        <f aca="false">I88-D88</f>
        <v>3088</v>
      </c>
      <c r="N88" s="45"/>
      <c r="O88" s="421"/>
      <c r="P88" s="421"/>
      <c r="Q88" s="421"/>
      <c r="R88" s="421"/>
      <c r="S88" s="153"/>
      <c r="T88" s="153"/>
    </row>
    <row r="89" customFormat="false" ht="13.5" hidden="true" customHeight="true" outlineLevel="0" collapsed="false">
      <c r="A89" s="456" t="n">
        <v>8818</v>
      </c>
      <c r="B89" s="458" t="s">
        <v>13997</v>
      </c>
      <c r="C89" s="458" t="n">
        <v>2015</v>
      </c>
      <c r="D89" s="459" t="n">
        <v>42053</v>
      </c>
      <c r="E89" s="460" t="s">
        <v>13998</v>
      </c>
      <c r="F89" s="380" t="s">
        <v>180</v>
      </c>
      <c r="G89" s="460" t="s">
        <v>441</v>
      </c>
      <c r="H89" s="380" t="s">
        <v>192</v>
      </c>
      <c r="I89" s="459" t="n">
        <v>43173</v>
      </c>
      <c r="J89" s="460" t="n">
        <v>3</v>
      </c>
      <c r="K89" s="591" t="s">
        <v>47</v>
      </c>
      <c r="L89" s="380" t="s">
        <v>58</v>
      </c>
      <c r="M89" s="545" t="n">
        <f aca="false">I89-D89</f>
        <v>1120</v>
      </c>
      <c r="N89" s="45"/>
      <c r="O89" s="390" t="s">
        <v>69</v>
      </c>
      <c r="P89" s="422" t="s">
        <v>433</v>
      </c>
      <c r="Q89" s="422"/>
      <c r="R89" s="422"/>
      <c r="S89" s="153"/>
      <c r="T89" s="153"/>
    </row>
    <row r="90" customFormat="false" ht="15" hidden="true" customHeight="true" outlineLevel="0" collapsed="false">
      <c r="A90" s="449" t="n">
        <v>8918</v>
      </c>
      <c r="B90" s="450" t="s">
        <v>13999</v>
      </c>
      <c r="C90" s="450" t="n">
        <v>2011</v>
      </c>
      <c r="D90" s="451" t="n">
        <v>40633</v>
      </c>
      <c r="E90" s="452" t="s">
        <v>14000</v>
      </c>
      <c r="F90" s="378" t="s">
        <v>1277</v>
      </c>
      <c r="G90" s="452" t="s">
        <v>441</v>
      </c>
      <c r="H90" s="378" t="s">
        <v>12073</v>
      </c>
      <c r="I90" s="451" t="n">
        <v>43173</v>
      </c>
      <c r="J90" s="452" t="n">
        <v>3</v>
      </c>
      <c r="K90" s="592" t="s">
        <v>42</v>
      </c>
      <c r="L90" s="378" t="s">
        <v>58</v>
      </c>
      <c r="M90" s="546" t="n">
        <f aca="false">I90-D90</f>
        <v>2540</v>
      </c>
      <c r="N90" s="45"/>
      <c r="O90" s="394" t="s">
        <v>1474</v>
      </c>
      <c r="P90" s="481" t="e">
        <f aca="false">AVERAGEIF(G2:G476,"PT",M2:M476)</f>
        <v>#DIV/0!</v>
      </c>
      <c r="Q90" s="481"/>
      <c r="R90" s="481"/>
      <c r="S90" s="153"/>
      <c r="T90" s="153"/>
    </row>
    <row r="91" customFormat="false" ht="12.75" hidden="true" customHeight="true" outlineLevel="0" collapsed="false">
      <c r="A91" s="456" t="n">
        <v>9018</v>
      </c>
      <c r="B91" s="458" t="s">
        <v>14001</v>
      </c>
      <c r="C91" s="458" t="n">
        <v>2016</v>
      </c>
      <c r="D91" s="459" t="n">
        <v>42726</v>
      </c>
      <c r="E91" s="460" t="s">
        <v>14002</v>
      </c>
      <c r="F91" s="380" t="s">
        <v>5605</v>
      </c>
      <c r="G91" s="460" t="s">
        <v>115</v>
      </c>
      <c r="H91" s="380" t="s">
        <v>13833</v>
      </c>
      <c r="I91" s="459" t="n">
        <v>43173</v>
      </c>
      <c r="J91" s="460" t="n">
        <v>3</v>
      </c>
      <c r="K91" s="592" t="s">
        <v>42</v>
      </c>
      <c r="L91" s="380" t="s">
        <v>60</v>
      </c>
      <c r="M91" s="545" t="n">
        <f aca="false">I91-D91</f>
        <v>447</v>
      </c>
      <c r="N91" s="45"/>
      <c r="O91" s="396" t="s">
        <v>1188</v>
      </c>
      <c r="P91" s="482" t="n">
        <f aca="false">AVERAGEIF(G2:G477,"PTN",M2:M477)</f>
        <v>1771.5</v>
      </c>
      <c r="Q91" s="482"/>
      <c r="R91" s="482"/>
      <c r="S91" s="153"/>
      <c r="T91" s="153"/>
    </row>
    <row r="92" customFormat="false" ht="13.5" hidden="true" customHeight="true" outlineLevel="0" collapsed="false">
      <c r="A92" s="449" t="n">
        <v>9118</v>
      </c>
      <c r="B92" s="450" t="s">
        <v>14003</v>
      </c>
      <c r="C92" s="450" t="n">
        <v>2016</v>
      </c>
      <c r="D92" s="451" t="n">
        <v>42734</v>
      </c>
      <c r="E92" s="452" t="s">
        <v>14004</v>
      </c>
      <c r="F92" s="378" t="s">
        <v>5605</v>
      </c>
      <c r="G92" s="452" t="s">
        <v>115</v>
      </c>
      <c r="H92" s="378" t="s">
        <v>13833</v>
      </c>
      <c r="I92" s="451" t="n">
        <v>43173</v>
      </c>
      <c r="J92" s="452" t="n">
        <v>3</v>
      </c>
      <c r="K92" s="598" t="s">
        <v>50</v>
      </c>
      <c r="L92" s="378" t="s">
        <v>60</v>
      </c>
      <c r="M92" s="546" t="n">
        <f aca="false">I92-D92</f>
        <v>439</v>
      </c>
      <c r="N92" s="45"/>
      <c r="O92" s="394" t="s">
        <v>1174</v>
      </c>
      <c r="P92" s="481" t="n">
        <f aca="false">AVERAGEIF(G2:G476,"PTE",M2:M476)</f>
        <v>1553.63730569948</v>
      </c>
      <c r="Q92" s="481"/>
      <c r="R92" s="481"/>
      <c r="S92" s="153"/>
      <c r="T92" s="153"/>
    </row>
    <row r="93" customFormat="false" ht="13.5" hidden="false" customHeight="true" outlineLevel="0" collapsed="false">
      <c r="A93" s="456" t="n">
        <v>9218</v>
      </c>
      <c r="B93" s="458" t="s">
        <v>14005</v>
      </c>
      <c r="C93" s="458" t="n">
        <v>2012</v>
      </c>
      <c r="D93" s="459" t="n">
        <v>41022</v>
      </c>
      <c r="E93" s="460" t="s">
        <v>14006</v>
      </c>
      <c r="F93" s="380" t="s">
        <v>6460</v>
      </c>
      <c r="G93" s="460" t="s">
        <v>1174</v>
      </c>
      <c r="H93" s="380" t="s">
        <v>354</v>
      </c>
      <c r="I93" s="459" t="n">
        <v>43174</v>
      </c>
      <c r="J93" s="460" t="n">
        <v>3</v>
      </c>
      <c r="K93" s="591" t="s">
        <v>47</v>
      </c>
      <c r="L93" s="380" t="s">
        <v>60</v>
      </c>
      <c r="M93" s="545" t="n">
        <f aca="false">I93-D93</f>
        <v>2152</v>
      </c>
      <c r="N93" s="45"/>
      <c r="O93" s="396" t="s">
        <v>8</v>
      </c>
      <c r="P93" s="482" t="n">
        <f aca="false">AVERAGEIF(G2:G476,"Pré-Mistura",M2:M476)</f>
        <v>1338</v>
      </c>
      <c r="Q93" s="482"/>
      <c r="R93" s="482"/>
      <c r="S93" s="153"/>
      <c r="T93" s="153"/>
    </row>
    <row r="94" customFormat="false" ht="13.5" hidden="true" customHeight="true" outlineLevel="0" collapsed="false">
      <c r="A94" s="449" t="n">
        <v>9318</v>
      </c>
      <c r="B94" s="450" t="s">
        <v>14007</v>
      </c>
      <c r="C94" s="450" t="n">
        <v>2013</v>
      </c>
      <c r="D94" s="451" t="n">
        <v>41638</v>
      </c>
      <c r="E94" s="452" t="s">
        <v>14008</v>
      </c>
      <c r="F94" s="378" t="s">
        <v>9647</v>
      </c>
      <c r="G94" s="452" t="s">
        <v>144</v>
      </c>
      <c r="H94" s="378" t="s">
        <v>1557</v>
      </c>
      <c r="I94" s="451" t="n">
        <v>43174</v>
      </c>
      <c r="J94" s="452" t="n">
        <v>3</v>
      </c>
      <c r="K94" s="591" t="s">
        <v>47</v>
      </c>
      <c r="L94" s="378" t="s">
        <v>60</v>
      </c>
      <c r="M94" s="546" t="n">
        <f aca="false">I94-D94</f>
        <v>1536</v>
      </c>
      <c r="N94" s="45"/>
      <c r="O94" s="394" t="s">
        <v>144</v>
      </c>
      <c r="P94" s="481" t="n">
        <f aca="false">AVERAGEIF(G2:G476,"PF",M2:M476)</f>
        <v>1766.75</v>
      </c>
      <c r="Q94" s="481"/>
      <c r="R94" s="481"/>
      <c r="S94" s="153"/>
      <c r="T94" s="153"/>
    </row>
    <row r="95" customFormat="false" ht="12.75" hidden="false" customHeight="true" outlineLevel="0" collapsed="false">
      <c r="A95" s="456" t="n">
        <v>9418</v>
      </c>
      <c r="B95" s="458" t="s">
        <v>14009</v>
      </c>
      <c r="C95" s="458" t="n">
        <v>2014</v>
      </c>
      <c r="D95" s="459" t="n">
        <v>41810</v>
      </c>
      <c r="E95" s="460" t="s">
        <v>14010</v>
      </c>
      <c r="F95" s="380" t="s">
        <v>176</v>
      </c>
      <c r="G95" s="460" t="s">
        <v>1174</v>
      </c>
      <c r="H95" s="380" t="s">
        <v>184</v>
      </c>
      <c r="I95" s="459" t="n">
        <v>43178</v>
      </c>
      <c r="J95" s="460" t="n">
        <v>3</v>
      </c>
      <c r="K95" s="591" t="s">
        <v>47</v>
      </c>
      <c r="L95" s="380" t="s">
        <v>60</v>
      </c>
      <c r="M95" s="545" t="n">
        <f aca="false">I95-D95</f>
        <v>1368</v>
      </c>
      <c r="N95" s="45"/>
      <c r="O95" s="396" t="s">
        <v>115</v>
      </c>
      <c r="P95" s="482" t="n">
        <f aca="false">AVERAGEIF(G2:G476,"PFN",M2:M476)</f>
        <v>804.75</v>
      </c>
      <c r="Q95" s="482"/>
      <c r="R95" s="482"/>
      <c r="S95" s="153"/>
      <c r="T95" s="153"/>
    </row>
    <row r="96" customFormat="false" ht="12.75" hidden="false" customHeight="true" outlineLevel="0" collapsed="false">
      <c r="A96" s="449" t="n">
        <v>9518</v>
      </c>
      <c r="B96" s="450" t="s">
        <v>14011</v>
      </c>
      <c r="C96" s="450" t="n">
        <v>2011</v>
      </c>
      <c r="D96" s="451" t="n">
        <v>40632</v>
      </c>
      <c r="E96" s="452" t="s">
        <v>14012</v>
      </c>
      <c r="F96" s="378" t="s">
        <v>6460</v>
      </c>
      <c r="G96" s="452" t="s">
        <v>1174</v>
      </c>
      <c r="H96" s="378" t="s">
        <v>13816</v>
      </c>
      <c r="I96" s="451" t="n">
        <v>43179</v>
      </c>
      <c r="J96" s="452" t="n">
        <v>3</v>
      </c>
      <c r="K96" s="591" t="s">
        <v>47</v>
      </c>
      <c r="L96" s="378" t="s">
        <v>60</v>
      </c>
      <c r="M96" s="546" t="n">
        <f aca="false">I96-D96</f>
        <v>2547</v>
      </c>
      <c r="N96" s="45"/>
      <c r="O96" s="394" t="s">
        <v>441</v>
      </c>
      <c r="P96" s="481" t="n">
        <f aca="false">AVERAGEIF(G2:G476,"PF/PTE",M2:M476)</f>
        <v>1924.39189189189</v>
      </c>
      <c r="Q96" s="481"/>
      <c r="R96" s="481"/>
      <c r="S96" s="153"/>
      <c r="T96" s="153"/>
    </row>
    <row r="97" customFormat="false" ht="12.75" hidden="true" customHeight="true" outlineLevel="0" collapsed="false">
      <c r="A97" s="456" t="n">
        <v>9618</v>
      </c>
      <c r="B97" s="458" t="s">
        <v>14013</v>
      </c>
      <c r="C97" s="458" t="n">
        <v>2013</v>
      </c>
      <c r="D97" s="459" t="n">
        <v>41355</v>
      </c>
      <c r="E97" s="460" t="s">
        <v>14014</v>
      </c>
      <c r="F97" s="380" t="s">
        <v>12361</v>
      </c>
      <c r="G97" s="460" t="s">
        <v>144</v>
      </c>
      <c r="H97" s="380" t="s">
        <v>2602</v>
      </c>
      <c r="I97" s="459" t="n">
        <v>43179</v>
      </c>
      <c r="J97" s="460" t="n">
        <v>3</v>
      </c>
      <c r="K97" s="593" t="s">
        <v>45</v>
      </c>
      <c r="L97" s="380" t="s">
        <v>58</v>
      </c>
      <c r="M97" s="545" t="n">
        <f aca="false">I97-D97</f>
        <v>1824</v>
      </c>
      <c r="N97" s="45"/>
      <c r="O97" s="396" t="s">
        <v>125</v>
      </c>
      <c r="P97" s="482" t="n">
        <f aca="false">AVERAGEIF(G2:G476,"Bio",M2:M476)</f>
        <v>481.685714285714</v>
      </c>
      <c r="Q97" s="482"/>
      <c r="R97" s="482"/>
    </row>
    <row r="98" customFormat="false" ht="12.75" hidden="true" customHeight="true" outlineLevel="0" collapsed="false">
      <c r="A98" s="449" t="n">
        <v>9718</v>
      </c>
      <c r="B98" s="450" t="s">
        <v>14015</v>
      </c>
      <c r="C98" s="450" t="n">
        <v>2014</v>
      </c>
      <c r="D98" s="451" t="n">
        <v>41927</v>
      </c>
      <c r="E98" s="452" t="s">
        <v>14016</v>
      </c>
      <c r="F98" s="378" t="s">
        <v>14017</v>
      </c>
      <c r="G98" s="452" t="s">
        <v>144</v>
      </c>
      <c r="H98" s="378" t="s">
        <v>10901</v>
      </c>
      <c r="I98" s="451" t="n">
        <v>43179</v>
      </c>
      <c r="J98" s="452" t="n">
        <v>3</v>
      </c>
      <c r="K98" s="591" t="s">
        <v>47</v>
      </c>
      <c r="L98" s="378" t="s">
        <v>58</v>
      </c>
      <c r="M98" s="546" t="n">
        <f aca="false">I98-D98</f>
        <v>1252</v>
      </c>
      <c r="N98" s="45"/>
      <c r="O98" s="394" t="s">
        <v>130</v>
      </c>
      <c r="P98" s="481" t="n">
        <f aca="false">AVERAGEIF(G2:G476,"Bio/Org",M2:M476)</f>
        <v>254.764705882353</v>
      </c>
      <c r="Q98" s="481"/>
      <c r="R98" s="481"/>
    </row>
    <row r="99" customFormat="false" ht="12.75" hidden="true" customHeight="true" outlineLevel="0" collapsed="false">
      <c r="A99" s="456" t="n">
        <v>9818</v>
      </c>
      <c r="B99" s="458" t="s">
        <v>14018</v>
      </c>
      <c r="C99" s="458" t="n">
        <v>2014</v>
      </c>
      <c r="D99" s="459" t="n">
        <v>41968</v>
      </c>
      <c r="E99" s="460" t="s">
        <v>14019</v>
      </c>
      <c r="F99" s="380" t="s">
        <v>14017</v>
      </c>
      <c r="G99" s="460" t="s">
        <v>144</v>
      </c>
      <c r="H99" s="380" t="s">
        <v>10901</v>
      </c>
      <c r="I99" s="459" t="n">
        <v>43179</v>
      </c>
      <c r="J99" s="460" t="n">
        <v>3</v>
      </c>
      <c r="K99" s="591" t="s">
        <v>47</v>
      </c>
      <c r="L99" s="380" t="s">
        <v>58</v>
      </c>
      <c r="M99" s="545" t="n">
        <f aca="false">I99-D99</f>
        <v>1211</v>
      </c>
      <c r="N99" s="45"/>
      <c r="O99" s="398" t="s">
        <v>86</v>
      </c>
      <c r="P99" s="399" t="n">
        <f aca="false">AVERAGE(M2:M494)</f>
        <v>1559.2293986637</v>
      </c>
      <c r="Q99" s="399"/>
      <c r="R99" s="399"/>
    </row>
    <row r="100" customFormat="false" ht="12.75" hidden="true" customHeight="true" outlineLevel="0" collapsed="false">
      <c r="A100" s="449" t="n">
        <v>9918</v>
      </c>
      <c r="B100" s="450" t="s">
        <v>14020</v>
      </c>
      <c r="C100" s="450" t="n">
        <v>2014</v>
      </c>
      <c r="D100" s="451" t="n">
        <v>41968</v>
      </c>
      <c r="E100" s="452" t="s">
        <v>14021</v>
      </c>
      <c r="F100" s="378" t="s">
        <v>14017</v>
      </c>
      <c r="G100" s="452" t="s">
        <v>144</v>
      </c>
      <c r="H100" s="378" t="s">
        <v>10901</v>
      </c>
      <c r="I100" s="451" t="n">
        <v>43179</v>
      </c>
      <c r="J100" s="452" t="n">
        <v>3</v>
      </c>
      <c r="K100" s="591" t="s">
        <v>47</v>
      </c>
      <c r="L100" s="378" t="s">
        <v>58</v>
      </c>
      <c r="M100" s="546" t="n">
        <f aca="false">I100-D100</f>
        <v>1211</v>
      </c>
      <c r="N100" s="45"/>
      <c r="O100" s="45"/>
      <c r="P100" s="45"/>
      <c r="Q100" s="45"/>
      <c r="R100" s="45"/>
    </row>
    <row r="101" customFormat="false" ht="12.75" hidden="true" customHeight="true" outlineLevel="0" collapsed="false">
      <c r="A101" s="456" t="n">
        <v>10018</v>
      </c>
      <c r="B101" s="458" t="s">
        <v>14022</v>
      </c>
      <c r="C101" s="458" t="n">
        <v>2011</v>
      </c>
      <c r="D101" s="459" t="n">
        <v>40751</v>
      </c>
      <c r="E101" s="460" t="s">
        <v>14023</v>
      </c>
      <c r="F101" s="380" t="s">
        <v>180</v>
      </c>
      <c r="G101" s="460" t="s">
        <v>441</v>
      </c>
      <c r="H101" s="380" t="s">
        <v>471</v>
      </c>
      <c r="I101" s="459" t="n">
        <v>43179</v>
      </c>
      <c r="J101" s="460" t="n">
        <v>3</v>
      </c>
      <c r="K101" s="591" t="s">
        <v>47</v>
      </c>
      <c r="L101" s="380" t="s">
        <v>58</v>
      </c>
      <c r="M101" s="545" t="n">
        <f aca="false">I101-D101</f>
        <v>2428</v>
      </c>
      <c r="N101" s="45"/>
      <c r="O101" s="45"/>
      <c r="P101" s="45"/>
      <c r="Q101" s="45"/>
      <c r="R101" s="45"/>
    </row>
    <row r="102" customFormat="false" ht="12.75" hidden="false" customHeight="true" outlineLevel="0" collapsed="false">
      <c r="A102" s="449" t="n">
        <v>10118</v>
      </c>
      <c r="B102" s="450" t="s">
        <v>14024</v>
      </c>
      <c r="C102" s="450" t="n">
        <v>2011</v>
      </c>
      <c r="D102" s="451" t="n">
        <v>40751</v>
      </c>
      <c r="E102" s="452" t="s">
        <v>14025</v>
      </c>
      <c r="F102" s="378" t="s">
        <v>668</v>
      </c>
      <c r="G102" s="452" t="s">
        <v>1174</v>
      </c>
      <c r="H102" s="378" t="s">
        <v>2654</v>
      </c>
      <c r="I102" s="451" t="n">
        <v>43180</v>
      </c>
      <c r="J102" s="452" t="n">
        <v>3</v>
      </c>
      <c r="K102" s="592" t="s">
        <v>42</v>
      </c>
      <c r="L102" s="378" t="s">
        <v>58</v>
      </c>
      <c r="M102" s="546" t="n">
        <f aca="false">I102-D102</f>
        <v>2429</v>
      </c>
      <c r="N102" s="45"/>
      <c r="O102" s="45"/>
      <c r="P102" s="45"/>
      <c r="Q102" s="45"/>
      <c r="R102" s="45"/>
    </row>
    <row r="103" customFormat="false" ht="12.75" hidden="false" customHeight="true" outlineLevel="0" collapsed="false">
      <c r="A103" s="456" t="n">
        <v>10218</v>
      </c>
      <c r="B103" s="458" t="s">
        <v>14026</v>
      </c>
      <c r="C103" s="458" t="n">
        <v>2015</v>
      </c>
      <c r="D103" s="459" t="n">
        <v>42226</v>
      </c>
      <c r="E103" s="460" t="s">
        <v>14027</v>
      </c>
      <c r="F103" s="380" t="s">
        <v>668</v>
      </c>
      <c r="G103" s="460" t="s">
        <v>1174</v>
      </c>
      <c r="H103" s="380" t="s">
        <v>192</v>
      </c>
      <c r="I103" s="459" t="n">
        <v>43180</v>
      </c>
      <c r="J103" s="460" t="n">
        <v>3</v>
      </c>
      <c r="K103" s="592" t="s">
        <v>42</v>
      </c>
      <c r="L103" s="380" t="s">
        <v>58</v>
      </c>
      <c r="M103" s="545" t="n">
        <f aca="false">I103-D103</f>
        <v>954</v>
      </c>
      <c r="N103" s="45"/>
      <c r="O103" s="45"/>
      <c r="P103" s="45"/>
      <c r="Q103" s="45"/>
      <c r="R103" s="45"/>
    </row>
    <row r="104" customFormat="false" ht="12.75" hidden="false" customHeight="true" outlineLevel="0" collapsed="false">
      <c r="A104" s="449" t="n">
        <v>10318</v>
      </c>
      <c r="B104" s="450" t="s">
        <v>14028</v>
      </c>
      <c r="C104" s="450" t="n">
        <v>2010</v>
      </c>
      <c r="D104" s="451" t="n">
        <v>40539</v>
      </c>
      <c r="E104" s="452" t="s">
        <v>14029</v>
      </c>
      <c r="F104" s="378" t="s">
        <v>6460</v>
      </c>
      <c r="G104" s="452" t="s">
        <v>1174</v>
      </c>
      <c r="H104" s="378" t="s">
        <v>471</v>
      </c>
      <c r="I104" s="451" t="n">
        <v>43180</v>
      </c>
      <c r="J104" s="452" t="n">
        <v>3</v>
      </c>
      <c r="K104" s="591" t="s">
        <v>47</v>
      </c>
      <c r="L104" s="378" t="s">
        <v>60</v>
      </c>
      <c r="M104" s="546" t="n">
        <f aca="false">I104-D104</f>
        <v>2641</v>
      </c>
      <c r="N104" s="45"/>
      <c r="O104" s="45"/>
      <c r="P104" s="45"/>
      <c r="Q104" s="45"/>
      <c r="R104" s="45"/>
    </row>
    <row r="105" customFormat="false" ht="12.75" hidden="false" customHeight="true" outlineLevel="0" collapsed="false">
      <c r="A105" s="456" t="n">
        <v>10418</v>
      </c>
      <c r="B105" s="458" t="s">
        <v>14030</v>
      </c>
      <c r="C105" s="458" t="n">
        <v>2015</v>
      </c>
      <c r="D105" s="459" t="n">
        <v>42228</v>
      </c>
      <c r="E105" s="460" t="s">
        <v>14031</v>
      </c>
      <c r="F105" s="380" t="s">
        <v>6460</v>
      </c>
      <c r="G105" s="460" t="s">
        <v>1174</v>
      </c>
      <c r="H105" s="380" t="s">
        <v>13833</v>
      </c>
      <c r="I105" s="459" t="n">
        <v>43180</v>
      </c>
      <c r="J105" s="460" t="n">
        <v>3</v>
      </c>
      <c r="K105" s="591" t="s">
        <v>47</v>
      </c>
      <c r="L105" s="380" t="s">
        <v>60</v>
      </c>
      <c r="M105" s="545" t="n">
        <f aca="false">I105-D105</f>
        <v>952</v>
      </c>
      <c r="N105" s="45"/>
      <c r="O105" s="45"/>
      <c r="P105" s="45"/>
      <c r="Q105" s="45"/>
      <c r="R105" s="45"/>
    </row>
    <row r="106" customFormat="false" ht="12.75" hidden="false" customHeight="true" outlineLevel="0" collapsed="false">
      <c r="A106" s="449" t="n">
        <v>10518</v>
      </c>
      <c r="B106" s="450" t="s">
        <v>14032</v>
      </c>
      <c r="C106" s="450" t="n">
        <v>2015</v>
      </c>
      <c r="D106" s="451" t="n">
        <v>42275</v>
      </c>
      <c r="E106" s="452" t="s">
        <v>14033</v>
      </c>
      <c r="F106" s="378" t="s">
        <v>668</v>
      </c>
      <c r="G106" s="452" t="s">
        <v>1174</v>
      </c>
      <c r="H106" s="378" t="s">
        <v>13833</v>
      </c>
      <c r="I106" s="451" t="n">
        <v>43180</v>
      </c>
      <c r="J106" s="452" t="n">
        <v>3</v>
      </c>
      <c r="K106" s="592" t="s">
        <v>42</v>
      </c>
      <c r="L106" s="378" t="s">
        <v>58</v>
      </c>
      <c r="M106" s="546" t="n">
        <f aca="false">I106-D106</f>
        <v>905</v>
      </c>
      <c r="N106" s="45"/>
      <c r="O106" s="45"/>
      <c r="P106" s="45"/>
      <c r="Q106" s="45"/>
      <c r="R106" s="45"/>
    </row>
    <row r="107" customFormat="false" ht="12.75" hidden="false" customHeight="true" outlineLevel="0" collapsed="false">
      <c r="A107" s="456" t="n">
        <v>10618</v>
      </c>
      <c r="B107" s="458" t="s">
        <v>14034</v>
      </c>
      <c r="C107" s="458" t="n">
        <v>2013</v>
      </c>
      <c r="D107" s="459" t="n">
        <v>41334</v>
      </c>
      <c r="E107" s="460" t="s">
        <v>14035</v>
      </c>
      <c r="F107" s="380" t="s">
        <v>1097</v>
      </c>
      <c r="G107" s="460" t="s">
        <v>1174</v>
      </c>
      <c r="H107" s="380" t="s">
        <v>14036</v>
      </c>
      <c r="I107" s="459" t="n">
        <v>43180</v>
      </c>
      <c r="J107" s="460" t="n">
        <v>3</v>
      </c>
      <c r="K107" s="592" t="s">
        <v>42</v>
      </c>
      <c r="L107" s="380" t="s">
        <v>60</v>
      </c>
      <c r="M107" s="545" t="n">
        <f aca="false">I107-D107</f>
        <v>1846</v>
      </c>
      <c r="N107" s="45"/>
      <c r="O107" s="45"/>
      <c r="P107" s="45"/>
      <c r="Q107" s="45"/>
      <c r="R107" s="45"/>
    </row>
    <row r="108" customFormat="false" ht="12.75" hidden="false" customHeight="true" outlineLevel="0" collapsed="false">
      <c r="A108" s="449" t="n">
        <v>10718</v>
      </c>
      <c r="B108" s="450" t="s">
        <v>14037</v>
      </c>
      <c r="C108" s="450" t="n">
        <v>2012</v>
      </c>
      <c r="D108" s="451" t="n">
        <v>41124</v>
      </c>
      <c r="E108" s="452" t="s">
        <v>14038</v>
      </c>
      <c r="F108" s="378" t="s">
        <v>1400</v>
      </c>
      <c r="G108" s="452" t="s">
        <v>1174</v>
      </c>
      <c r="H108" s="378" t="s">
        <v>13833</v>
      </c>
      <c r="I108" s="451" t="n">
        <v>43181</v>
      </c>
      <c r="J108" s="452" t="n">
        <v>3</v>
      </c>
      <c r="K108" s="591" t="s">
        <v>47</v>
      </c>
      <c r="L108" s="378" t="s">
        <v>58</v>
      </c>
      <c r="M108" s="546" t="n">
        <f aca="false">I108-D108</f>
        <v>2057</v>
      </c>
      <c r="N108" s="45"/>
      <c r="O108" s="45"/>
      <c r="P108" s="45"/>
      <c r="Q108" s="45"/>
      <c r="R108" s="45"/>
    </row>
    <row r="109" customFormat="false" ht="12.75" hidden="true" customHeight="true" outlineLevel="0" collapsed="false">
      <c r="A109" s="456" t="n">
        <v>10818</v>
      </c>
      <c r="B109" s="458" t="s">
        <v>14039</v>
      </c>
      <c r="C109" s="458" t="n">
        <v>2014</v>
      </c>
      <c r="D109" s="459" t="n">
        <v>41681</v>
      </c>
      <c r="E109" s="460" t="s">
        <v>14040</v>
      </c>
      <c r="F109" s="380" t="s">
        <v>211</v>
      </c>
      <c r="G109" s="460" t="s">
        <v>441</v>
      </c>
      <c r="H109" s="380" t="s">
        <v>184</v>
      </c>
      <c r="I109" s="459" t="n">
        <v>43185</v>
      </c>
      <c r="J109" s="460" t="n">
        <v>3</v>
      </c>
      <c r="K109" s="591" t="s">
        <v>47</v>
      </c>
      <c r="L109" s="380" t="s">
        <v>60</v>
      </c>
      <c r="M109" s="545" t="n">
        <f aca="false">I109-D109</f>
        <v>1504</v>
      </c>
      <c r="N109" s="45"/>
      <c r="O109" s="45"/>
      <c r="P109" s="45"/>
      <c r="Q109" s="45"/>
      <c r="R109" s="45"/>
    </row>
    <row r="110" customFormat="false" ht="12.75" hidden="true" customHeight="true" outlineLevel="0" collapsed="false">
      <c r="A110" s="449" t="n">
        <v>10918</v>
      </c>
      <c r="B110" s="450" t="s">
        <v>14041</v>
      </c>
      <c r="C110" s="450" t="n">
        <v>2011</v>
      </c>
      <c r="D110" s="451" t="n">
        <v>40731</v>
      </c>
      <c r="E110" s="452" t="s">
        <v>14042</v>
      </c>
      <c r="F110" s="378" t="s">
        <v>5968</v>
      </c>
      <c r="G110" s="452" t="s">
        <v>441</v>
      </c>
      <c r="H110" s="378" t="s">
        <v>12073</v>
      </c>
      <c r="I110" s="451" t="n">
        <v>43185</v>
      </c>
      <c r="J110" s="452" t="n">
        <v>3</v>
      </c>
      <c r="K110" s="592" t="s">
        <v>42</v>
      </c>
      <c r="L110" s="378" t="s">
        <v>58</v>
      </c>
      <c r="M110" s="546" t="n">
        <f aca="false">I110-D110</f>
        <v>2454</v>
      </c>
      <c r="N110" s="45"/>
      <c r="O110" s="45"/>
      <c r="P110" s="45"/>
      <c r="Q110" s="45"/>
      <c r="R110" s="45"/>
    </row>
    <row r="111" customFormat="false" ht="12.75" hidden="true" customHeight="true" outlineLevel="0" collapsed="false">
      <c r="A111" s="456" t="n">
        <v>11018</v>
      </c>
      <c r="B111" s="458" t="s">
        <v>14043</v>
      </c>
      <c r="C111" s="458" t="n">
        <v>2015</v>
      </c>
      <c r="D111" s="459" t="n">
        <v>42143</v>
      </c>
      <c r="E111" s="460" t="s">
        <v>14044</v>
      </c>
      <c r="F111" s="380" t="s">
        <v>449</v>
      </c>
      <c r="G111" s="460" t="s">
        <v>441</v>
      </c>
      <c r="H111" s="380" t="s">
        <v>184</v>
      </c>
      <c r="I111" s="459" t="n">
        <v>43186</v>
      </c>
      <c r="J111" s="460" t="n">
        <v>3</v>
      </c>
      <c r="K111" s="591" t="s">
        <v>47</v>
      </c>
      <c r="L111" s="380" t="s">
        <v>58</v>
      </c>
      <c r="M111" s="545" t="n">
        <f aca="false">I111-D111</f>
        <v>1043</v>
      </c>
      <c r="N111" s="45"/>
      <c r="O111" s="45"/>
      <c r="P111" s="45"/>
      <c r="Q111" s="45"/>
      <c r="R111" s="45"/>
    </row>
    <row r="112" customFormat="false" ht="12.75" hidden="true" customHeight="true" outlineLevel="0" collapsed="false">
      <c r="A112" s="449" t="n">
        <v>11118</v>
      </c>
      <c r="B112" s="450" t="s">
        <v>14045</v>
      </c>
      <c r="C112" s="450" t="n">
        <v>2008</v>
      </c>
      <c r="D112" s="451" t="n">
        <v>39736</v>
      </c>
      <c r="E112" s="452" t="s">
        <v>14046</v>
      </c>
      <c r="F112" s="378" t="s">
        <v>14047</v>
      </c>
      <c r="G112" s="452" t="s">
        <v>144</v>
      </c>
      <c r="H112" s="378" t="s">
        <v>6880</v>
      </c>
      <c r="I112" s="451" t="n">
        <v>43186</v>
      </c>
      <c r="J112" s="452" t="n">
        <v>3</v>
      </c>
      <c r="K112" s="591" t="s">
        <v>47</v>
      </c>
      <c r="L112" s="378" t="s">
        <v>60</v>
      </c>
      <c r="M112" s="546" t="n">
        <f aca="false">I112-D112</f>
        <v>3450</v>
      </c>
      <c r="N112" s="45"/>
      <c r="O112" s="45"/>
      <c r="P112" s="45"/>
      <c r="Q112" s="45"/>
      <c r="R112" s="45"/>
    </row>
    <row r="113" customFormat="false" ht="12.75" hidden="true" customHeight="true" outlineLevel="0" collapsed="false">
      <c r="A113" s="456" t="n">
        <v>11218</v>
      </c>
      <c r="B113" s="458" t="s">
        <v>14048</v>
      </c>
      <c r="C113" s="458" t="n">
        <v>2013</v>
      </c>
      <c r="D113" s="459" t="n">
        <v>41543</v>
      </c>
      <c r="E113" s="460" t="s">
        <v>14049</v>
      </c>
      <c r="F113" s="380" t="s">
        <v>14050</v>
      </c>
      <c r="G113" s="460" t="s">
        <v>144</v>
      </c>
      <c r="H113" s="380" t="s">
        <v>10901</v>
      </c>
      <c r="I113" s="459" t="n">
        <v>43188</v>
      </c>
      <c r="J113" s="460" t="n">
        <v>3</v>
      </c>
      <c r="K113" s="598" t="s">
        <v>50</v>
      </c>
      <c r="L113" s="380" t="s">
        <v>58</v>
      </c>
      <c r="M113" s="545" t="n">
        <f aca="false">I113-D113</f>
        <v>1645</v>
      </c>
    </row>
    <row r="114" customFormat="false" ht="12.75" hidden="true" customHeight="true" outlineLevel="0" collapsed="false">
      <c r="A114" s="449" t="n">
        <v>11318</v>
      </c>
      <c r="B114" s="450" t="s">
        <v>14051</v>
      </c>
      <c r="C114" s="450" t="n">
        <v>2013</v>
      </c>
      <c r="D114" s="451" t="n">
        <v>41558</v>
      </c>
      <c r="E114" s="452" t="s">
        <v>14052</v>
      </c>
      <c r="F114" s="378" t="s">
        <v>14050</v>
      </c>
      <c r="G114" s="452" t="s">
        <v>144</v>
      </c>
      <c r="H114" s="378" t="s">
        <v>10901</v>
      </c>
      <c r="I114" s="451" t="n">
        <v>43188</v>
      </c>
      <c r="J114" s="452" t="n">
        <v>3</v>
      </c>
      <c r="K114" s="598" t="s">
        <v>50</v>
      </c>
      <c r="L114" s="378" t="s">
        <v>58</v>
      </c>
      <c r="M114" s="546" t="n">
        <f aca="false">I114-D114</f>
        <v>1630</v>
      </c>
    </row>
    <row r="115" customFormat="false" ht="12.75" hidden="true" customHeight="true" outlineLevel="0" collapsed="false">
      <c r="A115" s="456" t="n">
        <v>11418</v>
      </c>
      <c r="B115" s="458" t="s">
        <v>14053</v>
      </c>
      <c r="C115" s="458" t="n">
        <v>2013</v>
      </c>
      <c r="D115" s="459" t="n">
        <v>41558</v>
      </c>
      <c r="E115" s="460" t="s">
        <v>14054</v>
      </c>
      <c r="F115" s="380" t="s">
        <v>14050</v>
      </c>
      <c r="G115" s="460" t="s">
        <v>144</v>
      </c>
      <c r="H115" s="380" t="s">
        <v>10901</v>
      </c>
      <c r="I115" s="459" t="n">
        <v>43188</v>
      </c>
      <c r="J115" s="460" t="n">
        <v>3</v>
      </c>
      <c r="K115" s="598" t="s">
        <v>50</v>
      </c>
      <c r="L115" s="380" t="s">
        <v>58</v>
      </c>
      <c r="M115" s="545" t="n">
        <f aca="false">I115-D115</f>
        <v>1630</v>
      </c>
    </row>
    <row r="116" customFormat="false" ht="12.75" hidden="false" customHeight="true" outlineLevel="0" collapsed="false">
      <c r="A116" s="449" t="n">
        <v>11518</v>
      </c>
      <c r="B116" s="450" t="s">
        <v>14055</v>
      </c>
      <c r="C116" s="450" t="n">
        <v>2009</v>
      </c>
      <c r="D116" s="451" t="n">
        <v>40133</v>
      </c>
      <c r="E116" s="452" t="s">
        <v>14056</v>
      </c>
      <c r="F116" s="378" t="s">
        <v>14057</v>
      </c>
      <c r="G116" s="452" t="s">
        <v>1174</v>
      </c>
      <c r="H116" s="378" t="s">
        <v>13996</v>
      </c>
      <c r="I116" s="451" t="n">
        <v>43188</v>
      </c>
      <c r="J116" s="452" t="n">
        <v>3</v>
      </c>
      <c r="K116" s="591" t="s">
        <v>47</v>
      </c>
      <c r="L116" s="378" t="s">
        <v>60</v>
      </c>
      <c r="M116" s="546" t="n">
        <f aca="false">I116-D116</f>
        <v>3055</v>
      </c>
    </row>
    <row r="117" customFormat="false" ht="12.75" hidden="true" customHeight="true" outlineLevel="0" collapsed="false">
      <c r="A117" s="456" t="n">
        <v>11618</v>
      </c>
      <c r="B117" s="458" t="s">
        <v>14058</v>
      </c>
      <c r="C117" s="458" t="n">
        <v>2011</v>
      </c>
      <c r="D117" s="459" t="n">
        <v>40645</v>
      </c>
      <c r="E117" s="460" t="s">
        <v>14059</v>
      </c>
      <c r="F117" s="380" t="s">
        <v>2003</v>
      </c>
      <c r="G117" s="460" t="s">
        <v>441</v>
      </c>
      <c r="H117" s="380" t="s">
        <v>192</v>
      </c>
      <c r="I117" s="459" t="n">
        <v>43195</v>
      </c>
      <c r="J117" s="460" t="n">
        <v>4</v>
      </c>
      <c r="K117" s="598" t="s">
        <v>50</v>
      </c>
      <c r="L117" s="380" t="s">
        <v>60</v>
      </c>
      <c r="M117" s="545" t="n">
        <f aca="false">I117-D117</f>
        <v>2550</v>
      </c>
    </row>
    <row r="118" customFormat="false" ht="12.75" hidden="true" customHeight="true" outlineLevel="0" collapsed="false">
      <c r="A118" s="449" t="n">
        <v>11718</v>
      </c>
      <c r="B118" s="450" t="s">
        <v>14060</v>
      </c>
      <c r="C118" s="450" t="n">
        <v>2012</v>
      </c>
      <c r="D118" s="451" t="n">
        <v>40996</v>
      </c>
      <c r="E118" s="452" t="s">
        <v>14061</v>
      </c>
      <c r="F118" s="378" t="s">
        <v>4675</v>
      </c>
      <c r="G118" s="452" t="s">
        <v>144</v>
      </c>
      <c r="H118" s="378" t="s">
        <v>10901</v>
      </c>
      <c r="I118" s="451" t="n">
        <v>43195</v>
      </c>
      <c r="J118" s="452" t="n">
        <v>4</v>
      </c>
      <c r="K118" s="591" t="s">
        <v>47</v>
      </c>
      <c r="L118" s="378" t="s">
        <v>60</v>
      </c>
      <c r="M118" s="546" t="n">
        <f aca="false">I118-D118</f>
        <v>2199</v>
      </c>
    </row>
    <row r="119" customFormat="false" ht="12.75" hidden="false" customHeight="true" outlineLevel="0" collapsed="false">
      <c r="A119" s="456" t="n">
        <v>11818</v>
      </c>
      <c r="B119" s="458" t="s">
        <v>14062</v>
      </c>
      <c r="C119" s="458" t="n">
        <v>2013</v>
      </c>
      <c r="D119" s="459" t="n">
        <v>41404</v>
      </c>
      <c r="E119" s="460" t="s">
        <v>14063</v>
      </c>
      <c r="F119" s="380" t="s">
        <v>113</v>
      </c>
      <c r="G119" s="460" t="s">
        <v>1174</v>
      </c>
      <c r="H119" s="380" t="s">
        <v>1557</v>
      </c>
      <c r="I119" s="459" t="n">
        <v>43201</v>
      </c>
      <c r="J119" s="460" t="n">
        <v>4</v>
      </c>
      <c r="K119" s="591" t="s">
        <v>47</v>
      </c>
      <c r="L119" s="380" t="s">
        <v>60</v>
      </c>
      <c r="M119" s="545" t="n">
        <f aca="false">I119-D119</f>
        <v>1797</v>
      </c>
    </row>
    <row r="120" customFormat="false" ht="12.75" hidden="false" customHeight="true" outlineLevel="0" collapsed="false">
      <c r="A120" s="449" t="n">
        <v>11918</v>
      </c>
      <c r="B120" s="450" t="s">
        <v>14064</v>
      </c>
      <c r="C120" s="450" t="n">
        <v>2013</v>
      </c>
      <c r="D120" s="451" t="n">
        <v>41389</v>
      </c>
      <c r="E120" s="452" t="s">
        <v>14065</v>
      </c>
      <c r="F120" s="378" t="s">
        <v>1200</v>
      </c>
      <c r="G120" s="452" t="s">
        <v>1174</v>
      </c>
      <c r="H120" s="378" t="s">
        <v>354</v>
      </c>
      <c r="I120" s="451" t="n">
        <v>43206</v>
      </c>
      <c r="J120" s="452" t="n">
        <v>4</v>
      </c>
      <c r="K120" s="591" t="s">
        <v>47</v>
      </c>
      <c r="L120" s="378" t="s">
        <v>58</v>
      </c>
      <c r="M120" s="546" t="n">
        <f aca="false">I120-D120</f>
        <v>1817</v>
      </c>
    </row>
    <row r="121" customFormat="false" ht="12.75" hidden="false" customHeight="true" outlineLevel="0" collapsed="false">
      <c r="A121" s="456" t="n">
        <v>12018</v>
      </c>
      <c r="B121" s="458" t="s">
        <v>14066</v>
      </c>
      <c r="C121" s="458" t="n">
        <v>2013</v>
      </c>
      <c r="D121" s="459" t="n">
        <v>41389</v>
      </c>
      <c r="E121" s="460" t="s">
        <v>14067</v>
      </c>
      <c r="F121" s="380" t="s">
        <v>1200</v>
      </c>
      <c r="G121" s="460" t="s">
        <v>1174</v>
      </c>
      <c r="H121" s="380" t="s">
        <v>2296</v>
      </c>
      <c r="I121" s="459" t="n">
        <v>43206</v>
      </c>
      <c r="J121" s="460" t="n">
        <v>4</v>
      </c>
      <c r="K121" s="591" t="s">
        <v>47</v>
      </c>
      <c r="L121" s="380" t="s">
        <v>58</v>
      </c>
      <c r="M121" s="545" t="n">
        <f aca="false">I121-D121</f>
        <v>1817</v>
      </c>
    </row>
    <row r="122" customFormat="false" ht="12.75" hidden="true" customHeight="true" outlineLevel="0" collapsed="false">
      <c r="A122" s="449" t="n">
        <v>12118</v>
      </c>
      <c r="B122" s="450" t="s">
        <v>14068</v>
      </c>
      <c r="C122" s="450" t="n">
        <v>2014</v>
      </c>
      <c r="D122" s="451" t="n">
        <v>41927</v>
      </c>
      <c r="E122" s="452" t="s">
        <v>14069</v>
      </c>
      <c r="F122" s="537" t="s">
        <v>10840</v>
      </c>
      <c r="G122" s="452" t="s">
        <v>125</v>
      </c>
      <c r="H122" s="378" t="s">
        <v>14070</v>
      </c>
      <c r="I122" s="451" t="n">
        <v>43209</v>
      </c>
      <c r="J122" s="452" t="n">
        <v>4</v>
      </c>
      <c r="K122" s="598" t="s">
        <v>50</v>
      </c>
      <c r="L122" s="378" t="s">
        <v>61</v>
      </c>
      <c r="M122" s="546" t="n">
        <f aca="false">I122-D122</f>
        <v>1282</v>
      </c>
    </row>
    <row r="123" customFormat="false" ht="12.75" hidden="true" customHeight="true" outlineLevel="0" collapsed="false">
      <c r="A123" s="456" t="n">
        <v>12218</v>
      </c>
      <c r="B123" s="458" t="s">
        <v>14071</v>
      </c>
      <c r="C123" s="458" t="n">
        <v>2012</v>
      </c>
      <c r="D123" s="459" t="n">
        <v>41099</v>
      </c>
      <c r="E123" s="460" t="s">
        <v>14072</v>
      </c>
      <c r="F123" s="380" t="s">
        <v>569</v>
      </c>
      <c r="G123" s="460" t="s">
        <v>441</v>
      </c>
      <c r="H123" s="380" t="s">
        <v>1567</v>
      </c>
      <c r="I123" s="459" t="n">
        <v>43209</v>
      </c>
      <c r="J123" s="460" t="n">
        <v>4</v>
      </c>
      <c r="K123" s="591" t="s">
        <v>47</v>
      </c>
      <c r="L123" s="380" t="s">
        <v>58</v>
      </c>
      <c r="M123" s="545" t="n">
        <f aca="false">I123-D123</f>
        <v>2110</v>
      </c>
    </row>
    <row r="124" customFormat="false" ht="12.75" hidden="false" customHeight="true" outlineLevel="0" collapsed="false">
      <c r="A124" s="449" t="n">
        <v>12318</v>
      </c>
      <c r="B124" s="450" t="s">
        <v>14073</v>
      </c>
      <c r="C124" s="450" t="n">
        <v>2009</v>
      </c>
      <c r="D124" s="451" t="n">
        <v>40094</v>
      </c>
      <c r="E124" s="452" t="s">
        <v>14074</v>
      </c>
      <c r="F124" s="378" t="s">
        <v>1277</v>
      </c>
      <c r="G124" s="452" t="s">
        <v>1174</v>
      </c>
      <c r="H124" s="378" t="s">
        <v>4919</v>
      </c>
      <c r="I124" s="451" t="n">
        <v>43209</v>
      </c>
      <c r="J124" s="452" t="n">
        <v>4</v>
      </c>
      <c r="K124" s="593" t="s">
        <v>45</v>
      </c>
      <c r="L124" s="378" t="s">
        <v>58</v>
      </c>
      <c r="M124" s="546" t="n">
        <f aca="false">I124-D124</f>
        <v>3115</v>
      </c>
    </row>
    <row r="125" customFormat="false" ht="12.75" hidden="true" customHeight="true" outlineLevel="0" collapsed="false">
      <c r="A125" s="456" t="n">
        <v>12418</v>
      </c>
      <c r="B125" s="458" t="s">
        <v>14075</v>
      </c>
      <c r="C125" s="458" t="n">
        <v>2012</v>
      </c>
      <c r="D125" s="459" t="n">
        <v>40993</v>
      </c>
      <c r="E125" s="460" t="s">
        <v>14076</v>
      </c>
      <c r="F125" s="380" t="s">
        <v>446</v>
      </c>
      <c r="G125" s="460" t="s">
        <v>441</v>
      </c>
      <c r="H125" s="380" t="s">
        <v>354</v>
      </c>
      <c r="I125" s="459" t="n">
        <v>43209</v>
      </c>
      <c r="J125" s="460" t="n">
        <v>4</v>
      </c>
      <c r="K125" s="593" t="s">
        <v>45</v>
      </c>
      <c r="L125" s="380" t="s">
        <v>60</v>
      </c>
      <c r="M125" s="545" t="n">
        <f aca="false">I125-D125</f>
        <v>2216</v>
      </c>
    </row>
    <row r="126" customFormat="false" ht="12.75" hidden="true" customHeight="true" outlineLevel="0" collapsed="false">
      <c r="A126" s="449" t="n">
        <v>12518</v>
      </c>
      <c r="B126" s="450" t="s">
        <v>14077</v>
      </c>
      <c r="C126" s="450" t="n">
        <v>2012</v>
      </c>
      <c r="D126" s="451" t="n">
        <v>41043</v>
      </c>
      <c r="E126" s="452" t="s">
        <v>14078</v>
      </c>
      <c r="F126" s="378" t="s">
        <v>5968</v>
      </c>
      <c r="G126" s="452" t="s">
        <v>441</v>
      </c>
      <c r="H126" s="378" t="s">
        <v>12073</v>
      </c>
      <c r="I126" s="451" t="n">
        <v>43209</v>
      </c>
      <c r="J126" s="452" t="n">
        <v>4</v>
      </c>
      <c r="K126" s="592" t="s">
        <v>42</v>
      </c>
      <c r="L126" s="378" t="s">
        <v>58</v>
      </c>
      <c r="M126" s="546" t="n">
        <f aca="false">I126-D126</f>
        <v>2166</v>
      </c>
    </row>
    <row r="127" customFormat="false" ht="12.75" hidden="true" customHeight="true" outlineLevel="0" collapsed="false">
      <c r="A127" s="456" t="n">
        <v>12618</v>
      </c>
      <c r="B127" s="458" t="s">
        <v>14079</v>
      </c>
      <c r="C127" s="458" t="n">
        <v>2015</v>
      </c>
      <c r="D127" s="459" t="n">
        <v>42192</v>
      </c>
      <c r="E127" s="460" t="s">
        <v>14080</v>
      </c>
      <c r="F127" s="380" t="s">
        <v>5968</v>
      </c>
      <c r="G127" s="460" t="s">
        <v>441</v>
      </c>
      <c r="H127" s="380" t="s">
        <v>12073</v>
      </c>
      <c r="I127" s="459" t="n">
        <v>43209</v>
      </c>
      <c r="J127" s="460" t="n">
        <v>4</v>
      </c>
      <c r="K127" s="592" t="s">
        <v>42</v>
      </c>
      <c r="L127" s="380" t="s">
        <v>58</v>
      </c>
      <c r="M127" s="545" t="n">
        <f aca="false">I127-D127</f>
        <v>1017</v>
      </c>
    </row>
    <row r="128" customFormat="false" ht="12.75" hidden="true" customHeight="true" outlineLevel="0" collapsed="false">
      <c r="A128" s="449" t="n">
        <v>12718</v>
      </c>
      <c r="B128" s="450" t="s">
        <v>14081</v>
      </c>
      <c r="C128" s="450" t="n">
        <v>2015</v>
      </c>
      <c r="D128" s="451" t="n">
        <v>42332</v>
      </c>
      <c r="E128" s="452" t="s">
        <v>14082</v>
      </c>
      <c r="F128" s="378" t="s">
        <v>14083</v>
      </c>
      <c r="G128" s="452" t="s">
        <v>144</v>
      </c>
      <c r="H128" s="378" t="s">
        <v>13821</v>
      </c>
      <c r="I128" s="451" t="n">
        <v>43210</v>
      </c>
      <c r="J128" s="452" t="n">
        <v>4</v>
      </c>
      <c r="K128" s="592" t="s">
        <v>42</v>
      </c>
      <c r="L128" s="378" t="s">
        <v>58</v>
      </c>
      <c r="M128" s="546" t="n">
        <f aca="false">I128-D128</f>
        <v>878</v>
      </c>
    </row>
    <row r="129" customFormat="false" ht="12.75" hidden="false" customHeight="true" outlineLevel="0" collapsed="false">
      <c r="A129" s="456" t="n">
        <v>12818</v>
      </c>
      <c r="B129" s="458" t="s">
        <v>14084</v>
      </c>
      <c r="C129" s="458" t="n">
        <v>2011</v>
      </c>
      <c r="D129" s="459" t="n">
        <v>40574</v>
      </c>
      <c r="E129" s="460" t="s">
        <v>14085</v>
      </c>
      <c r="F129" s="380" t="s">
        <v>1200</v>
      </c>
      <c r="G129" s="460" t="s">
        <v>1174</v>
      </c>
      <c r="H129" s="380" t="s">
        <v>12073</v>
      </c>
      <c r="I129" s="459" t="n">
        <v>43215</v>
      </c>
      <c r="J129" s="460" t="n">
        <v>4</v>
      </c>
      <c r="K129" s="591" t="s">
        <v>47</v>
      </c>
      <c r="L129" s="380" t="s">
        <v>58</v>
      </c>
      <c r="M129" s="545" t="n">
        <f aca="false">I129-D129</f>
        <v>2641</v>
      </c>
    </row>
    <row r="130" customFormat="false" ht="12.75" hidden="true" customHeight="true" outlineLevel="0" collapsed="false">
      <c r="A130" s="449" t="n">
        <v>12918</v>
      </c>
      <c r="B130" s="450" t="s">
        <v>14086</v>
      </c>
      <c r="C130" s="450" t="n">
        <v>2016</v>
      </c>
      <c r="D130" s="451" t="n">
        <v>42657</v>
      </c>
      <c r="E130" s="452" t="s">
        <v>14087</v>
      </c>
      <c r="F130" s="378" t="s">
        <v>13262</v>
      </c>
      <c r="G130" s="452" t="s">
        <v>144</v>
      </c>
      <c r="H130" s="378" t="s">
        <v>13833</v>
      </c>
      <c r="I130" s="451" t="n">
        <v>43220</v>
      </c>
      <c r="J130" s="452" t="n">
        <v>4</v>
      </c>
      <c r="K130" s="592" t="s">
        <v>42</v>
      </c>
      <c r="L130" s="378" t="s">
        <v>58</v>
      </c>
      <c r="M130" s="546" t="n">
        <f aca="false">I130-D130</f>
        <v>563</v>
      </c>
    </row>
    <row r="131" customFormat="false" ht="12.75" hidden="true" customHeight="true" outlineLevel="0" collapsed="false">
      <c r="A131" s="456" t="n">
        <v>13018</v>
      </c>
      <c r="B131" s="458" t="s">
        <v>14088</v>
      </c>
      <c r="C131" s="458" t="n">
        <v>2014</v>
      </c>
      <c r="D131" s="459" t="n">
        <v>41927</v>
      </c>
      <c r="E131" s="460" t="s">
        <v>14089</v>
      </c>
      <c r="F131" s="536" t="s">
        <v>14090</v>
      </c>
      <c r="G131" s="460" t="s">
        <v>125</v>
      </c>
      <c r="H131" s="380" t="s">
        <v>14070</v>
      </c>
      <c r="I131" s="459" t="n">
        <v>43220</v>
      </c>
      <c r="J131" s="460" t="n">
        <v>4</v>
      </c>
      <c r="K131" s="598" t="s">
        <v>50</v>
      </c>
      <c r="L131" s="380" t="s">
        <v>61</v>
      </c>
      <c r="M131" s="545" t="n">
        <f aca="false">I131-D131</f>
        <v>1293</v>
      </c>
    </row>
    <row r="132" customFormat="false" ht="12.75" hidden="true" customHeight="true" outlineLevel="0" collapsed="false">
      <c r="A132" s="449" t="n">
        <v>13118</v>
      </c>
      <c r="B132" s="450" t="s">
        <v>14091</v>
      </c>
      <c r="C132" s="450" t="n">
        <v>2012</v>
      </c>
      <c r="D132" s="451" t="n">
        <v>41271</v>
      </c>
      <c r="E132" s="452" t="s">
        <v>14092</v>
      </c>
      <c r="F132" s="378" t="s">
        <v>207</v>
      </c>
      <c r="G132" s="452" t="s">
        <v>441</v>
      </c>
      <c r="H132" s="378" t="s">
        <v>13833</v>
      </c>
      <c r="I132" s="451" t="n">
        <v>43220</v>
      </c>
      <c r="J132" s="452" t="n">
        <v>4</v>
      </c>
      <c r="K132" s="591" t="s">
        <v>47</v>
      </c>
      <c r="L132" s="378" t="s">
        <v>58</v>
      </c>
      <c r="M132" s="546" t="n">
        <f aca="false">I132-D132</f>
        <v>1949</v>
      </c>
    </row>
    <row r="133" customFormat="false" ht="12.75" hidden="false" customHeight="true" outlineLevel="0" collapsed="false">
      <c r="A133" s="456" t="n">
        <v>13218</v>
      </c>
      <c r="B133" s="458" t="s">
        <v>14093</v>
      </c>
      <c r="C133" s="458" t="n">
        <v>2012</v>
      </c>
      <c r="D133" s="459" t="n">
        <v>41061</v>
      </c>
      <c r="E133" s="460" t="s">
        <v>14094</v>
      </c>
      <c r="F133" s="380" t="s">
        <v>2151</v>
      </c>
      <c r="G133" s="460" t="s">
        <v>1174</v>
      </c>
      <c r="H133" s="380" t="s">
        <v>1567</v>
      </c>
      <c r="I133" s="459" t="n">
        <v>43220</v>
      </c>
      <c r="J133" s="460" t="n">
        <v>4</v>
      </c>
      <c r="K133" s="591" t="s">
        <v>47</v>
      </c>
      <c r="L133" s="380" t="s">
        <v>58</v>
      </c>
      <c r="M133" s="545" t="n">
        <f aca="false">I133-D133</f>
        <v>2159</v>
      </c>
    </row>
    <row r="134" customFormat="false" ht="12.75" hidden="true" customHeight="true" outlineLevel="0" collapsed="false">
      <c r="A134" s="449" t="n">
        <v>13318</v>
      </c>
      <c r="B134" s="450" t="s">
        <v>14095</v>
      </c>
      <c r="C134" s="450" t="n">
        <v>2010</v>
      </c>
      <c r="D134" s="451" t="n">
        <v>40451</v>
      </c>
      <c r="E134" s="452" t="s">
        <v>14096</v>
      </c>
      <c r="F134" s="378" t="s">
        <v>699</v>
      </c>
      <c r="G134" s="452" t="s">
        <v>144</v>
      </c>
      <c r="H134" s="378" t="s">
        <v>13833</v>
      </c>
      <c r="I134" s="451" t="n">
        <v>43220</v>
      </c>
      <c r="J134" s="452" t="n">
        <v>4</v>
      </c>
      <c r="K134" s="598" t="s">
        <v>50</v>
      </c>
      <c r="L134" s="378" t="s">
        <v>60</v>
      </c>
      <c r="M134" s="546" t="n">
        <f aca="false">I134-D134</f>
        <v>2769</v>
      </c>
    </row>
    <row r="135" customFormat="false" ht="12.75" hidden="true" customHeight="true" outlineLevel="0" collapsed="false">
      <c r="A135" s="456" t="n">
        <v>13418</v>
      </c>
      <c r="B135" s="458" t="s">
        <v>14097</v>
      </c>
      <c r="C135" s="458" t="n">
        <v>2010</v>
      </c>
      <c r="D135" s="459" t="n">
        <v>40420</v>
      </c>
      <c r="E135" s="460" t="s">
        <v>14098</v>
      </c>
      <c r="F135" s="380" t="s">
        <v>1156</v>
      </c>
      <c r="G135" s="460" t="s">
        <v>441</v>
      </c>
      <c r="H135" s="380" t="s">
        <v>12183</v>
      </c>
      <c r="I135" s="459" t="n">
        <v>43220</v>
      </c>
      <c r="J135" s="460" t="n">
        <v>4</v>
      </c>
      <c r="K135" s="592" t="s">
        <v>42</v>
      </c>
      <c r="L135" s="380" t="s">
        <v>58</v>
      </c>
      <c r="M135" s="545" t="n">
        <f aca="false">I135-D135</f>
        <v>2800</v>
      </c>
    </row>
    <row r="136" customFormat="false" ht="12.75" hidden="true" customHeight="true" outlineLevel="0" collapsed="false">
      <c r="A136" s="449" t="n">
        <v>13518</v>
      </c>
      <c r="B136" s="450" t="s">
        <v>14099</v>
      </c>
      <c r="C136" s="450" t="n">
        <v>2010</v>
      </c>
      <c r="D136" s="451" t="n">
        <v>40451</v>
      </c>
      <c r="E136" s="452" t="s">
        <v>14100</v>
      </c>
      <c r="F136" s="378" t="s">
        <v>699</v>
      </c>
      <c r="G136" s="452" t="s">
        <v>144</v>
      </c>
      <c r="H136" s="378" t="s">
        <v>13833</v>
      </c>
      <c r="I136" s="451" t="n">
        <v>43220</v>
      </c>
      <c r="J136" s="452" t="n">
        <v>4</v>
      </c>
      <c r="K136" s="598" t="s">
        <v>50</v>
      </c>
      <c r="L136" s="378" t="s">
        <v>60</v>
      </c>
      <c r="M136" s="546" t="n">
        <f aca="false">I136-D136</f>
        <v>2769</v>
      </c>
    </row>
    <row r="137" customFormat="false" ht="12.75" hidden="false" customHeight="true" outlineLevel="0" collapsed="false">
      <c r="A137" s="456" t="n">
        <v>13618</v>
      </c>
      <c r="B137" s="458" t="s">
        <v>14101</v>
      </c>
      <c r="C137" s="458" t="n">
        <v>2013</v>
      </c>
      <c r="D137" s="459" t="n">
        <v>41403</v>
      </c>
      <c r="E137" s="460" t="s">
        <v>14102</v>
      </c>
      <c r="F137" s="380" t="s">
        <v>2151</v>
      </c>
      <c r="G137" s="460" t="s">
        <v>1174</v>
      </c>
      <c r="H137" s="380" t="s">
        <v>2296</v>
      </c>
      <c r="I137" s="459" t="n">
        <v>43220</v>
      </c>
      <c r="J137" s="460" t="n">
        <v>4</v>
      </c>
      <c r="K137" s="591" t="s">
        <v>47</v>
      </c>
      <c r="L137" s="380" t="s">
        <v>58</v>
      </c>
      <c r="M137" s="545" t="n">
        <f aca="false">I137-D137</f>
        <v>1817</v>
      </c>
    </row>
    <row r="138" customFormat="false" ht="12.75" hidden="true" customHeight="true" outlineLevel="0" collapsed="false">
      <c r="A138" s="449" t="n">
        <v>13718</v>
      </c>
      <c r="B138" s="450" t="s">
        <v>14103</v>
      </c>
      <c r="C138" s="450" t="n">
        <v>2011</v>
      </c>
      <c r="D138" s="451" t="n">
        <v>40787</v>
      </c>
      <c r="E138" s="452" t="s">
        <v>14104</v>
      </c>
      <c r="F138" s="378" t="s">
        <v>14105</v>
      </c>
      <c r="G138" s="452" t="s">
        <v>441</v>
      </c>
      <c r="H138" s="378" t="s">
        <v>13833</v>
      </c>
      <c r="I138" s="451" t="n">
        <v>43223</v>
      </c>
      <c r="J138" s="452" t="n">
        <v>5</v>
      </c>
      <c r="K138" s="591" t="s">
        <v>47</v>
      </c>
      <c r="L138" s="378" t="s">
        <v>58</v>
      </c>
      <c r="M138" s="546" t="n">
        <f aca="false">I138-D138</f>
        <v>2436</v>
      </c>
    </row>
    <row r="139" customFormat="false" ht="12.75" hidden="true" customHeight="true" outlineLevel="0" collapsed="false">
      <c r="A139" s="456" t="n">
        <v>13818</v>
      </c>
      <c r="B139" s="458" t="s">
        <v>14106</v>
      </c>
      <c r="C139" s="458" t="n">
        <v>2011</v>
      </c>
      <c r="D139" s="459" t="n">
        <v>40787</v>
      </c>
      <c r="E139" s="460" t="s">
        <v>14107</v>
      </c>
      <c r="F139" s="380" t="s">
        <v>14105</v>
      </c>
      <c r="G139" s="460" t="s">
        <v>441</v>
      </c>
      <c r="H139" s="380" t="s">
        <v>13833</v>
      </c>
      <c r="I139" s="459" t="n">
        <v>43223</v>
      </c>
      <c r="J139" s="460" t="n">
        <v>5</v>
      </c>
      <c r="K139" s="591" t="s">
        <v>47</v>
      </c>
      <c r="L139" s="380" t="s">
        <v>58</v>
      </c>
      <c r="M139" s="545" t="n">
        <f aca="false">I139-D139</f>
        <v>2436</v>
      </c>
    </row>
    <row r="140" customFormat="false" ht="12.75" hidden="true" customHeight="true" outlineLevel="0" collapsed="false">
      <c r="A140" s="449" t="n">
        <v>13918</v>
      </c>
      <c r="B140" s="450" t="s">
        <v>14108</v>
      </c>
      <c r="C140" s="450" t="n">
        <v>2011</v>
      </c>
      <c r="D140" s="451" t="n">
        <v>40686</v>
      </c>
      <c r="E140" s="452" t="s">
        <v>14109</v>
      </c>
      <c r="F140" s="378" t="s">
        <v>671</v>
      </c>
      <c r="G140" s="452" t="s">
        <v>441</v>
      </c>
      <c r="H140" s="378" t="s">
        <v>1072</v>
      </c>
      <c r="I140" s="451" t="n">
        <v>43223</v>
      </c>
      <c r="J140" s="452" t="n">
        <v>5</v>
      </c>
      <c r="K140" s="593" t="s">
        <v>45</v>
      </c>
      <c r="L140" s="378" t="s">
        <v>58</v>
      </c>
      <c r="M140" s="546" t="n">
        <f aca="false">I140-D140</f>
        <v>2537</v>
      </c>
    </row>
    <row r="141" customFormat="false" ht="12.75" hidden="true" customHeight="true" outlineLevel="0" collapsed="false">
      <c r="A141" s="456" t="n">
        <v>14018</v>
      </c>
      <c r="B141" s="458" t="s">
        <v>14110</v>
      </c>
      <c r="C141" s="458" t="n">
        <v>2011</v>
      </c>
      <c r="D141" s="459" t="n">
        <v>40633</v>
      </c>
      <c r="E141" s="460" t="s">
        <v>14111</v>
      </c>
      <c r="F141" s="380" t="s">
        <v>1277</v>
      </c>
      <c r="G141" s="460" t="s">
        <v>441</v>
      </c>
      <c r="H141" s="380" t="s">
        <v>12073</v>
      </c>
      <c r="I141" s="459" t="n">
        <v>43223</v>
      </c>
      <c r="J141" s="460" t="n">
        <v>5</v>
      </c>
      <c r="K141" s="591" t="s">
        <v>47</v>
      </c>
      <c r="L141" s="380" t="s">
        <v>58</v>
      </c>
      <c r="M141" s="545" t="n">
        <f aca="false">I141-D141</f>
        <v>2590</v>
      </c>
    </row>
    <row r="142" customFormat="false" ht="12.75" hidden="true" customHeight="true" outlineLevel="0" collapsed="false">
      <c r="A142" s="449" t="n">
        <v>14118</v>
      </c>
      <c r="B142" s="450" t="s">
        <v>14112</v>
      </c>
      <c r="C142" s="450" t="n">
        <v>2017</v>
      </c>
      <c r="D142" s="451" t="n">
        <v>42752</v>
      </c>
      <c r="E142" s="452" t="s">
        <v>14113</v>
      </c>
      <c r="F142" s="378" t="s">
        <v>1156</v>
      </c>
      <c r="G142" s="452" t="s">
        <v>441</v>
      </c>
      <c r="H142" s="378" t="s">
        <v>5447</v>
      </c>
      <c r="I142" s="451" t="n">
        <v>43227</v>
      </c>
      <c r="J142" s="452" t="n">
        <v>5</v>
      </c>
      <c r="K142" s="592" t="s">
        <v>42</v>
      </c>
      <c r="L142" s="378" t="s">
        <v>58</v>
      </c>
      <c r="M142" s="546" t="n">
        <f aca="false">I142-D142</f>
        <v>475</v>
      </c>
    </row>
    <row r="143" customFormat="false" ht="12.75" hidden="true" customHeight="true" outlineLevel="0" collapsed="false">
      <c r="A143" s="456" t="n">
        <v>14218</v>
      </c>
      <c r="B143" s="458" t="s">
        <v>14114</v>
      </c>
      <c r="C143" s="458" t="n">
        <v>2017</v>
      </c>
      <c r="D143" s="459" t="n">
        <v>42752</v>
      </c>
      <c r="E143" s="460" t="s">
        <v>14115</v>
      </c>
      <c r="F143" s="380" t="s">
        <v>1156</v>
      </c>
      <c r="G143" s="460" t="s">
        <v>441</v>
      </c>
      <c r="H143" s="380" t="s">
        <v>5447</v>
      </c>
      <c r="I143" s="459" t="n">
        <v>43227</v>
      </c>
      <c r="J143" s="460" t="n">
        <v>5</v>
      </c>
      <c r="K143" s="592" t="s">
        <v>42</v>
      </c>
      <c r="L143" s="380" t="s">
        <v>58</v>
      </c>
      <c r="M143" s="545" t="n">
        <f aca="false">I143-D143</f>
        <v>475</v>
      </c>
    </row>
    <row r="144" customFormat="false" ht="12.75" hidden="true" customHeight="true" outlineLevel="0" collapsed="false">
      <c r="A144" s="449" t="n">
        <v>14318</v>
      </c>
      <c r="B144" s="450" t="s">
        <v>14116</v>
      </c>
      <c r="C144" s="450" t="n">
        <v>2012</v>
      </c>
      <c r="D144" s="451" t="n">
        <v>41060</v>
      </c>
      <c r="E144" s="452" t="s">
        <v>14117</v>
      </c>
      <c r="F144" s="378" t="s">
        <v>1357</v>
      </c>
      <c r="G144" s="452" t="s">
        <v>441</v>
      </c>
      <c r="H144" s="378" t="s">
        <v>5447</v>
      </c>
      <c r="I144" s="451" t="n">
        <v>43227</v>
      </c>
      <c r="J144" s="452" t="n">
        <v>5</v>
      </c>
      <c r="K144" s="592" t="s">
        <v>42</v>
      </c>
      <c r="L144" s="378" t="s">
        <v>60</v>
      </c>
      <c r="M144" s="546" t="n">
        <f aca="false">I144-D144</f>
        <v>2167</v>
      </c>
    </row>
    <row r="145" customFormat="false" ht="12.75" hidden="true" customHeight="true" outlineLevel="0" collapsed="false">
      <c r="A145" s="456" t="n">
        <v>14418</v>
      </c>
      <c r="B145" s="458" t="s">
        <v>14118</v>
      </c>
      <c r="C145" s="458" t="n">
        <v>2014</v>
      </c>
      <c r="D145" s="459" t="n">
        <v>41950</v>
      </c>
      <c r="E145" s="460" t="s">
        <v>14119</v>
      </c>
      <c r="F145" s="536" t="s">
        <v>14120</v>
      </c>
      <c r="G145" s="460" t="s">
        <v>125</v>
      </c>
      <c r="H145" s="380" t="s">
        <v>119</v>
      </c>
      <c r="I145" s="459" t="n">
        <v>43227</v>
      </c>
      <c r="J145" s="460" t="n">
        <v>5</v>
      </c>
      <c r="K145" s="598" t="s">
        <v>50</v>
      </c>
      <c r="L145" s="380" t="s">
        <v>61</v>
      </c>
      <c r="M145" s="545" t="n">
        <f aca="false">I145-D145</f>
        <v>1277</v>
      </c>
    </row>
    <row r="146" customFormat="false" ht="12.75" hidden="true" customHeight="true" outlineLevel="0" collapsed="false">
      <c r="A146" s="449" t="n">
        <v>14518</v>
      </c>
      <c r="B146" s="450" t="s">
        <v>14121</v>
      </c>
      <c r="C146" s="450" t="n">
        <v>2013</v>
      </c>
      <c r="D146" s="451" t="n">
        <v>41631</v>
      </c>
      <c r="E146" s="452" t="s">
        <v>14122</v>
      </c>
      <c r="F146" s="378" t="s">
        <v>780</v>
      </c>
      <c r="G146" s="452" t="s">
        <v>441</v>
      </c>
      <c r="H146" s="378" t="s">
        <v>471</v>
      </c>
      <c r="I146" s="451" t="n">
        <v>43227</v>
      </c>
      <c r="J146" s="452" t="n">
        <v>5</v>
      </c>
      <c r="K146" s="592" t="s">
        <v>42</v>
      </c>
      <c r="L146" s="378" t="s">
        <v>60</v>
      </c>
      <c r="M146" s="546" t="n">
        <f aca="false">I146-D146</f>
        <v>1596</v>
      </c>
    </row>
    <row r="147" customFormat="false" ht="12.75" hidden="true" customHeight="true" outlineLevel="0" collapsed="false">
      <c r="A147" s="456" t="n">
        <v>14618</v>
      </c>
      <c r="B147" s="458" t="s">
        <v>14123</v>
      </c>
      <c r="C147" s="458" t="n">
        <v>2010</v>
      </c>
      <c r="D147" s="459" t="n">
        <v>40508</v>
      </c>
      <c r="E147" s="460" t="s">
        <v>14124</v>
      </c>
      <c r="F147" s="380" t="s">
        <v>569</v>
      </c>
      <c r="G147" s="460" t="s">
        <v>441</v>
      </c>
      <c r="H147" s="380" t="s">
        <v>4919</v>
      </c>
      <c r="I147" s="459" t="n">
        <v>43227</v>
      </c>
      <c r="J147" s="460" t="n">
        <v>5</v>
      </c>
      <c r="K147" s="591" t="s">
        <v>47</v>
      </c>
      <c r="L147" s="380" t="s">
        <v>58</v>
      </c>
      <c r="M147" s="545" t="n">
        <f aca="false">I147-D147</f>
        <v>2719</v>
      </c>
    </row>
    <row r="148" customFormat="false" ht="12.75" hidden="true" customHeight="true" outlineLevel="0" collapsed="false">
      <c r="A148" s="449" t="n">
        <v>14718</v>
      </c>
      <c r="B148" s="450" t="s">
        <v>14125</v>
      </c>
      <c r="C148" s="450" t="n">
        <v>2012</v>
      </c>
      <c r="D148" s="451" t="n">
        <v>41142</v>
      </c>
      <c r="E148" s="452" t="s">
        <v>14126</v>
      </c>
      <c r="F148" s="378" t="s">
        <v>2003</v>
      </c>
      <c r="G148" s="452" t="s">
        <v>441</v>
      </c>
      <c r="H148" s="378" t="s">
        <v>5447</v>
      </c>
      <c r="I148" s="451" t="n">
        <v>43234</v>
      </c>
      <c r="J148" s="452" t="n">
        <v>5</v>
      </c>
      <c r="K148" s="592" t="s">
        <v>42</v>
      </c>
      <c r="L148" s="378" t="s">
        <v>60</v>
      </c>
      <c r="M148" s="546" t="n">
        <f aca="false">I148-D148</f>
        <v>2092</v>
      </c>
    </row>
    <row r="149" customFormat="false" ht="12.75" hidden="true" customHeight="true" outlineLevel="0" collapsed="false">
      <c r="A149" s="456" t="n">
        <v>14818</v>
      </c>
      <c r="B149" s="458" t="s">
        <v>14127</v>
      </c>
      <c r="C149" s="458" t="n">
        <v>2012</v>
      </c>
      <c r="D149" s="459" t="n">
        <v>41096</v>
      </c>
      <c r="E149" s="460" t="s">
        <v>14128</v>
      </c>
      <c r="F149" s="380" t="s">
        <v>2003</v>
      </c>
      <c r="G149" s="460" t="s">
        <v>441</v>
      </c>
      <c r="H149" s="380" t="s">
        <v>5447</v>
      </c>
      <c r="I149" s="459" t="n">
        <v>43234</v>
      </c>
      <c r="J149" s="460" t="n">
        <v>5</v>
      </c>
      <c r="K149" s="592" t="s">
        <v>42</v>
      </c>
      <c r="L149" s="380" t="s">
        <v>60</v>
      </c>
      <c r="M149" s="545" t="n">
        <f aca="false">I149-D149</f>
        <v>2138</v>
      </c>
    </row>
    <row r="150" customFormat="false" ht="12.75" hidden="false" customHeight="true" outlineLevel="0" collapsed="false">
      <c r="A150" s="449" t="n">
        <v>14918</v>
      </c>
      <c r="B150" s="450" t="s">
        <v>14129</v>
      </c>
      <c r="C150" s="450" t="n">
        <v>2010</v>
      </c>
      <c r="D150" s="451" t="n">
        <v>40542</v>
      </c>
      <c r="E150" s="452" t="s">
        <v>14130</v>
      </c>
      <c r="F150" s="378" t="s">
        <v>699</v>
      </c>
      <c r="G150" s="452" t="s">
        <v>1174</v>
      </c>
      <c r="H150" s="378" t="s">
        <v>3268</v>
      </c>
      <c r="I150" s="451" t="n">
        <v>43235</v>
      </c>
      <c r="J150" s="452" t="n">
        <v>5</v>
      </c>
      <c r="K150" s="592" t="s">
        <v>42</v>
      </c>
      <c r="L150" s="378" t="s">
        <v>60</v>
      </c>
      <c r="M150" s="546" t="n">
        <f aca="false">I150-D150</f>
        <v>2693</v>
      </c>
    </row>
    <row r="151" customFormat="false" ht="12.75" hidden="true" customHeight="true" outlineLevel="0" collapsed="false">
      <c r="A151" s="456" t="n">
        <v>15018</v>
      </c>
      <c r="B151" s="458" t="s">
        <v>14131</v>
      </c>
      <c r="C151" s="458" t="n">
        <v>2010</v>
      </c>
      <c r="D151" s="459" t="n">
        <v>40420</v>
      </c>
      <c r="E151" s="460" t="s">
        <v>14132</v>
      </c>
      <c r="F151" s="380" t="s">
        <v>14133</v>
      </c>
      <c r="G151" s="460" t="s">
        <v>441</v>
      </c>
      <c r="H151" s="380" t="s">
        <v>13821</v>
      </c>
      <c r="I151" s="459" t="n">
        <v>43235</v>
      </c>
      <c r="J151" s="460" t="n">
        <v>5</v>
      </c>
      <c r="K151" s="592" t="s">
        <v>42</v>
      </c>
      <c r="L151" s="380" t="s">
        <v>58</v>
      </c>
      <c r="M151" s="545" t="n">
        <f aca="false">I151-D151</f>
        <v>2815</v>
      </c>
    </row>
    <row r="152" customFormat="false" ht="12.75" hidden="true" customHeight="true" outlineLevel="0" collapsed="false">
      <c r="A152" s="449" t="n">
        <v>15118</v>
      </c>
      <c r="B152" s="450" t="s">
        <v>14134</v>
      </c>
      <c r="C152" s="450" t="n">
        <v>2010</v>
      </c>
      <c r="D152" s="451" t="n">
        <v>40422</v>
      </c>
      <c r="E152" s="452" t="s">
        <v>14135</v>
      </c>
      <c r="F152" s="378" t="s">
        <v>14133</v>
      </c>
      <c r="G152" s="452" t="s">
        <v>441</v>
      </c>
      <c r="H152" s="378" t="s">
        <v>13821</v>
      </c>
      <c r="I152" s="451" t="n">
        <v>43235</v>
      </c>
      <c r="J152" s="452" t="n">
        <v>5</v>
      </c>
      <c r="K152" s="592" t="s">
        <v>42</v>
      </c>
      <c r="L152" s="378" t="s">
        <v>58</v>
      </c>
      <c r="M152" s="546" t="n">
        <f aca="false">I152-D152</f>
        <v>2813</v>
      </c>
    </row>
    <row r="153" customFormat="false" ht="12.75" hidden="false" customHeight="true" outlineLevel="0" collapsed="false">
      <c r="A153" s="456" t="n">
        <v>15218</v>
      </c>
      <c r="B153" s="458" t="s">
        <v>14136</v>
      </c>
      <c r="C153" s="458" t="n">
        <v>2012</v>
      </c>
      <c r="D153" s="459" t="n">
        <v>41269</v>
      </c>
      <c r="E153" s="460" t="s">
        <v>14137</v>
      </c>
      <c r="F153" s="380" t="s">
        <v>699</v>
      </c>
      <c r="G153" s="460" t="s">
        <v>1174</v>
      </c>
      <c r="H153" s="380" t="s">
        <v>5447</v>
      </c>
      <c r="I153" s="459" t="n">
        <v>43235</v>
      </c>
      <c r="J153" s="460" t="n">
        <v>5</v>
      </c>
      <c r="K153" s="592" t="s">
        <v>42</v>
      </c>
      <c r="L153" s="380" t="s">
        <v>60</v>
      </c>
      <c r="M153" s="545" t="n">
        <f aca="false">I153-D153</f>
        <v>1966</v>
      </c>
    </row>
    <row r="154" customFormat="false" ht="12.75" hidden="true" customHeight="true" outlineLevel="0" collapsed="false">
      <c r="A154" s="449" t="n">
        <v>15318</v>
      </c>
      <c r="B154" s="450" t="s">
        <v>14138</v>
      </c>
      <c r="C154" s="450" t="n">
        <v>2011</v>
      </c>
      <c r="D154" s="451" t="n">
        <v>40786</v>
      </c>
      <c r="E154" s="452" t="s">
        <v>14139</v>
      </c>
      <c r="F154" s="378" t="s">
        <v>1156</v>
      </c>
      <c r="G154" s="452" t="s">
        <v>441</v>
      </c>
      <c r="H154" s="378" t="s">
        <v>4919</v>
      </c>
      <c r="I154" s="451" t="n">
        <v>43238</v>
      </c>
      <c r="J154" s="452" t="n">
        <v>5</v>
      </c>
      <c r="K154" s="592" t="s">
        <v>42</v>
      </c>
      <c r="L154" s="378" t="s">
        <v>58</v>
      </c>
      <c r="M154" s="546" t="n">
        <f aca="false">I154-D154</f>
        <v>2452</v>
      </c>
    </row>
    <row r="155" customFormat="false" ht="12.75" hidden="true" customHeight="true" outlineLevel="0" collapsed="false">
      <c r="A155" s="456" t="n">
        <v>15418</v>
      </c>
      <c r="B155" s="458" t="s">
        <v>14140</v>
      </c>
      <c r="C155" s="458" t="n">
        <v>2017</v>
      </c>
      <c r="D155" s="459" t="n">
        <v>43010</v>
      </c>
      <c r="E155" s="460" t="s">
        <v>14141</v>
      </c>
      <c r="F155" s="599" t="s">
        <v>14142</v>
      </c>
      <c r="G155" s="460" t="s">
        <v>125</v>
      </c>
      <c r="H155" s="380" t="s">
        <v>6469</v>
      </c>
      <c r="I155" s="459" t="n">
        <v>43241</v>
      </c>
      <c r="J155" s="460" t="n">
        <v>5</v>
      </c>
      <c r="K155" s="598" t="s">
        <v>50</v>
      </c>
      <c r="L155" s="380" t="s">
        <v>61</v>
      </c>
      <c r="M155" s="545" t="n">
        <f aca="false">I155-D155</f>
        <v>231</v>
      </c>
    </row>
    <row r="156" customFormat="false" ht="12.75" hidden="true" customHeight="true" outlineLevel="0" collapsed="false">
      <c r="A156" s="449" t="n">
        <v>15518</v>
      </c>
      <c r="B156" s="450" t="s">
        <v>14143</v>
      </c>
      <c r="C156" s="450" t="n">
        <v>2017</v>
      </c>
      <c r="D156" s="451" t="n">
        <v>43019</v>
      </c>
      <c r="E156" s="452" t="s">
        <v>14144</v>
      </c>
      <c r="F156" s="600" t="s">
        <v>14145</v>
      </c>
      <c r="G156" s="452" t="s">
        <v>125</v>
      </c>
      <c r="H156" s="378" t="s">
        <v>6469</v>
      </c>
      <c r="I156" s="451" t="n">
        <v>43241</v>
      </c>
      <c r="J156" s="452" t="n">
        <v>5</v>
      </c>
      <c r="K156" s="598" t="s">
        <v>50</v>
      </c>
      <c r="L156" s="378" t="s">
        <v>61</v>
      </c>
      <c r="M156" s="546" t="n">
        <f aca="false">I156-D156</f>
        <v>222</v>
      </c>
    </row>
    <row r="157" customFormat="false" ht="12.75" hidden="false" customHeight="true" outlineLevel="0" collapsed="false">
      <c r="A157" s="456" t="n">
        <v>15618</v>
      </c>
      <c r="B157" s="458" t="s">
        <v>14146</v>
      </c>
      <c r="C157" s="458" t="n">
        <v>2013</v>
      </c>
      <c r="D157" s="459" t="n">
        <v>41415</v>
      </c>
      <c r="E157" s="460" t="s">
        <v>14147</v>
      </c>
      <c r="F157" s="380" t="s">
        <v>705</v>
      </c>
      <c r="G157" s="460" t="s">
        <v>1174</v>
      </c>
      <c r="H157" s="380" t="s">
        <v>13847</v>
      </c>
      <c r="I157" s="459" t="n">
        <v>43241</v>
      </c>
      <c r="J157" s="460" t="n">
        <v>5</v>
      </c>
      <c r="K157" s="591" t="s">
        <v>47</v>
      </c>
      <c r="L157" s="380" t="s">
        <v>58</v>
      </c>
      <c r="M157" s="545" t="n">
        <f aca="false">I157-D157</f>
        <v>1826</v>
      </c>
    </row>
    <row r="158" customFormat="false" ht="12.75" hidden="false" customHeight="true" outlineLevel="0" collapsed="false">
      <c r="A158" s="449" t="n">
        <v>15718</v>
      </c>
      <c r="B158" s="450" t="s">
        <v>14148</v>
      </c>
      <c r="C158" s="450" t="n">
        <v>2013</v>
      </c>
      <c r="D158" s="451" t="n">
        <v>41437</v>
      </c>
      <c r="E158" s="452" t="s">
        <v>14149</v>
      </c>
      <c r="F158" s="378" t="s">
        <v>705</v>
      </c>
      <c r="G158" s="452" t="s">
        <v>1174</v>
      </c>
      <c r="H158" s="378" t="s">
        <v>471</v>
      </c>
      <c r="I158" s="451" t="n">
        <v>43241</v>
      </c>
      <c r="J158" s="452" t="n">
        <v>5</v>
      </c>
      <c r="K158" s="591" t="s">
        <v>47</v>
      </c>
      <c r="L158" s="378" t="s">
        <v>58</v>
      </c>
      <c r="M158" s="546" t="n">
        <f aca="false">I158-D158</f>
        <v>1804</v>
      </c>
    </row>
    <row r="159" customFormat="false" ht="12.75" hidden="false" customHeight="true" outlineLevel="0" collapsed="false">
      <c r="A159" s="456" t="n">
        <v>15818</v>
      </c>
      <c r="B159" s="458" t="s">
        <v>14150</v>
      </c>
      <c r="C159" s="458" t="n">
        <v>2013</v>
      </c>
      <c r="D159" s="459" t="n">
        <v>41585</v>
      </c>
      <c r="E159" s="460" t="s">
        <v>14151</v>
      </c>
      <c r="F159" s="380" t="s">
        <v>705</v>
      </c>
      <c r="G159" s="460" t="s">
        <v>1174</v>
      </c>
      <c r="H159" s="380" t="s">
        <v>522</v>
      </c>
      <c r="I159" s="459" t="n">
        <v>43241</v>
      </c>
      <c r="J159" s="460" t="n">
        <v>5</v>
      </c>
      <c r="K159" s="591" t="s">
        <v>47</v>
      </c>
      <c r="L159" s="380" t="s">
        <v>58</v>
      </c>
      <c r="M159" s="545" t="n">
        <f aca="false">I159-D159</f>
        <v>1656</v>
      </c>
    </row>
    <row r="160" customFormat="false" ht="12.75" hidden="true" customHeight="true" outlineLevel="0" collapsed="false">
      <c r="A160" s="449" t="n">
        <v>15918</v>
      </c>
      <c r="B160" s="450" t="s">
        <v>14152</v>
      </c>
      <c r="C160" s="450" t="n">
        <v>2017</v>
      </c>
      <c r="D160" s="451" t="n">
        <v>42964</v>
      </c>
      <c r="E160" s="452" t="s">
        <v>14153</v>
      </c>
      <c r="F160" s="600" t="s">
        <v>14154</v>
      </c>
      <c r="G160" s="452" t="s">
        <v>125</v>
      </c>
      <c r="H160" s="378" t="s">
        <v>6469</v>
      </c>
      <c r="I160" s="451" t="n">
        <v>43241</v>
      </c>
      <c r="J160" s="452" t="n">
        <v>5</v>
      </c>
      <c r="K160" s="598" t="s">
        <v>50</v>
      </c>
      <c r="L160" s="378" t="s">
        <v>61</v>
      </c>
      <c r="M160" s="546" t="n">
        <f aca="false">I160-D160</f>
        <v>277</v>
      </c>
    </row>
    <row r="161" customFormat="false" ht="12.75" hidden="true" customHeight="true" outlineLevel="0" collapsed="false">
      <c r="A161" s="456" t="n">
        <v>16018</v>
      </c>
      <c r="B161" s="458" t="s">
        <v>14155</v>
      </c>
      <c r="C161" s="458" t="n">
        <v>2017</v>
      </c>
      <c r="D161" s="459" t="n">
        <v>42979</v>
      </c>
      <c r="E161" s="460" t="s">
        <v>14156</v>
      </c>
      <c r="F161" s="599" t="s">
        <v>14154</v>
      </c>
      <c r="G161" s="460" t="s">
        <v>125</v>
      </c>
      <c r="H161" s="380" t="s">
        <v>6469</v>
      </c>
      <c r="I161" s="459" t="n">
        <v>43241</v>
      </c>
      <c r="J161" s="460" t="n">
        <v>5</v>
      </c>
      <c r="K161" s="598" t="s">
        <v>50</v>
      </c>
      <c r="L161" s="380" t="s">
        <v>61</v>
      </c>
      <c r="M161" s="545" t="n">
        <f aca="false">I161-D161</f>
        <v>262</v>
      </c>
    </row>
    <row r="162" customFormat="false" ht="12.75" hidden="false" customHeight="true" outlineLevel="0" collapsed="false">
      <c r="A162" s="449" t="n">
        <v>16118</v>
      </c>
      <c r="B162" s="450" t="s">
        <v>14157</v>
      </c>
      <c r="C162" s="450" t="n">
        <v>2013</v>
      </c>
      <c r="D162" s="451" t="n">
        <v>41313</v>
      </c>
      <c r="E162" s="452" t="s">
        <v>14158</v>
      </c>
      <c r="F162" s="378" t="s">
        <v>705</v>
      </c>
      <c r="G162" s="452" t="s">
        <v>1174</v>
      </c>
      <c r="H162" s="378" t="s">
        <v>14036</v>
      </c>
      <c r="I162" s="451" t="n">
        <v>43241</v>
      </c>
      <c r="J162" s="452" t="n">
        <v>5</v>
      </c>
      <c r="K162" s="591" t="s">
        <v>47</v>
      </c>
      <c r="L162" s="378" t="s">
        <v>58</v>
      </c>
      <c r="M162" s="546" t="n">
        <f aca="false">I162-D162</f>
        <v>1928</v>
      </c>
    </row>
    <row r="163" customFormat="false" ht="12.75" hidden="false" customHeight="true" outlineLevel="0" collapsed="false">
      <c r="A163" s="456" t="n">
        <v>16218</v>
      </c>
      <c r="B163" s="458" t="s">
        <v>14159</v>
      </c>
      <c r="C163" s="458" t="n">
        <v>2014</v>
      </c>
      <c r="D163" s="459" t="n">
        <v>41788</v>
      </c>
      <c r="E163" s="460" t="s">
        <v>14160</v>
      </c>
      <c r="F163" s="380" t="s">
        <v>705</v>
      </c>
      <c r="G163" s="460" t="s">
        <v>1174</v>
      </c>
      <c r="H163" s="380" t="s">
        <v>5230</v>
      </c>
      <c r="I163" s="459" t="n">
        <v>43241</v>
      </c>
      <c r="J163" s="460" t="n">
        <v>5</v>
      </c>
      <c r="K163" s="591" t="s">
        <v>47</v>
      </c>
      <c r="L163" s="380" t="s">
        <v>58</v>
      </c>
      <c r="M163" s="545" t="n">
        <f aca="false">I163-D163</f>
        <v>1453</v>
      </c>
    </row>
    <row r="164" customFormat="false" ht="12.75" hidden="true" customHeight="true" outlineLevel="0" collapsed="false">
      <c r="A164" s="449" t="n">
        <v>16318</v>
      </c>
      <c r="B164" s="450" t="s">
        <v>14161</v>
      </c>
      <c r="C164" s="450" t="n">
        <v>2011</v>
      </c>
      <c r="D164" s="451" t="n">
        <v>40742</v>
      </c>
      <c r="E164" s="452" t="s">
        <v>14162</v>
      </c>
      <c r="F164" s="378" t="s">
        <v>4956</v>
      </c>
      <c r="G164" s="452" t="s">
        <v>441</v>
      </c>
      <c r="H164" s="378" t="s">
        <v>471</v>
      </c>
      <c r="I164" s="451" t="n">
        <v>43242</v>
      </c>
      <c r="J164" s="452" t="n">
        <v>5</v>
      </c>
      <c r="K164" s="591" t="s">
        <v>47</v>
      </c>
      <c r="L164" s="378" t="s">
        <v>58</v>
      </c>
      <c r="M164" s="546" t="n">
        <f aca="false">I164-D164</f>
        <v>2500</v>
      </c>
    </row>
    <row r="165" customFormat="false" ht="12.75" hidden="true" customHeight="true" outlineLevel="0" collapsed="false">
      <c r="A165" s="456" t="n">
        <v>16418</v>
      </c>
      <c r="B165" s="458" t="s">
        <v>14163</v>
      </c>
      <c r="C165" s="458" t="n">
        <v>2012</v>
      </c>
      <c r="D165" s="459" t="n">
        <v>41177</v>
      </c>
      <c r="E165" s="460" t="s">
        <v>14164</v>
      </c>
      <c r="F165" s="380" t="s">
        <v>699</v>
      </c>
      <c r="G165" s="460" t="s">
        <v>441</v>
      </c>
      <c r="H165" s="380" t="s">
        <v>4919</v>
      </c>
      <c r="I165" s="459" t="n">
        <v>43244</v>
      </c>
      <c r="J165" s="460" t="n">
        <v>5</v>
      </c>
      <c r="K165" s="592" t="s">
        <v>42</v>
      </c>
      <c r="L165" s="380" t="s">
        <v>60</v>
      </c>
      <c r="M165" s="545" t="n">
        <f aca="false">I165-D165</f>
        <v>2067</v>
      </c>
    </row>
    <row r="166" customFormat="false" ht="12.75" hidden="false" customHeight="true" outlineLevel="0" collapsed="false">
      <c r="A166" s="449" t="n">
        <v>16518</v>
      </c>
      <c r="B166" s="450" t="s">
        <v>14165</v>
      </c>
      <c r="C166" s="450" t="n">
        <v>2011</v>
      </c>
      <c r="D166" s="451" t="n">
        <v>40905</v>
      </c>
      <c r="E166" s="452" t="s">
        <v>14166</v>
      </c>
      <c r="F166" s="378" t="s">
        <v>113</v>
      </c>
      <c r="G166" s="452" t="s">
        <v>1174</v>
      </c>
      <c r="H166" s="378" t="s">
        <v>1567</v>
      </c>
      <c r="I166" s="451" t="n">
        <v>43245</v>
      </c>
      <c r="J166" s="452" t="n">
        <v>5</v>
      </c>
      <c r="K166" s="591" t="s">
        <v>47</v>
      </c>
      <c r="L166" s="378" t="s">
        <v>60</v>
      </c>
      <c r="M166" s="546" t="n">
        <f aca="false">I166-D166</f>
        <v>2340</v>
      </c>
    </row>
    <row r="167" customFormat="false" ht="12.75" hidden="false" customHeight="true" outlineLevel="0" collapsed="false">
      <c r="A167" s="456" t="n">
        <v>16618</v>
      </c>
      <c r="B167" s="458" t="s">
        <v>14167</v>
      </c>
      <c r="C167" s="458" t="n">
        <v>2012</v>
      </c>
      <c r="D167" s="459" t="n">
        <v>41250</v>
      </c>
      <c r="E167" s="460" t="s">
        <v>14168</v>
      </c>
      <c r="F167" s="380" t="s">
        <v>3924</v>
      </c>
      <c r="G167" s="460" t="s">
        <v>1174</v>
      </c>
      <c r="H167" s="380" t="s">
        <v>2744</v>
      </c>
      <c r="I167" s="459" t="n">
        <v>43245</v>
      </c>
      <c r="J167" s="460" t="n">
        <v>5</v>
      </c>
      <c r="K167" s="593" t="s">
        <v>45</v>
      </c>
      <c r="L167" s="380" t="s">
        <v>58</v>
      </c>
      <c r="M167" s="545" t="n">
        <f aca="false">I167-D167</f>
        <v>1995</v>
      </c>
    </row>
    <row r="168" customFormat="false" ht="12.75" hidden="true" customHeight="true" outlineLevel="0" collapsed="false">
      <c r="A168" s="449" t="n">
        <v>16718</v>
      </c>
      <c r="B168" s="450" t="s">
        <v>14169</v>
      </c>
      <c r="C168" s="450" t="n">
        <v>2013</v>
      </c>
      <c r="D168" s="451" t="n">
        <v>41309</v>
      </c>
      <c r="E168" s="452" t="s">
        <v>14170</v>
      </c>
      <c r="F168" s="378" t="s">
        <v>4623</v>
      </c>
      <c r="G168" s="452" t="s">
        <v>441</v>
      </c>
      <c r="H168" s="378" t="s">
        <v>13858</v>
      </c>
      <c r="I168" s="451" t="n">
        <v>43245</v>
      </c>
      <c r="J168" s="452" t="n">
        <v>5</v>
      </c>
      <c r="K168" s="592" t="s">
        <v>42</v>
      </c>
      <c r="L168" s="378" t="s">
        <v>60</v>
      </c>
      <c r="M168" s="546" t="n">
        <f aca="false">I168-D168</f>
        <v>1936</v>
      </c>
    </row>
    <row r="169" customFormat="false" ht="15.75" hidden="false" customHeight="true" outlineLevel="0" collapsed="false">
      <c r="A169" s="456" t="n">
        <v>16818</v>
      </c>
      <c r="B169" s="458" t="s">
        <v>14171</v>
      </c>
      <c r="C169" s="458" t="n">
        <v>2018</v>
      </c>
      <c r="D169" s="459" t="n">
        <v>43185</v>
      </c>
      <c r="E169" s="460" t="s">
        <v>14172</v>
      </c>
      <c r="F169" s="380" t="s">
        <v>9647</v>
      </c>
      <c r="G169" s="460" t="s">
        <v>1174</v>
      </c>
      <c r="H169" s="380" t="s">
        <v>192</v>
      </c>
      <c r="I169" s="459" t="n">
        <v>43248</v>
      </c>
      <c r="J169" s="460" t="n">
        <v>5</v>
      </c>
      <c r="K169" s="598" t="s">
        <v>50</v>
      </c>
      <c r="L169" s="380" t="s">
        <v>60</v>
      </c>
      <c r="M169" s="545" t="n">
        <f aca="false">I169-D169</f>
        <v>63</v>
      </c>
    </row>
    <row r="170" customFormat="false" ht="12.75" hidden="false" customHeight="true" outlineLevel="0" collapsed="false">
      <c r="A170" s="449" t="n">
        <v>16918</v>
      </c>
      <c r="B170" s="450" t="s">
        <v>14173</v>
      </c>
      <c r="C170" s="450" t="n">
        <v>2014</v>
      </c>
      <c r="D170" s="451" t="n">
        <v>41806</v>
      </c>
      <c r="E170" s="452" t="s">
        <v>14174</v>
      </c>
      <c r="F170" s="378" t="s">
        <v>176</v>
      </c>
      <c r="G170" s="452" t="s">
        <v>1174</v>
      </c>
      <c r="H170" s="378" t="s">
        <v>192</v>
      </c>
      <c r="I170" s="451" t="n">
        <v>43249</v>
      </c>
      <c r="J170" s="452" t="n">
        <v>5</v>
      </c>
      <c r="K170" s="591" t="s">
        <v>47</v>
      </c>
      <c r="L170" s="378" t="s">
        <v>60</v>
      </c>
      <c r="M170" s="546" t="n">
        <f aca="false">I170-D170</f>
        <v>1443</v>
      </c>
    </row>
    <row r="171" customFormat="false" ht="12.75" hidden="false" customHeight="true" outlineLevel="0" collapsed="false">
      <c r="A171" s="456" t="n">
        <v>17018</v>
      </c>
      <c r="B171" s="458" t="s">
        <v>14175</v>
      </c>
      <c r="C171" s="458" t="n">
        <v>2015</v>
      </c>
      <c r="D171" s="459" t="n">
        <v>42296</v>
      </c>
      <c r="E171" s="460" t="s">
        <v>14176</v>
      </c>
      <c r="F171" s="380" t="s">
        <v>14177</v>
      </c>
      <c r="G171" s="460" t="s">
        <v>1174</v>
      </c>
      <c r="H171" s="380" t="s">
        <v>12183</v>
      </c>
      <c r="I171" s="459" t="n">
        <v>43250</v>
      </c>
      <c r="J171" s="460" t="n">
        <v>5</v>
      </c>
      <c r="K171" s="591" t="s">
        <v>47</v>
      </c>
      <c r="L171" s="380" t="s">
        <v>60</v>
      </c>
      <c r="M171" s="545" t="n">
        <f aca="false">I171-D171</f>
        <v>954</v>
      </c>
    </row>
    <row r="172" customFormat="false" ht="12.75" hidden="false" customHeight="true" outlineLevel="0" collapsed="false">
      <c r="A172" s="449" t="n">
        <v>17118</v>
      </c>
      <c r="B172" s="450" t="s">
        <v>14178</v>
      </c>
      <c r="C172" s="450" t="n">
        <v>2016</v>
      </c>
      <c r="D172" s="451" t="n">
        <v>42600</v>
      </c>
      <c r="E172" s="452" t="s">
        <v>14179</v>
      </c>
      <c r="F172" s="378" t="s">
        <v>14177</v>
      </c>
      <c r="G172" s="452" t="s">
        <v>1174</v>
      </c>
      <c r="H172" s="378" t="s">
        <v>263</v>
      </c>
      <c r="I172" s="451" t="n">
        <v>43250</v>
      </c>
      <c r="J172" s="452" t="n">
        <v>5</v>
      </c>
      <c r="K172" s="591" t="s">
        <v>47</v>
      </c>
      <c r="L172" s="378" t="s">
        <v>60</v>
      </c>
      <c r="M172" s="546" t="n">
        <f aca="false">I172-D172</f>
        <v>650</v>
      </c>
    </row>
    <row r="173" customFormat="false" ht="12.75" hidden="false" customHeight="true" outlineLevel="0" collapsed="false">
      <c r="A173" s="456" t="n">
        <v>17218</v>
      </c>
      <c r="B173" s="458" t="s">
        <v>14180</v>
      </c>
      <c r="C173" s="458" t="n">
        <v>2012</v>
      </c>
      <c r="D173" s="459" t="n">
        <v>41152</v>
      </c>
      <c r="E173" s="460" t="s">
        <v>14181</v>
      </c>
      <c r="F173" s="380" t="s">
        <v>668</v>
      </c>
      <c r="G173" s="460" t="s">
        <v>1174</v>
      </c>
      <c r="H173" s="380" t="s">
        <v>5230</v>
      </c>
      <c r="I173" s="459" t="n">
        <v>43250</v>
      </c>
      <c r="J173" s="460" t="n">
        <v>5</v>
      </c>
      <c r="K173" s="592" t="s">
        <v>42</v>
      </c>
      <c r="L173" s="380" t="s">
        <v>58</v>
      </c>
      <c r="M173" s="545" t="n">
        <f aca="false">I173-D173</f>
        <v>2098</v>
      </c>
    </row>
    <row r="174" customFormat="false" ht="12.75" hidden="false" customHeight="true" outlineLevel="0" collapsed="false">
      <c r="A174" s="449" t="n">
        <v>17318</v>
      </c>
      <c r="B174" s="450" t="s">
        <v>14182</v>
      </c>
      <c r="C174" s="450" t="n">
        <v>2013</v>
      </c>
      <c r="D174" s="451" t="n">
        <v>41605</v>
      </c>
      <c r="E174" s="452" t="s">
        <v>14183</v>
      </c>
      <c r="F174" s="378" t="s">
        <v>668</v>
      </c>
      <c r="G174" s="452" t="s">
        <v>1174</v>
      </c>
      <c r="H174" s="378" t="s">
        <v>13833</v>
      </c>
      <c r="I174" s="451" t="n">
        <v>43250</v>
      </c>
      <c r="J174" s="452" t="n">
        <v>5</v>
      </c>
      <c r="K174" s="592" t="s">
        <v>42</v>
      </c>
      <c r="L174" s="378" t="s">
        <v>58</v>
      </c>
      <c r="M174" s="546" t="n">
        <f aca="false">I174-D174</f>
        <v>1645</v>
      </c>
    </row>
    <row r="175" customFormat="false" ht="12.75" hidden="false" customHeight="true" outlineLevel="0" collapsed="false">
      <c r="A175" s="456" t="n">
        <v>17418</v>
      </c>
      <c r="B175" s="458" t="s">
        <v>14184</v>
      </c>
      <c r="C175" s="458" t="n">
        <v>2017</v>
      </c>
      <c r="D175" s="459" t="n">
        <v>42845</v>
      </c>
      <c r="E175" s="460" t="s">
        <v>14185</v>
      </c>
      <c r="F175" s="380" t="s">
        <v>180</v>
      </c>
      <c r="G175" s="460" t="s">
        <v>1174</v>
      </c>
      <c r="H175" s="380" t="s">
        <v>13833</v>
      </c>
      <c r="I175" s="459" t="n">
        <v>43250</v>
      </c>
      <c r="J175" s="460" t="n">
        <v>5</v>
      </c>
      <c r="K175" s="591" t="s">
        <v>47</v>
      </c>
      <c r="L175" s="380" t="s">
        <v>58</v>
      </c>
      <c r="M175" s="545" t="n">
        <f aca="false">I175-D175</f>
        <v>405</v>
      </c>
    </row>
    <row r="176" customFormat="false" ht="12.75" hidden="false" customHeight="true" outlineLevel="0" collapsed="false">
      <c r="A176" s="449" t="n">
        <v>17518</v>
      </c>
      <c r="B176" s="450" t="s">
        <v>14186</v>
      </c>
      <c r="C176" s="450" t="n">
        <v>2013</v>
      </c>
      <c r="D176" s="451" t="n">
        <v>41379</v>
      </c>
      <c r="E176" s="452" t="s">
        <v>14187</v>
      </c>
      <c r="F176" s="378" t="s">
        <v>379</v>
      </c>
      <c r="G176" s="452" t="s">
        <v>1174</v>
      </c>
      <c r="H176" s="378" t="s">
        <v>13796</v>
      </c>
      <c r="I176" s="451" t="n">
        <v>43250</v>
      </c>
      <c r="J176" s="452" t="n">
        <v>5</v>
      </c>
      <c r="K176" s="593" t="s">
        <v>45</v>
      </c>
      <c r="L176" s="378" t="s">
        <v>60</v>
      </c>
      <c r="M176" s="546" t="n">
        <f aca="false">I176-D176</f>
        <v>1871</v>
      </c>
    </row>
    <row r="177" customFormat="false" ht="12.75" hidden="true" customHeight="true" outlineLevel="0" collapsed="false">
      <c r="A177" s="456" t="n">
        <v>17618</v>
      </c>
      <c r="B177" s="458" t="s">
        <v>14188</v>
      </c>
      <c r="C177" s="458" t="n">
        <v>2015</v>
      </c>
      <c r="D177" s="459" t="n">
        <v>42356</v>
      </c>
      <c r="E177" s="460" t="s">
        <v>14189</v>
      </c>
      <c r="F177" s="380" t="s">
        <v>176</v>
      </c>
      <c r="G177" s="460" t="s">
        <v>441</v>
      </c>
      <c r="H177" s="380" t="s">
        <v>184</v>
      </c>
      <c r="I177" s="459" t="n">
        <v>43255</v>
      </c>
      <c r="J177" s="460" t="n">
        <v>6</v>
      </c>
      <c r="K177" s="593" t="s">
        <v>45</v>
      </c>
      <c r="L177" s="380" t="s">
        <v>60</v>
      </c>
      <c r="M177" s="545" t="n">
        <f aca="false">I177-D177</f>
        <v>899</v>
      </c>
    </row>
    <row r="178" customFormat="false" ht="12.75" hidden="true" customHeight="true" outlineLevel="0" collapsed="false">
      <c r="A178" s="449" t="n">
        <v>17718</v>
      </c>
      <c r="B178" s="450" t="s">
        <v>14190</v>
      </c>
      <c r="C178" s="450" t="n">
        <v>2011</v>
      </c>
      <c r="D178" s="451" t="n">
        <v>40836</v>
      </c>
      <c r="E178" s="452" t="s">
        <v>14191</v>
      </c>
      <c r="F178" s="378" t="s">
        <v>14192</v>
      </c>
      <c r="G178" s="452" t="s">
        <v>441</v>
      </c>
      <c r="H178" s="378" t="s">
        <v>192</v>
      </c>
      <c r="I178" s="451" t="n">
        <v>43255</v>
      </c>
      <c r="J178" s="452" t="n">
        <v>6</v>
      </c>
      <c r="K178" s="592" t="s">
        <v>42</v>
      </c>
      <c r="L178" s="378" t="s">
        <v>57</v>
      </c>
      <c r="M178" s="546" t="n">
        <f aca="false">I178-D178</f>
        <v>2419</v>
      </c>
    </row>
    <row r="179" customFormat="false" ht="12.75" hidden="true" customHeight="true" outlineLevel="0" collapsed="false">
      <c r="A179" s="456" t="n">
        <v>17818</v>
      </c>
      <c r="B179" s="458" t="s">
        <v>14193</v>
      </c>
      <c r="C179" s="458" t="n">
        <v>2011</v>
      </c>
      <c r="D179" s="459" t="n">
        <v>40606</v>
      </c>
      <c r="E179" s="460" t="s">
        <v>14194</v>
      </c>
      <c r="F179" s="380" t="s">
        <v>1156</v>
      </c>
      <c r="G179" s="460" t="s">
        <v>441</v>
      </c>
      <c r="H179" s="380" t="s">
        <v>3268</v>
      </c>
      <c r="I179" s="459" t="n">
        <v>43255</v>
      </c>
      <c r="J179" s="460" t="n">
        <v>6</v>
      </c>
      <c r="K179" s="593" t="s">
        <v>45</v>
      </c>
      <c r="L179" s="380" t="s">
        <v>58</v>
      </c>
      <c r="M179" s="545" t="n">
        <f aca="false">I179-D179</f>
        <v>2649</v>
      </c>
    </row>
    <row r="180" customFormat="false" ht="12.75" hidden="true" customHeight="true" outlineLevel="0" collapsed="false">
      <c r="A180" s="449" t="n">
        <v>17918</v>
      </c>
      <c r="B180" s="450" t="s">
        <v>14195</v>
      </c>
      <c r="C180" s="450" t="n">
        <v>2012</v>
      </c>
      <c r="D180" s="451" t="n">
        <v>41213</v>
      </c>
      <c r="E180" s="452" t="s">
        <v>14196</v>
      </c>
      <c r="F180" s="378" t="s">
        <v>180</v>
      </c>
      <c r="G180" s="452" t="s">
        <v>441</v>
      </c>
      <c r="H180" s="378" t="s">
        <v>14197</v>
      </c>
      <c r="I180" s="451" t="n">
        <v>43255</v>
      </c>
      <c r="J180" s="452" t="n">
        <v>6</v>
      </c>
      <c r="K180" s="591" t="s">
        <v>47</v>
      </c>
      <c r="L180" s="378" t="s">
        <v>58</v>
      </c>
      <c r="M180" s="546" t="n">
        <f aca="false">I180-D180</f>
        <v>2042</v>
      </c>
    </row>
    <row r="181" customFormat="false" ht="12.75" hidden="false" customHeight="true" outlineLevel="0" collapsed="false">
      <c r="A181" s="456" t="n">
        <v>18018</v>
      </c>
      <c r="B181" s="458" t="s">
        <v>14198</v>
      </c>
      <c r="C181" s="458" t="n">
        <v>2014</v>
      </c>
      <c r="D181" s="459" t="n">
        <v>41788</v>
      </c>
      <c r="E181" s="460" t="s">
        <v>14199</v>
      </c>
      <c r="F181" s="380" t="s">
        <v>113</v>
      </c>
      <c r="G181" s="460" t="s">
        <v>1174</v>
      </c>
      <c r="H181" s="380" t="s">
        <v>192</v>
      </c>
      <c r="I181" s="459" t="n">
        <v>43256</v>
      </c>
      <c r="J181" s="460" t="n">
        <v>6</v>
      </c>
      <c r="K181" s="591" t="s">
        <v>47</v>
      </c>
      <c r="L181" s="380" t="s">
        <v>60</v>
      </c>
      <c r="M181" s="545" t="n">
        <f aca="false">I181-D181</f>
        <v>1468</v>
      </c>
    </row>
    <row r="182" customFormat="false" ht="12.75" hidden="true" customHeight="true" outlineLevel="0" collapsed="false">
      <c r="A182" s="449" t="n">
        <v>18118</v>
      </c>
      <c r="B182" s="450" t="s">
        <v>14200</v>
      </c>
      <c r="C182" s="450" t="n">
        <v>2011</v>
      </c>
      <c r="D182" s="451" t="n">
        <v>40904</v>
      </c>
      <c r="E182" s="452" t="s">
        <v>14201</v>
      </c>
      <c r="F182" s="378" t="s">
        <v>723</v>
      </c>
      <c r="G182" s="452" t="s">
        <v>441</v>
      </c>
      <c r="H182" s="378" t="s">
        <v>12073</v>
      </c>
      <c r="I182" s="451" t="n">
        <v>43257</v>
      </c>
      <c r="J182" s="452" t="n">
        <v>6</v>
      </c>
      <c r="K182" s="592" t="s">
        <v>42</v>
      </c>
      <c r="L182" s="378" t="s">
        <v>58</v>
      </c>
      <c r="M182" s="546" t="n">
        <f aca="false">I182-D182</f>
        <v>2353</v>
      </c>
    </row>
    <row r="183" customFormat="false" ht="12.75" hidden="false" customHeight="true" outlineLevel="0" collapsed="false">
      <c r="A183" s="456" t="n">
        <v>18218</v>
      </c>
      <c r="B183" s="458" t="s">
        <v>14202</v>
      </c>
      <c r="C183" s="458" t="n">
        <v>2013</v>
      </c>
      <c r="D183" s="459" t="n">
        <v>41302</v>
      </c>
      <c r="E183" s="460" t="s">
        <v>14203</v>
      </c>
      <c r="F183" s="380" t="s">
        <v>823</v>
      </c>
      <c r="G183" s="460" t="s">
        <v>1174</v>
      </c>
      <c r="H183" s="380" t="s">
        <v>13816</v>
      </c>
      <c r="I183" s="459" t="n">
        <v>43258</v>
      </c>
      <c r="J183" s="460" t="n">
        <v>6</v>
      </c>
      <c r="K183" s="591" t="s">
        <v>47</v>
      </c>
      <c r="L183" s="380" t="s">
        <v>58</v>
      </c>
      <c r="M183" s="545" t="n">
        <f aca="false">I183-D183</f>
        <v>1956</v>
      </c>
    </row>
    <row r="184" customFormat="false" ht="12.75" hidden="true" customHeight="true" outlineLevel="0" collapsed="false">
      <c r="A184" s="449" t="n">
        <v>18318</v>
      </c>
      <c r="B184" s="450" t="s">
        <v>14204</v>
      </c>
      <c r="C184" s="450" t="n">
        <v>2013</v>
      </c>
      <c r="D184" s="451" t="n">
        <v>41380</v>
      </c>
      <c r="E184" s="452" t="s">
        <v>14205</v>
      </c>
      <c r="F184" s="378" t="s">
        <v>14206</v>
      </c>
      <c r="G184" s="452" t="s">
        <v>441</v>
      </c>
      <c r="H184" s="378" t="s">
        <v>184</v>
      </c>
      <c r="I184" s="451" t="n">
        <v>43262</v>
      </c>
      <c r="J184" s="452" t="n">
        <v>6</v>
      </c>
      <c r="K184" s="592" t="s">
        <v>42</v>
      </c>
      <c r="L184" s="378" t="s">
        <v>58</v>
      </c>
      <c r="M184" s="546" t="n">
        <f aca="false">I184-D184</f>
        <v>1882</v>
      </c>
    </row>
    <row r="185" customFormat="false" ht="14.25" hidden="false" customHeight="true" outlineLevel="0" collapsed="false">
      <c r="A185" s="456" t="n">
        <v>18418</v>
      </c>
      <c r="B185" s="458" t="s">
        <v>14207</v>
      </c>
      <c r="C185" s="458" t="n">
        <v>2017</v>
      </c>
      <c r="D185" s="459" t="n">
        <v>43069</v>
      </c>
      <c r="E185" s="460" t="s">
        <v>14208</v>
      </c>
      <c r="F185" s="380" t="s">
        <v>9647</v>
      </c>
      <c r="G185" s="460" t="s">
        <v>1174</v>
      </c>
      <c r="H185" s="380" t="s">
        <v>522</v>
      </c>
      <c r="I185" s="459" t="n">
        <v>43262</v>
      </c>
      <c r="J185" s="460" t="n">
        <v>6</v>
      </c>
      <c r="K185" s="598" t="s">
        <v>50</v>
      </c>
      <c r="L185" s="380" t="s">
        <v>60</v>
      </c>
      <c r="M185" s="545" t="n">
        <f aca="false">I185-D185</f>
        <v>193</v>
      </c>
    </row>
    <row r="186" customFormat="false" ht="12.75" hidden="false" customHeight="true" outlineLevel="0" collapsed="false">
      <c r="A186" s="449" t="n">
        <v>18518</v>
      </c>
      <c r="B186" s="450" t="s">
        <v>14209</v>
      </c>
      <c r="C186" s="450" t="n">
        <v>2017</v>
      </c>
      <c r="D186" s="451" t="n">
        <v>42886</v>
      </c>
      <c r="E186" s="452" t="s">
        <v>14210</v>
      </c>
      <c r="F186" s="378" t="s">
        <v>446</v>
      </c>
      <c r="G186" s="452" t="s">
        <v>1174</v>
      </c>
      <c r="H186" s="378" t="s">
        <v>13858</v>
      </c>
      <c r="I186" s="451" t="n">
        <v>43262</v>
      </c>
      <c r="J186" s="452" t="n">
        <v>6</v>
      </c>
      <c r="K186" s="591" t="s">
        <v>47</v>
      </c>
      <c r="L186" s="378" t="s">
        <v>58</v>
      </c>
      <c r="M186" s="546" t="n">
        <f aca="false">I186-D186</f>
        <v>376</v>
      </c>
    </row>
    <row r="187" customFormat="false" ht="12.75" hidden="true" customHeight="true" outlineLevel="0" collapsed="false">
      <c r="A187" s="456" t="n">
        <v>18618</v>
      </c>
      <c r="B187" s="458" t="s">
        <v>14211</v>
      </c>
      <c r="C187" s="458" t="n">
        <v>2012</v>
      </c>
      <c r="D187" s="459" t="n">
        <v>41225</v>
      </c>
      <c r="E187" s="460" t="s">
        <v>14212</v>
      </c>
      <c r="F187" s="380" t="s">
        <v>1916</v>
      </c>
      <c r="G187" s="460" t="s">
        <v>441</v>
      </c>
      <c r="H187" s="380" t="s">
        <v>4919</v>
      </c>
      <c r="I187" s="459" t="n">
        <v>43265</v>
      </c>
      <c r="J187" s="460" t="n">
        <v>6</v>
      </c>
      <c r="K187" s="592" t="s">
        <v>42</v>
      </c>
      <c r="L187" s="380" t="s">
        <v>58</v>
      </c>
      <c r="M187" s="545" t="n">
        <f aca="false">I187-D187</f>
        <v>2040</v>
      </c>
    </row>
    <row r="188" customFormat="false" ht="12.75" hidden="true" customHeight="true" outlineLevel="0" collapsed="false">
      <c r="A188" s="449" t="n">
        <v>18718</v>
      </c>
      <c r="B188" s="450" t="s">
        <v>14213</v>
      </c>
      <c r="C188" s="450" t="n">
        <v>2013</v>
      </c>
      <c r="D188" s="451" t="n">
        <v>41389</v>
      </c>
      <c r="E188" s="452" t="s">
        <v>14214</v>
      </c>
      <c r="F188" s="378" t="s">
        <v>14206</v>
      </c>
      <c r="G188" s="452" t="s">
        <v>441</v>
      </c>
      <c r="H188" s="378" t="s">
        <v>184</v>
      </c>
      <c r="I188" s="451" t="n">
        <v>43269</v>
      </c>
      <c r="J188" s="452" t="n">
        <v>6</v>
      </c>
      <c r="K188" s="592" t="s">
        <v>42</v>
      </c>
      <c r="L188" s="378" t="s">
        <v>58</v>
      </c>
      <c r="M188" s="546" t="n">
        <f aca="false">I188-D188</f>
        <v>1880</v>
      </c>
    </row>
    <row r="189" customFormat="false" ht="12.75" hidden="true" customHeight="true" outlineLevel="0" collapsed="false">
      <c r="A189" s="456" t="n">
        <v>18818</v>
      </c>
      <c r="B189" s="458" t="s">
        <v>14215</v>
      </c>
      <c r="C189" s="458" t="n">
        <v>2017</v>
      </c>
      <c r="D189" s="459" t="n">
        <v>42760</v>
      </c>
      <c r="E189" s="460" t="s">
        <v>14216</v>
      </c>
      <c r="F189" s="380" t="s">
        <v>705</v>
      </c>
      <c r="G189" s="460" t="s">
        <v>441</v>
      </c>
      <c r="H189" s="380" t="s">
        <v>5447</v>
      </c>
      <c r="I189" s="459" t="n">
        <v>43270</v>
      </c>
      <c r="J189" s="460" t="n">
        <v>6</v>
      </c>
      <c r="K189" s="593" t="s">
        <v>45</v>
      </c>
      <c r="L189" s="380" t="s">
        <v>58</v>
      </c>
      <c r="M189" s="545" t="n">
        <f aca="false">I189-D189</f>
        <v>510</v>
      </c>
    </row>
    <row r="190" customFormat="false" ht="12.75" hidden="true" customHeight="true" outlineLevel="0" collapsed="false">
      <c r="A190" s="449" t="n">
        <v>18918</v>
      </c>
      <c r="B190" s="450" t="s">
        <v>14217</v>
      </c>
      <c r="C190" s="450" t="n">
        <v>2017</v>
      </c>
      <c r="D190" s="451" t="n">
        <v>42760</v>
      </c>
      <c r="E190" s="452" t="s">
        <v>14218</v>
      </c>
      <c r="F190" s="378" t="s">
        <v>705</v>
      </c>
      <c r="G190" s="452" t="s">
        <v>441</v>
      </c>
      <c r="H190" s="378" t="s">
        <v>5447</v>
      </c>
      <c r="I190" s="451" t="n">
        <v>43270</v>
      </c>
      <c r="J190" s="452" t="n">
        <v>6</v>
      </c>
      <c r="K190" s="593" t="s">
        <v>45</v>
      </c>
      <c r="L190" s="378" t="s">
        <v>58</v>
      </c>
      <c r="M190" s="546" t="n">
        <f aca="false">I190-D190</f>
        <v>510</v>
      </c>
    </row>
    <row r="191" customFormat="false" ht="12.75" hidden="true" customHeight="true" outlineLevel="0" collapsed="false">
      <c r="A191" s="456" t="n">
        <v>19018</v>
      </c>
      <c r="B191" s="458" t="s">
        <v>14219</v>
      </c>
      <c r="C191" s="458" t="n">
        <v>2015</v>
      </c>
      <c r="D191" s="459" t="n">
        <v>42339</v>
      </c>
      <c r="E191" s="460" t="s">
        <v>14220</v>
      </c>
      <c r="F191" s="380" t="s">
        <v>138</v>
      </c>
      <c r="G191" s="460" t="s">
        <v>441</v>
      </c>
      <c r="H191" s="380" t="s">
        <v>13816</v>
      </c>
      <c r="I191" s="459" t="n">
        <v>43271</v>
      </c>
      <c r="J191" s="460" t="n">
        <v>6</v>
      </c>
      <c r="K191" s="592" t="s">
        <v>42</v>
      </c>
      <c r="L191" s="380" t="s">
        <v>60</v>
      </c>
      <c r="M191" s="545" t="n">
        <f aca="false">I191-D191</f>
        <v>932</v>
      </c>
    </row>
    <row r="192" customFormat="false" ht="12.75" hidden="true" customHeight="true" outlineLevel="0" collapsed="false">
      <c r="A192" s="449" t="n">
        <v>19118</v>
      </c>
      <c r="B192" s="450" t="s">
        <v>14221</v>
      </c>
      <c r="C192" s="450" t="n">
        <v>2011</v>
      </c>
      <c r="D192" s="451" t="n">
        <v>40813</v>
      </c>
      <c r="E192" s="452" t="s">
        <v>14222</v>
      </c>
      <c r="F192" s="378" t="s">
        <v>176</v>
      </c>
      <c r="G192" s="452" t="s">
        <v>441</v>
      </c>
      <c r="H192" s="378" t="s">
        <v>12073</v>
      </c>
      <c r="I192" s="451" t="n">
        <v>43271</v>
      </c>
      <c r="J192" s="452" t="n">
        <v>6</v>
      </c>
      <c r="K192" s="593" t="s">
        <v>45</v>
      </c>
      <c r="L192" s="378" t="s">
        <v>58</v>
      </c>
      <c r="M192" s="546" t="n">
        <f aca="false">I192-D192</f>
        <v>2458</v>
      </c>
    </row>
    <row r="193" customFormat="false" ht="12.75" hidden="false" customHeight="true" outlineLevel="0" collapsed="false">
      <c r="A193" s="456" t="n">
        <v>19218</v>
      </c>
      <c r="B193" s="458" t="s">
        <v>14223</v>
      </c>
      <c r="C193" s="458" t="n">
        <v>2016</v>
      </c>
      <c r="D193" s="459" t="n">
        <v>42411</v>
      </c>
      <c r="E193" s="460" t="s">
        <v>14224</v>
      </c>
      <c r="F193" s="380" t="s">
        <v>823</v>
      </c>
      <c r="G193" s="460" t="s">
        <v>1174</v>
      </c>
      <c r="H193" s="380" t="s">
        <v>14225</v>
      </c>
      <c r="I193" s="459" t="n">
        <v>43272</v>
      </c>
      <c r="J193" s="460" t="n">
        <v>6</v>
      </c>
      <c r="K193" s="591" t="s">
        <v>47</v>
      </c>
      <c r="L193" s="380" t="s">
        <v>58</v>
      </c>
      <c r="M193" s="545" t="n">
        <f aca="false">I193-D193</f>
        <v>861</v>
      </c>
    </row>
    <row r="194" customFormat="false" ht="12.75" hidden="true" customHeight="true" outlineLevel="0" collapsed="false">
      <c r="A194" s="449" t="n">
        <v>19318</v>
      </c>
      <c r="B194" s="450" t="s">
        <v>14226</v>
      </c>
      <c r="C194" s="450" t="n">
        <v>2017</v>
      </c>
      <c r="D194" s="451" t="n">
        <v>42893</v>
      </c>
      <c r="E194" s="452" t="s">
        <v>14227</v>
      </c>
      <c r="F194" s="537" t="s">
        <v>9785</v>
      </c>
      <c r="G194" s="452" t="s">
        <v>125</v>
      </c>
      <c r="H194" s="378" t="s">
        <v>14228</v>
      </c>
      <c r="I194" s="451" t="n">
        <v>43273</v>
      </c>
      <c r="J194" s="452" t="n">
        <v>6</v>
      </c>
      <c r="K194" s="591" t="s">
        <v>47</v>
      </c>
      <c r="L194" s="378" t="s">
        <v>61</v>
      </c>
      <c r="M194" s="546" t="n">
        <f aca="false">I194-D194</f>
        <v>380</v>
      </c>
    </row>
    <row r="195" customFormat="false" ht="12.75" hidden="false" customHeight="true" outlineLevel="0" collapsed="false">
      <c r="A195" s="456" t="n">
        <v>19418</v>
      </c>
      <c r="B195" s="458" t="s">
        <v>14229</v>
      </c>
      <c r="C195" s="458" t="n">
        <v>2012</v>
      </c>
      <c r="D195" s="459" t="n">
        <v>41170</v>
      </c>
      <c r="E195" s="460" t="s">
        <v>14230</v>
      </c>
      <c r="F195" s="380" t="s">
        <v>2513</v>
      </c>
      <c r="G195" s="460" t="s">
        <v>1174</v>
      </c>
      <c r="H195" s="380" t="s">
        <v>1567</v>
      </c>
      <c r="I195" s="459" t="n">
        <v>43276</v>
      </c>
      <c r="J195" s="460" t="n">
        <v>6</v>
      </c>
      <c r="K195" s="591" t="s">
        <v>47</v>
      </c>
      <c r="L195" s="380" t="s">
        <v>58</v>
      </c>
      <c r="M195" s="545" t="n">
        <f aca="false">I195-D195</f>
        <v>2106</v>
      </c>
    </row>
    <row r="196" customFormat="false" ht="12.75" hidden="false" customHeight="true" outlineLevel="0" collapsed="false">
      <c r="A196" s="449" t="n">
        <v>19518</v>
      </c>
      <c r="B196" s="450" t="s">
        <v>14231</v>
      </c>
      <c r="C196" s="450" t="n">
        <v>2015</v>
      </c>
      <c r="D196" s="451" t="n">
        <v>42291</v>
      </c>
      <c r="E196" s="452" t="s">
        <v>14232</v>
      </c>
      <c r="F196" s="378" t="s">
        <v>138</v>
      </c>
      <c r="G196" s="452" t="s">
        <v>1174</v>
      </c>
      <c r="H196" s="378" t="s">
        <v>12073</v>
      </c>
      <c r="I196" s="451" t="n">
        <v>43276</v>
      </c>
      <c r="J196" s="452" t="n">
        <v>6</v>
      </c>
      <c r="K196" s="593" t="s">
        <v>45</v>
      </c>
      <c r="L196" s="378" t="s">
        <v>60</v>
      </c>
      <c r="M196" s="546" t="n">
        <f aca="false">I196-D196</f>
        <v>985</v>
      </c>
    </row>
    <row r="197" customFormat="false" ht="12.75" hidden="false" customHeight="true" outlineLevel="0" collapsed="false">
      <c r="A197" s="456" t="n">
        <v>19618</v>
      </c>
      <c r="B197" s="458" t="s">
        <v>14233</v>
      </c>
      <c r="C197" s="458" t="n">
        <v>2015</v>
      </c>
      <c r="D197" s="459" t="n">
        <v>42278</v>
      </c>
      <c r="E197" s="460" t="s">
        <v>14234</v>
      </c>
      <c r="F197" s="380" t="s">
        <v>138</v>
      </c>
      <c r="G197" s="460" t="s">
        <v>1174</v>
      </c>
      <c r="H197" s="380" t="s">
        <v>14235</v>
      </c>
      <c r="I197" s="459" t="n">
        <v>43276</v>
      </c>
      <c r="J197" s="460" t="n">
        <v>6</v>
      </c>
      <c r="K197" s="593" t="s">
        <v>45</v>
      </c>
      <c r="L197" s="380" t="s">
        <v>60</v>
      </c>
      <c r="M197" s="545" t="n">
        <f aca="false">I197-D197</f>
        <v>998</v>
      </c>
    </row>
    <row r="198" customFormat="false" ht="12.75" hidden="false" customHeight="true" outlineLevel="0" collapsed="false">
      <c r="A198" s="449" t="n">
        <v>19718</v>
      </c>
      <c r="B198" s="450" t="s">
        <v>14236</v>
      </c>
      <c r="C198" s="450" t="n">
        <v>2015</v>
      </c>
      <c r="D198" s="451" t="n">
        <v>42361</v>
      </c>
      <c r="E198" s="452" t="s">
        <v>14237</v>
      </c>
      <c r="F198" s="378" t="s">
        <v>138</v>
      </c>
      <c r="G198" s="452" t="s">
        <v>1174</v>
      </c>
      <c r="H198" s="378" t="s">
        <v>13833</v>
      </c>
      <c r="I198" s="451" t="n">
        <v>43276</v>
      </c>
      <c r="J198" s="452" t="n">
        <v>6</v>
      </c>
      <c r="K198" s="593" t="s">
        <v>45</v>
      </c>
      <c r="L198" s="378" t="s">
        <v>60</v>
      </c>
      <c r="M198" s="546" t="n">
        <f aca="false">I198-D198</f>
        <v>915</v>
      </c>
    </row>
    <row r="199" customFormat="false" ht="12.75" hidden="false" customHeight="true" outlineLevel="0" collapsed="false">
      <c r="A199" s="456" t="n">
        <v>19818</v>
      </c>
      <c r="B199" s="458" t="s">
        <v>14238</v>
      </c>
      <c r="C199" s="458" t="n">
        <v>2015</v>
      </c>
      <c r="D199" s="459" t="n">
        <v>42191</v>
      </c>
      <c r="E199" s="460" t="s">
        <v>14239</v>
      </c>
      <c r="F199" s="380" t="s">
        <v>138</v>
      </c>
      <c r="G199" s="460" t="s">
        <v>1174</v>
      </c>
      <c r="H199" s="380" t="s">
        <v>184</v>
      </c>
      <c r="I199" s="459" t="n">
        <v>43276</v>
      </c>
      <c r="J199" s="460" t="n">
        <v>6</v>
      </c>
      <c r="K199" s="593" t="s">
        <v>45</v>
      </c>
      <c r="L199" s="380" t="s">
        <v>60</v>
      </c>
      <c r="M199" s="545" t="n">
        <f aca="false">I199-D199</f>
        <v>1085</v>
      </c>
    </row>
    <row r="200" customFormat="false" ht="12.75" hidden="false" customHeight="true" outlineLevel="0" collapsed="false">
      <c r="A200" s="449" t="n">
        <v>19918</v>
      </c>
      <c r="B200" s="450" t="s">
        <v>14240</v>
      </c>
      <c r="C200" s="450" t="n">
        <v>2015</v>
      </c>
      <c r="D200" s="451" t="n">
        <v>42311</v>
      </c>
      <c r="E200" s="452" t="s">
        <v>14241</v>
      </c>
      <c r="F200" s="378" t="s">
        <v>138</v>
      </c>
      <c r="G200" s="452" t="s">
        <v>1174</v>
      </c>
      <c r="H200" s="378" t="s">
        <v>13833</v>
      </c>
      <c r="I200" s="451" t="n">
        <v>43277</v>
      </c>
      <c r="J200" s="452" t="n">
        <v>6</v>
      </c>
      <c r="K200" s="593" t="s">
        <v>45</v>
      </c>
      <c r="L200" s="378" t="s">
        <v>60</v>
      </c>
      <c r="M200" s="546" t="n">
        <f aca="false">I200-D200</f>
        <v>966</v>
      </c>
    </row>
    <row r="201" customFormat="false" ht="12.75" hidden="false" customHeight="true" outlineLevel="0" collapsed="false">
      <c r="A201" s="456" t="n">
        <v>20018</v>
      </c>
      <c r="B201" s="458" t="s">
        <v>14242</v>
      </c>
      <c r="C201" s="458" t="n">
        <v>2015</v>
      </c>
      <c r="D201" s="459" t="n">
        <v>42138</v>
      </c>
      <c r="E201" s="460" t="s">
        <v>14243</v>
      </c>
      <c r="F201" s="380" t="s">
        <v>780</v>
      </c>
      <c r="G201" s="460" t="s">
        <v>1174</v>
      </c>
      <c r="H201" s="380" t="s">
        <v>14244</v>
      </c>
      <c r="I201" s="459" t="n">
        <v>43277</v>
      </c>
      <c r="J201" s="460" t="n">
        <v>6</v>
      </c>
      <c r="K201" s="593" t="s">
        <v>45</v>
      </c>
      <c r="L201" s="380" t="s">
        <v>60</v>
      </c>
      <c r="M201" s="545" t="n">
        <f aca="false">I201-D201</f>
        <v>1139</v>
      </c>
    </row>
    <row r="202" customFormat="false" ht="12.75" hidden="false" customHeight="true" outlineLevel="0" collapsed="false">
      <c r="A202" s="449" t="n">
        <v>20118</v>
      </c>
      <c r="B202" s="450" t="s">
        <v>14245</v>
      </c>
      <c r="C202" s="450" t="n">
        <v>2016</v>
      </c>
      <c r="D202" s="451" t="n">
        <v>42636</v>
      </c>
      <c r="E202" s="452" t="s">
        <v>14246</v>
      </c>
      <c r="F202" s="378" t="s">
        <v>780</v>
      </c>
      <c r="G202" s="452" t="s">
        <v>1174</v>
      </c>
      <c r="H202" s="378" t="s">
        <v>13833</v>
      </c>
      <c r="I202" s="451" t="n">
        <v>43277</v>
      </c>
      <c r="J202" s="452" t="n">
        <v>6</v>
      </c>
      <c r="K202" s="593" t="s">
        <v>45</v>
      </c>
      <c r="L202" s="378" t="s">
        <v>60</v>
      </c>
      <c r="M202" s="546" t="n">
        <f aca="false">I202-D202</f>
        <v>641</v>
      </c>
    </row>
    <row r="203" customFormat="false" ht="12.75" hidden="false" customHeight="true" outlineLevel="0" collapsed="false">
      <c r="A203" s="456" t="n">
        <v>20218</v>
      </c>
      <c r="B203" s="458" t="s">
        <v>14247</v>
      </c>
      <c r="C203" s="458" t="n">
        <v>2016</v>
      </c>
      <c r="D203" s="459" t="n">
        <v>42674</v>
      </c>
      <c r="E203" s="460" t="s">
        <v>14248</v>
      </c>
      <c r="F203" s="380" t="s">
        <v>780</v>
      </c>
      <c r="G203" s="460" t="s">
        <v>1174</v>
      </c>
      <c r="H203" s="380" t="s">
        <v>1059</v>
      </c>
      <c r="I203" s="459" t="n">
        <v>43277</v>
      </c>
      <c r="J203" s="460" t="n">
        <v>6</v>
      </c>
      <c r="K203" s="593" t="s">
        <v>45</v>
      </c>
      <c r="L203" s="380" t="s">
        <v>60</v>
      </c>
      <c r="M203" s="545" t="n">
        <f aca="false">I203-D203</f>
        <v>603</v>
      </c>
    </row>
    <row r="204" customFormat="false" ht="12.75" hidden="false" customHeight="true" outlineLevel="0" collapsed="false">
      <c r="A204" s="449" t="n">
        <v>20318</v>
      </c>
      <c r="B204" s="450" t="s">
        <v>14249</v>
      </c>
      <c r="C204" s="450" t="n">
        <v>2012</v>
      </c>
      <c r="D204" s="451" t="n">
        <v>41144</v>
      </c>
      <c r="E204" s="452" t="s">
        <v>14250</v>
      </c>
      <c r="F204" s="378" t="s">
        <v>780</v>
      </c>
      <c r="G204" s="452" t="s">
        <v>1174</v>
      </c>
      <c r="H204" s="378" t="s">
        <v>13828</v>
      </c>
      <c r="I204" s="451" t="n">
        <v>43277</v>
      </c>
      <c r="J204" s="452" t="n">
        <v>6</v>
      </c>
      <c r="K204" s="591" t="s">
        <v>47</v>
      </c>
      <c r="L204" s="378" t="s">
        <v>58</v>
      </c>
      <c r="M204" s="546" t="n">
        <f aca="false">I204-D204</f>
        <v>2133</v>
      </c>
    </row>
    <row r="205" customFormat="false" ht="12.75" hidden="false" customHeight="true" outlineLevel="0" collapsed="false">
      <c r="A205" s="456" t="n">
        <v>20418</v>
      </c>
      <c r="B205" s="458" t="s">
        <v>14251</v>
      </c>
      <c r="C205" s="458" t="n">
        <v>2014</v>
      </c>
      <c r="D205" s="459" t="n">
        <v>41799</v>
      </c>
      <c r="E205" s="460" t="s">
        <v>14252</v>
      </c>
      <c r="F205" s="380" t="s">
        <v>1097</v>
      </c>
      <c r="G205" s="460" t="s">
        <v>1174</v>
      </c>
      <c r="H205" s="380" t="s">
        <v>5447</v>
      </c>
      <c r="I205" s="459" t="n">
        <v>43278</v>
      </c>
      <c r="J205" s="460" t="n">
        <v>6</v>
      </c>
      <c r="K205" s="592" t="s">
        <v>42</v>
      </c>
      <c r="L205" s="380" t="s">
        <v>60</v>
      </c>
      <c r="M205" s="545" t="n">
        <f aca="false">I205-D205</f>
        <v>1479</v>
      </c>
    </row>
    <row r="206" customFormat="false" ht="12.75" hidden="true" customHeight="true" outlineLevel="0" collapsed="false">
      <c r="A206" s="449" t="n">
        <v>20518</v>
      </c>
      <c r="B206" s="450" t="s">
        <v>14253</v>
      </c>
      <c r="C206" s="450" t="n">
        <v>2017</v>
      </c>
      <c r="D206" s="451" t="n">
        <v>42877</v>
      </c>
      <c r="E206" s="452" t="s">
        <v>14254</v>
      </c>
      <c r="F206" s="537" t="s">
        <v>14255</v>
      </c>
      <c r="G206" s="452" t="s">
        <v>125</v>
      </c>
      <c r="H206" s="378" t="s">
        <v>14070</v>
      </c>
      <c r="I206" s="451" t="n">
        <v>43278</v>
      </c>
      <c r="J206" s="452" t="n">
        <v>6</v>
      </c>
      <c r="K206" s="591" t="s">
        <v>47</v>
      </c>
      <c r="L206" s="378" t="s">
        <v>61</v>
      </c>
      <c r="M206" s="546" t="n">
        <f aca="false">I206-D206</f>
        <v>401</v>
      </c>
    </row>
    <row r="207" customFormat="false" ht="12.75" hidden="false" customHeight="true" outlineLevel="0" collapsed="false">
      <c r="A207" s="456" t="n">
        <v>20618</v>
      </c>
      <c r="B207" s="458" t="s">
        <v>14256</v>
      </c>
      <c r="C207" s="458" t="n">
        <v>2013</v>
      </c>
      <c r="D207" s="459" t="n">
        <v>41493</v>
      </c>
      <c r="E207" s="460" t="s">
        <v>14257</v>
      </c>
      <c r="F207" s="380" t="s">
        <v>14258</v>
      </c>
      <c r="G207" s="460" t="s">
        <v>1174</v>
      </c>
      <c r="H207" s="380" t="s">
        <v>471</v>
      </c>
      <c r="I207" s="459" t="n">
        <v>43279</v>
      </c>
      <c r="J207" s="460" t="n">
        <v>6</v>
      </c>
      <c r="K207" s="598" t="s">
        <v>50</v>
      </c>
      <c r="L207" s="380" t="s">
        <v>58</v>
      </c>
      <c r="M207" s="545" t="n">
        <f aca="false">I207-D207</f>
        <v>1786</v>
      </c>
    </row>
    <row r="208" customFormat="false" ht="12.75" hidden="true" customHeight="true" outlineLevel="0" collapsed="false">
      <c r="A208" s="449" t="n">
        <v>20718</v>
      </c>
      <c r="B208" s="450" t="s">
        <v>14259</v>
      </c>
      <c r="C208" s="450" t="n">
        <v>2014</v>
      </c>
      <c r="D208" s="451" t="n">
        <v>41927</v>
      </c>
      <c r="E208" s="452" t="s">
        <v>14260</v>
      </c>
      <c r="F208" s="378" t="s">
        <v>823</v>
      </c>
      <c r="G208" s="452" t="s">
        <v>8</v>
      </c>
      <c r="H208" s="378" t="s">
        <v>13833</v>
      </c>
      <c r="I208" s="451" t="n">
        <v>43280</v>
      </c>
      <c r="J208" s="452" t="n">
        <v>6</v>
      </c>
      <c r="K208" s="591" t="s">
        <v>47</v>
      </c>
      <c r="L208" s="378" t="s">
        <v>60</v>
      </c>
      <c r="M208" s="546" t="n">
        <f aca="false">I208-D208</f>
        <v>1353</v>
      </c>
    </row>
    <row r="209" customFormat="false" ht="12.75" hidden="true" customHeight="true" outlineLevel="0" collapsed="false">
      <c r="A209" s="456" t="n">
        <v>20818</v>
      </c>
      <c r="B209" s="458" t="s">
        <v>14261</v>
      </c>
      <c r="C209" s="458" t="n">
        <v>2016</v>
      </c>
      <c r="D209" s="459" t="n">
        <v>42733</v>
      </c>
      <c r="E209" s="460" t="s">
        <v>14262</v>
      </c>
      <c r="F209" s="380" t="s">
        <v>537</v>
      </c>
      <c r="G209" s="460" t="s">
        <v>441</v>
      </c>
      <c r="H209" s="380" t="s">
        <v>350</v>
      </c>
      <c r="I209" s="459" t="n">
        <v>43280</v>
      </c>
      <c r="J209" s="460" t="n">
        <v>6</v>
      </c>
      <c r="K209" s="591" t="s">
        <v>47</v>
      </c>
      <c r="L209" s="380" t="s">
        <v>58</v>
      </c>
      <c r="M209" s="545" t="n">
        <f aca="false">I209-D209</f>
        <v>547</v>
      </c>
    </row>
    <row r="210" customFormat="false" ht="12.75" hidden="false" customHeight="true" outlineLevel="0" collapsed="false">
      <c r="A210" s="449" t="n">
        <v>20918</v>
      </c>
      <c r="B210" s="450" t="s">
        <v>14263</v>
      </c>
      <c r="C210" s="450" t="n">
        <v>2013</v>
      </c>
      <c r="D210" s="451" t="n">
        <v>41502</v>
      </c>
      <c r="E210" s="452" t="s">
        <v>14264</v>
      </c>
      <c r="F210" s="378" t="s">
        <v>798</v>
      </c>
      <c r="G210" s="452" t="s">
        <v>1174</v>
      </c>
      <c r="H210" s="378" t="s">
        <v>1059</v>
      </c>
      <c r="I210" s="451" t="n">
        <v>43283</v>
      </c>
      <c r="J210" s="452" t="n">
        <v>7</v>
      </c>
      <c r="K210" s="591" t="s">
        <v>47</v>
      </c>
      <c r="L210" s="378" t="s">
        <v>60</v>
      </c>
      <c r="M210" s="546" t="n">
        <f aca="false">I210-D210</f>
        <v>1781</v>
      </c>
    </row>
    <row r="211" customFormat="false" ht="12.75" hidden="false" customHeight="true" outlineLevel="0" collapsed="false">
      <c r="A211" s="456" t="n">
        <v>21018</v>
      </c>
      <c r="B211" s="458" t="s">
        <v>14265</v>
      </c>
      <c r="C211" s="458" t="n">
        <v>2017</v>
      </c>
      <c r="D211" s="459" t="n">
        <v>42866</v>
      </c>
      <c r="E211" s="460" t="s">
        <v>14266</v>
      </c>
      <c r="F211" s="380" t="s">
        <v>798</v>
      </c>
      <c r="G211" s="460" t="s">
        <v>1174</v>
      </c>
      <c r="H211" s="380" t="s">
        <v>13816</v>
      </c>
      <c r="I211" s="459" t="n">
        <v>43283</v>
      </c>
      <c r="J211" s="460" t="n">
        <v>7</v>
      </c>
      <c r="K211" s="591" t="s">
        <v>47</v>
      </c>
      <c r="L211" s="380" t="s">
        <v>60</v>
      </c>
      <c r="M211" s="545" t="n">
        <f aca="false">I211-D211</f>
        <v>417</v>
      </c>
    </row>
    <row r="212" customFormat="false" ht="12.75" hidden="false" customHeight="true" outlineLevel="0" collapsed="false">
      <c r="A212" s="449" t="n">
        <v>21118</v>
      </c>
      <c r="B212" s="450" t="s">
        <v>14267</v>
      </c>
      <c r="C212" s="450" t="n">
        <v>2017</v>
      </c>
      <c r="D212" s="451" t="n">
        <v>42935</v>
      </c>
      <c r="E212" s="452" t="s">
        <v>14268</v>
      </c>
      <c r="F212" s="378" t="s">
        <v>798</v>
      </c>
      <c r="G212" s="452" t="s">
        <v>1174</v>
      </c>
      <c r="H212" s="378" t="s">
        <v>6610</v>
      </c>
      <c r="I212" s="451" t="n">
        <v>43284</v>
      </c>
      <c r="J212" s="452" t="n">
        <v>7</v>
      </c>
      <c r="K212" s="591" t="s">
        <v>47</v>
      </c>
      <c r="L212" s="378" t="s">
        <v>60</v>
      </c>
      <c r="M212" s="546" t="n">
        <f aca="false">I212-D212</f>
        <v>349</v>
      </c>
    </row>
    <row r="213" customFormat="false" ht="12.75" hidden="false" customHeight="true" outlineLevel="0" collapsed="false">
      <c r="A213" s="456" t="n">
        <v>21218</v>
      </c>
      <c r="B213" s="458" t="s">
        <v>14269</v>
      </c>
      <c r="C213" s="458" t="n">
        <v>2014</v>
      </c>
      <c r="D213" s="459" t="n">
        <v>41660</v>
      </c>
      <c r="E213" s="460" t="s">
        <v>14270</v>
      </c>
      <c r="F213" s="380" t="s">
        <v>1357</v>
      </c>
      <c r="G213" s="460" t="s">
        <v>1174</v>
      </c>
      <c r="H213" s="380" t="s">
        <v>12183</v>
      </c>
      <c r="I213" s="459" t="n">
        <v>43284</v>
      </c>
      <c r="J213" s="460" t="n">
        <v>7</v>
      </c>
      <c r="K213" s="592" t="s">
        <v>42</v>
      </c>
      <c r="L213" s="380" t="s">
        <v>60</v>
      </c>
      <c r="M213" s="545" t="n">
        <f aca="false">I213-D213</f>
        <v>1624</v>
      </c>
    </row>
    <row r="214" customFormat="false" ht="12.75" hidden="false" customHeight="true" outlineLevel="0" collapsed="false">
      <c r="A214" s="449" t="n">
        <v>21318</v>
      </c>
      <c r="B214" s="450" t="s">
        <v>14271</v>
      </c>
      <c r="C214" s="450" t="n">
        <v>2012</v>
      </c>
      <c r="D214" s="451" t="n">
        <v>41229</v>
      </c>
      <c r="E214" s="452" t="s">
        <v>14272</v>
      </c>
      <c r="F214" s="378" t="s">
        <v>1357</v>
      </c>
      <c r="G214" s="452" t="s">
        <v>1174</v>
      </c>
      <c r="H214" s="378" t="s">
        <v>1501</v>
      </c>
      <c r="I214" s="451" t="n">
        <v>43284</v>
      </c>
      <c r="J214" s="452" t="n">
        <v>7</v>
      </c>
      <c r="K214" s="592" t="s">
        <v>42</v>
      </c>
      <c r="L214" s="378" t="s">
        <v>60</v>
      </c>
      <c r="M214" s="546" t="n">
        <f aca="false">I214-D214</f>
        <v>2055</v>
      </c>
    </row>
    <row r="215" customFormat="false" ht="12.75" hidden="false" customHeight="true" outlineLevel="0" collapsed="false">
      <c r="A215" s="456" t="n">
        <v>21418</v>
      </c>
      <c r="B215" s="458" t="s">
        <v>14273</v>
      </c>
      <c r="C215" s="458" t="n">
        <v>2018</v>
      </c>
      <c r="D215" s="459" t="n">
        <v>43139</v>
      </c>
      <c r="E215" s="460" t="s">
        <v>14274</v>
      </c>
      <c r="F215" s="380" t="s">
        <v>780</v>
      </c>
      <c r="G215" s="460" t="s">
        <v>1174</v>
      </c>
      <c r="H215" s="380" t="s">
        <v>13816</v>
      </c>
      <c r="I215" s="459" t="n">
        <v>43284</v>
      </c>
      <c r="J215" s="460" t="n">
        <v>7</v>
      </c>
      <c r="K215" s="593" t="s">
        <v>45</v>
      </c>
      <c r="L215" s="380" t="s">
        <v>60</v>
      </c>
      <c r="M215" s="545" t="n">
        <f aca="false">I215-D215</f>
        <v>145</v>
      </c>
    </row>
    <row r="216" customFormat="false" ht="12.75" hidden="false" customHeight="true" outlineLevel="0" collapsed="false">
      <c r="A216" s="449" t="n">
        <v>21518</v>
      </c>
      <c r="B216" s="450" t="s">
        <v>14275</v>
      </c>
      <c r="C216" s="450" t="n">
        <v>2015</v>
      </c>
      <c r="D216" s="451" t="n">
        <v>42111</v>
      </c>
      <c r="E216" s="452" t="s">
        <v>14276</v>
      </c>
      <c r="F216" s="378" t="s">
        <v>780</v>
      </c>
      <c r="G216" s="452" t="s">
        <v>1174</v>
      </c>
      <c r="H216" s="378" t="s">
        <v>184</v>
      </c>
      <c r="I216" s="451" t="n">
        <v>43284</v>
      </c>
      <c r="J216" s="452" t="n">
        <v>7</v>
      </c>
      <c r="K216" s="593" t="s">
        <v>45</v>
      </c>
      <c r="L216" s="378" t="s">
        <v>60</v>
      </c>
      <c r="M216" s="546" t="n">
        <f aca="false">I216-D216</f>
        <v>1173</v>
      </c>
    </row>
    <row r="217" customFormat="false" ht="12.75" hidden="false" customHeight="true" outlineLevel="0" collapsed="false">
      <c r="A217" s="456" t="n">
        <v>21618</v>
      </c>
      <c r="B217" s="458" t="s">
        <v>14277</v>
      </c>
      <c r="C217" s="458" t="n">
        <v>2016</v>
      </c>
      <c r="D217" s="459" t="n">
        <v>42675</v>
      </c>
      <c r="E217" s="460" t="s">
        <v>14278</v>
      </c>
      <c r="F217" s="380" t="s">
        <v>1357</v>
      </c>
      <c r="G217" s="460" t="s">
        <v>1174</v>
      </c>
      <c r="H217" s="380" t="s">
        <v>263</v>
      </c>
      <c r="I217" s="459" t="n">
        <v>43284</v>
      </c>
      <c r="J217" s="460" t="n">
        <v>7</v>
      </c>
      <c r="K217" s="592" t="s">
        <v>42</v>
      </c>
      <c r="L217" s="380" t="s">
        <v>60</v>
      </c>
      <c r="M217" s="545" t="n">
        <f aca="false">I217-D217</f>
        <v>609</v>
      </c>
    </row>
    <row r="218" customFormat="false" ht="12.75" hidden="false" customHeight="true" outlineLevel="0" collapsed="false">
      <c r="A218" s="449" t="n">
        <v>21718</v>
      </c>
      <c r="B218" s="450" t="s">
        <v>14279</v>
      </c>
      <c r="C218" s="450" t="n">
        <v>2012</v>
      </c>
      <c r="D218" s="451" t="n">
        <v>41256</v>
      </c>
      <c r="E218" s="452" t="s">
        <v>14280</v>
      </c>
      <c r="F218" s="378" t="s">
        <v>1196</v>
      </c>
      <c r="G218" s="452" t="s">
        <v>1174</v>
      </c>
      <c r="H218" s="378" t="s">
        <v>13821</v>
      </c>
      <c r="I218" s="451" t="n">
        <v>43285</v>
      </c>
      <c r="J218" s="452" t="n">
        <v>7</v>
      </c>
      <c r="K218" s="591" t="s">
        <v>47</v>
      </c>
      <c r="L218" s="378" t="s">
        <v>58</v>
      </c>
      <c r="M218" s="546" t="n">
        <f aca="false">I218-D218</f>
        <v>2029</v>
      </c>
    </row>
    <row r="219" customFormat="false" ht="12.75" hidden="false" customHeight="true" outlineLevel="0" collapsed="false">
      <c r="A219" s="456" t="n">
        <v>21818</v>
      </c>
      <c r="B219" s="458" t="s">
        <v>14281</v>
      </c>
      <c r="C219" s="458" t="n">
        <v>2013</v>
      </c>
      <c r="D219" s="459" t="n">
        <v>41414</v>
      </c>
      <c r="E219" s="460" t="s">
        <v>14282</v>
      </c>
      <c r="F219" s="380" t="s">
        <v>207</v>
      </c>
      <c r="G219" s="460" t="s">
        <v>1174</v>
      </c>
      <c r="H219" s="380" t="s">
        <v>5447</v>
      </c>
      <c r="I219" s="459" t="n">
        <v>43285</v>
      </c>
      <c r="J219" s="460" t="n">
        <v>7</v>
      </c>
      <c r="K219" s="592" t="s">
        <v>42</v>
      </c>
      <c r="L219" s="380" t="s">
        <v>58</v>
      </c>
      <c r="M219" s="545" t="n">
        <f aca="false">I219-D219</f>
        <v>1871</v>
      </c>
    </row>
    <row r="220" customFormat="false" ht="12.75" hidden="true" customHeight="true" outlineLevel="0" collapsed="false">
      <c r="A220" s="449" t="n">
        <v>21918</v>
      </c>
      <c r="B220" s="450" t="s">
        <v>14283</v>
      </c>
      <c r="C220" s="450" t="n">
        <v>2017</v>
      </c>
      <c r="D220" s="451" t="n">
        <v>42795</v>
      </c>
      <c r="E220" s="452" t="s">
        <v>14284</v>
      </c>
      <c r="F220" s="537" t="s">
        <v>14285</v>
      </c>
      <c r="G220" s="452" t="s">
        <v>125</v>
      </c>
      <c r="H220" s="378" t="s">
        <v>13945</v>
      </c>
      <c r="I220" s="451" t="n">
        <v>43286</v>
      </c>
      <c r="J220" s="452" t="n">
        <v>7</v>
      </c>
      <c r="K220" s="598" t="s">
        <v>50</v>
      </c>
      <c r="L220" s="378" t="s">
        <v>61</v>
      </c>
      <c r="M220" s="546" t="n">
        <f aca="false">I220-D220</f>
        <v>491</v>
      </c>
    </row>
    <row r="221" customFormat="false" ht="12.75" hidden="true" customHeight="true" outlineLevel="0" collapsed="false">
      <c r="A221" s="456" t="n">
        <v>22018</v>
      </c>
      <c r="B221" s="458" t="s">
        <v>14286</v>
      </c>
      <c r="C221" s="458" t="n">
        <v>2017</v>
      </c>
      <c r="D221" s="459" t="n">
        <v>42795</v>
      </c>
      <c r="E221" s="460" t="s">
        <v>14287</v>
      </c>
      <c r="F221" s="536" t="s">
        <v>10768</v>
      </c>
      <c r="G221" s="460" t="s">
        <v>125</v>
      </c>
      <c r="H221" s="380" t="s">
        <v>13945</v>
      </c>
      <c r="I221" s="459" t="n">
        <v>43286</v>
      </c>
      <c r="J221" s="460" t="n">
        <v>7</v>
      </c>
      <c r="K221" s="591" t="s">
        <v>47</v>
      </c>
      <c r="L221" s="380" t="s">
        <v>61</v>
      </c>
      <c r="M221" s="545" t="n">
        <f aca="false">I221-D221</f>
        <v>491</v>
      </c>
    </row>
    <row r="222" customFormat="false" ht="12.75" hidden="true" customHeight="true" outlineLevel="0" collapsed="false">
      <c r="A222" s="449" t="n">
        <v>22118</v>
      </c>
      <c r="B222" s="450" t="s">
        <v>14288</v>
      </c>
      <c r="C222" s="450" t="n">
        <v>2017</v>
      </c>
      <c r="D222" s="451" t="n">
        <v>42871</v>
      </c>
      <c r="E222" s="452" t="s">
        <v>14289</v>
      </c>
      <c r="F222" s="537" t="s">
        <v>14290</v>
      </c>
      <c r="G222" s="452" t="s">
        <v>130</v>
      </c>
      <c r="H222" s="378" t="s">
        <v>14291</v>
      </c>
      <c r="I222" s="451" t="n">
        <v>43286</v>
      </c>
      <c r="J222" s="452" t="n">
        <v>7</v>
      </c>
      <c r="K222" s="598" t="s">
        <v>13914</v>
      </c>
      <c r="L222" s="378" t="s">
        <v>61</v>
      </c>
      <c r="M222" s="546" t="n">
        <f aca="false">I222-D222</f>
        <v>415</v>
      </c>
    </row>
    <row r="223" customFormat="false" ht="12.75" hidden="true" customHeight="true" outlineLevel="0" collapsed="false">
      <c r="A223" s="456" t="n">
        <v>22218</v>
      </c>
      <c r="B223" s="458" t="s">
        <v>14292</v>
      </c>
      <c r="C223" s="458" t="n">
        <v>2017</v>
      </c>
      <c r="D223" s="459" t="n">
        <v>42766</v>
      </c>
      <c r="E223" s="460" t="s">
        <v>14293</v>
      </c>
      <c r="F223" s="380" t="s">
        <v>705</v>
      </c>
      <c r="G223" s="460" t="s">
        <v>441</v>
      </c>
      <c r="H223" s="380" t="s">
        <v>5447</v>
      </c>
      <c r="I223" s="459" t="n">
        <v>43286</v>
      </c>
      <c r="J223" s="460" t="n">
        <v>7</v>
      </c>
      <c r="K223" s="593" t="s">
        <v>45</v>
      </c>
      <c r="L223" s="380" t="s">
        <v>58</v>
      </c>
      <c r="M223" s="545" t="n">
        <f aca="false">I223-D223</f>
        <v>520</v>
      </c>
    </row>
    <row r="224" customFormat="false" ht="12.75" hidden="true" customHeight="true" outlineLevel="0" collapsed="false">
      <c r="A224" s="449" t="n">
        <v>22318</v>
      </c>
      <c r="B224" s="450" t="s">
        <v>14294</v>
      </c>
      <c r="C224" s="450" t="n">
        <v>2017</v>
      </c>
      <c r="D224" s="451" t="n">
        <v>42893</v>
      </c>
      <c r="E224" s="452" t="s">
        <v>14295</v>
      </c>
      <c r="F224" s="537" t="s">
        <v>9785</v>
      </c>
      <c r="G224" s="452" t="s">
        <v>125</v>
      </c>
      <c r="H224" s="378" t="s">
        <v>14228</v>
      </c>
      <c r="I224" s="451" t="n">
        <v>43286</v>
      </c>
      <c r="J224" s="452" t="n">
        <v>7</v>
      </c>
      <c r="K224" s="591" t="s">
        <v>47</v>
      </c>
      <c r="L224" s="378" t="s">
        <v>61</v>
      </c>
      <c r="M224" s="546" t="n">
        <f aca="false">I224-D224</f>
        <v>393</v>
      </c>
    </row>
    <row r="225" customFormat="false" ht="12.75" hidden="true" customHeight="true" outlineLevel="0" collapsed="false">
      <c r="A225" s="456" t="n">
        <v>22418</v>
      </c>
      <c r="B225" s="458" t="s">
        <v>14296</v>
      </c>
      <c r="C225" s="458" t="n">
        <v>2016</v>
      </c>
      <c r="D225" s="459" t="n">
        <v>42705</v>
      </c>
      <c r="E225" s="460" t="s">
        <v>14297</v>
      </c>
      <c r="F225" s="380" t="s">
        <v>705</v>
      </c>
      <c r="G225" s="460" t="s">
        <v>441</v>
      </c>
      <c r="H225" s="380" t="s">
        <v>350</v>
      </c>
      <c r="I225" s="459" t="n">
        <v>43291</v>
      </c>
      <c r="J225" s="460" t="n">
        <v>7</v>
      </c>
      <c r="K225" s="593" t="s">
        <v>45</v>
      </c>
      <c r="L225" s="380" t="s">
        <v>60</v>
      </c>
      <c r="M225" s="545" t="n">
        <f aca="false">I225-D225</f>
        <v>586</v>
      </c>
    </row>
    <row r="226" customFormat="false" ht="12.75" hidden="true" customHeight="true" outlineLevel="0" collapsed="false">
      <c r="A226" s="449" t="n">
        <v>22518</v>
      </c>
      <c r="B226" s="450" t="s">
        <v>14298</v>
      </c>
      <c r="C226" s="450" t="n">
        <v>2012</v>
      </c>
      <c r="D226" s="451" t="n">
        <v>41019</v>
      </c>
      <c r="E226" s="452" t="s">
        <v>14299</v>
      </c>
      <c r="F226" s="378" t="s">
        <v>2003</v>
      </c>
      <c r="G226" s="452" t="s">
        <v>441</v>
      </c>
      <c r="H226" s="378" t="s">
        <v>5447</v>
      </c>
      <c r="I226" s="451" t="n">
        <v>43291</v>
      </c>
      <c r="J226" s="452" t="n">
        <v>7</v>
      </c>
      <c r="K226" s="592" t="s">
        <v>42</v>
      </c>
      <c r="L226" s="378" t="s">
        <v>60</v>
      </c>
      <c r="M226" s="546" t="n">
        <f aca="false">I226-D226</f>
        <v>2272</v>
      </c>
    </row>
    <row r="227" customFormat="false" ht="12.75" hidden="true" customHeight="true" outlineLevel="0" collapsed="false">
      <c r="A227" s="456" t="n">
        <v>22618</v>
      </c>
      <c r="B227" s="458" t="s">
        <v>14300</v>
      </c>
      <c r="C227" s="458" t="n">
        <v>2010</v>
      </c>
      <c r="D227" s="459" t="n">
        <v>40494</v>
      </c>
      <c r="E227" s="460" t="s">
        <v>14301</v>
      </c>
      <c r="F227" s="380" t="s">
        <v>1916</v>
      </c>
      <c r="G227" s="460" t="s">
        <v>441</v>
      </c>
      <c r="H227" s="380" t="s">
        <v>14302</v>
      </c>
      <c r="I227" s="459" t="n">
        <v>43293</v>
      </c>
      <c r="J227" s="460" t="n">
        <v>7</v>
      </c>
      <c r="K227" s="592" t="s">
        <v>42</v>
      </c>
      <c r="L227" s="380" t="s">
        <v>58</v>
      </c>
      <c r="M227" s="545" t="n">
        <f aca="false">I227-D227</f>
        <v>2799</v>
      </c>
    </row>
    <row r="228" customFormat="false" ht="12.75" hidden="true" customHeight="true" outlineLevel="0" collapsed="false">
      <c r="A228" s="449" t="n">
        <v>22718</v>
      </c>
      <c r="B228" s="450" t="s">
        <v>14303</v>
      </c>
      <c r="C228" s="450" t="n">
        <v>2017</v>
      </c>
      <c r="D228" s="451" t="n">
        <v>42970</v>
      </c>
      <c r="E228" s="452" t="s">
        <v>14304</v>
      </c>
      <c r="F228" s="537" t="s">
        <v>10768</v>
      </c>
      <c r="G228" s="452" t="s">
        <v>125</v>
      </c>
      <c r="H228" s="378" t="s">
        <v>2602</v>
      </c>
      <c r="I228" s="451" t="n">
        <v>43294</v>
      </c>
      <c r="J228" s="452" t="n">
        <v>7</v>
      </c>
      <c r="K228" s="591" t="s">
        <v>47</v>
      </c>
      <c r="L228" s="378" t="s">
        <v>61</v>
      </c>
      <c r="M228" s="546" t="n">
        <f aca="false">I228-D228</f>
        <v>324</v>
      </c>
    </row>
    <row r="229" customFormat="false" ht="12.75" hidden="false" customHeight="true" outlineLevel="0" collapsed="false">
      <c r="A229" s="456" t="n">
        <v>22818</v>
      </c>
      <c r="B229" s="458" t="s">
        <v>14305</v>
      </c>
      <c r="C229" s="458" t="n">
        <v>2013</v>
      </c>
      <c r="D229" s="459" t="n">
        <v>41383</v>
      </c>
      <c r="E229" s="460" t="s">
        <v>14306</v>
      </c>
      <c r="F229" s="380" t="s">
        <v>537</v>
      </c>
      <c r="G229" s="460" t="s">
        <v>1174</v>
      </c>
      <c r="H229" s="380" t="s">
        <v>1567</v>
      </c>
      <c r="I229" s="459" t="n">
        <v>43299</v>
      </c>
      <c r="J229" s="460" t="n">
        <v>7</v>
      </c>
      <c r="K229" s="591" t="s">
        <v>47</v>
      </c>
      <c r="L229" s="380" t="s">
        <v>58</v>
      </c>
      <c r="M229" s="545" t="n">
        <f aca="false">I229-D229</f>
        <v>1916</v>
      </c>
    </row>
    <row r="230" customFormat="false" ht="12.75" hidden="true" customHeight="true" outlineLevel="0" collapsed="false">
      <c r="A230" s="449" t="n">
        <v>22918</v>
      </c>
      <c r="B230" s="450" t="s">
        <v>14307</v>
      </c>
      <c r="C230" s="450" t="n">
        <v>2014</v>
      </c>
      <c r="D230" s="451" t="n">
        <v>41976</v>
      </c>
      <c r="E230" s="452" t="s">
        <v>14308</v>
      </c>
      <c r="F230" s="378" t="s">
        <v>569</v>
      </c>
      <c r="G230" s="452" t="s">
        <v>8</v>
      </c>
      <c r="H230" s="378" t="s">
        <v>14235</v>
      </c>
      <c r="I230" s="451" t="n">
        <v>43299</v>
      </c>
      <c r="J230" s="452" t="n">
        <v>7</v>
      </c>
      <c r="K230" s="591" t="s">
        <v>47</v>
      </c>
      <c r="L230" s="378" t="s">
        <v>58</v>
      </c>
      <c r="M230" s="546" t="n">
        <f aca="false">I230-D230</f>
        <v>1323</v>
      </c>
    </row>
    <row r="231" customFormat="false" ht="12.75" hidden="true" customHeight="true" outlineLevel="0" collapsed="false">
      <c r="A231" s="456" t="n">
        <v>23018</v>
      </c>
      <c r="B231" s="458" t="s">
        <v>14309</v>
      </c>
      <c r="C231" s="458" t="n">
        <v>2014</v>
      </c>
      <c r="D231" s="459" t="n">
        <v>41918</v>
      </c>
      <c r="E231" s="460" t="s">
        <v>14310</v>
      </c>
      <c r="F231" s="380" t="s">
        <v>14311</v>
      </c>
      <c r="G231" s="460" t="s">
        <v>125</v>
      </c>
      <c r="H231" s="380" t="s">
        <v>14228</v>
      </c>
      <c r="I231" s="459" t="n">
        <v>43304</v>
      </c>
      <c r="J231" s="460" t="n">
        <v>7</v>
      </c>
      <c r="K231" s="598" t="s">
        <v>50</v>
      </c>
      <c r="L231" s="380" t="s">
        <v>61</v>
      </c>
      <c r="M231" s="545" t="n">
        <f aca="false">I231-D231</f>
        <v>1386</v>
      </c>
    </row>
    <row r="232" customFormat="false" ht="12.75" hidden="true" customHeight="true" outlineLevel="0" collapsed="false">
      <c r="A232" s="449" t="n">
        <v>23118</v>
      </c>
      <c r="B232" s="450" t="s">
        <v>14312</v>
      </c>
      <c r="C232" s="450" t="n">
        <v>2011</v>
      </c>
      <c r="D232" s="451" t="n">
        <v>40751</v>
      </c>
      <c r="E232" s="452" t="s">
        <v>14313</v>
      </c>
      <c r="F232" s="378" t="s">
        <v>5620</v>
      </c>
      <c r="G232" s="452" t="s">
        <v>441</v>
      </c>
      <c r="H232" s="378" t="s">
        <v>471</v>
      </c>
      <c r="I232" s="451" t="n">
        <v>43304</v>
      </c>
      <c r="J232" s="452" t="n">
        <v>7</v>
      </c>
      <c r="K232" s="591" t="s">
        <v>47</v>
      </c>
      <c r="L232" s="378" t="s">
        <v>60</v>
      </c>
      <c r="M232" s="546" t="n">
        <f aca="false">I232-D232</f>
        <v>2553</v>
      </c>
    </row>
    <row r="233" customFormat="false" ht="12.75" hidden="true" customHeight="true" outlineLevel="0" collapsed="false">
      <c r="A233" s="456" t="n">
        <v>23218</v>
      </c>
      <c r="B233" s="458" t="s">
        <v>14314</v>
      </c>
      <c r="C233" s="458" t="n">
        <v>2017</v>
      </c>
      <c r="D233" s="459" t="n">
        <v>43055</v>
      </c>
      <c r="E233" s="460" t="s">
        <v>14315</v>
      </c>
      <c r="F233" s="601" t="s">
        <v>14316</v>
      </c>
      <c r="G233" s="460" t="s">
        <v>125</v>
      </c>
      <c r="H233" s="380" t="s">
        <v>6469</v>
      </c>
      <c r="I233" s="459" t="n">
        <v>43304</v>
      </c>
      <c r="J233" s="460" t="n">
        <v>7</v>
      </c>
      <c r="K233" s="598" t="s">
        <v>50</v>
      </c>
      <c r="L233" s="380" t="s">
        <v>61</v>
      </c>
      <c r="M233" s="545" t="n">
        <f aca="false">I233-D233</f>
        <v>249</v>
      </c>
    </row>
    <row r="234" customFormat="false" ht="12.75" hidden="true" customHeight="true" outlineLevel="0" collapsed="false">
      <c r="A234" s="449" t="n">
        <v>23318</v>
      </c>
      <c r="B234" s="450" t="s">
        <v>14317</v>
      </c>
      <c r="C234" s="450" t="n">
        <v>2014</v>
      </c>
      <c r="D234" s="451" t="n">
        <v>41974</v>
      </c>
      <c r="E234" s="452" t="s">
        <v>14318</v>
      </c>
      <c r="F234" s="378" t="s">
        <v>14319</v>
      </c>
      <c r="G234" s="452" t="s">
        <v>441</v>
      </c>
      <c r="H234" s="378" t="s">
        <v>2654</v>
      </c>
      <c r="I234" s="451" t="n">
        <v>43304</v>
      </c>
      <c r="J234" s="452" t="n">
        <v>7</v>
      </c>
      <c r="K234" s="598" t="s">
        <v>50</v>
      </c>
      <c r="L234" s="378" t="s">
        <v>58</v>
      </c>
      <c r="M234" s="546" t="n">
        <f aca="false">I234-D234</f>
        <v>1330</v>
      </c>
    </row>
    <row r="235" customFormat="false" ht="12.75" hidden="true" customHeight="true" outlineLevel="0" collapsed="false">
      <c r="A235" s="456" t="n">
        <v>23418</v>
      </c>
      <c r="B235" s="458" t="s">
        <v>14320</v>
      </c>
      <c r="C235" s="458" t="n">
        <v>2015</v>
      </c>
      <c r="D235" s="459" t="n">
        <v>42258</v>
      </c>
      <c r="E235" s="460" t="s">
        <v>14321</v>
      </c>
      <c r="F235" s="380" t="s">
        <v>14322</v>
      </c>
      <c r="G235" s="460" t="s">
        <v>144</v>
      </c>
      <c r="H235" s="380" t="s">
        <v>1567</v>
      </c>
      <c r="I235" s="459" t="n">
        <v>43307</v>
      </c>
      <c r="J235" s="460" t="n">
        <v>7</v>
      </c>
      <c r="K235" s="593" t="s">
        <v>45</v>
      </c>
      <c r="L235" s="380" t="s">
        <v>60</v>
      </c>
      <c r="M235" s="545" t="n">
        <f aca="false">I235-D235</f>
        <v>1049</v>
      </c>
    </row>
    <row r="236" customFormat="false" ht="12.75" hidden="true" customHeight="true" outlineLevel="0" collapsed="false">
      <c r="A236" s="449" t="n">
        <v>23518</v>
      </c>
      <c r="B236" s="450" t="s">
        <v>14323</v>
      </c>
      <c r="C236" s="450" t="n">
        <v>2016</v>
      </c>
      <c r="D236" s="451" t="n">
        <v>42675</v>
      </c>
      <c r="E236" s="452" t="s">
        <v>14324</v>
      </c>
      <c r="F236" s="378" t="s">
        <v>1277</v>
      </c>
      <c r="G236" s="452" t="s">
        <v>441</v>
      </c>
      <c r="H236" s="378" t="s">
        <v>350</v>
      </c>
      <c r="I236" s="451" t="n">
        <v>43307</v>
      </c>
      <c r="J236" s="452" t="n">
        <v>7</v>
      </c>
      <c r="K236" s="593" t="s">
        <v>45</v>
      </c>
      <c r="L236" s="378" t="s">
        <v>58</v>
      </c>
      <c r="M236" s="546" t="n">
        <f aca="false">I236-D236</f>
        <v>632</v>
      </c>
    </row>
    <row r="237" customFormat="false" ht="12.75" hidden="true" customHeight="true" outlineLevel="0" collapsed="false">
      <c r="A237" s="456" t="n">
        <v>23618</v>
      </c>
      <c r="B237" s="458" t="s">
        <v>14325</v>
      </c>
      <c r="C237" s="458" t="n">
        <v>2012</v>
      </c>
      <c r="D237" s="459" t="n">
        <v>40941</v>
      </c>
      <c r="E237" s="460" t="s">
        <v>14326</v>
      </c>
      <c r="F237" s="380" t="s">
        <v>671</v>
      </c>
      <c r="G237" s="460" t="s">
        <v>441</v>
      </c>
      <c r="H237" s="380" t="s">
        <v>5447</v>
      </c>
      <c r="I237" s="459" t="n">
        <v>43308</v>
      </c>
      <c r="J237" s="460" t="n">
        <v>7</v>
      </c>
      <c r="K237" s="592" t="s">
        <v>42</v>
      </c>
      <c r="L237" s="380" t="s">
        <v>58</v>
      </c>
      <c r="M237" s="545" t="n">
        <f aca="false">I237-D237</f>
        <v>2367</v>
      </c>
    </row>
    <row r="238" customFormat="false" ht="12.75" hidden="true" customHeight="true" outlineLevel="0" collapsed="false">
      <c r="A238" s="449" t="n">
        <v>23718</v>
      </c>
      <c r="B238" s="450" t="s">
        <v>14327</v>
      </c>
      <c r="C238" s="450" t="n">
        <v>2009</v>
      </c>
      <c r="D238" s="451" t="n">
        <v>40143</v>
      </c>
      <c r="E238" s="452" t="s">
        <v>14328</v>
      </c>
      <c r="F238" s="378" t="s">
        <v>211</v>
      </c>
      <c r="G238" s="452" t="s">
        <v>441</v>
      </c>
      <c r="H238" s="378" t="s">
        <v>6570</v>
      </c>
      <c r="I238" s="451" t="n">
        <v>43312</v>
      </c>
      <c r="J238" s="452" t="n">
        <v>7</v>
      </c>
      <c r="K238" s="592" t="s">
        <v>42</v>
      </c>
      <c r="L238" s="378" t="s">
        <v>58</v>
      </c>
      <c r="M238" s="546" t="n">
        <f aca="false">I238-D238</f>
        <v>3169</v>
      </c>
    </row>
    <row r="239" customFormat="false" ht="12.75" hidden="true" customHeight="true" outlineLevel="0" collapsed="false">
      <c r="A239" s="456" t="n">
        <v>23818</v>
      </c>
      <c r="B239" s="458" t="s">
        <v>14329</v>
      </c>
      <c r="C239" s="458" t="n">
        <v>2014</v>
      </c>
      <c r="D239" s="459" t="n">
        <v>41873</v>
      </c>
      <c r="E239" s="460" t="s">
        <v>14330</v>
      </c>
      <c r="F239" s="380" t="s">
        <v>176</v>
      </c>
      <c r="G239" s="460" t="s">
        <v>441</v>
      </c>
      <c r="H239" s="380" t="s">
        <v>192</v>
      </c>
      <c r="I239" s="459" t="n">
        <v>43312</v>
      </c>
      <c r="J239" s="460" t="n">
        <v>7</v>
      </c>
      <c r="K239" s="593" t="s">
        <v>45</v>
      </c>
      <c r="L239" s="380" t="s">
        <v>60</v>
      </c>
      <c r="M239" s="545" t="n">
        <f aca="false">I239-D239</f>
        <v>1439</v>
      </c>
    </row>
    <row r="240" customFormat="false" ht="12.75" hidden="true" customHeight="true" outlineLevel="0" collapsed="false">
      <c r="A240" s="449" t="n">
        <v>23918</v>
      </c>
      <c r="B240" s="450" t="s">
        <v>14331</v>
      </c>
      <c r="C240" s="450" t="n">
        <v>2018</v>
      </c>
      <c r="D240" s="451" t="n">
        <v>43118</v>
      </c>
      <c r="E240" s="452" t="s">
        <v>14332</v>
      </c>
      <c r="F240" s="537" t="s">
        <v>14333</v>
      </c>
      <c r="G240" s="452" t="s">
        <v>125</v>
      </c>
      <c r="H240" s="378" t="s">
        <v>6469</v>
      </c>
      <c r="I240" s="451" t="n">
        <v>43313</v>
      </c>
      <c r="J240" s="452" t="n">
        <v>8</v>
      </c>
      <c r="K240" s="598" t="s">
        <v>50</v>
      </c>
      <c r="L240" s="378" t="s">
        <v>61</v>
      </c>
      <c r="M240" s="546" t="n">
        <f aca="false">I240-D240</f>
        <v>195</v>
      </c>
    </row>
    <row r="241" customFormat="false" ht="12.75" hidden="true" customHeight="true" outlineLevel="0" collapsed="false">
      <c r="A241" s="456" t="n">
        <v>24018</v>
      </c>
      <c r="B241" s="458" t="s">
        <v>12983</v>
      </c>
      <c r="C241" s="458" t="n">
        <v>2013</v>
      </c>
      <c r="D241" s="459" t="n">
        <v>41355</v>
      </c>
      <c r="E241" s="460" t="s">
        <v>14334</v>
      </c>
      <c r="F241" s="380" t="s">
        <v>12361</v>
      </c>
      <c r="G241" s="460" t="s">
        <v>144</v>
      </c>
      <c r="H241" s="380" t="s">
        <v>2602</v>
      </c>
      <c r="I241" s="459" t="n">
        <v>43313</v>
      </c>
      <c r="J241" s="460" t="n">
        <v>8</v>
      </c>
      <c r="K241" s="593" t="s">
        <v>45</v>
      </c>
      <c r="L241" s="380" t="s">
        <v>58</v>
      </c>
      <c r="M241" s="545" t="n">
        <f aca="false">I241-D241</f>
        <v>1958</v>
      </c>
    </row>
    <row r="242" customFormat="false" ht="12.75" hidden="true" customHeight="true" outlineLevel="0" collapsed="false">
      <c r="A242" s="449" t="n">
        <v>24118</v>
      </c>
      <c r="B242" s="450" t="s">
        <v>14335</v>
      </c>
      <c r="C242" s="450" t="n">
        <v>2013</v>
      </c>
      <c r="D242" s="451" t="n">
        <v>41355</v>
      </c>
      <c r="E242" s="452" t="s">
        <v>14336</v>
      </c>
      <c r="F242" s="378" t="s">
        <v>12361</v>
      </c>
      <c r="G242" s="452" t="s">
        <v>144</v>
      </c>
      <c r="H242" s="378" t="s">
        <v>2602</v>
      </c>
      <c r="I242" s="451" t="n">
        <v>43313</v>
      </c>
      <c r="J242" s="452" t="n">
        <v>8</v>
      </c>
      <c r="K242" s="593" t="s">
        <v>45</v>
      </c>
      <c r="L242" s="378" t="s">
        <v>58</v>
      </c>
      <c r="M242" s="546" t="n">
        <f aca="false">I242-D242</f>
        <v>1958</v>
      </c>
    </row>
    <row r="243" customFormat="false" ht="12.75" hidden="true" customHeight="true" outlineLevel="0" collapsed="false">
      <c r="A243" s="456" t="n">
        <v>24218</v>
      </c>
      <c r="B243" s="458" t="s">
        <v>14337</v>
      </c>
      <c r="C243" s="458" t="n">
        <v>2013</v>
      </c>
      <c r="D243" s="459" t="n">
        <v>41330</v>
      </c>
      <c r="E243" s="460" t="s">
        <v>14338</v>
      </c>
      <c r="F243" s="380" t="s">
        <v>1097</v>
      </c>
      <c r="G243" s="460" t="s">
        <v>441</v>
      </c>
      <c r="H243" s="380" t="s">
        <v>13858</v>
      </c>
      <c r="I243" s="459" t="n">
        <v>43313</v>
      </c>
      <c r="J243" s="460" t="n">
        <v>8</v>
      </c>
      <c r="K243" s="592" t="s">
        <v>42</v>
      </c>
      <c r="L243" s="380" t="s">
        <v>60</v>
      </c>
      <c r="M243" s="545" t="n">
        <f aca="false">I243-D243</f>
        <v>1983</v>
      </c>
    </row>
    <row r="244" customFormat="false" ht="12.75" hidden="true" customHeight="true" outlineLevel="0" collapsed="false">
      <c r="A244" s="449" t="n">
        <v>24318</v>
      </c>
      <c r="B244" s="450" t="s">
        <v>14339</v>
      </c>
      <c r="C244" s="450" t="n">
        <v>2017</v>
      </c>
      <c r="D244" s="451" t="n">
        <v>43075</v>
      </c>
      <c r="E244" s="452" t="s">
        <v>14340</v>
      </c>
      <c r="F244" s="537" t="s">
        <v>9785</v>
      </c>
      <c r="G244" s="452" t="s">
        <v>130</v>
      </c>
      <c r="H244" s="378" t="s">
        <v>3472</v>
      </c>
      <c r="I244" s="451" t="n">
        <v>43313</v>
      </c>
      <c r="J244" s="452" t="n">
        <v>8</v>
      </c>
      <c r="K244" s="598" t="s">
        <v>50</v>
      </c>
      <c r="L244" s="378" t="s">
        <v>61</v>
      </c>
      <c r="M244" s="546" t="n">
        <f aca="false">I244-D244</f>
        <v>238</v>
      </c>
    </row>
    <row r="245" customFormat="false" ht="12.75" hidden="true" customHeight="true" outlineLevel="0" collapsed="false">
      <c r="A245" s="456" t="n">
        <v>24418</v>
      </c>
      <c r="B245" s="458" t="s">
        <v>14341</v>
      </c>
      <c r="C245" s="458" t="n">
        <v>2011</v>
      </c>
      <c r="D245" s="459" t="n">
        <v>40907</v>
      </c>
      <c r="E245" s="460" t="s">
        <v>14342</v>
      </c>
      <c r="F245" s="380" t="s">
        <v>446</v>
      </c>
      <c r="G245" s="460" t="s">
        <v>441</v>
      </c>
      <c r="H245" s="380" t="s">
        <v>5447</v>
      </c>
      <c r="I245" s="459" t="n">
        <v>43313</v>
      </c>
      <c r="J245" s="460" t="n">
        <v>8</v>
      </c>
      <c r="K245" s="593" t="s">
        <v>45</v>
      </c>
      <c r="L245" s="380" t="s">
        <v>60</v>
      </c>
      <c r="M245" s="545" t="n">
        <f aca="false">I245-D245</f>
        <v>2406</v>
      </c>
    </row>
    <row r="246" customFormat="false" ht="12.75" hidden="true" customHeight="true" outlineLevel="0" collapsed="false">
      <c r="A246" s="449" t="n">
        <v>24518</v>
      </c>
      <c r="B246" s="450" t="s">
        <v>14343</v>
      </c>
      <c r="C246" s="450" t="n">
        <v>2016</v>
      </c>
      <c r="D246" s="451" t="n">
        <v>42703</v>
      </c>
      <c r="E246" s="452" t="s">
        <v>14344</v>
      </c>
      <c r="F246" s="378" t="s">
        <v>14345</v>
      </c>
      <c r="G246" s="452" t="s">
        <v>144</v>
      </c>
      <c r="H246" s="378" t="s">
        <v>13821</v>
      </c>
      <c r="I246" s="451" t="n">
        <v>43313</v>
      </c>
      <c r="J246" s="452" t="n">
        <v>8</v>
      </c>
      <c r="K246" s="592" t="s">
        <v>42</v>
      </c>
      <c r="L246" s="378" t="s">
        <v>60</v>
      </c>
      <c r="M246" s="546" t="n">
        <f aca="false">I246-D246</f>
        <v>610</v>
      </c>
    </row>
    <row r="247" customFormat="false" ht="12.75" hidden="true" customHeight="true" outlineLevel="0" collapsed="false">
      <c r="A247" s="456" t="n">
        <v>24618</v>
      </c>
      <c r="B247" s="458" t="s">
        <v>14346</v>
      </c>
      <c r="C247" s="458" t="n">
        <v>2017</v>
      </c>
      <c r="D247" s="459" t="n">
        <v>43035</v>
      </c>
      <c r="E247" s="460" t="s">
        <v>14347</v>
      </c>
      <c r="F247" s="536" t="s">
        <v>13663</v>
      </c>
      <c r="G247" s="460" t="s">
        <v>125</v>
      </c>
      <c r="H247" s="380" t="s">
        <v>12530</v>
      </c>
      <c r="I247" s="459" t="n">
        <v>43314</v>
      </c>
      <c r="J247" s="460" t="n">
        <v>8</v>
      </c>
      <c r="K247" s="598" t="s">
        <v>50</v>
      </c>
      <c r="L247" s="380" t="s">
        <v>61</v>
      </c>
      <c r="M247" s="545" t="n">
        <f aca="false">I247-D247</f>
        <v>279</v>
      </c>
    </row>
    <row r="248" customFormat="false" ht="12.75" hidden="true" customHeight="true" outlineLevel="0" collapsed="false">
      <c r="A248" s="449" t="n">
        <v>24718</v>
      </c>
      <c r="B248" s="450" t="s">
        <v>14348</v>
      </c>
      <c r="C248" s="450" t="n">
        <v>2017</v>
      </c>
      <c r="D248" s="451" t="n">
        <v>43055</v>
      </c>
      <c r="E248" s="452" t="s">
        <v>14349</v>
      </c>
      <c r="F248" s="537" t="s">
        <v>14350</v>
      </c>
      <c r="G248" s="452" t="s">
        <v>125</v>
      </c>
      <c r="H248" s="378" t="s">
        <v>6469</v>
      </c>
      <c r="I248" s="451" t="n">
        <v>43314</v>
      </c>
      <c r="J248" s="452" t="n">
        <v>8</v>
      </c>
      <c r="K248" s="598" t="s">
        <v>50</v>
      </c>
      <c r="L248" s="378" t="s">
        <v>61</v>
      </c>
      <c r="M248" s="546" t="n">
        <f aca="false">I248-D248</f>
        <v>259</v>
      </c>
    </row>
    <row r="249" customFormat="false" ht="12.75" hidden="true" customHeight="true" outlineLevel="0" collapsed="false">
      <c r="A249" s="456" t="n">
        <v>24818</v>
      </c>
      <c r="B249" s="458" t="s">
        <v>14351</v>
      </c>
      <c r="C249" s="458" t="n">
        <v>2018</v>
      </c>
      <c r="D249" s="459" t="n">
        <v>43118</v>
      </c>
      <c r="E249" s="460" t="s">
        <v>14352</v>
      </c>
      <c r="F249" s="536" t="s">
        <v>14350</v>
      </c>
      <c r="G249" s="460" t="s">
        <v>125</v>
      </c>
      <c r="H249" s="380" t="s">
        <v>6469</v>
      </c>
      <c r="I249" s="459" t="n">
        <v>43314</v>
      </c>
      <c r="J249" s="460" t="n">
        <v>8</v>
      </c>
      <c r="K249" s="598" t="s">
        <v>50</v>
      </c>
      <c r="L249" s="380" t="s">
        <v>61</v>
      </c>
      <c r="M249" s="545" t="n">
        <f aca="false">I249-D249</f>
        <v>196</v>
      </c>
    </row>
    <row r="250" customFormat="false" ht="12.75" hidden="true" customHeight="true" outlineLevel="0" collapsed="false">
      <c r="A250" s="449" t="n">
        <v>24918</v>
      </c>
      <c r="B250" s="450" t="s">
        <v>14353</v>
      </c>
      <c r="C250" s="450" t="n">
        <v>2012</v>
      </c>
      <c r="D250" s="451" t="n">
        <v>41264</v>
      </c>
      <c r="E250" s="452" t="s">
        <v>14354</v>
      </c>
      <c r="F250" s="378" t="s">
        <v>4270</v>
      </c>
      <c r="G250" s="452" t="s">
        <v>441</v>
      </c>
      <c r="H250" s="378" t="s">
        <v>1567</v>
      </c>
      <c r="I250" s="451" t="n">
        <v>43314</v>
      </c>
      <c r="J250" s="452" t="n">
        <v>8</v>
      </c>
      <c r="K250" s="592" t="s">
        <v>42</v>
      </c>
      <c r="L250" s="378" t="s">
        <v>58</v>
      </c>
      <c r="M250" s="546" t="n">
        <f aca="false">I250-D250</f>
        <v>2050</v>
      </c>
    </row>
    <row r="251" customFormat="false" ht="12.75" hidden="true" customHeight="true" outlineLevel="0" collapsed="false">
      <c r="A251" s="456" t="n">
        <v>25018</v>
      </c>
      <c r="B251" s="458" t="s">
        <v>14355</v>
      </c>
      <c r="C251" s="458" t="n">
        <v>2012</v>
      </c>
      <c r="D251" s="459" t="n">
        <v>41207</v>
      </c>
      <c r="E251" s="460" t="s">
        <v>14356</v>
      </c>
      <c r="F251" s="380" t="s">
        <v>1693</v>
      </c>
      <c r="G251" s="460" t="s">
        <v>441</v>
      </c>
      <c r="H251" s="380" t="s">
        <v>1567</v>
      </c>
      <c r="I251" s="459" t="n">
        <v>43318</v>
      </c>
      <c r="J251" s="460" t="n">
        <v>8</v>
      </c>
      <c r="K251" s="591" t="s">
        <v>47</v>
      </c>
      <c r="L251" s="380" t="s">
        <v>58</v>
      </c>
      <c r="M251" s="545" t="n">
        <f aca="false">I251-D251</f>
        <v>2111</v>
      </c>
    </row>
    <row r="252" customFormat="false" ht="12.75" hidden="true" customHeight="true" outlineLevel="0" collapsed="false">
      <c r="A252" s="449" t="n">
        <v>25118</v>
      </c>
      <c r="B252" s="450" t="s">
        <v>14357</v>
      </c>
      <c r="C252" s="450" t="n">
        <v>2018</v>
      </c>
      <c r="D252" s="451" t="n">
        <v>43131</v>
      </c>
      <c r="E252" s="452" t="s">
        <v>14358</v>
      </c>
      <c r="F252" s="378" t="s">
        <v>13952</v>
      </c>
      <c r="G252" s="452" t="s">
        <v>130</v>
      </c>
      <c r="H252" s="378" t="s">
        <v>14359</v>
      </c>
      <c r="I252" s="451" t="n">
        <v>43319</v>
      </c>
      <c r="J252" s="452" t="n">
        <v>8</v>
      </c>
      <c r="K252" s="598" t="s">
        <v>50</v>
      </c>
      <c r="L252" s="378" t="s">
        <v>61</v>
      </c>
      <c r="M252" s="546" t="n">
        <f aca="false">I252-D252</f>
        <v>188</v>
      </c>
    </row>
    <row r="253" customFormat="false" ht="12.75" hidden="true" customHeight="true" outlineLevel="0" collapsed="false">
      <c r="A253" s="456" t="n">
        <v>25218</v>
      </c>
      <c r="B253" s="458" t="s">
        <v>14360</v>
      </c>
      <c r="C253" s="458" t="n">
        <v>2017</v>
      </c>
      <c r="D253" s="459" t="n">
        <v>42898</v>
      </c>
      <c r="E253" s="460" t="s">
        <v>14361</v>
      </c>
      <c r="F253" s="380" t="s">
        <v>168</v>
      </c>
      <c r="G253" s="460" t="s">
        <v>441</v>
      </c>
      <c r="H253" s="380" t="s">
        <v>350</v>
      </c>
      <c r="I253" s="459" t="n">
        <v>43319</v>
      </c>
      <c r="J253" s="460" t="n">
        <v>8</v>
      </c>
      <c r="K253" s="591" t="s">
        <v>47</v>
      </c>
      <c r="L253" s="380" t="s">
        <v>60</v>
      </c>
      <c r="M253" s="545" t="n">
        <f aca="false">I253-D253</f>
        <v>421</v>
      </c>
    </row>
    <row r="254" customFormat="false" ht="12.75" hidden="true" customHeight="true" outlineLevel="0" collapsed="false">
      <c r="A254" s="449" t="n">
        <v>25318</v>
      </c>
      <c r="B254" s="450" t="s">
        <v>14362</v>
      </c>
      <c r="C254" s="450" t="n">
        <v>2016</v>
      </c>
      <c r="D254" s="451" t="n">
        <v>42734</v>
      </c>
      <c r="E254" s="452" t="s">
        <v>14363</v>
      </c>
      <c r="F254" s="378" t="s">
        <v>14364</v>
      </c>
      <c r="G254" s="452" t="s">
        <v>144</v>
      </c>
      <c r="H254" s="378" t="s">
        <v>972</v>
      </c>
      <c r="I254" s="451" t="n">
        <v>43321</v>
      </c>
      <c r="J254" s="452" t="n">
        <v>8</v>
      </c>
      <c r="K254" s="592" t="s">
        <v>42</v>
      </c>
      <c r="L254" s="378" t="s">
        <v>58</v>
      </c>
      <c r="M254" s="546" t="n">
        <f aca="false">I254-D254</f>
        <v>587</v>
      </c>
    </row>
    <row r="255" customFormat="false" ht="12.75" hidden="false" customHeight="true" outlineLevel="0" collapsed="false">
      <c r="A255" s="456" t="n">
        <v>25418</v>
      </c>
      <c r="B255" s="458" t="s">
        <v>14365</v>
      </c>
      <c r="C255" s="458" t="n">
        <v>2010</v>
      </c>
      <c r="D255" s="459" t="n">
        <v>40329</v>
      </c>
      <c r="E255" s="460" t="s">
        <v>14366</v>
      </c>
      <c r="F255" s="380" t="s">
        <v>2913</v>
      </c>
      <c r="G255" s="460" t="s">
        <v>1174</v>
      </c>
      <c r="H255" s="380" t="s">
        <v>208</v>
      </c>
      <c r="I255" s="459" t="n">
        <v>43321</v>
      </c>
      <c r="J255" s="460" t="n">
        <v>8</v>
      </c>
      <c r="K255" s="591" t="s">
        <v>47</v>
      </c>
      <c r="L255" s="380" t="s">
        <v>60</v>
      </c>
      <c r="M255" s="545" t="n">
        <f aca="false">I255-D255</f>
        <v>2992</v>
      </c>
    </row>
    <row r="256" customFormat="false" ht="12.75" hidden="false" customHeight="true" outlineLevel="0" collapsed="false">
      <c r="A256" s="449" t="n">
        <v>25518</v>
      </c>
      <c r="B256" s="450" t="s">
        <v>14367</v>
      </c>
      <c r="C256" s="450" t="n">
        <v>2015</v>
      </c>
      <c r="D256" s="451" t="n">
        <v>42200</v>
      </c>
      <c r="E256" s="452" t="s">
        <v>14368</v>
      </c>
      <c r="F256" s="378" t="s">
        <v>207</v>
      </c>
      <c r="G256" s="452" t="s">
        <v>1174</v>
      </c>
      <c r="H256" s="378" t="s">
        <v>192</v>
      </c>
      <c r="I256" s="451" t="n">
        <v>43322</v>
      </c>
      <c r="J256" s="452" t="n">
        <v>8</v>
      </c>
      <c r="K256" s="592" t="s">
        <v>42</v>
      </c>
      <c r="L256" s="378" t="s">
        <v>58</v>
      </c>
      <c r="M256" s="546" t="n">
        <f aca="false">I256-D256</f>
        <v>1122</v>
      </c>
    </row>
    <row r="257" customFormat="false" ht="12.75" hidden="false" customHeight="true" outlineLevel="0" collapsed="false">
      <c r="A257" s="456" t="n">
        <v>25618</v>
      </c>
      <c r="B257" s="458" t="s">
        <v>14369</v>
      </c>
      <c r="C257" s="458" t="n">
        <v>2014</v>
      </c>
      <c r="D257" s="459" t="n">
        <v>41851</v>
      </c>
      <c r="E257" s="460" t="s">
        <v>14370</v>
      </c>
      <c r="F257" s="380" t="s">
        <v>207</v>
      </c>
      <c r="G257" s="460" t="s">
        <v>1174</v>
      </c>
      <c r="H257" s="380" t="s">
        <v>192</v>
      </c>
      <c r="I257" s="459" t="n">
        <v>43322</v>
      </c>
      <c r="J257" s="460" t="n">
        <v>8</v>
      </c>
      <c r="K257" s="592" t="s">
        <v>42</v>
      </c>
      <c r="L257" s="380" t="s">
        <v>58</v>
      </c>
      <c r="M257" s="545" t="n">
        <f aca="false">I257-D257</f>
        <v>1471</v>
      </c>
    </row>
    <row r="258" customFormat="false" ht="12.75" hidden="true" customHeight="true" outlineLevel="0" collapsed="false">
      <c r="A258" s="449" t="n">
        <v>25718</v>
      </c>
      <c r="B258" s="450" t="s">
        <v>14371</v>
      </c>
      <c r="C258" s="450" t="n">
        <v>2012</v>
      </c>
      <c r="D258" s="451" t="n">
        <v>41089</v>
      </c>
      <c r="E258" s="452" t="s">
        <v>14372</v>
      </c>
      <c r="F258" s="378" t="s">
        <v>14258</v>
      </c>
      <c r="G258" s="452" t="s">
        <v>441</v>
      </c>
      <c r="H258" s="378" t="s">
        <v>5447</v>
      </c>
      <c r="I258" s="451" t="n">
        <v>43322</v>
      </c>
      <c r="J258" s="452" t="n">
        <v>8</v>
      </c>
      <c r="K258" s="592" t="s">
        <v>42</v>
      </c>
      <c r="L258" s="378" t="s">
        <v>60</v>
      </c>
      <c r="M258" s="546" t="n">
        <f aca="false">I258-D258</f>
        <v>2233</v>
      </c>
    </row>
    <row r="259" customFormat="false" ht="12.75" hidden="true" customHeight="true" outlineLevel="0" collapsed="false">
      <c r="A259" s="456" t="n">
        <v>25818</v>
      </c>
      <c r="B259" s="458" t="s">
        <v>14373</v>
      </c>
      <c r="C259" s="458" t="n">
        <v>2017</v>
      </c>
      <c r="D259" s="459" t="n">
        <v>43033</v>
      </c>
      <c r="E259" s="460" t="s">
        <v>14374</v>
      </c>
      <c r="F259" s="536" t="s">
        <v>12895</v>
      </c>
      <c r="G259" s="460" t="s">
        <v>125</v>
      </c>
      <c r="H259" s="380" t="s">
        <v>12530</v>
      </c>
      <c r="I259" s="459" t="n">
        <v>43322</v>
      </c>
      <c r="J259" s="460" t="n">
        <v>8</v>
      </c>
      <c r="K259" s="598" t="s">
        <v>50</v>
      </c>
      <c r="L259" s="380" t="s">
        <v>61</v>
      </c>
      <c r="M259" s="545" t="n">
        <f aca="false">I259-D259</f>
        <v>289</v>
      </c>
    </row>
    <row r="260" customFormat="false" ht="12.75" hidden="true" customHeight="true" outlineLevel="0" collapsed="false">
      <c r="A260" s="449" t="n">
        <v>25918</v>
      </c>
      <c r="B260" s="450" t="s">
        <v>14375</v>
      </c>
      <c r="C260" s="450" t="n">
        <v>2016</v>
      </c>
      <c r="D260" s="451" t="n">
        <v>42415</v>
      </c>
      <c r="E260" s="452" t="s">
        <v>14376</v>
      </c>
      <c r="F260" s="378" t="s">
        <v>207</v>
      </c>
      <c r="G260" s="452" t="s">
        <v>441</v>
      </c>
      <c r="H260" s="378" t="s">
        <v>12183</v>
      </c>
      <c r="I260" s="451" t="n">
        <v>43326</v>
      </c>
      <c r="J260" s="452" t="n">
        <v>8</v>
      </c>
      <c r="K260" s="591" t="s">
        <v>47</v>
      </c>
      <c r="L260" s="378" t="s">
        <v>58</v>
      </c>
      <c r="M260" s="546" t="n">
        <f aca="false">I260-D260</f>
        <v>911</v>
      </c>
    </row>
    <row r="261" customFormat="false" ht="12.75" hidden="true" customHeight="true" outlineLevel="0" collapsed="false">
      <c r="A261" s="456" t="n">
        <v>26018</v>
      </c>
      <c r="B261" s="458" t="s">
        <v>14377</v>
      </c>
      <c r="C261" s="458" t="n">
        <v>2017</v>
      </c>
      <c r="D261" s="459" t="n">
        <v>43075</v>
      </c>
      <c r="E261" s="460" t="s">
        <v>14378</v>
      </c>
      <c r="F261" s="536" t="s">
        <v>12895</v>
      </c>
      <c r="G261" s="460" t="s">
        <v>130</v>
      </c>
      <c r="H261" s="380" t="s">
        <v>3472</v>
      </c>
      <c r="I261" s="459" t="n">
        <v>43326</v>
      </c>
      <c r="J261" s="460" t="n">
        <v>8</v>
      </c>
      <c r="K261" s="598" t="s">
        <v>50</v>
      </c>
      <c r="L261" s="380" t="s">
        <v>61</v>
      </c>
      <c r="M261" s="545" t="n">
        <f aca="false">I261-D261</f>
        <v>251</v>
      </c>
    </row>
    <row r="262" customFormat="false" ht="12.75" hidden="false" customHeight="true" outlineLevel="0" collapsed="false">
      <c r="A262" s="449" t="n">
        <v>26118</v>
      </c>
      <c r="B262" s="450" t="s">
        <v>14379</v>
      </c>
      <c r="C262" s="450" t="n">
        <v>2013</v>
      </c>
      <c r="D262" s="451" t="n">
        <v>41404</v>
      </c>
      <c r="E262" s="452" t="s">
        <v>14380</v>
      </c>
      <c r="F262" s="378" t="s">
        <v>723</v>
      </c>
      <c r="G262" s="452" t="s">
        <v>1174</v>
      </c>
      <c r="H262" s="378" t="s">
        <v>5447</v>
      </c>
      <c r="I262" s="451" t="n">
        <v>43327</v>
      </c>
      <c r="J262" s="452" t="n">
        <v>8</v>
      </c>
      <c r="K262" s="592" t="s">
        <v>42</v>
      </c>
      <c r="L262" s="378" t="s">
        <v>58</v>
      </c>
      <c r="M262" s="546" t="n">
        <f aca="false">I262-D262</f>
        <v>1923</v>
      </c>
    </row>
    <row r="263" customFormat="false" ht="12.75" hidden="false" customHeight="true" outlineLevel="0" collapsed="false">
      <c r="A263" s="456" t="n">
        <v>26218</v>
      </c>
      <c r="B263" s="458" t="s">
        <v>14381</v>
      </c>
      <c r="C263" s="458" t="n">
        <v>2014</v>
      </c>
      <c r="D263" s="459" t="n">
        <v>41925</v>
      </c>
      <c r="E263" s="460" t="s">
        <v>14382</v>
      </c>
      <c r="F263" s="380" t="s">
        <v>723</v>
      </c>
      <c r="G263" s="460" t="s">
        <v>1174</v>
      </c>
      <c r="H263" s="380" t="s">
        <v>192</v>
      </c>
      <c r="I263" s="459" t="n">
        <v>43327</v>
      </c>
      <c r="J263" s="460" t="n">
        <v>8</v>
      </c>
      <c r="K263" s="592" t="s">
        <v>42</v>
      </c>
      <c r="L263" s="380" t="s">
        <v>58</v>
      </c>
      <c r="M263" s="545" t="n">
        <f aca="false">I263-D263</f>
        <v>1402</v>
      </c>
    </row>
    <row r="264" customFormat="false" ht="12.75" hidden="false" customHeight="true" outlineLevel="0" collapsed="false">
      <c r="A264" s="449" t="n">
        <v>26318</v>
      </c>
      <c r="B264" s="450" t="s">
        <v>14383</v>
      </c>
      <c r="C264" s="450" t="n">
        <v>2015</v>
      </c>
      <c r="D264" s="451" t="n">
        <v>42230</v>
      </c>
      <c r="E264" s="452" t="s">
        <v>14384</v>
      </c>
      <c r="F264" s="378" t="s">
        <v>723</v>
      </c>
      <c r="G264" s="452" t="s">
        <v>1174</v>
      </c>
      <c r="H264" s="378" t="s">
        <v>184</v>
      </c>
      <c r="I264" s="451" t="n">
        <v>43327</v>
      </c>
      <c r="J264" s="452" t="n">
        <v>8</v>
      </c>
      <c r="K264" s="592" t="s">
        <v>42</v>
      </c>
      <c r="L264" s="378" t="s">
        <v>58</v>
      </c>
      <c r="M264" s="546" t="n">
        <f aca="false">I264-D264</f>
        <v>1097</v>
      </c>
    </row>
    <row r="265" customFormat="false" ht="12.75" hidden="false" customHeight="true" outlineLevel="0" collapsed="false">
      <c r="A265" s="456" t="n">
        <v>26418</v>
      </c>
      <c r="B265" s="458" t="s">
        <v>14385</v>
      </c>
      <c r="C265" s="458" t="n">
        <v>2016</v>
      </c>
      <c r="D265" s="459" t="n">
        <v>42577</v>
      </c>
      <c r="E265" s="460" t="s">
        <v>14386</v>
      </c>
      <c r="F265" s="380" t="s">
        <v>723</v>
      </c>
      <c r="G265" s="460" t="s">
        <v>1174</v>
      </c>
      <c r="H265" s="380" t="s">
        <v>1567</v>
      </c>
      <c r="I265" s="459" t="n">
        <v>43327</v>
      </c>
      <c r="J265" s="460" t="n">
        <v>8</v>
      </c>
      <c r="K265" s="592" t="s">
        <v>42</v>
      </c>
      <c r="L265" s="380" t="s">
        <v>58</v>
      </c>
      <c r="M265" s="545" t="n">
        <f aca="false">I265-D265</f>
        <v>750</v>
      </c>
    </row>
    <row r="266" customFormat="false" ht="12.75" hidden="true" customHeight="true" outlineLevel="0" collapsed="false">
      <c r="A266" s="449" t="n">
        <v>26518</v>
      </c>
      <c r="B266" s="450" t="s">
        <v>14387</v>
      </c>
      <c r="C266" s="450" t="n">
        <v>2013</v>
      </c>
      <c r="D266" s="451" t="n">
        <v>41338</v>
      </c>
      <c r="E266" s="452" t="s">
        <v>14388</v>
      </c>
      <c r="F266" s="378" t="s">
        <v>1156</v>
      </c>
      <c r="G266" s="452" t="s">
        <v>441</v>
      </c>
      <c r="H266" s="378" t="s">
        <v>12073</v>
      </c>
      <c r="I266" s="451" t="n">
        <v>43329</v>
      </c>
      <c r="J266" s="452" t="n">
        <v>8</v>
      </c>
      <c r="K266" s="593" t="s">
        <v>45</v>
      </c>
      <c r="L266" s="378" t="s">
        <v>58</v>
      </c>
      <c r="M266" s="546" t="n">
        <f aca="false">I266-D266</f>
        <v>1991</v>
      </c>
    </row>
    <row r="267" customFormat="false" ht="12.75" hidden="true" customHeight="true" outlineLevel="0" collapsed="false">
      <c r="A267" s="456" t="n">
        <v>26618</v>
      </c>
      <c r="B267" s="458" t="s">
        <v>14389</v>
      </c>
      <c r="C267" s="458" t="n">
        <v>2010</v>
      </c>
      <c r="D267" s="459" t="n">
        <v>40207</v>
      </c>
      <c r="E267" s="460" t="s">
        <v>14390</v>
      </c>
      <c r="F267" s="380" t="s">
        <v>823</v>
      </c>
      <c r="G267" s="460" t="s">
        <v>441</v>
      </c>
      <c r="H267" s="380" t="s">
        <v>14391</v>
      </c>
      <c r="I267" s="459" t="n">
        <v>43329</v>
      </c>
      <c r="J267" s="460" t="n">
        <v>8</v>
      </c>
      <c r="K267" s="591" t="s">
        <v>47</v>
      </c>
      <c r="L267" s="380" t="s">
        <v>58</v>
      </c>
      <c r="M267" s="545" t="n">
        <f aca="false">I267-D267</f>
        <v>3122</v>
      </c>
    </row>
    <row r="268" customFormat="false" ht="12.75" hidden="true" customHeight="true" outlineLevel="0" collapsed="false">
      <c r="A268" s="449" t="n">
        <v>26718</v>
      </c>
      <c r="B268" s="450" t="s">
        <v>14392</v>
      </c>
      <c r="C268" s="450" t="n">
        <v>2014</v>
      </c>
      <c r="D268" s="451" t="n">
        <v>41743</v>
      </c>
      <c r="E268" s="452" t="s">
        <v>14393</v>
      </c>
      <c r="F268" s="378" t="s">
        <v>449</v>
      </c>
      <c r="G268" s="452" t="s">
        <v>441</v>
      </c>
      <c r="H268" s="378" t="s">
        <v>13993</v>
      </c>
      <c r="I268" s="451" t="n">
        <v>43332</v>
      </c>
      <c r="J268" s="452" t="n">
        <v>8</v>
      </c>
      <c r="K268" s="593" t="s">
        <v>45</v>
      </c>
      <c r="L268" s="378" t="s">
        <v>58</v>
      </c>
      <c r="M268" s="546" t="n">
        <f aca="false">I268-D268</f>
        <v>1589</v>
      </c>
    </row>
    <row r="269" customFormat="false" ht="12.75" hidden="true" customHeight="true" outlineLevel="0" collapsed="false">
      <c r="A269" s="456" t="n">
        <v>26818</v>
      </c>
      <c r="B269" s="458" t="s">
        <v>14394</v>
      </c>
      <c r="C269" s="458" t="n">
        <v>2016</v>
      </c>
      <c r="D269" s="459" t="n">
        <v>42724</v>
      </c>
      <c r="E269" s="460" t="s">
        <v>14395</v>
      </c>
      <c r="F269" s="380" t="s">
        <v>4623</v>
      </c>
      <c r="G269" s="460" t="s">
        <v>441</v>
      </c>
      <c r="H269" s="380" t="s">
        <v>350</v>
      </c>
      <c r="I269" s="459" t="n">
        <v>43332</v>
      </c>
      <c r="J269" s="460" t="n">
        <v>8</v>
      </c>
      <c r="K269" s="592" t="s">
        <v>42</v>
      </c>
      <c r="L269" s="380" t="s">
        <v>60</v>
      </c>
      <c r="M269" s="545" t="n">
        <f aca="false">I269-D269</f>
        <v>608</v>
      </c>
    </row>
    <row r="270" customFormat="false" ht="12.75" hidden="true" customHeight="true" outlineLevel="0" collapsed="false">
      <c r="A270" s="449" t="n">
        <v>26918</v>
      </c>
      <c r="B270" s="450" t="s">
        <v>14396</v>
      </c>
      <c r="C270" s="450" t="n">
        <v>2018</v>
      </c>
      <c r="D270" s="451" t="n">
        <v>43171</v>
      </c>
      <c r="E270" s="452" t="s">
        <v>14397</v>
      </c>
      <c r="F270" s="537" t="s">
        <v>6315</v>
      </c>
      <c r="G270" s="452" t="s">
        <v>130</v>
      </c>
      <c r="H270" s="378" t="s">
        <v>3707</v>
      </c>
      <c r="I270" s="451" t="n">
        <v>43334</v>
      </c>
      <c r="J270" s="452" t="n">
        <v>8</v>
      </c>
      <c r="K270" s="598" t="s">
        <v>50</v>
      </c>
      <c r="L270" s="378" t="s">
        <v>61</v>
      </c>
      <c r="M270" s="546" t="n">
        <f aca="false">I270-D270</f>
        <v>163</v>
      </c>
    </row>
    <row r="271" customFormat="false" ht="12.75" hidden="true" customHeight="true" outlineLevel="0" collapsed="false">
      <c r="A271" s="456" t="n">
        <v>27018</v>
      </c>
      <c r="B271" s="458" t="s">
        <v>14398</v>
      </c>
      <c r="C271" s="458" t="n">
        <v>2017</v>
      </c>
      <c r="D271" s="459" t="n">
        <v>43075</v>
      </c>
      <c r="E271" s="460" t="s">
        <v>14399</v>
      </c>
      <c r="F271" s="536" t="s">
        <v>6303</v>
      </c>
      <c r="G271" s="460" t="s">
        <v>130</v>
      </c>
      <c r="H271" s="380" t="s">
        <v>3472</v>
      </c>
      <c r="I271" s="459" t="n">
        <v>43334</v>
      </c>
      <c r="J271" s="460" t="n">
        <v>8</v>
      </c>
      <c r="K271" s="598" t="s">
        <v>50</v>
      </c>
      <c r="L271" s="380" t="s">
        <v>61</v>
      </c>
      <c r="M271" s="545" t="n">
        <f aca="false">I271-D271</f>
        <v>259</v>
      </c>
    </row>
    <row r="272" customFormat="false" ht="12.75" hidden="false" customHeight="true" outlineLevel="0" collapsed="false">
      <c r="A272" s="449" t="n">
        <v>27118</v>
      </c>
      <c r="B272" s="450" t="s">
        <v>14400</v>
      </c>
      <c r="C272" s="450" t="n">
        <v>2012</v>
      </c>
      <c r="D272" s="451" t="n">
        <v>41010</v>
      </c>
      <c r="E272" s="452" t="s">
        <v>14401</v>
      </c>
      <c r="F272" s="378" t="s">
        <v>2913</v>
      </c>
      <c r="G272" s="452" t="s">
        <v>1174</v>
      </c>
      <c r="H272" s="378" t="s">
        <v>471</v>
      </c>
      <c r="I272" s="451" t="n">
        <v>43339</v>
      </c>
      <c r="J272" s="452" t="n">
        <v>8</v>
      </c>
      <c r="K272" s="591" t="s">
        <v>47</v>
      </c>
      <c r="L272" s="378" t="s">
        <v>60</v>
      </c>
      <c r="M272" s="546" t="n">
        <f aca="false">I272-D272</f>
        <v>2329</v>
      </c>
    </row>
    <row r="273" customFormat="false" ht="12.75" hidden="true" customHeight="true" outlineLevel="0" collapsed="false">
      <c r="A273" s="456" t="n">
        <v>27218</v>
      </c>
      <c r="B273" s="458" t="s">
        <v>14402</v>
      </c>
      <c r="C273" s="458" t="n">
        <v>2016</v>
      </c>
      <c r="D273" s="459" t="n">
        <v>42613</v>
      </c>
      <c r="E273" s="460" t="s">
        <v>14403</v>
      </c>
      <c r="F273" s="380" t="s">
        <v>14404</v>
      </c>
      <c r="G273" s="460" t="s">
        <v>441</v>
      </c>
      <c r="H273" s="380" t="s">
        <v>14235</v>
      </c>
      <c r="I273" s="459" t="n">
        <v>43340</v>
      </c>
      <c r="J273" s="460" t="n">
        <v>8</v>
      </c>
      <c r="K273" s="591" t="s">
        <v>47</v>
      </c>
      <c r="L273" s="380" t="s">
        <v>58</v>
      </c>
      <c r="M273" s="545" t="n">
        <f aca="false">I273-D273</f>
        <v>727</v>
      </c>
    </row>
    <row r="274" customFormat="false" ht="12.75" hidden="true" customHeight="true" outlineLevel="0" collapsed="false">
      <c r="A274" s="449" t="n">
        <v>27318</v>
      </c>
      <c r="B274" s="450" t="s">
        <v>14405</v>
      </c>
      <c r="C274" s="450" t="n">
        <v>2018</v>
      </c>
      <c r="D274" s="451" t="n">
        <v>43157</v>
      </c>
      <c r="E274" s="452" t="s">
        <v>14406</v>
      </c>
      <c r="F274" s="378" t="s">
        <v>14407</v>
      </c>
      <c r="G274" s="452" t="s">
        <v>125</v>
      </c>
      <c r="H274" s="378" t="s">
        <v>14408</v>
      </c>
      <c r="I274" s="451" t="n">
        <v>43341</v>
      </c>
      <c r="J274" s="452" t="n">
        <v>8</v>
      </c>
      <c r="K274" s="598" t="s">
        <v>50</v>
      </c>
      <c r="L274" s="378" t="s">
        <v>61</v>
      </c>
      <c r="M274" s="546" t="n">
        <f aca="false">I274-D274</f>
        <v>184</v>
      </c>
    </row>
    <row r="275" customFormat="false" ht="12.75" hidden="true" customHeight="true" outlineLevel="0" collapsed="false">
      <c r="A275" s="456" t="n">
        <v>27418</v>
      </c>
      <c r="B275" s="458" t="s">
        <v>14409</v>
      </c>
      <c r="C275" s="458" t="n">
        <v>2008</v>
      </c>
      <c r="D275" s="459" t="n">
        <v>39685</v>
      </c>
      <c r="E275" s="460" t="s">
        <v>14410</v>
      </c>
      <c r="F275" s="380" t="s">
        <v>537</v>
      </c>
      <c r="G275" s="460" t="s">
        <v>441</v>
      </c>
      <c r="H275" s="380" t="s">
        <v>13828</v>
      </c>
      <c r="I275" s="459" t="n">
        <v>43341</v>
      </c>
      <c r="J275" s="460" t="n">
        <v>8</v>
      </c>
      <c r="K275" s="591" t="s">
        <v>47</v>
      </c>
      <c r="L275" s="380" t="s">
        <v>58</v>
      </c>
      <c r="M275" s="545" t="n">
        <f aca="false">I275-D275</f>
        <v>3656</v>
      </c>
    </row>
    <row r="276" customFormat="false" ht="12.75" hidden="true" customHeight="true" outlineLevel="0" collapsed="false">
      <c r="A276" s="449" t="n">
        <v>27518</v>
      </c>
      <c r="B276" s="450" t="s">
        <v>14411</v>
      </c>
      <c r="C276" s="450" t="n">
        <v>2011</v>
      </c>
      <c r="D276" s="451" t="n">
        <v>40672</v>
      </c>
      <c r="E276" s="452" t="s">
        <v>14412</v>
      </c>
      <c r="F276" s="378" t="s">
        <v>1277</v>
      </c>
      <c r="G276" s="452" t="s">
        <v>441</v>
      </c>
      <c r="H276" s="378" t="s">
        <v>3268</v>
      </c>
      <c r="I276" s="451" t="n">
        <v>43341</v>
      </c>
      <c r="J276" s="452" t="n">
        <v>8</v>
      </c>
      <c r="K276" s="593" t="s">
        <v>45</v>
      </c>
      <c r="L276" s="378" t="s">
        <v>58</v>
      </c>
      <c r="M276" s="546" t="n">
        <f aca="false">I276-D276</f>
        <v>2669</v>
      </c>
    </row>
    <row r="277" customFormat="false" ht="12.75" hidden="true" customHeight="true" outlineLevel="0" collapsed="false">
      <c r="A277" s="456" t="n">
        <v>27618</v>
      </c>
      <c r="B277" s="458" t="s">
        <v>14413</v>
      </c>
      <c r="C277" s="458" t="n">
        <v>2017</v>
      </c>
      <c r="D277" s="459" t="n">
        <v>43083</v>
      </c>
      <c r="E277" s="460" t="s">
        <v>14414</v>
      </c>
      <c r="F277" s="536" t="s">
        <v>11137</v>
      </c>
      <c r="G277" s="460" t="s">
        <v>125</v>
      </c>
      <c r="H277" s="380" t="s">
        <v>14228</v>
      </c>
      <c r="I277" s="459" t="n">
        <v>43342</v>
      </c>
      <c r="J277" s="460" t="n">
        <v>8</v>
      </c>
      <c r="K277" s="598" t="s">
        <v>50</v>
      </c>
      <c r="L277" s="380" t="s">
        <v>61</v>
      </c>
      <c r="M277" s="545" t="n">
        <f aca="false">I277-D277</f>
        <v>259</v>
      </c>
    </row>
    <row r="278" customFormat="false" ht="12.75" hidden="true" customHeight="true" outlineLevel="0" collapsed="false">
      <c r="A278" s="449" t="n">
        <v>27718</v>
      </c>
      <c r="B278" s="450" t="s">
        <v>14415</v>
      </c>
      <c r="C278" s="450" t="n">
        <v>2017</v>
      </c>
      <c r="D278" s="451" t="n">
        <v>43083</v>
      </c>
      <c r="E278" s="452" t="s">
        <v>14416</v>
      </c>
      <c r="F278" s="537" t="s">
        <v>11137</v>
      </c>
      <c r="G278" s="452" t="s">
        <v>125</v>
      </c>
      <c r="H278" s="378" t="s">
        <v>14228</v>
      </c>
      <c r="I278" s="451" t="n">
        <v>43342</v>
      </c>
      <c r="J278" s="452" t="n">
        <v>8</v>
      </c>
      <c r="K278" s="598" t="s">
        <v>50</v>
      </c>
      <c r="L278" s="378" t="s">
        <v>61</v>
      </c>
      <c r="M278" s="546" t="n">
        <f aca="false">I278-D278</f>
        <v>259</v>
      </c>
    </row>
    <row r="279" customFormat="false" ht="12.75" hidden="true" customHeight="true" outlineLevel="0" collapsed="false">
      <c r="A279" s="456" t="n">
        <v>27818</v>
      </c>
      <c r="B279" s="458" t="s">
        <v>14417</v>
      </c>
      <c r="C279" s="458" t="n">
        <v>2017</v>
      </c>
      <c r="D279" s="459" t="n">
        <v>43060</v>
      </c>
      <c r="E279" s="460" t="s">
        <v>14418</v>
      </c>
      <c r="F279" s="536" t="s">
        <v>6315</v>
      </c>
      <c r="G279" s="460" t="s">
        <v>125</v>
      </c>
      <c r="H279" s="380" t="s">
        <v>5731</v>
      </c>
      <c r="I279" s="459" t="n">
        <v>43342</v>
      </c>
      <c r="J279" s="460" t="n">
        <v>8</v>
      </c>
      <c r="K279" s="598" t="s">
        <v>50</v>
      </c>
      <c r="L279" s="380" t="s">
        <v>61</v>
      </c>
      <c r="M279" s="545" t="n">
        <f aca="false">I279-D279</f>
        <v>282</v>
      </c>
    </row>
    <row r="280" customFormat="false" ht="12.75" hidden="true" customHeight="true" outlineLevel="0" collapsed="false">
      <c r="A280" s="449" t="n">
        <v>27918</v>
      </c>
      <c r="B280" s="450" t="s">
        <v>14419</v>
      </c>
      <c r="C280" s="450" t="n">
        <v>2016</v>
      </c>
      <c r="D280" s="451" t="n">
        <v>42402</v>
      </c>
      <c r="E280" s="452" t="s">
        <v>14420</v>
      </c>
      <c r="F280" s="378" t="s">
        <v>668</v>
      </c>
      <c r="G280" s="452" t="s">
        <v>441</v>
      </c>
      <c r="H280" s="378" t="s">
        <v>350</v>
      </c>
      <c r="I280" s="451" t="n">
        <v>43343</v>
      </c>
      <c r="J280" s="452" t="n">
        <v>8</v>
      </c>
      <c r="K280" s="592" t="s">
        <v>42</v>
      </c>
      <c r="L280" s="378" t="s">
        <v>58</v>
      </c>
      <c r="M280" s="546" t="n">
        <f aca="false">I280-D280</f>
        <v>941</v>
      </c>
    </row>
    <row r="281" customFormat="false" ht="12.75" hidden="true" customHeight="true" outlineLevel="0" collapsed="false">
      <c r="A281" s="456" t="n">
        <v>28018</v>
      </c>
      <c r="B281" s="458" t="s">
        <v>14421</v>
      </c>
      <c r="C281" s="458" t="n">
        <v>2018</v>
      </c>
      <c r="D281" s="459" t="n">
        <v>43249</v>
      </c>
      <c r="E281" s="460" t="s">
        <v>14422</v>
      </c>
      <c r="F281" s="536" t="s">
        <v>12186</v>
      </c>
      <c r="G281" s="460" t="s">
        <v>130</v>
      </c>
      <c r="H281" s="380" t="s">
        <v>12530</v>
      </c>
      <c r="I281" s="459" t="n">
        <v>43343</v>
      </c>
      <c r="J281" s="460" t="n">
        <v>8</v>
      </c>
      <c r="K281" s="598" t="s">
        <v>50</v>
      </c>
      <c r="L281" s="380" t="s">
        <v>61</v>
      </c>
      <c r="M281" s="545" t="n">
        <f aca="false">I281-D281</f>
        <v>94</v>
      </c>
    </row>
    <row r="282" customFormat="false" ht="12.75" hidden="false" customHeight="true" outlineLevel="0" collapsed="false">
      <c r="A282" s="449" t="n">
        <v>28118</v>
      </c>
      <c r="B282" s="450" t="s">
        <v>14423</v>
      </c>
      <c r="C282" s="450" t="n">
        <v>2012</v>
      </c>
      <c r="D282" s="451" t="n">
        <v>41099</v>
      </c>
      <c r="E282" s="452" t="s">
        <v>14424</v>
      </c>
      <c r="F282" s="378" t="s">
        <v>699</v>
      </c>
      <c r="G282" s="452" t="s">
        <v>1174</v>
      </c>
      <c r="H282" s="378" t="s">
        <v>9017</v>
      </c>
      <c r="I282" s="451" t="n">
        <v>43349</v>
      </c>
      <c r="J282" s="452" t="n">
        <v>9</v>
      </c>
      <c r="K282" s="592" t="s">
        <v>42</v>
      </c>
      <c r="L282" s="378" t="s">
        <v>60</v>
      </c>
      <c r="M282" s="546" t="n">
        <f aca="false">I282-D282</f>
        <v>2250</v>
      </c>
    </row>
    <row r="283" customFormat="false" ht="12.75" hidden="false" customHeight="true" outlineLevel="0" collapsed="false">
      <c r="A283" s="456" t="n">
        <v>28218</v>
      </c>
      <c r="B283" s="458" t="s">
        <v>14425</v>
      </c>
      <c r="C283" s="458" t="n">
        <v>2010</v>
      </c>
      <c r="D283" s="459" t="n">
        <v>40338</v>
      </c>
      <c r="E283" s="460" t="s">
        <v>14426</v>
      </c>
      <c r="F283" s="380" t="s">
        <v>2913</v>
      </c>
      <c r="G283" s="460" t="s">
        <v>1174</v>
      </c>
      <c r="H283" s="380" t="s">
        <v>354</v>
      </c>
      <c r="I283" s="459" t="n">
        <v>43353</v>
      </c>
      <c r="J283" s="460" t="n">
        <v>9</v>
      </c>
      <c r="K283" s="591" t="s">
        <v>47</v>
      </c>
      <c r="L283" s="380" t="s">
        <v>60</v>
      </c>
      <c r="M283" s="545" t="n">
        <f aca="false">I283-D283</f>
        <v>3015</v>
      </c>
    </row>
    <row r="284" customFormat="false" ht="12.75" hidden="true" customHeight="true" outlineLevel="0" collapsed="false">
      <c r="A284" s="449" t="n">
        <v>28318</v>
      </c>
      <c r="B284" s="602" t="s">
        <v>10996</v>
      </c>
      <c r="C284" s="602" t="s">
        <v>10996</v>
      </c>
      <c r="D284" s="557" t="s">
        <v>10996</v>
      </c>
      <c r="E284" s="282" t="s">
        <v>10996</v>
      </c>
      <c r="F284" s="597" t="s">
        <v>10996</v>
      </c>
      <c r="G284" s="282" t="s">
        <v>10996</v>
      </c>
      <c r="H284" s="597" t="s">
        <v>10996</v>
      </c>
      <c r="I284" s="557" t="s">
        <v>10996</v>
      </c>
      <c r="J284" s="282" t="s">
        <v>10996</v>
      </c>
      <c r="K284" s="282" t="s">
        <v>10996</v>
      </c>
      <c r="L284" s="597" t="s">
        <v>10996</v>
      </c>
      <c r="M284" s="603" t="s">
        <v>10996</v>
      </c>
    </row>
    <row r="285" customFormat="false" ht="12.75" hidden="false" customHeight="true" outlineLevel="0" collapsed="false">
      <c r="A285" s="456" t="n">
        <v>28418</v>
      </c>
      <c r="B285" s="458" t="s">
        <v>14427</v>
      </c>
      <c r="C285" s="458" t="n">
        <v>2012</v>
      </c>
      <c r="D285" s="459" t="n">
        <v>40927</v>
      </c>
      <c r="E285" s="460" t="s">
        <v>14428</v>
      </c>
      <c r="F285" s="380" t="s">
        <v>2913</v>
      </c>
      <c r="G285" s="460" t="s">
        <v>1174</v>
      </c>
      <c r="H285" s="380" t="s">
        <v>1059</v>
      </c>
      <c r="I285" s="459" t="n">
        <v>43353</v>
      </c>
      <c r="J285" s="460" t="n">
        <v>9</v>
      </c>
      <c r="K285" s="591" t="s">
        <v>47</v>
      </c>
      <c r="L285" s="380" t="s">
        <v>60</v>
      </c>
      <c r="M285" s="545" t="n">
        <f aca="false">I285-D285</f>
        <v>2426</v>
      </c>
    </row>
    <row r="286" customFormat="false" ht="12.75" hidden="false" customHeight="true" outlineLevel="0" collapsed="false">
      <c r="A286" s="449" t="n">
        <v>28518</v>
      </c>
      <c r="B286" s="450" t="s">
        <v>14429</v>
      </c>
      <c r="C286" s="450" t="n">
        <v>2012</v>
      </c>
      <c r="D286" s="451" t="n">
        <v>41122</v>
      </c>
      <c r="E286" s="452" t="s">
        <v>14430</v>
      </c>
      <c r="F286" s="378" t="s">
        <v>2913</v>
      </c>
      <c r="G286" s="452" t="s">
        <v>1174</v>
      </c>
      <c r="H286" s="378" t="s">
        <v>13996</v>
      </c>
      <c r="I286" s="451" t="n">
        <v>43353</v>
      </c>
      <c r="J286" s="452" t="n">
        <v>9</v>
      </c>
      <c r="K286" s="591" t="s">
        <v>47</v>
      </c>
      <c r="L286" s="378" t="s">
        <v>60</v>
      </c>
      <c r="M286" s="546" t="n">
        <f aca="false">I286-D286</f>
        <v>2231</v>
      </c>
    </row>
    <row r="287" customFormat="false" ht="12.75" hidden="false" customHeight="true" outlineLevel="0" collapsed="false">
      <c r="A287" s="456" t="n">
        <v>28618</v>
      </c>
      <c r="B287" s="458" t="s">
        <v>14431</v>
      </c>
      <c r="C287" s="458" t="n">
        <v>2012</v>
      </c>
      <c r="D287" s="459" t="n">
        <v>41249</v>
      </c>
      <c r="E287" s="460" t="s">
        <v>14432</v>
      </c>
      <c r="F287" s="380" t="s">
        <v>2913</v>
      </c>
      <c r="G287" s="460" t="s">
        <v>1174</v>
      </c>
      <c r="H287" s="380" t="s">
        <v>3268</v>
      </c>
      <c r="I287" s="459" t="n">
        <v>43353</v>
      </c>
      <c r="J287" s="460" t="n">
        <v>9</v>
      </c>
      <c r="K287" s="591" t="s">
        <v>47</v>
      </c>
      <c r="L287" s="380" t="s">
        <v>60</v>
      </c>
      <c r="M287" s="545" t="n">
        <f aca="false">I287-D287</f>
        <v>2104</v>
      </c>
    </row>
    <row r="288" customFormat="false" ht="12.75" hidden="false" customHeight="true" outlineLevel="0" collapsed="false">
      <c r="A288" s="449" t="n">
        <v>28718</v>
      </c>
      <c r="B288" s="450" t="s">
        <v>14433</v>
      </c>
      <c r="C288" s="450" t="n">
        <v>2014</v>
      </c>
      <c r="D288" s="451" t="n">
        <v>41670</v>
      </c>
      <c r="E288" s="452" t="s">
        <v>14434</v>
      </c>
      <c r="F288" s="378" t="s">
        <v>2913</v>
      </c>
      <c r="G288" s="452" t="s">
        <v>1174</v>
      </c>
      <c r="H288" s="378" t="s">
        <v>522</v>
      </c>
      <c r="I288" s="451" t="n">
        <v>43353</v>
      </c>
      <c r="J288" s="452" t="n">
        <v>9</v>
      </c>
      <c r="K288" s="591" t="s">
        <v>47</v>
      </c>
      <c r="L288" s="378" t="s">
        <v>60</v>
      </c>
      <c r="M288" s="546" t="n">
        <f aca="false">I288-D288</f>
        <v>1683</v>
      </c>
    </row>
    <row r="289" customFormat="false" ht="12.75" hidden="false" customHeight="true" outlineLevel="0" collapsed="false">
      <c r="A289" s="456" t="n">
        <v>28818</v>
      </c>
      <c r="B289" s="458" t="s">
        <v>14435</v>
      </c>
      <c r="C289" s="458" t="n">
        <v>2016</v>
      </c>
      <c r="D289" s="459" t="n">
        <v>42383</v>
      </c>
      <c r="E289" s="460" t="s">
        <v>14436</v>
      </c>
      <c r="F289" s="380" t="s">
        <v>2913</v>
      </c>
      <c r="G289" s="460" t="s">
        <v>1174</v>
      </c>
      <c r="H289" s="380" t="s">
        <v>13833</v>
      </c>
      <c r="I289" s="459" t="n">
        <v>43353</v>
      </c>
      <c r="J289" s="460" t="n">
        <v>9</v>
      </c>
      <c r="K289" s="591" t="s">
        <v>47</v>
      </c>
      <c r="L289" s="380" t="s">
        <v>60</v>
      </c>
      <c r="M289" s="545" t="n">
        <f aca="false">I289-D289</f>
        <v>970</v>
      </c>
    </row>
    <row r="290" customFormat="false" ht="12.75" hidden="true" customHeight="true" outlineLevel="0" collapsed="false">
      <c r="A290" s="449" t="n">
        <v>28918</v>
      </c>
      <c r="B290" s="450" t="s">
        <v>14437</v>
      </c>
      <c r="C290" s="450" t="n">
        <v>2011</v>
      </c>
      <c r="D290" s="451" t="n">
        <v>40582</v>
      </c>
      <c r="E290" s="452" t="s">
        <v>14438</v>
      </c>
      <c r="F290" s="378" t="s">
        <v>699</v>
      </c>
      <c r="G290" s="452" t="s">
        <v>441</v>
      </c>
      <c r="H290" s="378" t="s">
        <v>208</v>
      </c>
      <c r="I290" s="451" t="n">
        <v>43355</v>
      </c>
      <c r="J290" s="452" t="n">
        <v>9</v>
      </c>
      <c r="K290" s="593" t="s">
        <v>45</v>
      </c>
      <c r="L290" s="378" t="s">
        <v>60</v>
      </c>
      <c r="M290" s="546" t="n">
        <f aca="false">I290-D290</f>
        <v>2773</v>
      </c>
    </row>
    <row r="291" customFormat="false" ht="12.75" hidden="true" customHeight="true" outlineLevel="0" collapsed="false">
      <c r="A291" s="456" t="n">
        <v>29018</v>
      </c>
      <c r="B291" s="458" t="s">
        <v>14439</v>
      </c>
      <c r="C291" s="458" t="n">
        <v>2017</v>
      </c>
      <c r="D291" s="459" t="n">
        <v>43087</v>
      </c>
      <c r="E291" s="460" t="s">
        <v>14440</v>
      </c>
      <c r="F291" s="536" t="s">
        <v>6315</v>
      </c>
      <c r="G291" s="460" t="s">
        <v>130</v>
      </c>
      <c r="H291" s="380" t="s">
        <v>3472</v>
      </c>
      <c r="I291" s="459" t="n">
        <v>43355</v>
      </c>
      <c r="J291" s="460" t="n">
        <v>9</v>
      </c>
      <c r="K291" s="598" t="s">
        <v>50</v>
      </c>
      <c r="L291" s="380" t="s">
        <v>61</v>
      </c>
      <c r="M291" s="545" t="n">
        <f aca="false">I291-D291</f>
        <v>268</v>
      </c>
    </row>
    <row r="292" customFormat="false" ht="12.75" hidden="true" customHeight="true" outlineLevel="0" collapsed="false">
      <c r="A292" s="449" t="n">
        <v>29118</v>
      </c>
      <c r="B292" s="450" t="s">
        <v>14441</v>
      </c>
      <c r="C292" s="450" t="n">
        <v>2018</v>
      </c>
      <c r="D292" s="451" t="n">
        <v>43182</v>
      </c>
      <c r="E292" s="452" t="s">
        <v>14442</v>
      </c>
      <c r="F292" s="537" t="s">
        <v>3207</v>
      </c>
      <c r="G292" s="452" t="s">
        <v>130</v>
      </c>
      <c r="H292" s="378" t="s">
        <v>9130</v>
      </c>
      <c r="I292" s="451" t="n">
        <v>43355</v>
      </c>
      <c r="J292" s="452" t="n">
        <v>9</v>
      </c>
      <c r="K292" s="598" t="s">
        <v>13914</v>
      </c>
      <c r="L292" s="378" t="s">
        <v>61</v>
      </c>
      <c r="M292" s="546" t="n">
        <f aca="false">I292-D292</f>
        <v>173</v>
      </c>
    </row>
    <row r="293" customFormat="false" ht="12.75" hidden="false" customHeight="true" outlineLevel="0" collapsed="false">
      <c r="A293" s="456" t="n">
        <v>29218</v>
      </c>
      <c r="B293" s="458" t="s">
        <v>14443</v>
      </c>
      <c r="C293" s="458" t="n">
        <v>2016</v>
      </c>
      <c r="D293" s="459" t="n">
        <v>42509</v>
      </c>
      <c r="E293" s="460" t="s">
        <v>14444</v>
      </c>
      <c r="F293" s="380" t="s">
        <v>699</v>
      </c>
      <c r="G293" s="460" t="s">
        <v>1174</v>
      </c>
      <c r="H293" s="380" t="s">
        <v>513</v>
      </c>
      <c r="I293" s="459" t="n">
        <v>43356</v>
      </c>
      <c r="J293" s="460" t="n">
        <v>9</v>
      </c>
      <c r="K293" s="592" t="s">
        <v>42</v>
      </c>
      <c r="L293" s="380" t="s">
        <v>60</v>
      </c>
      <c r="M293" s="545" t="n">
        <f aca="false">I293-D293</f>
        <v>847</v>
      </c>
    </row>
    <row r="294" customFormat="false" ht="12.75" hidden="false" customHeight="true" outlineLevel="0" collapsed="false">
      <c r="A294" s="449" t="n">
        <v>29318</v>
      </c>
      <c r="B294" s="450" t="s">
        <v>14445</v>
      </c>
      <c r="C294" s="450" t="n">
        <v>2018</v>
      </c>
      <c r="D294" s="451" t="n">
        <v>43201</v>
      </c>
      <c r="E294" s="452" t="s">
        <v>14446</v>
      </c>
      <c r="F294" s="378" t="s">
        <v>4956</v>
      </c>
      <c r="G294" s="452" t="s">
        <v>1174</v>
      </c>
      <c r="H294" s="378" t="s">
        <v>192</v>
      </c>
      <c r="I294" s="451" t="n">
        <v>43325</v>
      </c>
      <c r="J294" s="452" t="n">
        <v>9</v>
      </c>
      <c r="K294" s="591" t="s">
        <v>47</v>
      </c>
      <c r="L294" s="378" t="s">
        <v>58</v>
      </c>
      <c r="M294" s="546" t="n">
        <f aca="false">I294-D294</f>
        <v>124</v>
      </c>
    </row>
    <row r="295" customFormat="false" ht="12.75" hidden="true" customHeight="true" outlineLevel="0" collapsed="false">
      <c r="A295" s="456" t="n">
        <v>29418</v>
      </c>
      <c r="B295" s="458" t="s">
        <v>14447</v>
      </c>
      <c r="C295" s="458" t="n">
        <v>2018</v>
      </c>
      <c r="D295" s="459" t="n">
        <v>43207</v>
      </c>
      <c r="E295" s="460" t="s">
        <v>14448</v>
      </c>
      <c r="F295" s="536" t="s">
        <v>3207</v>
      </c>
      <c r="G295" s="460" t="s">
        <v>130</v>
      </c>
      <c r="H295" s="380" t="s">
        <v>398</v>
      </c>
      <c r="I295" s="459" t="n">
        <v>43356</v>
      </c>
      <c r="J295" s="460" t="n">
        <v>9</v>
      </c>
      <c r="K295" s="598" t="s">
        <v>13914</v>
      </c>
      <c r="L295" s="380" t="s">
        <v>61</v>
      </c>
      <c r="M295" s="545" t="n">
        <f aca="false">I295-D295</f>
        <v>149</v>
      </c>
    </row>
    <row r="296" customFormat="false" ht="12.75" hidden="true" customHeight="true" outlineLevel="0" collapsed="false">
      <c r="A296" s="449" t="n">
        <v>29518</v>
      </c>
      <c r="B296" s="450" t="s">
        <v>14449</v>
      </c>
      <c r="C296" s="450" t="n">
        <v>2011</v>
      </c>
      <c r="D296" s="451" t="n">
        <v>40765</v>
      </c>
      <c r="E296" s="452" t="s">
        <v>14450</v>
      </c>
      <c r="F296" s="378" t="s">
        <v>1277</v>
      </c>
      <c r="G296" s="452" t="s">
        <v>441</v>
      </c>
      <c r="H296" s="378" t="s">
        <v>13833</v>
      </c>
      <c r="I296" s="451" t="n">
        <v>43356</v>
      </c>
      <c r="J296" s="452" t="n">
        <v>9</v>
      </c>
      <c r="K296" s="593" t="s">
        <v>45</v>
      </c>
      <c r="L296" s="378" t="s">
        <v>58</v>
      </c>
      <c r="M296" s="546" t="n">
        <f aca="false">I296-D296</f>
        <v>2591</v>
      </c>
    </row>
    <row r="297" customFormat="false" ht="12.75" hidden="false" customHeight="true" outlineLevel="0" collapsed="false">
      <c r="A297" s="456" t="n">
        <v>29618</v>
      </c>
      <c r="B297" s="458" t="s">
        <v>14451</v>
      </c>
      <c r="C297" s="458" t="n">
        <v>2018</v>
      </c>
      <c r="D297" s="459" t="n">
        <v>43216</v>
      </c>
      <c r="E297" s="460" t="s">
        <v>14452</v>
      </c>
      <c r="F297" s="380" t="s">
        <v>823</v>
      </c>
      <c r="G297" s="460" t="s">
        <v>1174</v>
      </c>
      <c r="H297" s="380" t="s">
        <v>192</v>
      </c>
      <c r="I297" s="459" t="n">
        <v>43356</v>
      </c>
      <c r="J297" s="460" t="n">
        <v>9</v>
      </c>
      <c r="K297" s="591" t="s">
        <v>47</v>
      </c>
      <c r="L297" s="380" t="s">
        <v>58</v>
      </c>
      <c r="M297" s="545" t="n">
        <f aca="false">I297-D297</f>
        <v>140</v>
      </c>
    </row>
    <row r="298" customFormat="false" ht="12.75" hidden="false" customHeight="true" outlineLevel="0" collapsed="false">
      <c r="A298" s="449" t="n">
        <v>29718</v>
      </c>
      <c r="B298" s="450" t="s">
        <v>14453</v>
      </c>
      <c r="C298" s="450" t="n">
        <v>2017</v>
      </c>
      <c r="D298" s="451" t="n">
        <v>42941</v>
      </c>
      <c r="E298" s="452" t="s">
        <v>14454</v>
      </c>
      <c r="F298" s="378" t="s">
        <v>138</v>
      </c>
      <c r="G298" s="452" t="s">
        <v>1174</v>
      </c>
      <c r="H298" s="378" t="s">
        <v>13816</v>
      </c>
      <c r="I298" s="451" t="n">
        <v>43357</v>
      </c>
      <c r="J298" s="452" t="n">
        <v>9</v>
      </c>
      <c r="K298" s="593" t="s">
        <v>45</v>
      </c>
      <c r="L298" s="378" t="s">
        <v>60</v>
      </c>
      <c r="M298" s="546" t="n">
        <f aca="false">I298-D298</f>
        <v>416</v>
      </c>
    </row>
    <row r="299" customFormat="false" ht="12.75" hidden="false" customHeight="true" outlineLevel="0" collapsed="false">
      <c r="A299" s="456" t="n">
        <v>29818</v>
      </c>
      <c r="B299" s="458" t="s">
        <v>14455</v>
      </c>
      <c r="C299" s="458" t="n">
        <v>2013</v>
      </c>
      <c r="D299" s="459" t="n">
        <v>41480</v>
      </c>
      <c r="E299" s="460" t="s">
        <v>14456</v>
      </c>
      <c r="F299" s="380" t="s">
        <v>346</v>
      </c>
      <c r="G299" s="460" t="s">
        <v>1174</v>
      </c>
      <c r="H299" s="380" t="s">
        <v>1501</v>
      </c>
      <c r="I299" s="459" t="n">
        <v>43357</v>
      </c>
      <c r="J299" s="460" t="n">
        <v>9</v>
      </c>
      <c r="K299" s="591" t="s">
        <v>47</v>
      </c>
      <c r="L299" s="380" t="s">
        <v>58</v>
      </c>
      <c r="M299" s="545" t="n">
        <f aca="false">I299-D299</f>
        <v>1877</v>
      </c>
    </row>
    <row r="300" customFormat="false" ht="12.75" hidden="false" customHeight="true" outlineLevel="0" collapsed="false">
      <c r="A300" s="449" t="n">
        <v>29918</v>
      </c>
      <c r="B300" s="450" t="s">
        <v>14457</v>
      </c>
      <c r="C300" s="450" t="n">
        <v>2013</v>
      </c>
      <c r="D300" s="451" t="n">
        <v>41508</v>
      </c>
      <c r="E300" s="452" t="s">
        <v>14458</v>
      </c>
      <c r="F300" s="378" t="s">
        <v>346</v>
      </c>
      <c r="G300" s="452" t="s">
        <v>1174</v>
      </c>
      <c r="H300" s="378" t="s">
        <v>354</v>
      </c>
      <c r="I300" s="451" t="n">
        <v>43357</v>
      </c>
      <c r="J300" s="452" t="n">
        <v>9</v>
      </c>
      <c r="K300" s="591" t="s">
        <v>47</v>
      </c>
      <c r="L300" s="378" t="s">
        <v>58</v>
      </c>
      <c r="M300" s="546" t="n">
        <f aca="false">I300-D300</f>
        <v>1849</v>
      </c>
    </row>
    <row r="301" customFormat="false" ht="12.75" hidden="false" customHeight="true" outlineLevel="0" collapsed="false">
      <c r="A301" s="456" t="n">
        <v>30018</v>
      </c>
      <c r="B301" s="458" t="s">
        <v>14459</v>
      </c>
      <c r="C301" s="458" t="n">
        <v>2010</v>
      </c>
      <c r="D301" s="459" t="n">
        <v>40494</v>
      </c>
      <c r="E301" s="460" t="s">
        <v>14460</v>
      </c>
      <c r="F301" s="380" t="s">
        <v>671</v>
      </c>
      <c r="G301" s="460" t="s">
        <v>1174</v>
      </c>
      <c r="H301" s="380" t="s">
        <v>13833</v>
      </c>
      <c r="I301" s="459" t="n">
        <v>43357</v>
      </c>
      <c r="J301" s="460" t="n">
        <v>9</v>
      </c>
      <c r="K301" s="592" t="s">
        <v>42</v>
      </c>
      <c r="L301" s="380" t="s">
        <v>60</v>
      </c>
      <c r="M301" s="545" t="n">
        <f aca="false">I301-D301</f>
        <v>2863</v>
      </c>
    </row>
    <row r="302" customFormat="false" ht="12.75" hidden="false" customHeight="true" outlineLevel="0" collapsed="false">
      <c r="A302" s="449" t="n">
        <v>30118</v>
      </c>
      <c r="B302" s="450" t="s">
        <v>14461</v>
      </c>
      <c r="C302" s="450" t="n">
        <v>2014</v>
      </c>
      <c r="D302" s="451" t="n">
        <v>41971</v>
      </c>
      <c r="E302" s="452" t="s">
        <v>14462</v>
      </c>
      <c r="F302" s="378" t="s">
        <v>1211</v>
      </c>
      <c r="G302" s="452" t="s">
        <v>1174</v>
      </c>
      <c r="H302" s="378" t="s">
        <v>354</v>
      </c>
      <c r="I302" s="451" t="n">
        <v>43357</v>
      </c>
      <c r="J302" s="452" t="n">
        <v>9</v>
      </c>
      <c r="K302" s="592" t="s">
        <v>42</v>
      </c>
      <c r="L302" s="378" t="s">
        <v>60</v>
      </c>
      <c r="M302" s="546" t="n">
        <f aca="false">I302-D302</f>
        <v>1386</v>
      </c>
    </row>
    <row r="303" customFormat="false" ht="12.75" hidden="false" customHeight="true" outlineLevel="0" collapsed="false">
      <c r="A303" s="456" t="n">
        <v>30218</v>
      </c>
      <c r="B303" s="458" t="s">
        <v>14463</v>
      </c>
      <c r="C303" s="458" t="n">
        <v>2014</v>
      </c>
      <c r="D303" s="459" t="n">
        <v>41893</v>
      </c>
      <c r="E303" s="460" t="s">
        <v>14464</v>
      </c>
      <c r="F303" s="380" t="s">
        <v>1211</v>
      </c>
      <c r="G303" s="460" t="s">
        <v>1174</v>
      </c>
      <c r="H303" s="380" t="s">
        <v>522</v>
      </c>
      <c r="I303" s="459" t="n">
        <v>43357</v>
      </c>
      <c r="J303" s="460" t="n">
        <v>9</v>
      </c>
      <c r="K303" s="592" t="s">
        <v>42</v>
      </c>
      <c r="L303" s="380" t="s">
        <v>60</v>
      </c>
      <c r="M303" s="545" t="n">
        <f aca="false">I303-D303</f>
        <v>1464</v>
      </c>
    </row>
    <row r="304" customFormat="false" ht="12.75" hidden="true" customHeight="true" outlineLevel="0" collapsed="false">
      <c r="A304" s="449" t="n">
        <v>30318</v>
      </c>
      <c r="B304" s="450" t="s">
        <v>14465</v>
      </c>
      <c r="C304" s="450" t="n">
        <v>2011</v>
      </c>
      <c r="D304" s="451" t="n">
        <v>40903</v>
      </c>
      <c r="E304" s="452" t="s">
        <v>14466</v>
      </c>
      <c r="F304" s="378" t="s">
        <v>823</v>
      </c>
      <c r="G304" s="452" t="s">
        <v>441</v>
      </c>
      <c r="H304" s="378" t="s">
        <v>354</v>
      </c>
      <c r="I304" s="451" t="n">
        <v>43360</v>
      </c>
      <c r="J304" s="452" t="n">
        <v>9</v>
      </c>
      <c r="K304" s="591" t="s">
        <v>47</v>
      </c>
      <c r="L304" s="378" t="s">
        <v>58</v>
      </c>
      <c r="M304" s="546" t="n">
        <f aca="false">I304-D304</f>
        <v>2457</v>
      </c>
    </row>
    <row r="305" customFormat="false" ht="12.75" hidden="true" customHeight="true" outlineLevel="0" collapsed="false">
      <c r="A305" s="456" t="n">
        <v>30418</v>
      </c>
      <c r="B305" s="458" t="s">
        <v>14467</v>
      </c>
      <c r="C305" s="458" t="n">
        <v>2015</v>
      </c>
      <c r="D305" s="459" t="n">
        <v>42132</v>
      </c>
      <c r="E305" s="460" t="s">
        <v>14468</v>
      </c>
      <c r="F305" s="380" t="s">
        <v>14469</v>
      </c>
      <c r="G305" s="460" t="s">
        <v>144</v>
      </c>
      <c r="H305" s="380" t="s">
        <v>2602</v>
      </c>
      <c r="I305" s="459" t="n">
        <v>43360</v>
      </c>
      <c r="J305" s="460" t="n">
        <v>9</v>
      </c>
      <c r="K305" s="591" t="s">
        <v>47</v>
      </c>
      <c r="L305" s="380" t="s">
        <v>58</v>
      </c>
      <c r="M305" s="545" t="n">
        <f aca="false">I305-D305</f>
        <v>1228</v>
      </c>
    </row>
    <row r="306" customFormat="false" ht="12.75" hidden="true" customHeight="true" outlineLevel="0" collapsed="false">
      <c r="A306" s="449" t="n">
        <v>30518</v>
      </c>
      <c r="B306" s="450" t="s">
        <v>14470</v>
      </c>
      <c r="C306" s="450" t="n">
        <v>2015</v>
      </c>
      <c r="D306" s="451" t="n">
        <v>42338</v>
      </c>
      <c r="E306" s="452" t="s">
        <v>14471</v>
      </c>
      <c r="F306" s="537" t="s">
        <v>6361</v>
      </c>
      <c r="G306" s="452" t="s">
        <v>125</v>
      </c>
      <c r="H306" s="378" t="s">
        <v>13256</v>
      </c>
      <c r="I306" s="451" t="n">
        <v>43360</v>
      </c>
      <c r="J306" s="452" t="n">
        <v>9</v>
      </c>
      <c r="K306" s="598" t="s">
        <v>50</v>
      </c>
      <c r="L306" s="378" t="s">
        <v>61</v>
      </c>
      <c r="M306" s="546" t="n">
        <f aca="false">I306-D306</f>
        <v>1022</v>
      </c>
    </row>
    <row r="307" customFormat="false" ht="12.75" hidden="true" customHeight="true" outlineLevel="0" collapsed="false">
      <c r="A307" s="456" t="n">
        <v>30618</v>
      </c>
      <c r="B307" s="458" t="s">
        <v>14472</v>
      </c>
      <c r="C307" s="458" t="n">
        <v>2018</v>
      </c>
      <c r="D307" s="459" t="n">
        <v>43182</v>
      </c>
      <c r="E307" s="460" t="s">
        <v>14473</v>
      </c>
      <c r="F307" s="536" t="s">
        <v>6303</v>
      </c>
      <c r="G307" s="460" t="s">
        <v>130</v>
      </c>
      <c r="H307" s="380" t="s">
        <v>14474</v>
      </c>
      <c r="I307" s="459" t="n">
        <v>43360</v>
      </c>
      <c r="J307" s="460" t="n">
        <v>9</v>
      </c>
      <c r="K307" s="598" t="s">
        <v>50</v>
      </c>
      <c r="L307" s="380" t="s">
        <v>61</v>
      </c>
      <c r="M307" s="545" t="n">
        <f aca="false">I307-D307</f>
        <v>178</v>
      </c>
    </row>
    <row r="308" customFormat="false" ht="12.75" hidden="true" customHeight="true" outlineLevel="0" collapsed="false">
      <c r="A308" s="449" t="n">
        <v>30718</v>
      </c>
      <c r="B308" s="450" t="s">
        <v>14475</v>
      </c>
      <c r="C308" s="450" t="n">
        <v>2017</v>
      </c>
      <c r="D308" s="451" t="n">
        <v>42968</v>
      </c>
      <c r="E308" s="452" t="s">
        <v>14476</v>
      </c>
      <c r="F308" s="378" t="s">
        <v>5993</v>
      </c>
      <c r="G308" s="452" t="s">
        <v>441</v>
      </c>
      <c r="H308" s="378" t="s">
        <v>350</v>
      </c>
      <c r="I308" s="451" t="n">
        <v>43361</v>
      </c>
      <c r="J308" s="452" t="n">
        <v>9</v>
      </c>
      <c r="K308" s="591" t="s">
        <v>47</v>
      </c>
      <c r="L308" s="378" t="s">
        <v>58</v>
      </c>
      <c r="M308" s="546" t="n">
        <f aca="false">I308-D308</f>
        <v>393</v>
      </c>
    </row>
    <row r="309" customFormat="false" ht="12.75" hidden="false" customHeight="true" outlineLevel="0" collapsed="false">
      <c r="A309" s="456" t="n">
        <v>30818</v>
      </c>
      <c r="B309" s="458" t="s">
        <v>14477</v>
      </c>
      <c r="C309" s="458" t="n">
        <v>2014</v>
      </c>
      <c r="D309" s="459" t="n">
        <v>41915</v>
      </c>
      <c r="E309" s="460" t="s">
        <v>14478</v>
      </c>
      <c r="F309" s="380" t="s">
        <v>699</v>
      </c>
      <c r="G309" s="460" t="s">
        <v>1174</v>
      </c>
      <c r="H309" s="380" t="s">
        <v>1059</v>
      </c>
      <c r="I309" s="459" t="n">
        <v>43331</v>
      </c>
      <c r="J309" s="460" t="n">
        <v>9</v>
      </c>
      <c r="K309" s="592" t="s">
        <v>42</v>
      </c>
      <c r="L309" s="380" t="s">
        <v>60</v>
      </c>
      <c r="M309" s="545" t="n">
        <f aca="false">I309-D309</f>
        <v>1416</v>
      </c>
    </row>
    <row r="310" customFormat="false" ht="12.75" hidden="true" customHeight="true" outlineLevel="0" collapsed="false">
      <c r="A310" s="449" t="n">
        <v>30918</v>
      </c>
      <c r="B310" s="450" t="s">
        <v>14479</v>
      </c>
      <c r="C310" s="450" t="n">
        <v>2017</v>
      </c>
      <c r="D310" s="451" t="n">
        <v>42958</v>
      </c>
      <c r="E310" s="452" t="s">
        <v>14480</v>
      </c>
      <c r="F310" s="537" t="s">
        <v>10768</v>
      </c>
      <c r="G310" s="452" t="s">
        <v>125</v>
      </c>
      <c r="H310" s="378" t="s">
        <v>14070</v>
      </c>
      <c r="I310" s="451" t="n">
        <v>43363</v>
      </c>
      <c r="J310" s="452" t="n">
        <v>9</v>
      </c>
      <c r="K310" s="591" t="s">
        <v>47</v>
      </c>
      <c r="L310" s="378" t="s">
        <v>61</v>
      </c>
      <c r="M310" s="546" t="n">
        <f aca="false">I310-D310</f>
        <v>405</v>
      </c>
    </row>
    <row r="311" customFormat="false" ht="12.75" hidden="true" customHeight="true" outlineLevel="0" collapsed="false">
      <c r="A311" s="456" t="n">
        <v>31018</v>
      </c>
      <c r="B311" s="458" t="s">
        <v>14481</v>
      </c>
      <c r="C311" s="458" t="n">
        <v>2013</v>
      </c>
      <c r="D311" s="459" t="n">
        <v>41562</v>
      </c>
      <c r="E311" s="460" t="s">
        <v>14482</v>
      </c>
      <c r="F311" s="380" t="s">
        <v>113</v>
      </c>
      <c r="G311" s="460" t="s">
        <v>441</v>
      </c>
      <c r="H311" s="380" t="s">
        <v>184</v>
      </c>
      <c r="I311" s="459" t="n">
        <v>43363</v>
      </c>
      <c r="J311" s="460" t="n">
        <v>9</v>
      </c>
      <c r="K311" s="591" t="s">
        <v>47</v>
      </c>
      <c r="L311" s="380" t="s">
        <v>60</v>
      </c>
      <c r="M311" s="545" t="n">
        <f aca="false">I311-D311</f>
        <v>1801</v>
      </c>
    </row>
    <row r="312" customFormat="false" ht="12.75" hidden="false" customHeight="true" outlineLevel="0" collapsed="false">
      <c r="A312" s="449" t="n">
        <v>31118</v>
      </c>
      <c r="B312" s="450" t="s">
        <v>14483</v>
      </c>
      <c r="C312" s="450" t="n">
        <v>2014</v>
      </c>
      <c r="D312" s="451" t="n">
        <v>41817</v>
      </c>
      <c r="E312" s="452" t="s">
        <v>14484</v>
      </c>
      <c r="F312" s="378" t="s">
        <v>699</v>
      </c>
      <c r="G312" s="452" t="s">
        <v>1174</v>
      </c>
      <c r="H312" s="378" t="s">
        <v>5230</v>
      </c>
      <c r="I312" s="451" t="n">
        <v>43333</v>
      </c>
      <c r="J312" s="452" t="n">
        <v>9</v>
      </c>
      <c r="K312" s="592" t="s">
        <v>42</v>
      </c>
      <c r="L312" s="378" t="s">
        <v>60</v>
      </c>
      <c r="M312" s="546" t="n">
        <f aca="false">I312-D312</f>
        <v>1516</v>
      </c>
    </row>
    <row r="313" customFormat="false" ht="12.75" hidden="false" customHeight="true" outlineLevel="0" collapsed="false">
      <c r="A313" s="456" t="n">
        <v>31218</v>
      </c>
      <c r="B313" s="458" t="s">
        <v>14485</v>
      </c>
      <c r="C313" s="458" t="n">
        <v>2018</v>
      </c>
      <c r="D313" s="459" t="n">
        <v>43185</v>
      </c>
      <c r="E313" s="460" t="s">
        <v>14486</v>
      </c>
      <c r="F313" s="380" t="s">
        <v>168</v>
      </c>
      <c r="G313" s="460" t="s">
        <v>1174</v>
      </c>
      <c r="H313" s="380" t="s">
        <v>522</v>
      </c>
      <c r="I313" s="459" t="n">
        <v>43368</v>
      </c>
      <c r="J313" s="460" t="n">
        <v>9</v>
      </c>
      <c r="K313" s="592" t="s">
        <v>42</v>
      </c>
      <c r="L313" s="380" t="s">
        <v>58</v>
      </c>
      <c r="M313" s="545" t="n">
        <f aca="false">I313-D313</f>
        <v>183</v>
      </c>
    </row>
    <row r="314" customFormat="false" ht="12.75" hidden="false" customHeight="true" outlineLevel="0" collapsed="false">
      <c r="A314" s="449" t="n">
        <v>31318</v>
      </c>
      <c r="B314" s="450" t="s">
        <v>14487</v>
      </c>
      <c r="C314" s="450" t="n">
        <v>2013</v>
      </c>
      <c r="D314" s="451" t="n">
        <v>41499</v>
      </c>
      <c r="E314" s="452" t="s">
        <v>14488</v>
      </c>
      <c r="F314" s="378" t="s">
        <v>1277</v>
      </c>
      <c r="G314" s="452" t="s">
        <v>1174</v>
      </c>
      <c r="H314" s="378" t="s">
        <v>693</v>
      </c>
      <c r="I314" s="451" t="n">
        <v>43368</v>
      </c>
      <c r="J314" s="452" t="n">
        <v>9</v>
      </c>
      <c r="K314" s="593" t="s">
        <v>45</v>
      </c>
      <c r="L314" s="378" t="s">
        <v>58</v>
      </c>
      <c r="M314" s="546" t="n">
        <f aca="false">I314-D314</f>
        <v>1869</v>
      </c>
    </row>
    <row r="315" customFormat="false" ht="12.75" hidden="false" customHeight="true" outlineLevel="0" collapsed="false">
      <c r="A315" s="456" t="n">
        <v>31418</v>
      </c>
      <c r="B315" s="458" t="s">
        <v>14489</v>
      </c>
      <c r="C315" s="458" t="n">
        <v>2012</v>
      </c>
      <c r="D315" s="459" t="n">
        <v>41260</v>
      </c>
      <c r="E315" s="460" t="s">
        <v>14490</v>
      </c>
      <c r="F315" s="380" t="s">
        <v>1277</v>
      </c>
      <c r="G315" s="460" t="s">
        <v>1174</v>
      </c>
      <c r="H315" s="380" t="s">
        <v>14359</v>
      </c>
      <c r="I315" s="459" t="n">
        <v>43337</v>
      </c>
      <c r="J315" s="460" t="n">
        <v>9</v>
      </c>
      <c r="K315" s="593" t="s">
        <v>45</v>
      </c>
      <c r="L315" s="380" t="s">
        <v>58</v>
      </c>
      <c r="M315" s="545" t="n">
        <f aca="false">I315-D315</f>
        <v>2077</v>
      </c>
    </row>
    <row r="316" customFormat="false" ht="12.75" hidden="true" customHeight="true" outlineLevel="0" collapsed="false">
      <c r="A316" s="449" t="n">
        <v>31518</v>
      </c>
      <c r="B316" s="450" t="s">
        <v>14491</v>
      </c>
      <c r="C316" s="450" t="n">
        <v>2013</v>
      </c>
      <c r="D316" s="451" t="n">
        <v>41325</v>
      </c>
      <c r="E316" s="452" t="s">
        <v>14492</v>
      </c>
      <c r="F316" s="378" t="s">
        <v>4623</v>
      </c>
      <c r="G316" s="452" t="s">
        <v>441</v>
      </c>
      <c r="H316" s="378" t="s">
        <v>13858</v>
      </c>
      <c r="I316" s="451" t="n">
        <v>43376</v>
      </c>
      <c r="J316" s="452" t="n">
        <v>9</v>
      </c>
      <c r="K316" s="592" t="s">
        <v>42</v>
      </c>
      <c r="L316" s="378" t="s">
        <v>60</v>
      </c>
      <c r="M316" s="546" t="n">
        <f aca="false">I316-D316</f>
        <v>2051</v>
      </c>
    </row>
    <row r="317" customFormat="false" ht="12.75" hidden="true" customHeight="true" outlineLevel="0" collapsed="false">
      <c r="A317" s="456" t="n">
        <v>31618</v>
      </c>
      <c r="B317" s="458" t="s">
        <v>14493</v>
      </c>
      <c r="C317" s="458" t="n">
        <v>2011</v>
      </c>
      <c r="D317" s="459" t="n">
        <v>40903</v>
      </c>
      <c r="E317" s="460" t="s">
        <v>14494</v>
      </c>
      <c r="F317" s="380" t="s">
        <v>668</v>
      </c>
      <c r="G317" s="460" t="s">
        <v>441</v>
      </c>
      <c r="H317" s="380" t="s">
        <v>2654</v>
      </c>
      <c r="I317" s="459" t="n">
        <v>43377</v>
      </c>
      <c r="J317" s="460" t="n">
        <v>9</v>
      </c>
      <c r="K317" s="592" t="s">
        <v>42</v>
      </c>
      <c r="L317" s="380" t="s">
        <v>58</v>
      </c>
      <c r="M317" s="545" t="n">
        <f aca="false">I317-D317</f>
        <v>2474</v>
      </c>
    </row>
    <row r="318" customFormat="false" ht="12.75" hidden="true" customHeight="true" outlineLevel="0" collapsed="false">
      <c r="A318" s="449" t="n">
        <v>31718</v>
      </c>
      <c r="B318" s="450" t="s">
        <v>14495</v>
      </c>
      <c r="C318" s="450" t="n">
        <v>2015</v>
      </c>
      <c r="D318" s="451" t="n">
        <v>42342</v>
      </c>
      <c r="E318" s="452" t="s">
        <v>14496</v>
      </c>
      <c r="F318" s="378" t="s">
        <v>14497</v>
      </c>
      <c r="G318" s="452" t="s">
        <v>144</v>
      </c>
      <c r="H318" s="378" t="s">
        <v>2602</v>
      </c>
      <c r="I318" s="451" t="n">
        <v>43377</v>
      </c>
      <c r="J318" s="452" t="n">
        <v>9</v>
      </c>
      <c r="K318" s="592" t="s">
        <v>42</v>
      </c>
      <c r="L318" s="378" t="s">
        <v>60</v>
      </c>
      <c r="M318" s="546" t="n">
        <f aca="false">I318-D318</f>
        <v>1035</v>
      </c>
    </row>
    <row r="319" customFormat="false" ht="12.75" hidden="true" customHeight="true" outlineLevel="0" collapsed="false">
      <c r="A319" s="456" t="n">
        <v>31818</v>
      </c>
      <c r="B319" s="458" t="s">
        <v>14498</v>
      </c>
      <c r="C319" s="458" t="n">
        <v>2011</v>
      </c>
      <c r="D319" s="459" t="n">
        <v>40808</v>
      </c>
      <c r="E319" s="460" t="s">
        <v>14499</v>
      </c>
      <c r="F319" s="380" t="s">
        <v>180</v>
      </c>
      <c r="G319" s="460" t="s">
        <v>441</v>
      </c>
      <c r="H319" s="380" t="s">
        <v>5447</v>
      </c>
      <c r="I319" s="459" t="n">
        <v>43377</v>
      </c>
      <c r="J319" s="460" t="n">
        <v>9</v>
      </c>
      <c r="K319" s="591" t="s">
        <v>47</v>
      </c>
      <c r="L319" s="380" t="s">
        <v>58</v>
      </c>
      <c r="M319" s="545" t="n">
        <f aca="false">I319-D319</f>
        <v>2569</v>
      </c>
    </row>
    <row r="320" customFormat="false" ht="12.75" hidden="true" customHeight="true" outlineLevel="0" collapsed="false">
      <c r="A320" s="449" t="n">
        <v>31918</v>
      </c>
      <c r="B320" s="450" t="s">
        <v>14500</v>
      </c>
      <c r="C320" s="450" t="n">
        <v>2011</v>
      </c>
      <c r="D320" s="451" t="n">
        <v>40626</v>
      </c>
      <c r="E320" s="452" t="s">
        <v>14501</v>
      </c>
      <c r="F320" s="378" t="s">
        <v>4623</v>
      </c>
      <c r="G320" s="452" t="s">
        <v>441</v>
      </c>
      <c r="H320" s="378" t="s">
        <v>354</v>
      </c>
      <c r="I320" s="451" t="n">
        <v>43378</v>
      </c>
      <c r="J320" s="452" t="n">
        <v>10</v>
      </c>
      <c r="K320" s="592" t="s">
        <v>42</v>
      </c>
      <c r="L320" s="378" t="s">
        <v>60</v>
      </c>
      <c r="M320" s="546" t="n">
        <f aca="false">I320-D320</f>
        <v>2752</v>
      </c>
    </row>
    <row r="321" customFormat="false" ht="12.75" hidden="true" customHeight="true" outlineLevel="0" collapsed="false">
      <c r="A321" s="456" t="n">
        <v>32018</v>
      </c>
      <c r="B321" s="458" t="s">
        <v>14502</v>
      </c>
      <c r="C321" s="458" t="n">
        <v>2010</v>
      </c>
      <c r="D321" s="459" t="n">
        <v>40353</v>
      </c>
      <c r="E321" s="460" t="s">
        <v>14503</v>
      </c>
      <c r="F321" s="380" t="s">
        <v>14504</v>
      </c>
      <c r="G321" s="460" t="s">
        <v>441</v>
      </c>
      <c r="H321" s="380" t="s">
        <v>1305</v>
      </c>
      <c r="I321" s="459" t="n">
        <v>43381</v>
      </c>
      <c r="J321" s="460" t="n">
        <v>10</v>
      </c>
      <c r="K321" s="592" t="s">
        <v>42</v>
      </c>
      <c r="L321" s="380" t="s">
        <v>60</v>
      </c>
      <c r="M321" s="545" t="n">
        <f aca="false">I321-D321</f>
        <v>3028</v>
      </c>
    </row>
    <row r="322" customFormat="false" ht="12.75" hidden="true" customHeight="true" outlineLevel="0" collapsed="false">
      <c r="A322" s="449" t="n">
        <v>32118</v>
      </c>
      <c r="B322" s="450" t="s">
        <v>14505</v>
      </c>
      <c r="C322" s="450" t="n">
        <v>2010</v>
      </c>
      <c r="D322" s="451" t="n">
        <v>40402</v>
      </c>
      <c r="E322" s="452" t="s">
        <v>14506</v>
      </c>
      <c r="F322" s="378" t="s">
        <v>157</v>
      </c>
      <c r="G322" s="452" t="s">
        <v>441</v>
      </c>
      <c r="H322" s="378" t="s">
        <v>9638</v>
      </c>
      <c r="I322" s="451" t="n">
        <v>43381</v>
      </c>
      <c r="J322" s="452" t="n">
        <v>10</v>
      </c>
      <c r="K322" s="592" t="s">
        <v>42</v>
      </c>
      <c r="L322" s="378" t="s">
        <v>58</v>
      </c>
      <c r="M322" s="546" t="n">
        <f aca="false">I322-D322</f>
        <v>2979</v>
      </c>
    </row>
    <row r="323" customFormat="false" ht="12.75" hidden="true" customHeight="true" outlineLevel="0" collapsed="false">
      <c r="A323" s="456" t="n">
        <v>32218</v>
      </c>
      <c r="B323" s="458" t="s">
        <v>14507</v>
      </c>
      <c r="C323" s="458" t="n">
        <v>2010</v>
      </c>
      <c r="D323" s="459" t="n">
        <v>40455</v>
      </c>
      <c r="E323" s="460" t="s">
        <v>14508</v>
      </c>
      <c r="F323" s="380" t="s">
        <v>14509</v>
      </c>
      <c r="G323" s="460" t="s">
        <v>441</v>
      </c>
      <c r="H323" s="380" t="s">
        <v>1305</v>
      </c>
      <c r="I323" s="459" t="n">
        <v>43382</v>
      </c>
      <c r="J323" s="460" t="n">
        <v>10</v>
      </c>
      <c r="K323" s="592" t="s">
        <v>42</v>
      </c>
      <c r="L323" s="380" t="s">
        <v>58</v>
      </c>
      <c r="M323" s="545" t="n">
        <f aca="false">I323-D323</f>
        <v>2927</v>
      </c>
    </row>
    <row r="324" customFormat="false" ht="12.75" hidden="true" customHeight="true" outlineLevel="0" collapsed="false">
      <c r="A324" s="449" t="n">
        <v>32318</v>
      </c>
      <c r="B324" s="450" t="s">
        <v>14510</v>
      </c>
      <c r="C324" s="450" t="n">
        <v>2017</v>
      </c>
      <c r="D324" s="451" t="n">
        <v>42942</v>
      </c>
      <c r="E324" s="452" t="s">
        <v>14416</v>
      </c>
      <c r="F324" s="378" t="s">
        <v>13917</v>
      </c>
      <c r="G324" s="452" t="s">
        <v>441</v>
      </c>
      <c r="H324" s="378" t="s">
        <v>13816</v>
      </c>
      <c r="I324" s="451" t="n">
        <v>43382</v>
      </c>
      <c r="J324" s="452" t="n">
        <v>10</v>
      </c>
      <c r="K324" s="592" t="s">
        <v>42</v>
      </c>
      <c r="L324" s="378" t="s">
        <v>58</v>
      </c>
      <c r="M324" s="546" t="n">
        <f aca="false">I324-D324</f>
        <v>440</v>
      </c>
    </row>
    <row r="325" customFormat="false" ht="12.75" hidden="true" customHeight="true" outlineLevel="0" collapsed="false">
      <c r="A325" s="456" t="n">
        <v>32418</v>
      </c>
      <c r="B325" s="458" t="s">
        <v>14511</v>
      </c>
      <c r="C325" s="458" t="n">
        <v>2012</v>
      </c>
      <c r="D325" s="459" t="n">
        <v>41269</v>
      </c>
      <c r="E325" s="460" t="s">
        <v>14512</v>
      </c>
      <c r="F325" s="380" t="s">
        <v>699</v>
      </c>
      <c r="G325" s="460" t="s">
        <v>441</v>
      </c>
      <c r="H325" s="380" t="s">
        <v>14513</v>
      </c>
      <c r="I325" s="459" t="n">
        <v>43388</v>
      </c>
      <c r="J325" s="460" t="n">
        <v>10</v>
      </c>
      <c r="K325" s="591" t="s">
        <v>47</v>
      </c>
      <c r="L325" s="380" t="s">
        <v>60</v>
      </c>
      <c r="M325" s="545" t="n">
        <f aca="false">I325-D325</f>
        <v>2119</v>
      </c>
    </row>
    <row r="326" customFormat="false" ht="12.75" hidden="true" customHeight="true" outlineLevel="0" collapsed="false">
      <c r="A326" s="449" t="n">
        <v>32518</v>
      </c>
      <c r="B326" s="450" t="s">
        <v>14514</v>
      </c>
      <c r="C326" s="450" t="n">
        <v>2016</v>
      </c>
      <c r="D326" s="451" t="n">
        <v>42600</v>
      </c>
      <c r="E326" s="452" t="s">
        <v>14515</v>
      </c>
      <c r="F326" s="378" t="s">
        <v>14516</v>
      </c>
      <c r="G326" s="452" t="s">
        <v>441</v>
      </c>
      <c r="H326" s="378" t="s">
        <v>13833</v>
      </c>
      <c r="I326" s="451" t="n">
        <v>43390</v>
      </c>
      <c r="J326" s="452" t="n">
        <v>10</v>
      </c>
      <c r="K326" s="592" t="s">
        <v>42</v>
      </c>
      <c r="L326" s="378" t="s">
        <v>57</v>
      </c>
      <c r="M326" s="546" t="n">
        <f aca="false">I326-D326</f>
        <v>790</v>
      </c>
    </row>
    <row r="327" customFormat="false" ht="12.75" hidden="false" customHeight="true" outlineLevel="0" collapsed="false">
      <c r="A327" s="456" t="n">
        <v>32618</v>
      </c>
      <c r="B327" s="458" t="s">
        <v>14517</v>
      </c>
      <c r="C327" s="458" t="n">
        <v>2017</v>
      </c>
      <c r="D327" s="459" t="n">
        <v>43007</v>
      </c>
      <c r="E327" s="460" t="s">
        <v>14518</v>
      </c>
      <c r="F327" s="380" t="s">
        <v>168</v>
      </c>
      <c r="G327" s="460" t="s">
        <v>1174</v>
      </c>
      <c r="H327" s="380" t="s">
        <v>13816</v>
      </c>
      <c r="I327" s="459" t="n">
        <v>43391</v>
      </c>
      <c r="J327" s="460" t="n">
        <v>10</v>
      </c>
      <c r="K327" s="592" t="s">
        <v>42</v>
      </c>
      <c r="L327" s="380" t="s">
        <v>58</v>
      </c>
      <c r="M327" s="545" t="n">
        <f aca="false">I327-D327</f>
        <v>384</v>
      </c>
    </row>
    <row r="328" customFormat="false" ht="12.75" hidden="false" customHeight="true" outlineLevel="0" collapsed="false">
      <c r="A328" s="449" t="n">
        <v>32718</v>
      </c>
      <c r="B328" s="450" t="s">
        <v>14519</v>
      </c>
      <c r="C328" s="450" t="n">
        <v>2011</v>
      </c>
      <c r="D328" s="451" t="n">
        <v>40669</v>
      </c>
      <c r="E328" s="452" t="s">
        <v>14520</v>
      </c>
      <c r="F328" s="378" t="s">
        <v>379</v>
      </c>
      <c r="G328" s="452" t="s">
        <v>1174</v>
      </c>
      <c r="H328" s="378" t="s">
        <v>184</v>
      </c>
      <c r="I328" s="451" t="n">
        <v>43391</v>
      </c>
      <c r="J328" s="452" t="n">
        <v>10</v>
      </c>
      <c r="K328" s="593" t="s">
        <v>45</v>
      </c>
      <c r="L328" s="378" t="s">
        <v>60</v>
      </c>
      <c r="M328" s="546" t="n">
        <f aca="false">I328-D328</f>
        <v>2722</v>
      </c>
    </row>
    <row r="329" customFormat="false" ht="12.75" hidden="false" customHeight="true" outlineLevel="0" collapsed="false">
      <c r="A329" s="456" t="n">
        <v>32818</v>
      </c>
      <c r="B329" s="458" t="s">
        <v>14521</v>
      </c>
      <c r="C329" s="458" t="n">
        <v>2016</v>
      </c>
      <c r="D329" s="459" t="n">
        <v>42458</v>
      </c>
      <c r="E329" s="460" t="s">
        <v>14522</v>
      </c>
      <c r="F329" s="380" t="s">
        <v>379</v>
      </c>
      <c r="G329" s="460" t="s">
        <v>1174</v>
      </c>
      <c r="H329" s="380" t="s">
        <v>6610</v>
      </c>
      <c r="I329" s="459" t="n">
        <v>43391</v>
      </c>
      <c r="J329" s="460" t="n">
        <v>10</v>
      </c>
      <c r="K329" s="593" t="s">
        <v>45</v>
      </c>
      <c r="L329" s="380" t="s">
        <v>60</v>
      </c>
      <c r="M329" s="545" t="n">
        <f aca="false">I329-D329</f>
        <v>933</v>
      </c>
    </row>
    <row r="330" customFormat="false" ht="12.75" hidden="false" customHeight="true" outlineLevel="0" collapsed="false">
      <c r="A330" s="449" t="n">
        <v>32918</v>
      </c>
      <c r="B330" s="450" t="s">
        <v>14523</v>
      </c>
      <c r="C330" s="450" t="n">
        <v>2012</v>
      </c>
      <c r="D330" s="451" t="n">
        <v>41264</v>
      </c>
      <c r="E330" s="452" t="s">
        <v>14524</v>
      </c>
      <c r="F330" s="378" t="s">
        <v>1196</v>
      </c>
      <c r="G330" s="452" t="s">
        <v>1174</v>
      </c>
      <c r="H330" s="378" t="s">
        <v>1567</v>
      </c>
      <c r="I330" s="451" t="n">
        <v>43391</v>
      </c>
      <c r="J330" s="452" t="n">
        <v>10</v>
      </c>
      <c r="K330" s="591" t="s">
        <v>47</v>
      </c>
      <c r="L330" s="378" t="s">
        <v>58</v>
      </c>
      <c r="M330" s="546" t="n">
        <f aca="false">I330-D330</f>
        <v>2127</v>
      </c>
    </row>
    <row r="331" customFormat="false" ht="12.75" hidden="false" customHeight="true" outlineLevel="0" collapsed="false">
      <c r="A331" s="456" t="n">
        <v>33018</v>
      </c>
      <c r="B331" s="458" t="s">
        <v>14525</v>
      </c>
      <c r="C331" s="458" t="n">
        <v>2014</v>
      </c>
      <c r="D331" s="459" t="n">
        <v>41942</v>
      </c>
      <c r="E331" s="460" t="s">
        <v>14526</v>
      </c>
      <c r="F331" s="380" t="s">
        <v>1400</v>
      </c>
      <c r="G331" s="460" t="s">
        <v>1174</v>
      </c>
      <c r="H331" s="380" t="s">
        <v>12073</v>
      </c>
      <c r="I331" s="459" t="n">
        <v>43391</v>
      </c>
      <c r="J331" s="460" t="n">
        <v>10</v>
      </c>
      <c r="K331" s="591" t="s">
        <v>47</v>
      </c>
      <c r="L331" s="380" t="s">
        <v>58</v>
      </c>
      <c r="M331" s="545" t="n">
        <f aca="false">I331-D331</f>
        <v>1449</v>
      </c>
    </row>
    <row r="332" customFormat="false" ht="12.75" hidden="false" customHeight="true" outlineLevel="0" collapsed="false">
      <c r="A332" s="449" t="n">
        <v>33118</v>
      </c>
      <c r="B332" s="450" t="s">
        <v>14527</v>
      </c>
      <c r="C332" s="450" t="n">
        <v>2012</v>
      </c>
      <c r="D332" s="451" t="n">
        <v>41114</v>
      </c>
      <c r="E332" s="452" t="s">
        <v>14528</v>
      </c>
      <c r="F332" s="378" t="s">
        <v>1400</v>
      </c>
      <c r="G332" s="452" t="s">
        <v>1174</v>
      </c>
      <c r="H332" s="378" t="s">
        <v>1501</v>
      </c>
      <c r="I332" s="451" t="n">
        <v>43391</v>
      </c>
      <c r="J332" s="452" t="n">
        <v>10</v>
      </c>
      <c r="K332" s="591" t="s">
        <v>47</v>
      </c>
      <c r="L332" s="378" t="s">
        <v>58</v>
      </c>
      <c r="M332" s="546" t="n">
        <f aca="false">I332-D332</f>
        <v>2277</v>
      </c>
    </row>
    <row r="333" customFormat="false" ht="12.75" hidden="false" customHeight="true" outlineLevel="0" collapsed="false">
      <c r="A333" s="456" t="n">
        <v>33218</v>
      </c>
      <c r="B333" s="458" t="s">
        <v>14529</v>
      </c>
      <c r="C333" s="458" t="n">
        <v>2016</v>
      </c>
      <c r="D333" s="459" t="n">
        <v>42488</v>
      </c>
      <c r="E333" s="460" t="s">
        <v>14530</v>
      </c>
      <c r="F333" s="380" t="s">
        <v>477</v>
      </c>
      <c r="G333" s="460" t="s">
        <v>1174</v>
      </c>
      <c r="H333" s="380" t="s">
        <v>12183</v>
      </c>
      <c r="I333" s="459" t="n">
        <v>43391</v>
      </c>
      <c r="J333" s="460" t="n">
        <v>10</v>
      </c>
      <c r="K333" s="591" t="s">
        <v>47</v>
      </c>
      <c r="L333" s="380" t="s">
        <v>58</v>
      </c>
      <c r="M333" s="545" t="n">
        <f aca="false">I333-D333</f>
        <v>903</v>
      </c>
    </row>
    <row r="334" customFormat="false" ht="12.75" hidden="false" customHeight="true" outlineLevel="0" collapsed="false">
      <c r="A334" s="449" t="n">
        <v>33318</v>
      </c>
      <c r="B334" s="450" t="s">
        <v>14531</v>
      </c>
      <c r="C334" s="450" t="n">
        <v>2014</v>
      </c>
      <c r="D334" s="451" t="n">
        <v>41731</v>
      </c>
      <c r="E334" s="452" t="s">
        <v>14532</v>
      </c>
      <c r="F334" s="378" t="s">
        <v>477</v>
      </c>
      <c r="G334" s="452" t="s">
        <v>1174</v>
      </c>
      <c r="H334" s="378" t="s">
        <v>1567</v>
      </c>
      <c r="I334" s="451" t="n">
        <v>43391</v>
      </c>
      <c r="J334" s="452" t="n">
        <v>10</v>
      </c>
      <c r="K334" s="591" t="s">
        <v>47</v>
      </c>
      <c r="L334" s="378" t="s">
        <v>58</v>
      </c>
      <c r="M334" s="546" t="n">
        <f aca="false">I334-D334</f>
        <v>1660</v>
      </c>
    </row>
    <row r="335" customFormat="false" ht="12.75" hidden="false" customHeight="true" outlineLevel="0" collapsed="false">
      <c r="A335" s="456" t="n">
        <v>33418</v>
      </c>
      <c r="B335" s="458" t="s">
        <v>14533</v>
      </c>
      <c r="C335" s="458" t="n">
        <v>2014</v>
      </c>
      <c r="D335" s="459" t="n">
        <v>41879</v>
      </c>
      <c r="E335" s="460" t="s">
        <v>14534</v>
      </c>
      <c r="F335" s="380" t="s">
        <v>477</v>
      </c>
      <c r="G335" s="460" t="s">
        <v>1174</v>
      </c>
      <c r="H335" s="380" t="s">
        <v>5230</v>
      </c>
      <c r="I335" s="459" t="n">
        <v>43391</v>
      </c>
      <c r="J335" s="460" t="n">
        <v>10</v>
      </c>
      <c r="K335" s="591" t="s">
        <v>47</v>
      </c>
      <c r="L335" s="380" t="s">
        <v>58</v>
      </c>
      <c r="M335" s="545" t="n">
        <f aca="false">I335-D335</f>
        <v>1512</v>
      </c>
    </row>
    <row r="336" customFormat="false" ht="12.75" hidden="false" customHeight="true" outlineLevel="0" collapsed="false">
      <c r="A336" s="449" t="n">
        <v>33518</v>
      </c>
      <c r="B336" s="450" t="s">
        <v>14535</v>
      </c>
      <c r="C336" s="450" t="n">
        <v>2011</v>
      </c>
      <c r="D336" s="451" t="n">
        <v>40624</v>
      </c>
      <c r="E336" s="452" t="s">
        <v>14536</v>
      </c>
      <c r="F336" s="378" t="s">
        <v>699</v>
      </c>
      <c r="G336" s="452" t="s">
        <v>1174</v>
      </c>
      <c r="H336" s="378" t="s">
        <v>513</v>
      </c>
      <c r="I336" s="451" t="n">
        <v>43391</v>
      </c>
      <c r="J336" s="452" t="n">
        <v>10</v>
      </c>
      <c r="K336" s="592" t="s">
        <v>42</v>
      </c>
      <c r="L336" s="378" t="s">
        <v>60</v>
      </c>
      <c r="M336" s="546" t="n">
        <f aca="false">I336-D336</f>
        <v>2767</v>
      </c>
    </row>
    <row r="337" customFormat="false" ht="12.75" hidden="true" customHeight="true" outlineLevel="0" collapsed="false">
      <c r="A337" s="456" t="n">
        <v>33618</v>
      </c>
      <c r="B337" s="458" t="s">
        <v>14537</v>
      </c>
      <c r="C337" s="458" t="n">
        <v>2014</v>
      </c>
      <c r="D337" s="459" t="n">
        <v>41726</v>
      </c>
      <c r="E337" s="460" t="s">
        <v>14538</v>
      </c>
      <c r="F337" s="380" t="s">
        <v>689</v>
      </c>
      <c r="G337" s="460" t="s">
        <v>441</v>
      </c>
      <c r="H337" s="380" t="s">
        <v>184</v>
      </c>
      <c r="I337" s="459" t="n">
        <v>43391</v>
      </c>
      <c r="J337" s="460" t="n">
        <v>10</v>
      </c>
      <c r="K337" s="591" t="s">
        <v>47</v>
      </c>
      <c r="L337" s="380" t="s">
        <v>60</v>
      </c>
      <c r="M337" s="545" t="n">
        <f aca="false">I337-D337</f>
        <v>1665</v>
      </c>
    </row>
    <row r="338" customFormat="false" ht="12.75" hidden="true" customHeight="true" outlineLevel="0" collapsed="false">
      <c r="A338" s="449" t="n">
        <v>33718</v>
      </c>
      <c r="B338" s="450" t="s">
        <v>14539</v>
      </c>
      <c r="C338" s="450" t="n">
        <v>2013</v>
      </c>
      <c r="D338" s="451" t="n">
        <v>41565</v>
      </c>
      <c r="E338" s="452" t="s">
        <v>14540</v>
      </c>
      <c r="F338" s="378" t="s">
        <v>699</v>
      </c>
      <c r="G338" s="452" t="s">
        <v>441</v>
      </c>
      <c r="H338" s="378" t="s">
        <v>14244</v>
      </c>
      <c r="I338" s="451" t="n">
        <v>43391</v>
      </c>
      <c r="J338" s="452" t="n">
        <v>10</v>
      </c>
      <c r="K338" s="591" t="s">
        <v>47</v>
      </c>
      <c r="L338" s="378" t="s">
        <v>60</v>
      </c>
      <c r="M338" s="546" t="n">
        <f aca="false">I338-D338</f>
        <v>1826</v>
      </c>
    </row>
    <row r="339" customFormat="false" ht="12.75" hidden="true" customHeight="true" outlineLevel="0" collapsed="false">
      <c r="A339" s="456" t="n">
        <v>33818</v>
      </c>
      <c r="B339" s="458" t="s">
        <v>14541</v>
      </c>
      <c r="C339" s="458" t="n">
        <v>2017</v>
      </c>
      <c r="D339" s="459" t="n">
        <v>42802</v>
      </c>
      <c r="E339" s="460" t="s">
        <v>14542</v>
      </c>
      <c r="F339" s="380" t="s">
        <v>14543</v>
      </c>
      <c r="G339" s="460" t="s">
        <v>125</v>
      </c>
      <c r="H339" s="380" t="s">
        <v>14544</v>
      </c>
      <c r="I339" s="459" t="n">
        <v>43391</v>
      </c>
      <c r="J339" s="460" t="n">
        <v>10</v>
      </c>
      <c r="K339" s="598" t="s">
        <v>50</v>
      </c>
      <c r="L339" s="380" t="s">
        <v>61</v>
      </c>
      <c r="M339" s="545" t="n">
        <f aca="false">I339-D339</f>
        <v>589</v>
      </c>
    </row>
    <row r="340" customFormat="false" ht="12.75" hidden="true" customHeight="true" outlineLevel="0" collapsed="false">
      <c r="A340" s="449" t="n">
        <v>33918</v>
      </c>
      <c r="B340" s="450" t="s">
        <v>14545</v>
      </c>
      <c r="C340" s="450" t="n">
        <v>2018</v>
      </c>
      <c r="D340" s="451" t="n">
        <v>43193</v>
      </c>
      <c r="E340" s="452" t="s">
        <v>14546</v>
      </c>
      <c r="F340" s="537" t="s">
        <v>14547</v>
      </c>
      <c r="G340" s="452" t="s">
        <v>125</v>
      </c>
      <c r="H340" s="378" t="s">
        <v>3707</v>
      </c>
      <c r="I340" s="451" t="n">
        <v>43395</v>
      </c>
      <c r="J340" s="452" t="n">
        <v>10</v>
      </c>
      <c r="K340" s="598" t="s">
        <v>50</v>
      </c>
      <c r="L340" s="378" t="s">
        <v>61</v>
      </c>
      <c r="M340" s="546" t="n">
        <f aca="false">I340-D340</f>
        <v>202</v>
      </c>
    </row>
    <row r="341" customFormat="false" ht="12.75" hidden="true" customHeight="true" outlineLevel="0" collapsed="false">
      <c r="A341" s="456" t="n">
        <v>34018</v>
      </c>
      <c r="B341" s="458" t="s">
        <v>14548</v>
      </c>
      <c r="C341" s="458" t="n">
        <v>2018</v>
      </c>
      <c r="D341" s="459" t="n">
        <v>43173</v>
      </c>
      <c r="E341" s="460" t="s">
        <v>14549</v>
      </c>
      <c r="F341" s="536" t="s">
        <v>10875</v>
      </c>
      <c r="G341" s="460" t="s">
        <v>125</v>
      </c>
      <c r="H341" s="380" t="s">
        <v>10913</v>
      </c>
      <c r="I341" s="459" t="n">
        <v>43396</v>
      </c>
      <c r="J341" s="460" t="n">
        <v>10</v>
      </c>
      <c r="K341" s="598" t="s">
        <v>50</v>
      </c>
      <c r="L341" s="380" t="s">
        <v>61</v>
      </c>
      <c r="M341" s="545" t="n">
        <f aca="false">I341-D341</f>
        <v>223</v>
      </c>
    </row>
    <row r="342" customFormat="false" ht="12.75" hidden="true" customHeight="true" outlineLevel="0" collapsed="false">
      <c r="A342" s="449" t="n">
        <v>34118</v>
      </c>
      <c r="B342" s="450" t="s">
        <v>14550</v>
      </c>
      <c r="C342" s="450" t="n">
        <v>2017</v>
      </c>
      <c r="D342" s="451" t="n">
        <v>42956</v>
      </c>
      <c r="E342" s="452" t="s">
        <v>14551</v>
      </c>
      <c r="F342" s="378" t="s">
        <v>699</v>
      </c>
      <c r="G342" s="452" t="s">
        <v>441</v>
      </c>
      <c r="H342" s="378" t="s">
        <v>350</v>
      </c>
      <c r="I342" s="451" t="n">
        <v>43396</v>
      </c>
      <c r="J342" s="452" t="n">
        <v>10</v>
      </c>
      <c r="K342" s="591" t="s">
        <v>47</v>
      </c>
      <c r="L342" s="378" t="s">
        <v>60</v>
      </c>
      <c r="M342" s="546" t="n">
        <f aca="false">I342-D342</f>
        <v>440</v>
      </c>
    </row>
    <row r="343" customFormat="false" ht="12.75" hidden="true" customHeight="true" outlineLevel="0" collapsed="false">
      <c r="A343" s="456" t="n">
        <v>34218</v>
      </c>
      <c r="B343" s="458" t="s">
        <v>14552</v>
      </c>
      <c r="C343" s="458" t="n">
        <v>2010</v>
      </c>
      <c r="D343" s="459" t="n">
        <v>40337</v>
      </c>
      <c r="E343" s="460" t="s">
        <v>14553</v>
      </c>
      <c r="F343" s="380" t="s">
        <v>14554</v>
      </c>
      <c r="G343" s="460" t="s">
        <v>441</v>
      </c>
      <c r="H343" s="380" t="s">
        <v>1305</v>
      </c>
      <c r="I343" s="459" t="n">
        <v>43398</v>
      </c>
      <c r="J343" s="460" t="n">
        <v>10</v>
      </c>
      <c r="K343" s="592" t="s">
        <v>42</v>
      </c>
      <c r="L343" s="380" t="s">
        <v>58</v>
      </c>
      <c r="M343" s="545" t="n">
        <f aca="false">I343-D343</f>
        <v>3061</v>
      </c>
    </row>
    <row r="344" customFormat="false" ht="12.75" hidden="true" customHeight="true" outlineLevel="0" collapsed="false">
      <c r="A344" s="449" t="n">
        <v>34318</v>
      </c>
      <c r="B344" s="450" t="s">
        <v>14555</v>
      </c>
      <c r="C344" s="450" t="n">
        <v>2016</v>
      </c>
      <c r="D344" s="451" t="n">
        <v>42576</v>
      </c>
      <c r="E344" s="452" t="s">
        <v>14556</v>
      </c>
      <c r="F344" s="378" t="s">
        <v>705</v>
      </c>
      <c r="G344" s="452" t="s">
        <v>441</v>
      </c>
      <c r="H344" s="378" t="s">
        <v>13833</v>
      </c>
      <c r="I344" s="451" t="n">
        <v>43398</v>
      </c>
      <c r="J344" s="452" t="n">
        <v>10</v>
      </c>
      <c r="K344" s="598" t="s">
        <v>50</v>
      </c>
      <c r="L344" s="378" t="s">
        <v>58</v>
      </c>
      <c r="M344" s="546" t="n">
        <f aca="false">I344-D344</f>
        <v>822</v>
      </c>
    </row>
    <row r="345" customFormat="false" ht="12.75" hidden="true" customHeight="true" outlineLevel="0" collapsed="false">
      <c r="A345" s="456" t="n">
        <v>34418</v>
      </c>
      <c r="B345" s="458" t="s">
        <v>14557</v>
      </c>
      <c r="C345" s="458" t="n">
        <v>2018</v>
      </c>
      <c r="D345" s="459" t="n">
        <v>43307</v>
      </c>
      <c r="E345" s="460" t="s">
        <v>14558</v>
      </c>
      <c r="F345" s="536" t="s">
        <v>14559</v>
      </c>
      <c r="G345" s="460" t="s">
        <v>130</v>
      </c>
      <c r="H345" s="380" t="s">
        <v>398</v>
      </c>
      <c r="I345" s="459" t="n">
        <v>43403</v>
      </c>
      <c r="J345" s="460" t="n">
        <v>10</v>
      </c>
      <c r="K345" s="598" t="s">
        <v>13914</v>
      </c>
      <c r="L345" s="380" t="s">
        <v>61</v>
      </c>
      <c r="M345" s="545" t="n">
        <f aca="false">I345-D345</f>
        <v>96</v>
      </c>
    </row>
    <row r="346" customFormat="false" ht="12.75" hidden="true" customHeight="true" outlineLevel="0" collapsed="false">
      <c r="A346" s="449" t="n">
        <v>34518</v>
      </c>
      <c r="B346" s="450" t="s">
        <v>14560</v>
      </c>
      <c r="C346" s="450" t="n">
        <v>2018</v>
      </c>
      <c r="D346" s="451" t="n">
        <v>43285</v>
      </c>
      <c r="E346" s="452" t="s">
        <v>14561</v>
      </c>
      <c r="F346" s="537" t="s">
        <v>10768</v>
      </c>
      <c r="G346" s="452" t="s">
        <v>125</v>
      </c>
      <c r="H346" s="378" t="s">
        <v>10913</v>
      </c>
      <c r="I346" s="451" t="n">
        <v>43405</v>
      </c>
      <c r="J346" s="452" t="n">
        <v>11</v>
      </c>
      <c r="K346" s="598" t="s">
        <v>50</v>
      </c>
      <c r="L346" s="378" t="s">
        <v>61</v>
      </c>
      <c r="M346" s="546" t="n">
        <f aca="false">I346-D346</f>
        <v>120</v>
      </c>
    </row>
    <row r="347" customFormat="false" ht="12.75" hidden="true" customHeight="true" outlineLevel="0" collapsed="false">
      <c r="A347" s="456" t="n">
        <v>34618</v>
      </c>
      <c r="B347" s="458" t="s">
        <v>14562</v>
      </c>
      <c r="C347" s="458" t="n">
        <v>2011</v>
      </c>
      <c r="D347" s="459" t="n">
        <v>40634</v>
      </c>
      <c r="E347" s="460" t="s">
        <v>14563</v>
      </c>
      <c r="F347" s="380" t="s">
        <v>14564</v>
      </c>
      <c r="G347" s="460" t="s">
        <v>144</v>
      </c>
      <c r="H347" s="380" t="s">
        <v>119</v>
      </c>
      <c r="I347" s="459" t="n">
        <v>43412</v>
      </c>
      <c r="J347" s="460" t="n">
        <v>11</v>
      </c>
      <c r="K347" s="593" t="s">
        <v>45</v>
      </c>
      <c r="L347" s="380" t="s">
        <v>57</v>
      </c>
      <c r="M347" s="545" t="n">
        <f aca="false">I347-D347</f>
        <v>2778</v>
      </c>
    </row>
    <row r="348" customFormat="false" ht="12.75" hidden="true" customHeight="true" outlineLevel="0" collapsed="false">
      <c r="A348" s="449" t="n">
        <v>34718</v>
      </c>
      <c r="B348" s="450" t="s">
        <v>14565</v>
      </c>
      <c r="C348" s="450" t="n">
        <v>2011</v>
      </c>
      <c r="D348" s="451" t="n">
        <v>40634</v>
      </c>
      <c r="E348" s="452" t="s">
        <v>14566</v>
      </c>
      <c r="F348" s="378" t="s">
        <v>14564</v>
      </c>
      <c r="G348" s="452" t="s">
        <v>144</v>
      </c>
      <c r="H348" s="378" t="s">
        <v>119</v>
      </c>
      <c r="I348" s="451" t="n">
        <v>43412</v>
      </c>
      <c r="J348" s="452" t="n">
        <v>11</v>
      </c>
      <c r="K348" s="593" t="s">
        <v>45</v>
      </c>
      <c r="L348" s="378" t="s">
        <v>57</v>
      </c>
      <c r="M348" s="546" t="n">
        <f aca="false">I348-D348</f>
        <v>2778</v>
      </c>
    </row>
    <row r="349" customFormat="false" ht="12.75" hidden="true" customHeight="true" outlineLevel="0" collapsed="false">
      <c r="A349" s="456" t="n">
        <v>34818</v>
      </c>
      <c r="B349" s="458" t="s">
        <v>14567</v>
      </c>
      <c r="C349" s="458" t="n">
        <v>2010</v>
      </c>
      <c r="D349" s="459" t="n">
        <v>40462</v>
      </c>
      <c r="E349" s="460" t="s">
        <v>14568</v>
      </c>
      <c r="F349" s="380" t="s">
        <v>14504</v>
      </c>
      <c r="G349" s="460" t="s">
        <v>441</v>
      </c>
      <c r="H349" s="380" t="s">
        <v>1305</v>
      </c>
      <c r="I349" s="459" t="n">
        <v>43413</v>
      </c>
      <c r="J349" s="460" t="n">
        <v>11</v>
      </c>
      <c r="K349" s="592" t="s">
        <v>42</v>
      </c>
      <c r="L349" s="380" t="s">
        <v>60</v>
      </c>
      <c r="M349" s="545" t="n">
        <f aca="false">I349-D349</f>
        <v>2951</v>
      </c>
    </row>
    <row r="350" customFormat="false" ht="12.75" hidden="true" customHeight="true" outlineLevel="0" collapsed="false">
      <c r="A350" s="449" t="n">
        <v>34918</v>
      </c>
      <c r="B350" s="450" t="s">
        <v>14569</v>
      </c>
      <c r="C350" s="450" t="n">
        <v>2009</v>
      </c>
      <c r="D350" s="451" t="n">
        <v>40091</v>
      </c>
      <c r="E350" s="452" t="s">
        <v>14570</v>
      </c>
      <c r="F350" s="378" t="s">
        <v>14571</v>
      </c>
      <c r="G350" s="452" t="s">
        <v>441</v>
      </c>
      <c r="H350" s="378" t="s">
        <v>12073</v>
      </c>
      <c r="I350" s="451" t="n">
        <v>43413</v>
      </c>
      <c r="J350" s="452" t="n">
        <v>11</v>
      </c>
      <c r="K350" s="598" t="s">
        <v>50</v>
      </c>
      <c r="L350" s="378" t="s">
        <v>58</v>
      </c>
      <c r="M350" s="546" t="n">
        <f aca="false">I350-D350</f>
        <v>3322</v>
      </c>
    </row>
    <row r="351" customFormat="false" ht="12.75" hidden="true" customHeight="true" outlineLevel="0" collapsed="false">
      <c r="A351" s="456" t="n">
        <v>35018</v>
      </c>
      <c r="B351" s="458" t="s">
        <v>14572</v>
      </c>
      <c r="C351" s="458" t="n">
        <v>2012</v>
      </c>
      <c r="D351" s="459" t="n">
        <v>40966</v>
      </c>
      <c r="E351" s="460" t="s">
        <v>14573</v>
      </c>
      <c r="F351" s="380" t="s">
        <v>780</v>
      </c>
      <c r="G351" s="460" t="s">
        <v>441</v>
      </c>
      <c r="H351" s="380" t="s">
        <v>12073</v>
      </c>
      <c r="I351" s="459" t="n">
        <v>43413</v>
      </c>
      <c r="J351" s="460" t="n">
        <v>11</v>
      </c>
      <c r="K351" s="593" t="s">
        <v>45</v>
      </c>
      <c r="L351" s="380" t="s">
        <v>60</v>
      </c>
      <c r="M351" s="545" t="n">
        <f aca="false">I351-D351</f>
        <v>2447</v>
      </c>
    </row>
    <row r="352" customFormat="false" ht="12.75" hidden="true" customHeight="true" outlineLevel="0" collapsed="false">
      <c r="A352" s="449" t="n">
        <v>35118</v>
      </c>
      <c r="B352" s="450" t="s">
        <v>14574</v>
      </c>
      <c r="C352" s="450" t="n">
        <v>2014</v>
      </c>
      <c r="D352" s="451" t="n">
        <v>41732</v>
      </c>
      <c r="E352" s="452" t="s">
        <v>14575</v>
      </c>
      <c r="F352" s="378" t="s">
        <v>14576</v>
      </c>
      <c r="G352" s="452" t="s">
        <v>441</v>
      </c>
      <c r="H352" s="378" t="s">
        <v>2602</v>
      </c>
      <c r="I352" s="451" t="n">
        <v>43414</v>
      </c>
      <c r="J352" s="452" t="n">
        <v>11</v>
      </c>
      <c r="K352" s="593" t="s">
        <v>45</v>
      </c>
      <c r="L352" s="378" t="s">
        <v>58</v>
      </c>
      <c r="M352" s="546" t="n">
        <f aca="false">I352-D352</f>
        <v>1682</v>
      </c>
    </row>
    <row r="353" customFormat="false" ht="12.75" hidden="false" customHeight="true" outlineLevel="0" collapsed="false">
      <c r="A353" s="456" t="n">
        <v>35218</v>
      </c>
      <c r="B353" s="458" t="s">
        <v>14577</v>
      </c>
      <c r="C353" s="458" t="n">
        <v>2011</v>
      </c>
      <c r="D353" s="459" t="n">
        <v>40644</v>
      </c>
      <c r="E353" s="460" t="s">
        <v>14578</v>
      </c>
      <c r="F353" s="380" t="s">
        <v>379</v>
      </c>
      <c r="G353" s="460" t="s">
        <v>1174</v>
      </c>
      <c r="H353" s="380" t="s">
        <v>6570</v>
      </c>
      <c r="I353" s="459" t="n">
        <v>43418</v>
      </c>
      <c r="J353" s="460" t="n">
        <v>11</v>
      </c>
      <c r="K353" s="593" t="s">
        <v>45</v>
      </c>
      <c r="L353" s="380" t="s">
        <v>60</v>
      </c>
      <c r="M353" s="545" t="n">
        <f aca="false">I353-D353</f>
        <v>2774</v>
      </c>
    </row>
    <row r="354" customFormat="false" ht="12.75" hidden="false" customHeight="true" outlineLevel="0" collapsed="false">
      <c r="A354" s="449" t="n">
        <v>35318</v>
      </c>
      <c r="B354" s="450" t="s">
        <v>14579</v>
      </c>
      <c r="C354" s="450" t="n">
        <v>2018</v>
      </c>
      <c r="D354" s="451" t="n">
        <v>43276</v>
      </c>
      <c r="E354" s="452" t="s">
        <v>14580</v>
      </c>
      <c r="F354" s="378" t="s">
        <v>1277</v>
      </c>
      <c r="G354" s="452" t="s">
        <v>1174</v>
      </c>
      <c r="H354" s="378" t="s">
        <v>13694</v>
      </c>
      <c r="I354" s="451" t="n">
        <v>43418</v>
      </c>
      <c r="J354" s="452" t="n">
        <v>11</v>
      </c>
      <c r="K354" s="593" t="s">
        <v>45</v>
      </c>
      <c r="L354" s="378" t="s">
        <v>58</v>
      </c>
      <c r="M354" s="546" t="n">
        <f aca="false">I354-D354</f>
        <v>142</v>
      </c>
    </row>
    <row r="355" customFormat="false" ht="12.75" hidden="false" customHeight="true" outlineLevel="0" collapsed="false">
      <c r="A355" s="456" t="n">
        <v>35418</v>
      </c>
      <c r="B355" s="458" t="s">
        <v>14581</v>
      </c>
      <c r="C355" s="458" t="n">
        <v>2015</v>
      </c>
      <c r="D355" s="459" t="n">
        <v>42361</v>
      </c>
      <c r="E355" s="460" t="s">
        <v>14582</v>
      </c>
      <c r="F355" s="380" t="s">
        <v>477</v>
      </c>
      <c r="G355" s="460" t="s">
        <v>1174</v>
      </c>
      <c r="H355" s="380" t="s">
        <v>13833</v>
      </c>
      <c r="I355" s="459" t="n">
        <v>43418</v>
      </c>
      <c r="J355" s="460" t="n">
        <v>11</v>
      </c>
      <c r="K355" s="591" t="s">
        <v>47</v>
      </c>
      <c r="L355" s="380" t="s">
        <v>58</v>
      </c>
      <c r="M355" s="545" t="n">
        <f aca="false">I355-D355</f>
        <v>1057</v>
      </c>
    </row>
    <row r="356" customFormat="false" ht="12.75" hidden="false" customHeight="true" outlineLevel="0" collapsed="false">
      <c r="A356" s="449" t="n">
        <v>35518</v>
      </c>
      <c r="B356" s="450" t="s">
        <v>14583</v>
      </c>
      <c r="C356" s="450" t="n">
        <v>2018</v>
      </c>
      <c r="D356" s="451" t="n">
        <v>43241</v>
      </c>
      <c r="E356" s="452" t="s">
        <v>14584</v>
      </c>
      <c r="F356" s="378" t="s">
        <v>823</v>
      </c>
      <c r="G356" s="452" t="s">
        <v>1174</v>
      </c>
      <c r="H356" s="378" t="s">
        <v>192</v>
      </c>
      <c r="I356" s="451" t="n">
        <v>43418</v>
      </c>
      <c r="J356" s="452" t="n">
        <v>11</v>
      </c>
      <c r="K356" s="591" t="s">
        <v>47</v>
      </c>
      <c r="L356" s="378" t="s">
        <v>58</v>
      </c>
      <c r="M356" s="546" t="n">
        <f aca="false">I356-D356</f>
        <v>177</v>
      </c>
    </row>
    <row r="357" customFormat="false" ht="12.75" hidden="false" customHeight="true" outlineLevel="0" collapsed="false">
      <c r="A357" s="456" t="n">
        <v>35618</v>
      </c>
      <c r="B357" s="458" t="s">
        <v>14585</v>
      </c>
      <c r="C357" s="458" t="n">
        <v>2014</v>
      </c>
      <c r="D357" s="459" t="n">
        <v>41806</v>
      </c>
      <c r="E357" s="460" t="s">
        <v>14586</v>
      </c>
      <c r="F357" s="380" t="s">
        <v>780</v>
      </c>
      <c r="G357" s="460" t="s">
        <v>1174</v>
      </c>
      <c r="H357" s="380" t="s">
        <v>192</v>
      </c>
      <c r="I357" s="459" t="n">
        <v>43418</v>
      </c>
      <c r="J357" s="460" t="n">
        <v>11</v>
      </c>
      <c r="K357" s="593" t="s">
        <v>45</v>
      </c>
      <c r="L357" s="380" t="s">
        <v>60</v>
      </c>
      <c r="M357" s="545" t="n">
        <f aca="false">I357-D357</f>
        <v>1612</v>
      </c>
    </row>
    <row r="358" customFormat="false" ht="12.75" hidden="false" customHeight="true" outlineLevel="0" collapsed="false">
      <c r="A358" s="449" t="n">
        <v>35718</v>
      </c>
      <c r="B358" s="450" t="s">
        <v>14587</v>
      </c>
      <c r="C358" s="450" t="n">
        <v>2013</v>
      </c>
      <c r="D358" s="451" t="n">
        <v>41304</v>
      </c>
      <c r="E358" s="452" t="s">
        <v>14588</v>
      </c>
      <c r="F358" s="378" t="s">
        <v>6460</v>
      </c>
      <c r="G358" s="452" t="s">
        <v>1174</v>
      </c>
      <c r="H358" s="378" t="s">
        <v>14036</v>
      </c>
      <c r="I358" s="451" t="n">
        <v>43418</v>
      </c>
      <c r="J358" s="452" t="n">
        <v>11</v>
      </c>
      <c r="K358" s="591" t="s">
        <v>47</v>
      </c>
      <c r="L358" s="378" t="s">
        <v>60</v>
      </c>
      <c r="M358" s="546" t="n">
        <f aca="false">I358-D358</f>
        <v>2114</v>
      </c>
    </row>
    <row r="359" customFormat="false" ht="12.75" hidden="false" customHeight="true" outlineLevel="0" collapsed="false">
      <c r="A359" s="456" t="n">
        <v>35818</v>
      </c>
      <c r="B359" s="458" t="s">
        <v>14589</v>
      </c>
      <c r="C359" s="458" t="n">
        <v>2010</v>
      </c>
      <c r="D359" s="459" t="n">
        <v>40322</v>
      </c>
      <c r="E359" s="460" t="s">
        <v>14590</v>
      </c>
      <c r="F359" s="380" t="s">
        <v>1916</v>
      </c>
      <c r="G359" s="460" t="s">
        <v>1174</v>
      </c>
      <c r="H359" s="380" t="s">
        <v>706</v>
      </c>
      <c r="I359" s="459" t="n">
        <v>43418</v>
      </c>
      <c r="J359" s="460" t="n">
        <v>11</v>
      </c>
      <c r="K359" s="591" t="s">
        <v>47</v>
      </c>
      <c r="L359" s="380" t="s">
        <v>58</v>
      </c>
      <c r="M359" s="545" t="n">
        <f aca="false">I359-D359</f>
        <v>3096</v>
      </c>
    </row>
    <row r="360" customFormat="false" ht="12.75" hidden="false" customHeight="true" outlineLevel="0" collapsed="false">
      <c r="A360" s="449" t="n">
        <v>35918</v>
      </c>
      <c r="B360" s="450" t="s">
        <v>14591</v>
      </c>
      <c r="C360" s="450" t="n">
        <v>2017</v>
      </c>
      <c r="D360" s="451" t="n">
        <v>43039</v>
      </c>
      <c r="E360" s="452" t="s">
        <v>14592</v>
      </c>
      <c r="F360" s="378" t="s">
        <v>1196</v>
      </c>
      <c r="G360" s="452" t="s">
        <v>1174</v>
      </c>
      <c r="H360" s="378" t="s">
        <v>13833</v>
      </c>
      <c r="I360" s="451" t="n">
        <v>43418</v>
      </c>
      <c r="J360" s="452" t="n">
        <v>11</v>
      </c>
      <c r="K360" s="591" t="s">
        <v>47</v>
      </c>
      <c r="L360" s="378" t="s">
        <v>58</v>
      </c>
      <c r="M360" s="546" t="n">
        <f aca="false">I360-D360</f>
        <v>379</v>
      </c>
    </row>
    <row r="361" customFormat="false" ht="12.75" hidden="true" customHeight="true" outlineLevel="0" collapsed="false">
      <c r="A361" s="456" t="n">
        <v>36018</v>
      </c>
      <c r="B361" s="458" t="s">
        <v>14593</v>
      </c>
      <c r="C361" s="458" t="n">
        <v>2012</v>
      </c>
      <c r="D361" s="459" t="n">
        <v>41176</v>
      </c>
      <c r="E361" s="460" t="s">
        <v>14594</v>
      </c>
      <c r="F361" s="380" t="s">
        <v>3777</v>
      </c>
      <c r="G361" s="460" t="s">
        <v>441</v>
      </c>
      <c r="H361" s="380" t="s">
        <v>5447</v>
      </c>
      <c r="I361" s="459" t="n">
        <v>43423</v>
      </c>
      <c r="J361" s="460" t="n">
        <v>11</v>
      </c>
      <c r="K361" s="592" t="s">
        <v>42</v>
      </c>
      <c r="L361" s="380" t="s">
        <v>58</v>
      </c>
      <c r="M361" s="545" t="n">
        <f aca="false">I361-D361</f>
        <v>2247</v>
      </c>
    </row>
    <row r="362" customFormat="false" ht="12.75" hidden="true" customHeight="true" outlineLevel="0" collapsed="false">
      <c r="A362" s="449" t="n">
        <v>36118</v>
      </c>
      <c r="B362" s="450" t="s">
        <v>14595</v>
      </c>
      <c r="C362" s="450" t="n">
        <v>2018</v>
      </c>
      <c r="D362" s="451" t="n">
        <v>43230</v>
      </c>
      <c r="E362" s="452" t="s">
        <v>14596</v>
      </c>
      <c r="F362" s="537" t="s">
        <v>10840</v>
      </c>
      <c r="G362" s="452" t="s">
        <v>125</v>
      </c>
      <c r="H362" s="378" t="s">
        <v>10913</v>
      </c>
      <c r="I362" s="451" t="n">
        <v>43424</v>
      </c>
      <c r="J362" s="452" t="n">
        <v>11</v>
      </c>
      <c r="K362" s="598" t="s">
        <v>50</v>
      </c>
      <c r="L362" s="378" t="s">
        <v>61</v>
      </c>
      <c r="M362" s="546" t="n">
        <f aca="false">I362-D362</f>
        <v>194</v>
      </c>
    </row>
    <row r="363" customFormat="false" ht="12.75" hidden="true" customHeight="true" outlineLevel="0" collapsed="false">
      <c r="A363" s="456" t="n">
        <v>36218</v>
      </c>
      <c r="B363" s="458" t="s">
        <v>14597</v>
      </c>
      <c r="C363" s="458" t="n">
        <v>2015</v>
      </c>
      <c r="D363" s="459" t="n">
        <v>42268</v>
      </c>
      <c r="E363" s="460" t="s">
        <v>14598</v>
      </c>
      <c r="F363" s="380" t="s">
        <v>207</v>
      </c>
      <c r="G363" s="460" t="s">
        <v>441</v>
      </c>
      <c r="H363" s="380" t="s">
        <v>13796</v>
      </c>
      <c r="I363" s="459" t="n">
        <v>43425</v>
      </c>
      <c r="J363" s="460" t="n">
        <v>11</v>
      </c>
      <c r="K363" s="591" t="s">
        <v>47</v>
      </c>
      <c r="L363" s="380" t="s">
        <v>58</v>
      </c>
      <c r="M363" s="545" t="n">
        <f aca="false">I363-D363</f>
        <v>1157</v>
      </c>
    </row>
    <row r="364" customFormat="false" ht="12.75" hidden="true" customHeight="true" outlineLevel="0" collapsed="false">
      <c r="A364" s="449" t="n">
        <v>36318</v>
      </c>
      <c r="B364" s="450" t="s">
        <v>14599</v>
      </c>
      <c r="C364" s="450" t="n">
        <v>2010</v>
      </c>
      <c r="D364" s="451" t="n">
        <v>40277</v>
      </c>
      <c r="E364" s="452" t="s">
        <v>14600</v>
      </c>
      <c r="F364" s="378" t="s">
        <v>1693</v>
      </c>
      <c r="G364" s="452" t="s">
        <v>441</v>
      </c>
      <c r="H364" s="378" t="s">
        <v>4919</v>
      </c>
      <c r="I364" s="451" t="n">
        <v>43427</v>
      </c>
      <c r="J364" s="452" t="n">
        <v>11</v>
      </c>
      <c r="K364" s="591" t="s">
        <v>47</v>
      </c>
      <c r="L364" s="378" t="s">
        <v>58</v>
      </c>
      <c r="M364" s="546" t="n">
        <f aca="false">I364-D364</f>
        <v>3150</v>
      </c>
    </row>
    <row r="365" customFormat="false" ht="12.75" hidden="true" customHeight="true" outlineLevel="0" collapsed="false">
      <c r="A365" s="456" t="n">
        <v>36418</v>
      </c>
      <c r="B365" s="458" t="s">
        <v>14601</v>
      </c>
      <c r="C365" s="458" t="n">
        <v>2017</v>
      </c>
      <c r="D365" s="459" t="n">
        <v>42984</v>
      </c>
      <c r="E365" s="460" t="s">
        <v>14602</v>
      </c>
      <c r="F365" s="380" t="s">
        <v>699</v>
      </c>
      <c r="G365" s="460" t="s">
        <v>441</v>
      </c>
      <c r="H365" s="380" t="s">
        <v>350</v>
      </c>
      <c r="I365" s="459" t="n">
        <v>43427</v>
      </c>
      <c r="J365" s="460" t="n">
        <v>11</v>
      </c>
      <c r="K365" s="591" t="s">
        <v>47</v>
      </c>
      <c r="L365" s="380" t="s">
        <v>60</v>
      </c>
      <c r="M365" s="545" t="n">
        <f aca="false">I365-D365</f>
        <v>443</v>
      </c>
    </row>
    <row r="366" customFormat="false" ht="12.75" hidden="true" customHeight="true" outlineLevel="0" collapsed="false">
      <c r="A366" s="449" t="n">
        <v>36518</v>
      </c>
      <c r="B366" s="450" t="s">
        <v>14603</v>
      </c>
      <c r="C366" s="450" t="n">
        <v>2013</v>
      </c>
      <c r="D366" s="451" t="n">
        <v>41414</v>
      </c>
      <c r="E366" s="452" t="s">
        <v>14604</v>
      </c>
      <c r="F366" s="378" t="s">
        <v>699</v>
      </c>
      <c r="G366" s="452" t="s">
        <v>441</v>
      </c>
      <c r="H366" s="378" t="s">
        <v>14036</v>
      </c>
      <c r="I366" s="451" t="n">
        <v>43427</v>
      </c>
      <c r="J366" s="452" t="n">
        <v>11</v>
      </c>
      <c r="K366" s="591" t="s">
        <v>47</v>
      </c>
      <c r="L366" s="378" t="s">
        <v>60</v>
      </c>
      <c r="M366" s="546" t="n">
        <f aca="false">I366-D366</f>
        <v>2013</v>
      </c>
    </row>
    <row r="367" customFormat="false" ht="12.75" hidden="true" customHeight="true" outlineLevel="0" collapsed="false">
      <c r="A367" s="456" t="n">
        <v>36618</v>
      </c>
      <c r="B367" s="458" t="s">
        <v>14605</v>
      </c>
      <c r="C367" s="458" t="n">
        <v>2012</v>
      </c>
      <c r="D367" s="459" t="n">
        <v>41110</v>
      </c>
      <c r="E367" s="460" t="s">
        <v>14606</v>
      </c>
      <c r="F367" s="380" t="s">
        <v>699</v>
      </c>
      <c r="G367" s="460" t="s">
        <v>441</v>
      </c>
      <c r="H367" s="380" t="s">
        <v>4919</v>
      </c>
      <c r="I367" s="459" t="n">
        <v>43427</v>
      </c>
      <c r="J367" s="460" t="n">
        <v>11</v>
      </c>
      <c r="K367" s="591" t="s">
        <v>47</v>
      </c>
      <c r="L367" s="380" t="s">
        <v>60</v>
      </c>
      <c r="M367" s="545" t="n">
        <f aca="false">I367-D367</f>
        <v>2317</v>
      </c>
    </row>
    <row r="368" customFormat="false" ht="12.75" hidden="false" customHeight="true" outlineLevel="0" collapsed="false">
      <c r="A368" s="449" t="n">
        <v>36718</v>
      </c>
      <c r="B368" s="450" t="s">
        <v>14607</v>
      </c>
      <c r="C368" s="450" t="n">
        <v>2013</v>
      </c>
      <c r="D368" s="451" t="n">
        <v>41361</v>
      </c>
      <c r="E368" s="452" t="s">
        <v>14608</v>
      </c>
      <c r="F368" s="378" t="s">
        <v>3444</v>
      </c>
      <c r="G368" s="452" t="s">
        <v>1174</v>
      </c>
      <c r="H368" s="378" t="s">
        <v>3268</v>
      </c>
      <c r="I368" s="451" t="n">
        <v>43430</v>
      </c>
      <c r="J368" s="452" t="n">
        <v>11</v>
      </c>
      <c r="K368" s="598" t="s">
        <v>50</v>
      </c>
      <c r="L368" s="378" t="s">
        <v>58</v>
      </c>
      <c r="M368" s="546" t="n">
        <f aca="false">I368-D368</f>
        <v>2069</v>
      </c>
    </row>
    <row r="369" customFormat="false" ht="12.75" hidden="false" customHeight="true" outlineLevel="0" collapsed="false">
      <c r="A369" s="456" t="n">
        <v>36818</v>
      </c>
      <c r="B369" s="458" t="s">
        <v>14609</v>
      </c>
      <c r="C369" s="458" t="n">
        <v>2011</v>
      </c>
      <c r="D369" s="459" t="n">
        <v>40695</v>
      </c>
      <c r="E369" s="460" t="s">
        <v>14610</v>
      </c>
      <c r="F369" s="380" t="s">
        <v>699</v>
      </c>
      <c r="G369" s="460" t="s">
        <v>1174</v>
      </c>
      <c r="H369" s="380" t="s">
        <v>14611</v>
      </c>
      <c r="I369" s="459" t="n">
        <v>43430</v>
      </c>
      <c r="J369" s="460" t="n">
        <v>11</v>
      </c>
      <c r="K369" s="592" t="s">
        <v>42</v>
      </c>
      <c r="L369" s="380" t="s">
        <v>60</v>
      </c>
      <c r="M369" s="545" t="n">
        <f aca="false">I369-D369</f>
        <v>2735</v>
      </c>
    </row>
    <row r="370" customFormat="false" ht="12.75" hidden="false" customHeight="true" outlineLevel="0" collapsed="false">
      <c r="A370" s="449" t="n">
        <v>36918</v>
      </c>
      <c r="B370" s="450" t="s">
        <v>14612</v>
      </c>
      <c r="C370" s="450" t="n">
        <v>2012</v>
      </c>
      <c r="D370" s="451" t="n">
        <v>41243</v>
      </c>
      <c r="E370" s="452" t="s">
        <v>14613</v>
      </c>
      <c r="F370" s="378" t="s">
        <v>699</v>
      </c>
      <c r="G370" s="452" t="s">
        <v>1174</v>
      </c>
      <c r="H370" s="378" t="s">
        <v>13858</v>
      </c>
      <c r="I370" s="451" t="n">
        <v>43430</v>
      </c>
      <c r="J370" s="452" t="n">
        <v>11</v>
      </c>
      <c r="K370" s="592" t="s">
        <v>42</v>
      </c>
      <c r="L370" s="378" t="s">
        <v>60</v>
      </c>
      <c r="M370" s="546" t="n">
        <f aca="false">I370-D370</f>
        <v>2187</v>
      </c>
    </row>
    <row r="371" customFormat="false" ht="12.75" hidden="false" customHeight="true" outlineLevel="0" collapsed="false">
      <c r="A371" s="456" t="n">
        <v>37018</v>
      </c>
      <c r="B371" s="458" t="s">
        <v>14614</v>
      </c>
      <c r="C371" s="458" t="n">
        <v>2011</v>
      </c>
      <c r="D371" s="459" t="n">
        <v>40661</v>
      </c>
      <c r="E371" s="460" t="s">
        <v>14615</v>
      </c>
      <c r="F371" s="380" t="s">
        <v>699</v>
      </c>
      <c r="G371" s="460" t="s">
        <v>1174</v>
      </c>
      <c r="H371" s="380" t="s">
        <v>184</v>
      </c>
      <c r="I371" s="459" t="n">
        <v>43430</v>
      </c>
      <c r="J371" s="460" t="n">
        <v>11</v>
      </c>
      <c r="K371" s="592" t="s">
        <v>42</v>
      </c>
      <c r="L371" s="380" t="s">
        <v>60</v>
      </c>
      <c r="M371" s="545" t="n">
        <f aca="false">I371-D371</f>
        <v>2769</v>
      </c>
    </row>
    <row r="372" customFormat="false" ht="12.75" hidden="false" customHeight="true" outlineLevel="0" collapsed="false">
      <c r="A372" s="449" t="n">
        <v>37118</v>
      </c>
      <c r="B372" s="450" t="s">
        <v>14616</v>
      </c>
      <c r="C372" s="450" t="n">
        <v>2014</v>
      </c>
      <c r="D372" s="451" t="n">
        <v>41977</v>
      </c>
      <c r="E372" s="452" t="s">
        <v>14617</v>
      </c>
      <c r="F372" s="378" t="s">
        <v>123</v>
      </c>
      <c r="G372" s="452" t="s">
        <v>1174</v>
      </c>
      <c r="H372" s="378" t="s">
        <v>706</v>
      </c>
      <c r="I372" s="451" t="n">
        <v>43430</v>
      </c>
      <c r="J372" s="452" t="n">
        <v>11</v>
      </c>
      <c r="K372" s="592" t="s">
        <v>42</v>
      </c>
      <c r="L372" s="378" t="s">
        <v>58</v>
      </c>
      <c r="M372" s="546" t="n">
        <f aca="false">I372-D372</f>
        <v>1453</v>
      </c>
    </row>
    <row r="373" customFormat="false" ht="12.75" hidden="false" customHeight="true" outlineLevel="0" collapsed="false">
      <c r="A373" s="456" t="n">
        <v>37218</v>
      </c>
      <c r="B373" s="458" t="s">
        <v>14618</v>
      </c>
      <c r="C373" s="458" t="n">
        <v>2015</v>
      </c>
      <c r="D373" s="459" t="n">
        <v>42194</v>
      </c>
      <c r="E373" s="460" t="s">
        <v>14619</v>
      </c>
      <c r="F373" s="380" t="s">
        <v>346</v>
      </c>
      <c r="G373" s="460" t="s">
        <v>1174</v>
      </c>
      <c r="H373" s="380" t="s">
        <v>350</v>
      </c>
      <c r="I373" s="459" t="n">
        <v>43430</v>
      </c>
      <c r="J373" s="460" t="n">
        <v>11</v>
      </c>
      <c r="K373" s="591" t="s">
        <v>47</v>
      </c>
      <c r="L373" s="380" t="s">
        <v>58</v>
      </c>
      <c r="M373" s="545" t="n">
        <f aca="false">I373-D373</f>
        <v>1236</v>
      </c>
    </row>
    <row r="374" customFormat="false" ht="12.75" hidden="false" customHeight="true" outlineLevel="0" collapsed="false">
      <c r="A374" s="449" t="n">
        <v>37318</v>
      </c>
      <c r="B374" s="450" t="s">
        <v>14620</v>
      </c>
      <c r="C374" s="450" t="n">
        <v>2016</v>
      </c>
      <c r="D374" s="451" t="n">
        <v>42711</v>
      </c>
      <c r="E374" s="452" t="s">
        <v>14621</v>
      </c>
      <c r="F374" s="378" t="s">
        <v>211</v>
      </c>
      <c r="G374" s="452" t="s">
        <v>1174</v>
      </c>
      <c r="H374" s="378" t="s">
        <v>13833</v>
      </c>
      <c r="I374" s="451" t="n">
        <v>43430</v>
      </c>
      <c r="J374" s="452" t="n">
        <v>11</v>
      </c>
      <c r="K374" s="592" t="s">
        <v>42</v>
      </c>
      <c r="L374" s="378" t="s">
        <v>58</v>
      </c>
      <c r="M374" s="546" t="n">
        <f aca="false">I374-D374</f>
        <v>719</v>
      </c>
    </row>
    <row r="375" customFormat="false" ht="12.75" hidden="false" customHeight="true" outlineLevel="0" collapsed="false">
      <c r="A375" s="456" t="n">
        <v>37418</v>
      </c>
      <c r="B375" s="458" t="s">
        <v>14622</v>
      </c>
      <c r="C375" s="458" t="n">
        <v>2014</v>
      </c>
      <c r="D375" s="459" t="n">
        <v>41710</v>
      </c>
      <c r="E375" s="460" t="s">
        <v>14623</v>
      </c>
      <c r="F375" s="380" t="s">
        <v>207</v>
      </c>
      <c r="G375" s="460" t="s">
        <v>1174</v>
      </c>
      <c r="H375" s="380" t="s">
        <v>354</v>
      </c>
      <c r="I375" s="459" t="n">
        <v>43430</v>
      </c>
      <c r="J375" s="460" t="n">
        <v>11</v>
      </c>
      <c r="K375" s="592" t="s">
        <v>42</v>
      </c>
      <c r="L375" s="380" t="s">
        <v>58</v>
      </c>
      <c r="M375" s="545" t="n">
        <f aca="false">I375-D375</f>
        <v>1720</v>
      </c>
    </row>
    <row r="376" customFormat="false" ht="12.75" hidden="false" customHeight="true" outlineLevel="0" collapsed="false">
      <c r="A376" s="449" t="n">
        <v>37518</v>
      </c>
      <c r="B376" s="450" t="s">
        <v>14624</v>
      </c>
      <c r="C376" s="450" t="n">
        <v>2014</v>
      </c>
      <c r="D376" s="451" t="n">
        <v>41788</v>
      </c>
      <c r="E376" s="452" t="s">
        <v>14625</v>
      </c>
      <c r="F376" s="378" t="s">
        <v>1196</v>
      </c>
      <c r="G376" s="452" t="s">
        <v>1174</v>
      </c>
      <c r="H376" s="378" t="s">
        <v>192</v>
      </c>
      <c r="I376" s="451" t="n">
        <v>43430</v>
      </c>
      <c r="J376" s="452" t="n">
        <v>11</v>
      </c>
      <c r="K376" s="591" t="s">
        <v>47</v>
      </c>
      <c r="L376" s="378" t="s">
        <v>58</v>
      </c>
      <c r="M376" s="546" t="n">
        <f aca="false">I376-D376</f>
        <v>1642</v>
      </c>
    </row>
    <row r="377" customFormat="false" ht="12.75" hidden="false" customHeight="true" outlineLevel="0" collapsed="false">
      <c r="A377" s="456" t="n">
        <v>37618</v>
      </c>
      <c r="B377" s="458" t="s">
        <v>14626</v>
      </c>
      <c r="C377" s="458" t="n">
        <v>2015</v>
      </c>
      <c r="D377" s="459" t="n">
        <v>42216</v>
      </c>
      <c r="E377" s="460" t="s">
        <v>14627</v>
      </c>
      <c r="F377" s="380" t="s">
        <v>207</v>
      </c>
      <c r="G377" s="460" t="s">
        <v>1174</v>
      </c>
      <c r="H377" s="380" t="s">
        <v>13833</v>
      </c>
      <c r="I377" s="459" t="n">
        <v>43433</v>
      </c>
      <c r="J377" s="460" t="n">
        <v>11</v>
      </c>
      <c r="K377" s="592" t="s">
        <v>42</v>
      </c>
      <c r="L377" s="380" t="s">
        <v>58</v>
      </c>
      <c r="M377" s="545" t="n">
        <f aca="false">I377-D377</f>
        <v>1217</v>
      </c>
    </row>
    <row r="378" customFormat="false" ht="12.75" hidden="false" customHeight="true" outlineLevel="0" collapsed="false">
      <c r="A378" s="449" t="n">
        <v>37718</v>
      </c>
      <c r="B378" s="450" t="s">
        <v>14628</v>
      </c>
      <c r="C378" s="450" t="n">
        <v>2011</v>
      </c>
      <c r="D378" s="451" t="n">
        <v>40884</v>
      </c>
      <c r="E378" s="452" t="s">
        <v>14629</v>
      </c>
      <c r="F378" s="378" t="s">
        <v>668</v>
      </c>
      <c r="G378" s="452" t="s">
        <v>1174</v>
      </c>
      <c r="H378" s="378" t="s">
        <v>192</v>
      </c>
      <c r="I378" s="451" t="n">
        <v>43433</v>
      </c>
      <c r="J378" s="452" t="n">
        <v>11</v>
      </c>
      <c r="K378" s="592" t="s">
        <v>42</v>
      </c>
      <c r="L378" s="378" t="s">
        <v>58</v>
      </c>
      <c r="M378" s="546" t="n">
        <f aca="false">I378-D378</f>
        <v>2549</v>
      </c>
    </row>
    <row r="379" customFormat="false" ht="12.75" hidden="false" customHeight="true" outlineLevel="0" collapsed="false">
      <c r="A379" s="456" t="n">
        <v>37818</v>
      </c>
      <c r="B379" s="458" t="s">
        <v>14630</v>
      </c>
      <c r="C379" s="458" t="n">
        <v>2015</v>
      </c>
      <c r="D379" s="459" t="n">
        <v>42265</v>
      </c>
      <c r="E379" s="460" t="s">
        <v>14631</v>
      </c>
      <c r="F379" s="380" t="s">
        <v>346</v>
      </c>
      <c r="G379" s="460" t="s">
        <v>1174</v>
      </c>
      <c r="H379" s="380" t="s">
        <v>706</v>
      </c>
      <c r="I379" s="459" t="n">
        <v>43433</v>
      </c>
      <c r="J379" s="460" t="n">
        <v>11</v>
      </c>
      <c r="K379" s="591" t="s">
        <v>47</v>
      </c>
      <c r="L379" s="380" t="s">
        <v>58</v>
      </c>
      <c r="M379" s="545" t="n">
        <f aca="false">I379-D379</f>
        <v>1168</v>
      </c>
    </row>
    <row r="380" customFormat="false" ht="12.75" hidden="false" customHeight="true" outlineLevel="0" collapsed="false">
      <c r="A380" s="449" t="n">
        <v>37918</v>
      </c>
      <c r="B380" s="450" t="s">
        <v>14632</v>
      </c>
      <c r="C380" s="450" t="n">
        <v>2017</v>
      </c>
      <c r="D380" s="451" t="n">
        <v>42943</v>
      </c>
      <c r="E380" s="452" t="s">
        <v>14633</v>
      </c>
      <c r="F380" s="378" t="s">
        <v>780</v>
      </c>
      <c r="G380" s="452" t="s">
        <v>1174</v>
      </c>
      <c r="H380" s="378" t="s">
        <v>522</v>
      </c>
      <c r="I380" s="451" t="n">
        <v>43433</v>
      </c>
      <c r="J380" s="452" t="n">
        <v>11</v>
      </c>
      <c r="K380" s="591" t="s">
        <v>47</v>
      </c>
      <c r="L380" s="378" t="s">
        <v>60</v>
      </c>
      <c r="M380" s="546" t="n">
        <f aca="false">I380-D380</f>
        <v>490</v>
      </c>
    </row>
    <row r="381" customFormat="false" ht="12.75" hidden="false" customHeight="true" outlineLevel="0" collapsed="false">
      <c r="A381" s="456" t="n">
        <v>38018</v>
      </c>
      <c r="B381" s="458" t="s">
        <v>14634</v>
      </c>
      <c r="C381" s="458" t="n">
        <v>2014</v>
      </c>
      <c r="D381" s="459" t="n">
        <v>41995</v>
      </c>
      <c r="E381" s="460" t="s">
        <v>14635</v>
      </c>
      <c r="F381" s="380" t="s">
        <v>1400</v>
      </c>
      <c r="G381" s="460" t="s">
        <v>1174</v>
      </c>
      <c r="H381" s="380" t="s">
        <v>13833</v>
      </c>
      <c r="I381" s="459" t="n">
        <v>43433</v>
      </c>
      <c r="J381" s="460" t="n">
        <v>11</v>
      </c>
      <c r="K381" s="593" t="s">
        <v>45</v>
      </c>
      <c r="L381" s="380" t="s">
        <v>58</v>
      </c>
      <c r="M381" s="545" t="n">
        <f aca="false">I381-D381</f>
        <v>1438</v>
      </c>
    </row>
    <row r="382" customFormat="false" ht="12.75" hidden="true" customHeight="true" outlineLevel="0" collapsed="false">
      <c r="A382" s="449" t="n">
        <v>38118</v>
      </c>
      <c r="B382" s="450" t="s">
        <v>14636</v>
      </c>
      <c r="C382" s="450" t="n">
        <v>2010</v>
      </c>
      <c r="D382" s="451" t="n">
        <v>40423</v>
      </c>
      <c r="E382" s="452" t="s">
        <v>14637</v>
      </c>
      <c r="F382" s="378" t="s">
        <v>823</v>
      </c>
      <c r="G382" s="452" t="s">
        <v>441</v>
      </c>
      <c r="H382" s="378" t="s">
        <v>12073</v>
      </c>
      <c r="I382" s="451" t="n">
        <v>43433</v>
      </c>
      <c r="J382" s="452" t="n">
        <v>11</v>
      </c>
      <c r="K382" s="591" t="s">
        <v>47</v>
      </c>
      <c r="L382" s="378" t="s">
        <v>60</v>
      </c>
      <c r="M382" s="546" t="n">
        <f aca="false">I382-D382</f>
        <v>3010</v>
      </c>
    </row>
    <row r="383" customFormat="false" ht="12.75" hidden="true" customHeight="true" outlineLevel="0" collapsed="false">
      <c r="A383" s="456" t="n">
        <v>38218</v>
      </c>
      <c r="B383" s="458" t="s">
        <v>14638</v>
      </c>
      <c r="C383" s="458" t="n">
        <v>2013</v>
      </c>
      <c r="D383" s="459" t="n">
        <v>41361</v>
      </c>
      <c r="E383" s="460" t="s">
        <v>14639</v>
      </c>
      <c r="F383" s="380" t="s">
        <v>361</v>
      </c>
      <c r="G383" s="460" t="s">
        <v>144</v>
      </c>
      <c r="H383" s="380" t="s">
        <v>9638</v>
      </c>
      <c r="I383" s="459" t="n">
        <v>43433</v>
      </c>
      <c r="J383" s="460" t="n">
        <v>11</v>
      </c>
      <c r="K383" s="591" t="s">
        <v>47</v>
      </c>
      <c r="L383" s="380" t="s">
        <v>58</v>
      </c>
      <c r="M383" s="545" t="n">
        <f aca="false">I383-D383</f>
        <v>2072</v>
      </c>
    </row>
    <row r="384" customFormat="false" ht="12.75" hidden="true" customHeight="true" outlineLevel="0" collapsed="false">
      <c r="A384" s="449" t="n">
        <v>38318</v>
      </c>
      <c r="B384" s="450" t="s">
        <v>14640</v>
      </c>
      <c r="C384" s="450" t="n">
        <v>2012</v>
      </c>
      <c r="D384" s="451" t="n">
        <v>41073</v>
      </c>
      <c r="E384" s="452" t="s">
        <v>14641</v>
      </c>
      <c r="F384" s="378" t="s">
        <v>4270</v>
      </c>
      <c r="G384" s="452" t="s">
        <v>441</v>
      </c>
      <c r="H384" s="378" t="s">
        <v>9638</v>
      </c>
      <c r="I384" s="451" t="n">
        <v>43433</v>
      </c>
      <c r="J384" s="452" t="n">
        <v>11</v>
      </c>
      <c r="K384" s="591" t="s">
        <v>47</v>
      </c>
      <c r="L384" s="378" t="s">
        <v>58</v>
      </c>
      <c r="M384" s="546" t="n">
        <f aca="false">I384-D384</f>
        <v>2360</v>
      </c>
    </row>
    <row r="385" customFormat="false" ht="12.75" hidden="true" customHeight="true" outlineLevel="0" collapsed="false">
      <c r="A385" s="456" t="n">
        <v>38418</v>
      </c>
      <c r="B385" s="458" t="s">
        <v>14642</v>
      </c>
      <c r="C385" s="458" t="n">
        <v>2016</v>
      </c>
      <c r="D385" s="459" t="n">
        <v>42734</v>
      </c>
      <c r="E385" s="460" t="s">
        <v>14643</v>
      </c>
      <c r="F385" s="380" t="s">
        <v>14364</v>
      </c>
      <c r="G385" s="460" t="s">
        <v>144</v>
      </c>
      <c r="H385" s="380" t="s">
        <v>14644</v>
      </c>
      <c r="I385" s="459" t="n">
        <v>43434</v>
      </c>
      <c r="J385" s="460" t="n">
        <v>11</v>
      </c>
      <c r="K385" s="592" t="s">
        <v>42</v>
      </c>
      <c r="L385" s="380" t="s">
        <v>58</v>
      </c>
      <c r="M385" s="545" t="n">
        <f aca="false">I385-D385</f>
        <v>700</v>
      </c>
    </row>
    <row r="386" customFormat="false" ht="12.75" hidden="true" customHeight="true" outlineLevel="0" collapsed="false">
      <c r="A386" s="449" t="n">
        <v>38518</v>
      </c>
      <c r="B386" s="450" t="s">
        <v>14645</v>
      </c>
      <c r="C386" s="450" t="n">
        <v>2016</v>
      </c>
      <c r="D386" s="451" t="n">
        <v>42734</v>
      </c>
      <c r="E386" s="452" t="s">
        <v>14646</v>
      </c>
      <c r="F386" s="378" t="s">
        <v>14364</v>
      </c>
      <c r="G386" s="452" t="s">
        <v>144</v>
      </c>
      <c r="H386" s="378" t="s">
        <v>14644</v>
      </c>
      <c r="I386" s="451" t="n">
        <v>43434</v>
      </c>
      <c r="J386" s="452" t="n">
        <v>11</v>
      </c>
      <c r="K386" s="592" t="s">
        <v>42</v>
      </c>
      <c r="L386" s="378" t="s">
        <v>58</v>
      </c>
      <c r="M386" s="546" t="n">
        <f aca="false">I386-D386</f>
        <v>700</v>
      </c>
    </row>
    <row r="387" customFormat="false" ht="12.75" hidden="true" customHeight="true" outlineLevel="0" collapsed="false">
      <c r="A387" s="456" t="n">
        <v>38618</v>
      </c>
      <c r="B387" s="458" t="s">
        <v>14647</v>
      </c>
      <c r="C387" s="458" t="n">
        <v>2012</v>
      </c>
      <c r="D387" s="459" t="n">
        <v>40952</v>
      </c>
      <c r="E387" s="460" t="s">
        <v>14648</v>
      </c>
      <c r="F387" s="380" t="s">
        <v>705</v>
      </c>
      <c r="G387" s="460" t="s">
        <v>441</v>
      </c>
      <c r="H387" s="380" t="s">
        <v>354</v>
      </c>
      <c r="I387" s="459" t="n">
        <v>43437</v>
      </c>
      <c r="J387" s="460" t="n">
        <v>11</v>
      </c>
      <c r="K387" s="592" t="s">
        <v>42</v>
      </c>
      <c r="L387" s="380" t="s">
        <v>58</v>
      </c>
      <c r="M387" s="545" t="n">
        <f aca="false">I387-D387</f>
        <v>2485</v>
      </c>
    </row>
    <row r="388" customFormat="false" ht="12.75" hidden="true" customHeight="true" outlineLevel="0" collapsed="false">
      <c r="A388" s="449" t="n">
        <v>38718</v>
      </c>
      <c r="B388" s="450" t="s">
        <v>14649</v>
      </c>
      <c r="C388" s="450" t="n">
        <v>2016</v>
      </c>
      <c r="D388" s="451" t="n">
        <v>42643</v>
      </c>
      <c r="E388" s="452" t="s">
        <v>14650</v>
      </c>
      <c r="F388" s="378" t="s">
        <v>3204</v>
      </c>
      <c r="G388" s="452" t="s">
        <v>144</v>
      </c>
      <c r="H388" s="378" t="s">
        <v>14235</v>
      </c>
      <c r="I388" s="451" t="n">
        <v>43437</v>
      </c>
      <c r="J388" s="452" t="n">
        <v>11</v>
      </c>
      <c r="K388" s="591" t="s">
        <v>47</v>
      </c>
      <c r="L388" s="378" t="s">
        <v>58</v>
      </c>
      <c r="M388" s="546" t="n">
        <f aca="false">I388-D388</f>
        <v>794</v>
      </c>
    </row>
    <row r="389" customFormat="false" ht="12.75" hidden="true" customHeight="true" outlineLevel="0" collapsed="false">
      <c r="A389" s="456" t="n">
        <v>38818</v>
      </c>
      <c r="B389" s="458" t="s">
        <v>14651</v>
      </c>
      <c r="C389" s="458" t="n">
        <v>2010</v>
      </c>
      <c r="D389" s="459" t="n">
        <v>40394</v>
      </c>
      <c r="E389" s="460" t="s">
        <v>14652</v>
      </c>
      <c r="F389" s="380" t="s">
        <v>723</v>
      </c>
      <c r="G389" s="460" t="s">
        <v>144</v>
      </c>
      <c r="H389" s="380" t="s">
        <v>9638</v>
      </c>
      <c r="I389" s="459" t="n">
        <v>43437</v>
      </c>
      <c r="J389" s="460" t="n">
        <v>11</v>
      </c>
      <c r="K389" s="592" t="s">
        <v>42</v>
      </c>
      <c r="L389" s="380" t="s">
        <v>58</v>
      </c>
      <c r="M389" s="545" t="n">
        <f aca="false">I389-D389</f>
        <v>3043</v>
      </c>
    </row>
    <row r="390" customFormat="false" ht="12.75" hidden="true" customHeight="true" outlineLevel="0" collapsed="false">
      <c r="A390" s="449" t="n">
        <v>38918</v>
      </c>
      <c r="B390" s="450" t="s">
        <v>14653</v>
      </c>
      <c r="C390" s="450" t="n">
        <v>2010</v>
      </c>
      <c r="D390" s="451" t="n">
        <v>40402</v>
      </c>
      <c r="E390" s="452" t="s">
        <v>14654</v>
      </c>
      <c r="F390" s="378" t="s">
        <v>723</v>
      </c>
      <c r="G390" s="452" t="s">
        <v>144</v>
      </c>
      <c r="H390" s="378" t="s">
        <v>9638</v>
      </c>
      <c r="I390" s="451" t="n">
        <v>43437</v>
      </c>
      <c r="J390" s="452" t="n">
        <v>11</v>
      </c>
      <c r="K390" s="592" t="s">
        <v>42</v>
      </c>
      <c r="L390" s="378" t="s">
        <v>58</v>
      </c>
      <c r="M390" s="546" t="n">
        <f aca="false">I390-D390</f>
        <v>3035</v>
      </c>
    </row>
    <row r="391" customFormat="false" ht="12.75" hidden="true" customHeight="true" outlineLevel="0" collapsed="false">
      <c r="A391" s="456" t="n">
        <v>39018</v>
      </c>
      <c r="B391" s="458" t="s">
        <v>14655</v>
      </c>
      <c r="C391" s="458" t="n">
        <v>2016</v>
      </c>
      <c r="D391" s="459" t="n">
        <v>42643</v>
      </c>
      <c r="E391" s="460" t="s">
        <v>14656</v>
      </c>
      <c r="F391" s="380" t="s">
        <v>14657</v>
      </c>
      <c r="G391" s="460" t="s">
        <v>144</v>
      </c>
      <c r="H391" s="380" t="s">
        <v>14235</v>
      </c>
      <c r="I391" s="459" t="n">
        <v>43437</v>
      </c>
      <c r="J391" s="460" t="n">
        <v>11</v>
      </c>
      <c r="K391" s="591" t="s">
        <v>47</v>
      </c>
      <c r="L391" s="380" t="s">
        <v>58</v>
      </c>
      <c r="M391" s="545" t="n">
        <f aca="false">I391-D391</f>
        <v>794</v>
      </c>
    </row>
    <row r="392" customFormat="false" ht="12.75" hidden="false" customHeight="true" outlineLevel="0" collapsed="false">
      <c r="A392" s="449" t="n">
        <v>39118</v>
      </c>
      <c r="B392" s="450" t="s">
        <v>14658</v>
      </c>
      <c r="C392" s="450" t="n">
        <v>2013</v>
      </c>
      <c r="D392" s="451" t="n">
        <v>41638</v>
      </c>
      <c r="E392" s="452" t="s">
        <v>14659</v>
      </c>
      <c r="F392" s="378" t="s">
        <v>1196</v>
      </c>
      <c r="G392" s="452" t="s">
        <v>1174</v>
      </c>
      <c r="H392" s="378" t="s">
        <v>1557</v>
      </c>
      <c r="I392" s="451" t="n">
        <v>43438</v>
      </c>
      <c r="J392" s="452" t="n">
        <v>11</v>
      </c>
      <c r="K392" s="591" t="s">
        <v>47</v>
      </c>
      <c r="L392" s="378" t="s">
        <v>58</v>
      </c>
      <c r="M392" s="546" t="n">
        <f aca="false">I392-D392</f>
        <v>1800</v>
      </c>
    </row>
    <row r="393" customFormat="false" ht="12.75" hidden="false" customHeight="true" outlineLevel="0" collapsed="false">
      <c r="A393" s="456" t="n">
        <v>39218</v>
      </c>
      <c r="B393" s="458" t="s">
        <v>14660</v>
      </c>
      <c r="C393" s="458" t="n">
        <v>2017</v>
      </c>
      <c r="D393" s="459" t="n">
        <v>42776</v>
      </c>
      <c r="E393" s="460" t="s">
        <v>14661</v>
      </c>
      <c r="F393" s="380" t="s">
        <v>537</v>
      </c>
      <c r="G393" s="460" t="s">
        <v>1174</v>
      </c>
      <c r="H393" s="380" t="s">
        <v>1072</v>
      </c>
      <c r="I393" s="459" t="n">
        <v>43438</v>
      </c>
      <c r="J393" s="460" t="n">
        <v>11</v>
      </c>
      <c r="K393" s="591" t="s">
        <v>47</v>
      </c>
      <c r="L393" s="380" t="s">
        <v>58</v>
      </c>
      <c r="M393" s="545" t="n">
        <f aca="false">I393-D393</f>
        <v>662</v>
      </c>
    </row>
    <row r="394" customFormat="false" ht="12.75" hidden="false" customHeight="true" outlineLevel="0" collapsed="false">
      <c r="A394" s="449" t="n">
        <v>39318</v>
      </c>
      <c r="B394" s="450" t="s">
        <v>14662</v>
      </c>
      <c r="C394" s="450" t="n">
        <v>2013</v>
      </c>
      <c r="D394" s="451" t="n">
        <v>41543</v>
      </c>
      <c r="E394" s="452" t="s">
        <v>14663</v>
      </c>
      <c r="F394" s="378" t="s">
        <v>537</v>
      </c>
      <c r="G394" s="452" t="s">
        <v>1174</v>
      </c>
      <c r="H394" s="378" t="s">
        <v>522</v>
      </c>
      <c r="I394" s="451" t="n">
        <v>43438</v>
      </c>
      <c r="J394" s="452" t="n">
        <v>11</v>
      </c>
      <c r="K394" s="591" t="s">
        <v>47</v>
      </c>
      <c r="L394" s="378" t="s">
        <v>58</v>
      </c>
      <c r="M394" s="546" t="n">
        <f aca="false">I394-D394</f>
        <v>1895</v>
      </c>
    </row>
    <row r="395" customFormat="false" ht="12.75" hidden="false" customHeight="true" outlineLevel="0" collapsed="false">
      <c r="A395" s="456" t="n">
        <v>39418</v>
      </c>
      <c r="B395" s="458" t="s">
        <v>14664</v>
      </c>
      <c r="C395" s="458" t="n">
        <v>2015</v>
      </c>
      <c r="D395" s="459" t="n">
        <v>42166</v>
      </c>
      <c r="E395" s="460" t="s">
        <v>14665</v>
      </c>
      <c r="F395" s="380" t="s">
        <v>537</v>
      </c>
      <c r="G395" s="460" t="s">
        <v>1174</v>
      </c>
      <c r="H395" s="380" t="s">
        <v>12183</v>
      </c>
      <c r="I395" s="459" t="n">
        <v>43438</v>
      </c>
      <c r="J395" s="460" t="n">
        <v>11</v>
      </c>
      <c r="K395" s="591" t="s">
        <v>47</v>
      </c>
      <c r="L395" s="380" t="s">
        <v>58</v>
      </c>
      <c r="M395" s="545" t="n">
        <f aca="false">I395-D395</f>
        <v>1272</v>
      </c>
    </row>
    <row r="396" customFormat="false" ht="12.75" hidden="false" customHeight="true" outlineLevel="0" collapsed="false">
      <c r="A396" s="449" t="n">
        <v>39518</v>
      </c>
      <c r="B396" s="450" t="s">
        <v>14666</v>
      </c>
      <c r="C396" s="450" t="n">
        <v>2014</v>
      </c>
      <c r="D396" s="451" t="n">
        <v>41736</v>
      </c>
      <c r="E396" s="452" t="s">
        <v>14667</v>
      </c>
      <c r="F396" s="378" t="s">
        <v>537</v>
      </c>
      <c r="G396" s="452" t="s">
        <v>1174</v>
      </c>
      <c r="H396" s="378" t="s">
        <v>192</v>
      </c>
      <c r="I396" s="451" t="n">
        <v>43438</v>
      </c>
      <c r="J396" s="452" t="n">
        <v>11</v>
      </c>
      <c r="K396" s="591" t="s">
        <v>47</v>
      </c>
      <c r="L396" s="378" t="s">
        <v>58</v>
      </c>
      <c r="M396" s="546" t="n">
        <f aca="false">I396-D396</f>
        <v>1702</v>
      </c>
    </row>
    <row r="397" customFormat="false" ht="12.75" hidden="false" customHeight="true" outlineLevel="0" collapsed="false">
      <c r="A397" s="456" t="n">
        <v>39618</v>
      </c>
      <c r="B397" s="458" t="s">
        <v>14668</v>
      </c>
      <c r="C397" s="458" t="n">
        <v>2014</v>
      </c>
      <c r="D397" s="459" t="n">
        <v>41976</v>
      </c>
      <c r="E397" s="460" t="s">
        <v>14669</v>
      </c>
      <c r="F397" s="380" t="s">
        <v>537</v>
      </c>
      <c r="G397" s="460" t="s">
        <v>1174</v>
      </c>
      <c r="H397" s="380" t="s">
        <v>184</v>
      </c>
      <c r="I397" s="459" t="n">
        <v>43438</v>
      </c>
      <c r="J397" s="460" t="n">
        <v>11</v>
      </c>
      <c r="K397" s="591" t="s">
        <v>47</v>
      </c>
      <c r="L397" s="380" t="s">
        <v>58</v>
      </c>
      <c r="M397" s="545" t="n">
        <f aca="false">I397-D397</f>
        <v>1462</v>
      </c>
    </row>
    <row r="398" customFormat="false" ht="12.75" hidden="false" customHeight="true" outlineLevel="0" collapsed="false">
      <c r="A398" s="449" t="n">
        <v>39718</v>
      </c>
      <c r="B398" s="450" t="s">
        <v>14670</v>
      </c>
      <c r="C398" s="450" t="n">
        <v>2015</v>
      </c>
      <c r="D398" s="451" t="n">
        <v>42016</v>
      </c>
      <c r="E398" s="452" t="s">
        <v>14671</v>
      </c>
      <c r="F398" s="378" t="s">
        <v>1316</v>
      </c>
      <c r="G398" s="452" t="s">
        <v>1174</v>
      </c>
      <c r="H398" s="378" t="s">
        <v>13833</v>
      </c>
      <c r="I398" s="451" t="n">
        <v>43438</v>
      </c>
      <c r="J398" s="452" t="n">
        <v>11</v>
      </c>
      <c r="K398" s="593" t="s">
        <v>45</v>
      </c>
      <c r="L398" s="378" t="s">
        <v>58</v>
      </c>
      <c r="M398" s="546" t="n">
        <f aca="false">I398-D398</f>
        <v>1422</v>
      </c>
    </row>
    <row r="399" customFormat="false" ht="12.75" hidden="false" customHeight="true" outlineLevel="0" collapsed="false">
      <c r="A399" s="456" t="n">
        <v>39818</v>
      </c>
      <c r="B399" s="458" t="s">
        <v>14672</v>
      </c>
      <c r="C399" s="458" t="n">
        <v>2011</v>
      </c>
      <c r="D399" s="459" t="n">
        <v>40723</v>
      </c>
      <c r="E399" s="460" t="s">
        <v>14673</v>
      </c>
      <c r="F399" s="380" t="s">
        <v>1243</v>
      </c>
      <c r="G399" s="460" t="s">
        <v>1174</v>
      </c>
      <c r="H399" s="380" t="s">
        <v>706</v>
      </c>
      <c r="I399" s="459" t="n">
        <v>43438</v>
      </c>
      <c r="J399" s="460" t="n">
        <v>11</v>
      </c>
      <c r="K399" s="591" t="s">
        <v>47</v>
      </c>
      <c r="L399" s="380" t="s">
        <v>60</v>
      </c>
      <c r="M399" s="545" t="n">
        <f aca="false">I399-D399</f>
        <v>2715</v>
      </c>
    </row>
    <row r="400" customFormat="false" ht="12.75" hidden="false" customHeight="true" outlineLevel="0" collapsed="false">
      <c r="A400" s="449" t="n">
        <v>39918</v>
      </c>
      <c r="B400" s="450" t="s">
        <v>14674</v>
      </c>
      <c r="C400" s="450" t="n">
        <v>2014</v>
      </c>
      <c r="D400" s="451" t="n">
        <v>41983</v>
      </c>
      <c r="E400" s="452" t="s">
        <v>14675</v>
      </c>
      <c r="F400" s="378" t="s">
        <v>346</v>
      </c>
      <c r="G400" s="452" t="s">
        <v>1174</v>
      </c>
      <c r="H400" s="378" t="s">
        <v>13833</v>
      </c>
      <c r="I400" s="451" t="n">
        <v>43438</v>
      </c>
      <c r="J400" s="452" t="n">
        <v>11</v>
      </c>
      <c r="K400" s="591" t="s">
        <v>47</v>
      </c>
      <c r="L400" s="378" t="s">
        <v>58</v>
      </c>
      <c r="M400" s="546" t="n">
        <f aca="false">I400-D400</f>
        <v>1455</v>
      </c>
    </row>
    <row r="401" customFormat="false" ht="12.75" hidden="false" customHeight="true" outlineLevel="0" collapsed="false">
      <c r="A401" s="456" t="n">
        <v>40018</v>
      </c>
      <c r="B401" s="458" t="s">
        <v>14676</v>
      </c>
      <c r="C401" s="458" t="n">
        <v>2015</v>
      </c>
      <c r="D401" s="459" t="n">
        <v>42167</v>
      </c>
      <c r="E401" s="460" t="s">
        <v>14677</v>
      </c>
      <c r="F401" s="380" t="s">
        <v>346</v>
      </c>
      <c r="G401" s="460" t="s">
        <v>1174</v>
      </c>
      <c r="H401" s="380" t="s">
        <v>354</v>
      </c>
      <c r="I401" s="459" t="n">
        <v>43438</v>
      </c>
      <c r="J401" s="460" t="n">
        <v>11</v>
      </c>
      <c r="K401" s="591" t="s">
        <v>47</v>
      </c>
      <c r="L401" s="380" t="s">
        <v>58</v>
      </c>
      <c r="M401" s="545" t="n">
        <f aca="false">I401-D401</f>
        <v>1271</v>
      </c>
    </row>
    <row r="402" customFormat="false" ht="12.75" hidden="false" customHeight="true" outlineLevel="0" collapsed="false">
      <c r="A402" s="449" t="n">
        <v>40118</v>
      </c>
      <c r="B402" s="450" t="s">
        <v>14678</v>
      </c>
      <c r="C402" s="450" t="n">
        <v>2016</v>
      </c>
      <c r="D402" s="451" t="n">
        <v>42571</v>
      </c>
      <c r="E402" s="452" t="s">
        <v>14679</v>
      </c>
      <c r="F402" s="378" t="s">
        <v>346</v>
      </c>
      <c r="G402" s="452" t="s">
        <v>1174</v>
      </c>
      <c r="H402" s="378" t="s">
        <v>1059</v>
      </c>
      <c r="I402" s="451" t="n">
        <v>43438</v>
      </c>
      <c r="J402" s="452" t="n">
        <v>11</v>
      </c>
      <c r="K402" s="591" t="s">
        <v>47</v>
      </c>
      <c r="L402" s="378" t="s">
        <v>58</v>
      </c>
      <c r="M402" s="546" t="n">
        <f aca="false">I402-D402</f>
        <v>867</v>
      </c>
    </row>
    <row r="403" customFormat="false" ht="12.75" hidden="false" customHeight="true" outlineLevel="0" collapsed="false">
      <c r="A403" s="456" t="n">
        <v>40218</v>
      </c>
      <c r="B403" s="458" t="s">
        <v>14680</v>
      </c>
      <c r="C403" s="458" t="n">
        <v>2014</v>
      </c>
      <c r="D403" s="459" t="n">
        <v>41852</v>
      </c>
      <c r="E403" s="460" t="s">
        <v>14681</v>
      </c>
      <c r="F403" s="380" t="s">
        <v>346</v>
      </c>
      <c r="G403" s="460" t="s">
        <v>1174</v>
      </c>
      <c r="H403" s="380" t="s">
        <v>522</v>
      </c>
      <c r="I403" s="459" t="n">
        <v>43438</v>
      </c>
      <c r="J403" s="460" t="n">
        <v>11</v>
      </c>
      <c r="K403" s="591" t="s">
        <v>47</v>
      </c>
      <c r="L403" s="380" t="s">
        <v>58</v>
      </c>
      <c r="M403" s="545" t="n">
        <f aca="false">I403-D403</f>
        <v>1586</v>
      </c>
    </row>
    <row r="404" customFormat="false" ht="12.75" hidden="false" customHeight="true" outlineLevel="0" collapsed="false">
      <c r="A404" s="449" t="n">
        <v>40318</v>
      </c>
      <c r="B404" s="450" t="s">
        <v>14682</v>
      </c>
      <c r="C404" s="450" t="n">
        <v>2010</v>
      </c>
      <c r="D404" s="451" t="n">
        <v>40235</v>
      </c>
      <c r="E404" s="452" t="s">
        <v>14683</v>
      </c>
      <c r="F404" s="378" t="s">
        <v>365</v>
      </c>
      <c r="G404" s="452" t="s">
        <v>1174</v>
      </c>
      <c r="H404" s="378" t="s">
        <v>14359</v>
      </c>
      <c r="I404" s="451" t="n">
        <v>43438</v>
      </c>
      <c r="J404" s="452" t="n">
        <v>11</v>
      </c>
      <c r="K404" s="593" t="s">
        <v>45</v>
      </c>
      <c r="L404" s="378" t="s">
        <v>58</v>
      </c>
      <c r="M404" s="546" t="n">
        <f aca="false">I404-D404</f>
        <v>3203</v>
      </c>
    </row>
    <row r="405" customFormat="false" ht="12.75" hidden="false" customHeight="true" outlineLevel="0" collapsed="false">
      <c r="A405" s="456" t="n">
        <v>40418</v>
      </c>
      <c r="B405" s="458" t="s">
        <v>14684</v>
      </c>
      <c r="C405" s="458" t="n">
        <v>2010</v>
      </c>
      <c r="D405" s="459" t="n">
        <v>40375</v>
      </c>
      <c r="E405" s="460" t="s">
        <v>14685</v>
      </c>
      <c r="F405" s="380" t="s">
        <v>1527</v>
      </c>
      <c r="G405" s="460" t="s">
        <v>1174</v>
      </c>
      <c r="H405" s="380" t="s">
        <v>693</v>
      </c>
      <c r="I405" s="459" t="n">
        <v>43438</v>
      </c>
      <c r="J405" s="460" t="n">
        <v>11</v>
      </c>
      <c r="K405" s="592" t="s">
        <v>42</v>
      </c>
      <c r="L405" s="380" t="s">
        <v>58</v>
      </c>
      <c r="M405" s="545" t="n">
        <f aca="false">I405-D405</f>
        <v>3063</v>
      </c>
    </row>
    <row r="406" customFormat="false" ht="12.75" hidden="false" customHeight="true" outlineLevel="0" collapsed="false">
      <c r="A406" s="449" t="n">
        <v>40518</v>
      </c>
      <c r="B406" s="450" t="s">
        <v>14686</v>
      </c>
      <c r="C406" s="450" t="n">
        <v>2012</v>
      </c>
      <c r="D406" s="451" t="n">
        <v>41247</v>
      </c>
      <c r="E406" s="452" t="s">
        <v>14687</v>
      </c>
      <c r="F406" s="378" t="s">
        <v>1527</v>
      </c>
      <c r="G406" s="452" t="s">
        <v>1174</v>
      </c>
      <c r="H406" s="378" t="s">
        <v>892</v>
      </c>
      <c r="I406" s="451" t="n">
        <v>43438</v>
      </c>
      <c r="J406" s="452" t="n">
        <v>11</v>
      </c>
      <c r="K406" s="592" t="s">
        <v>42</v>
      </c>
      <c r="L406" s="378" t="s">
        <v>58</v>
      </c>
      <c r="M406" s="546" t="n">
        <f aca="false">I406-D406</f>
        <v>2191</v>
      </c>
    </row>
    <row r="407" customFormat="false" ht="12.75" hidden="false" customHeight="true" outlineLevel="0" collapsed="false">
      <c r="A407" s="456" t="n">
        <v>40618</v>
      </c>
      <c r="B407" s="458" t="s">
        <v>14688</v>
      </c>
      <c r="C407" s="458" t="n">
        <v>2013</v>
      </c>
      <c r="D407" s="459" t="n">
        <v>41562</v>
      </c>
      <c r="E407" s="460" t="s">
        <v>14689</v>
      </c>
      <c r="F407" s="380" t="s">
        <v>2151</v>
      </c>
      <c r="G407" s="460" t="s">
        <v>1174</v>
      </c>
      <c r="H407" s="380" t="s">
        <v>3268</v>
      </c>
      <c r="I407" s="459" t="n">
        <v>43438</v>
      </c>
      <c r="J407" s="460" t="n">
        <v>11</v>
      </c>
      <c r="K407" s="591" t="s">
        <v>47</v>
      </c>
      <c r="L407" s="380" t="s">
        <v>58</v>
      </c>
      <c r="M407" s="545" t="n">
        <f aca="false">I407-D407</f>
        <v>1876</v>
      </c>
    </row>
    <row r="408" customFormat="false" ht="12.75" hidden="true" customHeight="true" outlineLevel="0" collapsed="false">
      <c r="A408" s="449" t="n">
        <v>40718</v>
      </c>
      <c r="B408" s="450" t="s">
        <v>14690</v>
      </c>
      <c r="C408" s="450" t="n">
        <v>2014</v>
      </c>
      <c r="D408" s="451" t="n">
        <v>41779</v>
      </c>
      <c r="E408" s="452" t="s">
        <v>14691</v>
      </c>
      <c r="F408" s="378" t="s">
        <v>1635</v>
      </c>
      <c r="G408" s="452" t="s">
        <v>144</v>
      </c>
      <c r="H408" s="378" t="s">
        <v>2602</v>
      </c>
      <c r="I408" s="451" t="n">
        <v>43440</v>
      </c>
      <c r="J408" s="452" t="n">
        <v>11</v>
      </c>
      <c r="K408" s="591" t="s">
        <v>47</v>
      </c>
      <c r="L408" s="378" t="s">
        <v>60</v>
      </c>
      <c r="M408" s="546" t="n">
        <f aca="false">I408-D408</f>
        <v>1661</v>
      </c>
    </row>
    <row r="409" customFormat="false" ht="12.75" hidden="true" customHeight="true" outlineLevel="0" collapsed="false">
      <c r="A409" s="456" t="n">
        <v>40818</v>
      </c>
      <c r="B409" s="458" t="s">
        <v>14692</v>
      </c>
      <c r="C409" s="458" t="n">
        <v>2015</v>
      </c>
      <c r="D409" s="459" t="n">
        <v>42338</v>
      </c>
      <c r="E409" s="460" t="s">
        <v>14693</v>
      </c>
      <c r="F409" s="380" t="s">
        <v>1383</v>
      </c>
      <c r="G409" s="460" t="s">
        <v>441</v>
      </c>
      <c r="H409" s="380" t="s">
        <v>250</v>
      </c>
      <c r="I409" s="459" t="n">
        <v>43440</v>
      </c>
      <c r="J409" s="460" t="n">
        <v>11</v>
      </c>
      <c r="K409" s="592" t="s">
        <v>42</v>
      </c>
      <c r="L409" s="380" t="s">
        <v>60</v>
      </c>
      <c r="M409" s="545" t="n">
        <f aca="false">I409-D409</f>
        <v>1102</v>
      </c>
    </row>
    <row r="410" customFormat="false" ht="12.75" hidden="true" customHeight="true" outlineLevel="0" collapsed="false">
      <c r="A410" s="449" t="n">
        <v>40918</v>
      </c>
      <c r="B410" s="450" t="s">
        <v>14694</v>
      </c>
      <c r="C410" s="450" t="n">
        <v>2011</v>
      </c>
      <c r="D410" s="451" t="n">
        <v>40598</v>
      </c>
      <c r="E410" s="452" t="s">
        <v>14695</v>
      </c>
      <c r="F410" s="378" t="s">
        <v>4623</v>
      </c>
      <c r="G410" s="452" t="s">
        <v>441</v>
      </c>
      <c r="H410" s="378" t="s">
        <v>208</v>
      </c>
      <c r="I410" s="451" t="n">
        <v>43440</v>
      </c>
      <c r="J410" s="452" t="n">
        <v>11</v>
      </c>
      <c r="K410" s="592" t="s">
        <v>42</v>
      </c>
      <c r="L410" s="378" t="s">
        <v>60</v>
      </c>
      <c r="M410" s="546" t="n">
        <f aca="false">I410-D410</f>
        <v>2842</v>
      </c>
    </row>
    <row r="411" customFormat="false" ht="12.75" hidden="true" customHeight="true" outlineLevel="0" collapsed="false">
      <c r="A411" s="456" t="n">
        <v>41018</v>
      </c>
      <c r="B411" s="458" t="s">
        <v>14696</v>
      </c>
      <c r="C411" s="458" t="n">
        <v>2014</v>
      </c>
      <c r="D411" s="459" t="n">
        <v>41822</v>
      </c>
      <c r="E411" s="460" t="s">
        <v>14697</v>
      </c>
      <c r="F411" s="380" t="s">
        <v>361</v>
      </c>
      <c r="G411" s="460" t="s">
        <v>144</v>
      </c>
      <c r="H411" s="380" t="s">
        <v>9638</v>
      </c>
      <c r="I411" s="459" t="n">
        <v>43440</v>
      </c>
      <c r="J411" s="460" t="n">
        <v>11</v>
      </c>
      <c r="K411" s="591" t="s">
        <v>47</v>
      </c>
      <c r="L411" s="380" t="s">
        <v>58</v>
      </c>
      <c r="M411" s="545" t="n">
        <f aca="false">I411-D411</f>
        <v>1618</v>
      </c>
    </row>
    <row r="412" customFormat="false" ht="12.75" hidden="true" customHeight="true" outlineLevel="0" collapsed="false">
      <c r="A412" s="449" t="n">
        <v>41118</v>
      </c>
      <c r="B412" s="450" t="s">
        <v>14698</v>
      </c>
      <c r="C412" s="450" t="n">
        <v>2013</v>
      </c>
      <c r="D412" s="451" t="n">
        <v>41548</v>
      </c>
      <c r="E412" s="452" t="s">
        <v>14699</v>
      </c>
      <c r="F412" s="378" t="s">
        <v>1527</v>
      </c>
      <c r="G412" s="452" t="s">
        <v>144</v>
      </c>
      <c r="H412" s="378" t="s">
        <v>9638</v>
      </c>
      <c r="I412" s="451" t="n">
        <v>43440</v>
      </c>
      <c r="J412" s="452" t="n">
        <v>11</v>
      </c>
      <c r="K412" s="592" t="s">
        <v>42</v>
      </c>
      <c r="L412" s="378" t="s">
        <v>58</v>
      </c>
      <c r="M412" s="546" t="n">
        <f aca="false">I412-D412</f>
        <v>1892</v>
      </c>
    </row>
    <row r="413" customFormat="false" ht="12.75" hidden="true" customHeight="true" outlineLevel="0" collapsed="false">
      <c r="A413" s="456" t="n">
        <v>41218</v>
      </c>
      <c r="B413" s="458" t="s">
        <v>14700</v>
      </c>
      <c r="C413" s="458" t="n">
        <v>2012</v>
      </c>
      <c r="D413" s="459" t="n">
        <v>41156</v>
      </c>
      <c r="E413" s="460" t="s">
        <v>14701</v>
      </c>
      <c r="F413" s="380" t="s">
        <v>446</v>
      </c>
      <c r="G413" s="460" t="s">
        <v>441</v>
      </c>
      <c r="H413" s="380" t="s">
        <v>14359</v>
      </c>
      <c r="I413" s="459" t="n">
        <v>43441</v>
      </c>
      <c r="J413" s="460" t="n">
        <v>11</v>
      </c>
      <c r="K413" s="591" t="s">
        <v>47</v>
      </c>
      <c r="L413" s="380" t="s">
        <v>60</v>
      </c>
      <c r="M413" s="545" t="n">
        <f aca="false">I413-D413</f>
        <v>2285</v>
      </c>
    </row>
    <row r="414" customFormat="false" ht="12.75" hidden="true" customHeight="true" outlineLevel="0" collapsed="false">
      <c r="A414" s="449" t="n">
        <v>41318</v>
      </c>
      <c r="B414" s="450" t="s">
        <v>14702</v>
      </c>
      <c r="C414" s="450" t="n">
        <v>2013</v>
      </c>
      <c r="D414" s="451" t="n">
        <v>41390</v>
      </c>
      <c r="E414" s="452" t="s">
        <v>14703</v>
      </c>
      <c r="F414" s="378" t="s">
        <v>14704</v>
      </c>
      <c r="G414" s="452" t="s">
        <v>441</v>
      </c>
      <c r="H414" s="378" t="s">
        <v>192</v>
      </c>
      <c r="I414" s="451" t="n">
        <v>43445</v>
      </c>
      <c r="J414" s="452" t="n">
        <v>11</v>
      </c>
      <c r="K414" s="592" t="s">
        <v>42</v>
      </c>
      <c r="L414" s="378" t="s">
        <v>58</v>
      </c>
      <c r="M414" s="546" t="n">
        <f aca="false">I414-D414</f>
        <v>2055</v>
      </c>
    </row>
    <row r="415" customFormat="false" ht="12.75" hidden="true" customHeight="true" outlineLevel="0" collapsed="false">
      <c r="A415" s="456" t="n">
        <v>41418</v>
      </c>
      <c r="B415" s="458" t="s">
        <v>14705</v>
      </c>
      <c r="C415" s="458" t="n">
        <v>2013</v>
      </c>
      <c r="D415" s="459" t="n">
        <v>41414</v>
      </c>
      <c r="E415" s="460" t="s">
        <v>14706</v>
      </c>
      <c r="F415" s="380" t="s">
        <v>1097</v>
      </c>
      <c r="G415" s="460" t="s">
        <v>441</v>
      </c>
      <c r="H415" s="380" t="s">
        <v>14036</v>
      </c>
      <c r="I415" s="459" t="n">
        <v>43445</v>
      </c>
      <c r="J415" s="460" t="n">
        <v>11</v>
      </c>
      <c r="K415" s="592" t="s">
        <v>42</v>
      </c>
      <c r="L415" s="380" t="s">
        <v>60</v>
      </c>
      <c r="M415" s="545" t="n">
        <f aca="false">I415-D415</f>
        <v>2031</v>
      </c>
    </row>
    <row r="416" customFormat="false" ht="12.75" hidden="true" customHeight="true" outlineLevel="0" collapsed="false">
      <c r="A416" s="449" t="n">
        <v>41518</v>
      </c>
      <c r="B416" s="450" t="s">
        <v>14707</v>
      </c>
      <c r="C416" s="450" t="n">
        <v>2014</v>
      </c>
      <c r="D416" s="451" t="n">
        <v>41648</v>
      </c>
      <c r="E416" s="452" t="s">
        <v>14708</v>
      </c>
      <c r="F416" s="378" t="s">
        <v>780</v>
      </c>
      <c r="G416" s="452" t="s">
        <v>441</v>
      </c>
      <c r="H416" s="378" t="s">
        <v>471</v>
      </c>
      <c r="I416" s="451" t="n">
        <v>43445</v>
      </c>
      <c r="J416" s="452" t="n">
        <v>11</v>
      </c>
      <c r="K416" s="592" t="s">
        <v>42</v>
      </c>
      <c r="L416" s="378" t="s">
        <v>60</v>
      </c>
      <c r="M416" s="546" t="n">
        <f aca="false">I416-D416</f>
        <v>1797</v>
      </c>
    </row>
    <row r="417" customFormat="false" ht="12.75" hidden="true" customHeight="true" outlineLevel="0" collapsed="false">
      <c r="A417" s="456" t="n">
        <v>41618</v>
      </c>
      <c r="B417" s="458" t="s">
        <v>14709</v>
      </c>
      <c r="C417" s="458" t="n">
        <v>2013</v>
      </c>
      <c r="D417" s="459" t="n">
        <v>41548</v>
      </c>
      <c r="E417" s="460" t="s">
        <v>14710</v>
      </c>
      <c r="F417" s="380" t="s">
        <v>10085</v>
      </c>
      <c r="G417" s="460" t="s">
        <v>144</v>
      </c>
      <c r="H417" s="380" t="s">
        <v>9638</v>
      </c>
      <c r="I417" s="459" t="n">
        <v>43445</v>
      </c>
      <c r="J417" s="460" t="n">
        <v>12</v>
      </c>
      <c r="K417" s="592" t="s">
        <v>42</v>
      </c>
      <c r="L417" s="380" t="s">
        <v>58</v>
      </c>
      <c r="M417" s="545" t="n">
        <f aca="false">I417-D417</f>
        <v>1897</v>
      </c>
    </row>
    <row r="418" customFormat="false" ht="12.75" hidden="true" customHeight="true" outlineLevel="0" collapsed="false">
      <c r="A418" s="449" t="n">
        <v>41718</v>
      </c>
      <c r="B418" s="450" t="s">
        <v>14711</v>
      </c>
      <c r="C418" s="450" t="n">
        <v>2012</v>
      </c>
      <c r="D418" s="451" t="n">
        <v>41143</v>
      </c>
      <c r="E418" s="452" t="s">
        <v>14712</v>
      </c>
      <c r="F418" s="378" t="s">
        <v>446</v>
      </c>
      <c r="G418" s="452" t="s">
        <v>441</v>
      </c>
      <c r="H418" s="378" t="s">
        <v>1567</v>
      </c>
      <c r="I418" s="451" t="n">
        <v>43445</v>
      </c>
      <c r="J418" s="452" t="n">
        <v>12</v>
      </c>
      <c r="K418" s="592" t="s">
        <v>42</v>
      </c>
      <c r="L418" s="378" t="s">
        <v>60</v>
      </c>
      <c r="M418" s="546" t="n">
        <f aca="false">I418-D418</f>
        <v>2302</v>
      </c>
    </row>
    <row r="419" customFormat="false" ht="12.75" hidden="true" customHeight="true" outlineLevel="0" collapsed="false">
      <c r="A419" s="456" t="n">
        <v>41818</v>
      </c>
      <c r="B419" s="458" t="s">
        <v>14713</v>
      </c>
      <c r="C419" s="458" t="n">
        <v>2016</v>
      </c>
      <c r="D419" s="459" t="n">
        <v>42584</v>
      </c>
      <c r="E419" s="460" t="s">
        <v>14714</v>
      </c>
      <c r="F419" s="380" t="s">
        <v>1383</v>
      </c>
      <c r="G419" s="460" t="s">
        <v>441</v>
      </c>
      <c r="H419" s="380" t="s">
        <v>3268</v>
      </c>
      <c r="I419" s="459" t="n">
        <v>43446</v>
      </c>
      <c r="J419" s="460" t="n">
        <v>12</v>
      </c>
      <c r="K419" s="591" t="s">
        <v>47</v>
      </c>
      <c r="L419" s="380" t="s">
        <v>60</v>
      </c>
      <c r="M419" s="545" t="n">
        <f aca="false">I419-D419</f>
        <v>862</v>
      </c>
    </row>
    <row r="420" customFormat="false" ht="12.75" hidden="true" customHeight="true" outlineLevel="0" collapsed="false">
      <c r="A420" s="449" t="n">
        <v>41918</v>
      </c>
      <c r="B420" s="450" t="s">
        <v>14715</v>
      </c>
      <c r="C420" s="450" t="n">
        <v>2013</v>
      </c>
      <c r="D420" s="451" t="n">
        <v>41484</v>
      </c>
      <c r="E420" s="452" t="s">
        <v>14716</v>
      </c>
      <c r="F420" s="378" t="s">
        <v>9092</v>
      </c>
      <c r="G420" s="452" t="s">
        <v>441</v>
      </c>
      <c r="H420" s="378" t="s">
        <v>471</v>
      </c>
      <c r="I420" s="451" t="n">
        <v>43448</v>
      </c>
      <c r="J420" s="452" t="n">
        <v>12</v>
      </c>
      <c r="K420" s="592" t="s">
        <v>42</v>
      </c>
      <c r="L420" s="378" t="s">
        <v>60</v>
      </c>
      <c r="M420" s="546" t="n">
        <f aca="false">I420-D420</f>
        <v>1964</v>
      </c>
    </row>
    <row r="421" customFormat="false" ht="12.75" hidden="true" customHeight="true" outlineLevel="0" collapsed="false">
      <c r="A421" s="456" t="n">
        <v>42018</v>
      </c>
      <c r="B421" s="458" t="s">
        <v>14717</v>
      </c>
      <c r="C421" s="458" t="n">
        <v>2011</v>
      </c>
      <c r="D421" s="459" t="n">
        <v>40582</v>
      </c>
      <c r="E421" s="460" t="s">
        <v>14718</v>
      </c>
      <c r="F421" s="380" t="s">
        <v>699</v>
      </c>
      <c r="G421" s="460" t="s">
        <v>441</v>
      </c>
      <c r="H421" s="380" t="s">
        <v>354</v>
      </c>
      <c r="I421" s="459" t="n">
        <v>43448</v>
      </c>
      <c r="J421" s="460" t="n">
        <v>12</v>
      </c>
      <c r="K421" s="593" t="s">
        <v>45</v>
      </c>
      <c r="L421" s="380" t="s">
        <v>60</v>
      </c>
      <c r="M421" s="545" t="n">
        <f aca="false">I421-D421</f>
        <v>2866</v>
      </c>
    </row>
    <row r="422" customFormat="false" ht="12.75" hidden="true" customHeight="true" outlineLevel="0" collapsed="false">
      <c r="A422" s="449" t="n">
        <v>42118</v>
      </c>
      <c r="B422" s="450" t="s">
        <v>14719</v>
      </c>
      <c r="C422" s="450" t="n">
        <v>2013</v>
      </c>
      <c r="D422" s="451" t="n">
        <v>41604</v>
      </c>
      <c r="E422" s="452" t="s">
        <v>14720</v>
      </c>
      <c r="F422" s="378" t="s">
        <v>168</v>
      </c>
      <c r="G422" s="452" t="s">
        <v>441</v>
      </c>
      <c r="H422" s="378" t="s">
        <v>471</v>
      </c>
      <c r="I422" s="451" t="n">
        <v>43448</v>
      </c>
      <c r="J422" s="452" t="n">
        <v>12</v>
      </c>
      <c r="K422" s="592" t="s">
        <v>42</v>
      </c>
      <c r="L422" s="378" t="s">
        <v>60</v>
      </c>
      <c r="M422" s="546" t="n">
        <f aca="false">I422-D422</f>
        <v>1844</v>
      </c>
    </row>
    <row r="423" customFormat="false" ht="12.75" hidden="true" customHeight="true" outlineLevel="0" collapsed="false">
      <c r="A423" s="456" t="n">
        <v>42218</v>
      </c>
      <c r="B423" s="458" t="s">
        <v>14721</v>
      </c>
      <c r="C423" s="458" t="n">
        <v>2013</v>
      </c>
      <c r="D423" s="459" t="n">
        <v>41604</v>
      </c>
      <c r="E423" s="460" t="s">
        <v>14722</v>
      </c>
      <c r="F423" s="380" t="s">
        <v>168</v>
      </c>
      <c r="G423" s="460" t="s">
        <v>441</v>
      </c>
      <c r="H423" s="380" t="s">
        <v>471</v>
      </c>
      <c r="I423" s="459" t="n">
        <v>43448</v>
      </c>
      <c r="J423" s="460" t="n">
        <v>12</v>
      </c>
      <c r="K423" s="592" t="s">
        <v>42</v>
      </c>
      <c r="L423" s="380" t="s">
        <v>60</v>
      </c>
      <c r="M423" s="545" t="n">
        <f aca="false">I423-D423</f>
        <v>1844</v>
      </c>
    </row>
    <row r="424" customFormat="false" ht="12.75" hidden="true" customHeight="true" outlineLevel="0" collapsed="false">
      <c r="A424" s="449" t="n">
        <v>42318</v>
      </c>
      <c r="B424" s="450" t="s">
        <v>14723</v>
      </c>
      <c r="C424" s="450" t="n">
        <v>2013</v>
      </c>
      <c r="D424" s="451" t="n">
        <v>41521</v>
      </c>
      <c r="E424" s="452" t="s">
        <v>14724</v>
      </c>
      <c r="F424" s="378" t="s">
        <v>1097</v>
      </c>
      <c r="G424" s="452" t="s">
        <v>441</v>
      </c>
      <c r="H424" s="378" t="s">
        <v>471</v>
      </c>
      <c r="I424" s="451" t="n">
        <v>43448</v>
      </c>
      <c r="J424" s="452" t="n">
        <v>12</v>
      </c>
      <c r="K424" s="592" t="s">
        <v>42</v>
      </c>
      <c r="L424" s="378" t="s">
        <v>60</v>
      </c>
      <c r="M424" s="546" t="n">
        <f aca="false">I424-D424</f>
        <v>1927</v>
      </c>
    </row>
    <row r="425" customFormat="false" ht="12.75" hidden="false" customHeight="true" outlineLevel="0" collapsed="false">
      <c r="A425" s="456" t="n">
        <v>42418</v>
      </c>
      <c r="B425" s="458" t="s">
        <v>14725</v>
      </c>
      <c r="C425" s="458" t="n">
        <v>2017</v>
      </c>
      <c r="D425" s="459" t="n">
        <v>43033</v>
      </c>
      <c r="E425" s="460" t="s">
        <v>14726</v>
      </c>
      <c r="F425" s="380" t="s">
        <v>449</v>
      </c>
      <c r="G425" s="460" t="s">
        <v>1174</v>
      </c>
      <c r="H425" s="380" t="s">
        <v>6610</v>
      </c>
      <c r="I425" s="459" t="n">
        <v>43451</v>
      </c>
      <c r="J425" s="460" t="n">
        <v>12</v>
      </c>
      <c r="K425" s="591" t="s">
        <v>47</v>
      </c>
      <c r="L425" s="380" t="s">
        <v>58</v>
      </c>
      <c r="M425" s="545" t="n">
        <f aca="false">I425-D425</f>
        <v>418</v>
      </c>
    </row>
    <row r="426" customFormat="false" ht="12.75" hidden="false" customHeight="true" outlineLevel="0" collapsed="false">
      <c r="A426" s="449" t="n">
        <v>42518</v>
      </c>
      <c r="B426" s="450" t="s">
        <v>14727</v>
      </c>
      <c r="C426" s="450" t="n">
        <v>2013</v>
      </c>
      <c r="D426" s="451" t="n">
        <v>41521</v>
      </c>
      <c r="E426" s="452" t="s">
        <v>14728</v>
      </c>
      <c r="F426" s="378" t="s">
        <v>823</v>
      </c>
      <c r="G426" s="452" t="s">
        <v>1174</v>
      </c>
      <c r="H426" s="378" t="s">
        <v>184</v>
      </c>
      <c r="I426" s="451" t="n">
        <v>43451</v>
      </c>
      <c r="J426" s="452" t="n">
        <v>12</v>
      </c>
      <c r="K426" s="591" t="s">
        <v>47</v>
      </c>
      <c r="L426" s="378" t="s">
        <v>58</v>
      </c>
      <c r="M426" s="546" t="n">
        <f aca="false">I426-D426</f>
        <v>1930</v>
      </c>
    </row>
    <row r="427" customFormat="false" ht="12.75" hidden="false" customHeight="true" outlineLevel="0" collapsed="false">
      <c r="A427" s="456" t="n">
        <v>42618</v>
      </c>
      <c r="B427" s="458" t="s">
        <v>14729</v>
      </c>
      <c r="C427" s="458" t="n">
        <v>2015</v>
      </c>
      <c r="D427" s="459" t="n">
        <v>42186</v>
      </c>
      <c r="E427" s="460" t="s">
        <v>14730</v>
      </c>
      <c r="F427" s="380" t="s">
        <v>5241</v>
      </c>
      <c r="G427" s="460" t="s">
        <v>1174</v>
      </c>
      <c r="H427" s="380" t="s">
        <v>354</v>
      </c>
      <c r="I427" s="459" t="n">
        <v>43451</v>
      </c>
      <c r="J427" s="460" t="n">
        <v>12</v>
      </c>
      <c r="K427" s="591" t="s">
        <v>47</v>
      </c>
      <c r="L427" s="380" t="s">
        <v>60</v>
      </c>
      <c r="M427" s="545" t="n">
        <f aca="false">I427-D427</f>
        <v>1265</v>
      </c>
    </row>
    <row r="428" customFormat="false" ht="12.75" hidden="false" customHeight="true" outlineLevel="0" collapsed="false">
      <c r="A428" s="449" t="n">
        <v>42718</v>
      </c>
      <c r="B428" s="450" t="s">
        <v>14731</v>
      </c>
      <c r="C428" s="450" t="n">
        <v>2014</v>
      </c>
      <c r="D428" s="451" t="n">
        <v>41698</v>
      </c>
      <c r="E428" s="452" t="s">
        <v>14732</v>
      </c>
      <c r="F428" s="378" t="s">
        <v>14177</v>
      </c>
      <c r="G428" s="452" t="s">
        <v>1174</v>
      </c>
      <c r="H428" s="378" t="s">
        <v>1567</v>
      </c>
      <c r="I428" s="451" t="n">
        <v>43451</v>
      </c>
      <c r="J428" s="452" t="n">
        <v>12</v>
      </c>
      <c r="K428" s="591" t="s">
        <v>47</v>
      </c>
      <c r="L428" s="378" t="s">
        <v>60</v>
      </c>
      <c r="M428" s="546" t="n">
        <f aca="false">I428-D428</f>
        <v>1753</v>
      </c>
    </row>
    <row r="429" customFormat="false" ht="12.75" hidden="false" customHeight="true" outlineLevel="0" collapsed="false">
      <c r="A429" s="456" t="n">
        <v>42818</v>
      </c>
      <c r="B429" s="458" t="s">
        <v>14733</v>
      </c>
      <c r="C429" s="458" t="n">
        <v>2012</v>
      </c>
      <c r="D429" s="459" t="n">
        <v>41271</v>
      </c>
      <c r="E429" s="460" t="s">
        <v>14734</v>
      </c>
      <c r="F429" s="380" t="s">
        <v>14177</v>
      </c>
      <c r="G429" s="460" t="s">
        <v>1174</v>
      </c>
      <c r="H429" s="380" t="s">
        <v>2278</v>
      </c>
      <c r="I429" s="459" t="n">
        <v>43451</v>
      </c>
      <c r="J429" s="460" t="n">
        <v>12</v>
      </c>
      <c r="K429" s="591" t="s">
        <v>47</v>
      </c>
      <c r="L429" s="380" t="s">
        <v>60</v>
      </c>
      <c r="M429" s="545" t="n">
        <f aca="false">I429-D429</f>
        <v>2180</v>
      </c>
    </row>
    <row r="430" customFormat="false" ht="12.75" hidden="false" customHeight="true" outlineLevel="0" collapsed="false">
      <c r="A430" s="449" t="n">
        <v>42918</v>
      </c>
      <c r="B430" s="450" t="s">
        <v>14735</v>
      </c>
      <c r="C430" s="450" t="n">
        <v>2013</v>
      </c>
      <c r="D430" s="451" t="n">
        <v>41577</v>
      </c>
      <c r="E430" s="452" t="s">
        <v>14736</v>
      </c>
      <c r="F430" s="378" t="s">
        <v>14177</v>
      </c>
      <c r="G430" s="452" t="s">
        <v>1174</v>
      </c>
      <c r="H430" s="378" t="s">
        <v>1059</v>
      </c>
      <c r="I430" s="451" t="n">
        <v>43451</v>
      </c>
      <c r="J430" s="452" t="n">
        <v>12</v>
      </c>
      <c r="K430" s="591" t="s">
        <v>47</v>
      </c>
      <c r="L430" s="378" t="s">
        <v>60</v>
      </c>
      <c r="M430" s="546" t="n">
        <f aca="false">I430-D430</f>
        <v>1874</v>
      </c>
    </row>
    <row r="431" customFormat="false" ht="12.75" hidden="false" customHeight="true" outlineLevel="0" collapsed="false">
      <c r="A431" s="456" t="n">
        <v>43018</v>
      </c>
      <c r="B431" s="458" t="s">
        <v>14737</v>
      </c>
      <c r="C431" s="458" t="n">
        <v>2013</v>
      </c>
      <c r="D431" s="459" t="n">
        <v>41495</v>
      </c>
      <c r="E431" s="460" t="s">
        <v>14738</v>
      </c>
      <c r="F431" s="380" t="s">
        <v>780</v>
      </c>
      <c r="G431" s="460" t="s">
        <v>1174</v>
      </c>
      <c r="H431" s="380" t="s">
        <v>1567</v>
      </c>
      <c r="I431" s="459" t="n">
        <v>43451</v>
      </c>
      <c r="J431" s="460" t="n">
        <v>12</v>
      </c>
      <c r="K431" s="593" t="s">
        <v>45</v>
      </c>
      <c r="L431" s="380" t="s">
        <v>60</v>
      </c>
      <c r="M431" s="545" t="n">
        <f aca="false">I431-D431</f>
        <v>1956</v>
      </c>
    </row>
    <row r="432" customFormat="false" ht="12.75" hidden="false" customHeight="true" outlineLevel="0" collapsed="false">
      <c r="A432" s="449" t="n">
        <v>43118</v>
      </c>
      <c r="B432" s="450" t="s">
        <v>14739</v>
      </c>
      <c r="C432" s="450" t="n">
        <v>2014</v>
      </c>
      <c r="D432" s="451" t="n">
        <v>41765</v>
      </c>
      <c r="E432" s="452" t="s">
        <v>14740</v>
      </c>
      <c r="F432" s="378" t="s">
        <v>780</v>
      </c>
      <c r="G432" s="452" t="s">
        <v>1174</v>
      </c>
      <c r="H432" s="378" t="s">
        <v>13833</v>
      </c>
      <c r="I432" s="451" t="n">
        <v>43451</v>
      </c>
      <c r="J432" s="452" t="n">
        <v>12</v>
      </c>
      <c r="K432" s="593" t="s">
        <v>45</v>
      </c>
      <c r="L432" s="378" t="s">
        <v>60</v>
      </c>
      <c r="M432" s="546" t="n">
        <f aca="false">I432-D432</f>
        <v>1686</v>
      </c>
    </row>
    <row r="433" customFormat="false" ht="12.75" hidden="false" customHeight="true" outlineLevel="0" collapsed="false">
      <c r="A433" s="456" t="n">
        <v>43218</v>
      </c>
      <c r="B433" s="458" t="s">
        <v>14741</v>
      </c>
      <c r="C433" s="458" t="n">
        <v>2017</v>
      </c>
      <c r="D433" s="459" t="n">
        <v>42972</v>
      </c>
      <c r="E433" s="460" t="s">
        <v>14742</v>
      </c>
      <c r="F433" s="380" t="s">
        <v>780</v>
      </c>
      <c r="G433" s="460" t="s">
        <v>1174</v>
      </c>
      <c r="H433" s="380" t="s">
        <v>1059</v>
      </c>
      <c r="I433" s="459" t="n">
        <v>43451</v>
      </c>
      <c r="J433" s="460" t="n">
        <v>12</v>
      </c>
      <c r="K433" s="593" t="s">
        <v>45</v>
      </c>
      <c r="L433" s="380" t="s">
        <v>60</v>
      </c>
      <c r="M433" s="545" t="n">
        <f aca="false">I433-D433</f>
        <v>479</v>
      </c>
    </row>
    <row r="434" customFormat="false" ht="12.75" hidden="false" customHeight="true" outlineLevel="0" collapsed="false">
      <c r="A434" s="449" t="n">
        <v>43318</v>
      </c>
      <c r="B434" s="450" t="s">
        <v>14743</v>
      </c>
      <c r="C434" s="450" t="n">
        <v>2014</v>
      </c>
      <c r="D434" s="451" t="n">
        <v>41789</v>
      </c>
      <c r="E434" s="452" t="s">
        <v>14744</v>
      </c>
      <c r="F434" s="378" t="s">
        <v>780</v>
      </c>
      <c r="G434" s="452" t="s">
        <v>1174</v>
      </c>
      <c r="H434" s="378" t="s">
        <v>1501</v>
      </c>
      <c r="I434" s="451" t="n">
        <v>43451</v>
      </c>
      <c r="J434" s="452" t="n">
        <v>12</v>
      </c>
      <c r="K434" s="593" t="s">
        <v>45</v>
      </c>
      <c r="L434" s="378" t="s">
        <v>60</v>
      </c>
      <c r="M434" s="546" t="n">
        <f aca="false">I434-D434</f>
        <v>1662</v>
      </c>
    </row>
    <row r="435" customFormat="false" ht="12.75" hidden="true" customHeight="true" outlineLevel="0" collapsed="false">
      <c r="A435" s="456" t="n">
        <v>43418</v>
      </c>
      <c r="B435" s="458" t="s">
        <v>14745</v>
      </c>
      <c r="C435" s="458" t="n">
        <v>2018</v>
      </c>
      <c r="D435" s="459" t="n">
        <v>43285</v>
      </c>
      <c r="E435" s="460" t="s">
        <v>14746</v>
      </c>
      <c r="F435" s="536" t="s">
        <v>10840</v>
      </c>
      <c r="G435" s="460" t="s">
        <v>125</v>
      </c>
      <c r="H435" s="380" t="s">
        <v>10913</v>
      </c>
      <c r="I435" s="459" t="n">
        <v>43453</v>
      </c>
      <c r="J435" s="460" t="n">
        <v>12</v>
      </c>
      <c r="K435" s="598" t="s">
        <v>50</v>
      </c>
      <c r="L435" s="380" t="s">
        <v>61</v>
      </c>
      <c r="M435" s="545" t="n">
        <f aca="false">I435-D435</f>
        <v>168</v>
      </c>
    </row>
    <row r="436" customFormat="false" ht="12.75" hidden="true" customHeight="true" outlineLevel="0" collapsed="false">
      <c r="A436" s="449" t="n">
        <v>43518</v>
      </c>
      <c r="B436" s="450" t="s">
        <v>14747</v>
      </c>
      <c r="C436" s="450" t="n">
        <v>2014</v>
      </c>
      <c r="D436" s="451" t="n">
        <v>41947</v>
      </c>
      <c r="E436" s="452" t="s">
        <v>14748</v>
      </c>
      <c r="F436" s="378" t="s">
        <v>13562</v>
      </c>
      <c r="G436" s="452" t="s">
        <v>441</v>
      </c>
      <c r="H436" s="378" t="s">
        <v>1567</v>
      </c>
      <c r="I436" s="451" t="n">
        <v>43453</v>
      </c>
      <c r="J436" s="452" t="n">
        <v>12</v>
      </c>
      <c r="K436" s="591" t="s">
        <v>47</v>
      </c>
      <c r="L436" s="378" t="s">
        <v>60</v>
      </c>
      <c r="M436" s="546" t="n">
        <f aca="false">I436-D436</f>
        <v>1506</v>
      </c>
    </row>
    <row r="437" customFormat="false" ht="12.75" hidden="true" customHeight="true" outlineLevel="0" collapsed="false">
      <c r="A437" s="456" t="n">
        <v>43618</v>
      </c>
      <c r="B437" s="458" t="s">
        <v>14749</v>
      </c>
      <c r="C437" s="458" t="n">
        <v>2017</v>
      </c>
      <c r="D437" s="459" t="n">
        <v>42984</v>
      </c>
      <c r="E437" s="460" t="s">
        <v>14750</v>
      </c>
      <c r="F437" s="380" t="s">
        <v>699</v>
      </c>
      <c r="G437" s="460" t="s">
        <v>441</v>
      </c>
      <c r="H437" s="380" t="s">
        <v>350</v>
      </c>
      <c r="I437" s="459" t="n">
        <v>43453</v>
      </c>
      <c r="J437" s="460" t="n">
        <v>12</v>
      </c>
      <c r="K437" s="591" t="s">
        <v>47</v>
      </c>
      <c r="L437" s="380" t="s">
        <v>60</v>
      </c>
      <c r="M437" s="545" t="n">
        <f aca="false">I437-D437</f>
        <v>469</v>
      </c>
    </row>
    <row r="438" customFormat="false" ht="12.75" hidden="true" customHeight="true" outlineLevel="0" collapsed="false">
      <c r="A438" s="449" t="n">
        <v>43718</v>
      </c>
      <c r="B438" s="450" t="s">
        <v>14751</v>
      </c>
      <c r="C438" s="450" t="n">
        <v>2013</v>
      </c>
      <c r="D438" s="451" t="n">
        <v>41470</v>
      </c>
      <c r="E438" s="452" t="s">
        <v>14752</v>
      </c>
      <c r="F438" s="378" t="s">
        <v>113</v>
      </c>
      <c r="G438" s="452" t="s">
        <v>441</v>
      </c>
      <c r="H438" s="378" t="s">
        <v>192</v>
      </c>
      <c r="I438" s="451" t="n">
        <v>43453</v>
      </c>
      <c r="J438" s="452" t="n">
        <v>12</v>
      </c>
      <c r="K438" s="591" t="s">
        <v>47</v>
      </c>
      <c r="L438" s="378" t="s">
        <v>58</v>
      </c>
      <c r="M438" s="546" t="n">
        <f aca="false">I438-D438</f>
        <v>1983</v>
      </c>
    </row>
    <row r="439" customFormat="false" ht="12.75" hidden="true" customHeight="true" outlineLevel="0" collapsed="false">
      <c r="A439" s="456" t="n">
        <v>43818</v>
      </c>
      <c r="B439" s="458" t="s">
        <v>14753</v>
      </c>
      <c r="C439" s="458" t="n">
        <v>2015</v>
      </c>
      <c r="D439" s="459" t="n">
        <v>42314</v>
      </c>
      <c r="E439" s="460" t="s">
        <v>14754</v>
      </c>
      <c r="F439" s="380" t="s">
        <v>477</v>
      </c>
      <c r="G439" s="460" t="s">
        <v>441</v>
      </c>
      <c r="H439" s="380" t="s">
        <v>1501</v>
      </c>
      <c r="I439" s="459" t="n">
        <v>43455</v>
      </c>
      <c r="J439" s="460" t="n">
        <v>12</v>
      </c>
      <c r="K439" s="591" t="s">
        <v>47</v>
      </c>
      <c r="L439" s="380" t="s">
        <v>58</v>
      </c>
      <c r="M439" s="545" t="n">
        <f aca="false">I439-D439</f>
        <v>1141</v>
      </c>
    </row>
    <row r="440" customFormat="false" ht="12.75" hidden="true" customHeight="true" outlineLevel="0" collapsed="false">
      <c r="A440" s="449" t="n">
        <v>43918</v>
      </c>
      <c r="B440" s="450" t="s">
        <v>14755</v>
      </c>
      <c r="C440" s="450" t="n">
        <v>2013</v>
      </c>
      <c r="D440" s="451" t="n">
        <v>41513</v>
      </c>
      <c r="E440" s="452" t="s">
        <v>14756</v>
      </c>
      <c r="F440" s="378" t="s">
        <v>2560</v>
      </c>
      <c r="G440" s="452" t="s">
        <v>441</v>
      </c>
      <c r="H440" s="378" t="s">
        <v>3268</v>
      </c>
      <c r="I440" s="451" t="n">
        <v>43455</v>
      </c>
      <c r="J440" s="452" t="n">
        <v>12</v>
      </c>
      <c r="K440" s="598" t="s">
        <v>50</v>
      </c>
      <c r="L440" s="378" t="s">
        <v>60</v>
      </c>
      <c r="M440" s="546" t="n">
        <f aca="false">I440-D440</f>
        <v>1942</v>
      </c>
    </row>
    <row r="441" customFormat="false" ht="12.75" hidden="true" customHeight="true" outlineLevel="0" collapsed="false">
      <c r="A441" s="456" t="n">
        <v>44018</v>
      </c>
      <c r="B441" s="458" t="s">
        <v>14757</v>
      </c>
      <c r="C441" s="458" t="n">
        <v>2013</v>
      </c>
      <c r="D441" s="459" t="n">
        <v>41515</v>
      </c>
      <c r="E441" s="460" t="s">
        <v>14758</v>
      </c>
      <c r="F441" s="380" t="s">
        <v>1277</v>
      </c>
      <c r="G441" s="460" t="s">
        <v>441</v>
      </c>
      <c r="H441" s="380" t="s">
        <v>208</v>
      </c>
      <c r="I441" s="459" t="n">
        <v>43455</v>
      </c>
      <c r="J441" s="460" t="n">
        <v>12</v>
      </c>
      <c r="K441" s="591" t="s">
        <v>47</v>
      </c>
      <c r="L441" s="380" t="s">
        <v>58</v>
      </c>
      <c r="M441" s="545" t="n">
        <f aca="false">I441-D441</f>
        <v>1940</v>
      </c>
    </row>
    <row r="442" customFormat="false" ht="12.75" hidden="true" customHeight="true" outlineLevel="0" collapsed="false">
      <c r="A442" s="449" t="n">
        <v>44118</v>
      </c>
      <c r="B442" s="450" t="s">
        <v>14759</v>
      </c>
      <c r="C442" s="450" t="n">
        <v>2014</v>
      </c>
      <c r="D442" s="451" t="n">
        <v>41822</v>
      </c>
      <c r="E442" s="452" t="s">
        <v>14760</v>
      </c>
      <c r="F442" s="378" t="s">
        <v>361</v>
      </c>
      <c r="G442" s="452" t="s">
        <v>144</v>
      </c>
      <c r="H442" s="378" t="s">
        <v>14761</v>
      </c>
      <c r="I442" s="451" t="n">
        <v>43461</v>
      </c>
      <c r="J442" s="452" t="n">
        <v>12</v>
      </c>
      <c r="K442" s="591" t="s">
        <v>47</v>
      </c>
      <c r="L442" s="378" t="s">
        <v>58</v>
      </c>
      <c r="M442" s="546" t="n">
        <f aca="false">I442-D442</f>
        <v>1639</v>
      </c>
    </row>
    <row r="443" customFormat="false" ht="12.75" hidden="true" customHeight="true" outlineLevel="0" collapsed="false">
      <c r="A443" s="456" t="n">
        <v>44218</v>
      </c>
      <c r="B443" s="458" t="s">
        <v>14762</v>
      </c>
      <c r="C443" s="458" t="n">
        <v>2018</v>
      </c>
      <c r="D443" s="459" t="n">
        <v>43188</v>
      </c>
      <c r="E443" s="460" t="s">
        <v>14763</v>
      </c>
      <c r="F443" s="536" t="s">
        <v>6315</v>
      </c>
      <c r="G443" s="460" t="s">
        <v>130</v>
      </c>
      <c r="H443" s="380" t="s">
        <v>14474</v>
      </c>
      <c r="I443" s="459" t="n">
        <v>43461</v>
      </c>
      <c r="J443" s="460" t="n">
        <v>12</v>
      </c>
      <c r="K443" s="598" t="s">
        <v>50</v>
      </c>
      <c r="L443" s="380" t="s">
        <v>61</v>
      </c>
      <c r="M443" s="545" t="n">
        <f aca="false">I443-D443</f>
        <v>273</v>
      </c>
    </row>
    <row r="444" customFormat="false" ht="12.75" hidden="true" customHeight="true" outlineLevel="0" collapsed="false">
      <c r="A444" s="449" t="n">
        <v>44318</v>
      </c>
      <c r="B444" s="450" t="s">
        <v>14764</v>
      </c>
      <c r="C444" s="450" t="n">
        <v>2017</v>
      </c>
      <c r="D444" s="451" t="n">
        <v>42942</v>
      </c>
      <c r="E444" s="452" t="s">
        <v>14765</v>
      </c>
      <c r="F444" s="378" t="s">
        <v>537</v>
      </c>
      <c r="G444" s="452" t="s">
        <v>441</v>
      </c>
      <c r="H444" s="378" t="s">
        <v>350</v>
      </c>
      <c r="I444" s="451" t="n">
        <v>43461</v>
      </c>
      <c r="J444" s="452" t="n">
        <v>12</v>
      </c>
      <c r="K444" s="591" t="s">
        <v>47</v>
      </c>
      <c r="L444" s="378" t="s">
        <v>58</v>
      </c>
      <c r="M444" s="546" t="n">
        <f aca="false">I444-D444</f>
        <v>519</v>
      </c>
    </row>
    <row r="445" customFormat="false" ht="12.75" hidden="false" customHeight="true" outlineLevel="0" collapsed="false">
      <c r="A445" s="456" t="n">
        <v>44418</v>
      </c>
      <c r="B445" s="458" t="s">
        <v>14766</v>
      </c>
      <c r="C445" s="458" t="n">
        <v>2011</v>
      </c>
      <c r="D445" s="459" t="n">
        <v>40826</v>
      </c>
      <c r="E445" s="460" t="s">
        <v>14767</v>
      </c>
      <c r="F445" s="380" t="s">
        <v>1916</v>
      </c>
      <c r="G445" s="460" t="s">
        <v>1174</v>
      </c>
      <c r="H445" s="380" t="s">
        <v>522</v>
      </c>
      <c r="I445" s="459" t="n">
        <v>43462</v>
      </c>
      <c r="J445" s="460" t="n">
        <v>12</v>
      </c>
      <c r="K445" s="591" t="s">
        <v>47</v>
      </c>
      <c r="L445" s="380" t="s">
        <v>58</v>
      </c>
      <c r="M445" s="545" t="n">
        <f aca="false">I445-D445</f>
        <v>2636</v>
      </c>
    </row>
    <row r="446" customFormat="false" ht="12.75" hidden="false" customHeight="true" outlineLevel="0" collapsed="false">
      <c r="A446" s="449" t="n">
        <v>44518</v>
      </c>
      <c r="B446" s="450" t="s">
        <v>14768</v>
      </c>
      <c r="C446" s="450" t="n">
        <v>2011</v>
      </c>
      <c r="D446" s="451" t="n">
        <v>40834</v>
      </c>
      <c r="E446" s="452" t="s">
        <v>14769</v>
      </c>
      <c r="F446" s="378" t="s">
        <v>668</v>
      </c>
      <c r="G446" s="452" t="s">
        <v>1174</v>
      </c>
      <c r="H446" s="378" t="s">
        <v>13996</v>
      </c>
      <c r="I446" s="451" t="n">
        <v>43462</v>
      </c>
      <c r="J446" s="452" t="n">
        <v>12</v>
      </c>
      <c r="K446" s="592" t="s">
        <v>42</v>
      </c>
      <c r="L446" s="378" t="s">
        <v>58</v>
      </c>
      <c r="M446" s="546" t="n">
        <f aca="false">I446-D446</f>
        <v>2628</v>
      </c>
    </row>
    <row r="447" customFormat="false" ht="12.75" hidden="false" customHeight="true" outlineLevel="0" collapsed="false">
      <c r="A447" s="456" t="n">
        <v>44618</v>
      </c>
      <c r="B447" s="458" t="s">
        <v>14770</v>
      </c>
      <c r="C447" s="458" t="n">
        <v>2012</v>
      </c>
      <c r="D447" s="459" t="n">
        <v>41099</v>
      </c>
      <c r="E447" s="460" t="s">
        <v>14771</v>
      </c>
      <c r="F447" s="380" t="s">
        <v>346</v>
      </c>
      <c r="G447" s="460" t="s">
        <v>1174</v>
      </c>
      <c r="H447" s="380" t="s">
        <v>1567</v>
      </c>
      <c r="I447" s="459" t="n">
        <v>43462</v>
      </c>
      <c r="J447" s="460" t="n">
        <v>12</v>
      </c>
      <c r="K447" s="591" t="s">
        <v>47</v>
      </c>
      <c r="L447" s="380" t="s">
        <v>58</v>
      </c>
      <c r="M447" s="545" t="n">
        <f aca="false">I447-D447</f>
        <v>2363</v>
      </c>
    </row>
    <row r="448" customFormat="false" ht="12.75" hidden="false" customHeight="true" outlineLevel="0" collapsed="false">
      <c r="A448" s="449" t="n">
        <v>44718</v>
      </c>
      <c r="B448" s="450" t="s">
        <v>14772</v>
      </c>
      <c r="C448" s="450" t="n">
        <v>2015</v>
      </c>
      <c r="D448" s="451" t="n">
        <v>42076</v>
      </c>
      <c r="E448" s="452" t="s">
        <v>14773</v>
      </c>
      <c r="F448" s="378" t="s">
        <v>1916</v>
      </c>
      <c r="G448" s="452" t="s">
        <v>1174</v>
      </c>
      <c r="H448" s="378" t="s">
        <v>13828</v>
      </c>
      <c r="I448" s="451" t="n">
        <v>43462</v>
      </c>
      <c r="J448" s="452" t="n">
        <v>12</v>
      </c>
      <c r="K448" s="591" t="s">
        <v>47</v>
      </c>
      <c r="L448" s="378" t="s">
        <v>58</v>
      </c>
      <c r="M448" s="546" t="n">
        <f aca="false">I448-D448</f>
        <v>1386</v>
      </c>
    </row>
    <row r="449" customFormat="false" ht="12.75" hidden="false" customHeight="true" outlineLevel="0" collapsed="false">
      <c r="A449" s="456" t="n">
        <v>44818</v>
      </c>
      <c r="B449" s="458" t="s">
        <v>14774</v>
      </c>
      <c r="C449" s="458" t="n">
        <v>2015</v>
      </c>
      <c r="D449" s="459" t="n">
        <v>42335</v>
      </c>
      <c r="E449" s="460" t="s">
        <v>14775</v>
      </c>
      <c r="F449" s="380" t="s">
        <v>1916</v>
      </c>
      <c r="G449" s="460" t="s">
        <v>1174</v>
      </c>
      <c r="H449" s="380" t="s">
        <v>6610</v>
      </c>
      <c r="I449" s="459" t="n">
        <v>43462</v>
      </c>
      <c r="J449" s="460" t="n">
        <v>12</v>
      </c>
      <c r="K449" s="591" t="s">
        <v>47</v>
      </c>
      <c r="L449" s="380" t="s">
        <v>58</v>
      </c>
      <c r="M449" s="545" t="n">
        <f aca="false">I449-D449</f>
        <v>1127</v>
      </c>
    </row>
    <row r="450" customFormat="false" ht="12.75" hidden="false" customHeight="true" outlineLevel="0" collapsed="false">
      <c r="A450" s="449" t="n">
        <v>44918</v>
      </c>
      <c r="B450" s="450" t="s">
        <v>14776</v>
      </c>
      <c r="C450" s="450" t="n">
        <v>2016</v>
      </c>
      <c r="D450" s="451" t="n">
        <v>42450</v>
      </c>
      <c r="E450" s="452" t="s">
        <v>14777</v>
      </c>
      <c r="F450" s="378" t="s">
        <v>346</v>
      </c>
      <c r="G450" s="452" t="s">
        <v>1174</v>
      </c>
      <c r="H450" s="378" t="s">
        <v>192</v>
      </c>
      <c r="I450" s="451" t="n">
        <v>43462</v>
      </c>
      <c r="J450" s="452" t="n">
        <v>12</v>
      </c>
      <c r="K450" s="591" t="s">
        <v>47</v>
      </c>
      <c r="L450" s="378" t="s">
        <v>58</v>
      </c>
      <c r="M450" s="546" t="n">
        <f aca="false">I450-D450</f>
        <v>1012</v>
      </c>
    </row>
    <row r="451" customFormat="false" ht="12.75" hidden="false" customHeight="true" outlineLevel="0" collapsed="false">
      <c r="A451" s="456" t="n">
        <v>45018</v>
      </c>
      <c r="B451" s="458" t="s">
        <v>14778</v>
      </c>
      <c r="C451" s="458" t="n">
        <v>2016</v>
      </c>
      <c r="D451" s="459" t="n">
        <v>42488</v>
      </c>
      <c r="E451" s="460" t="s">
        <v>14779</v>
      </c>
      <c r="F451" s="380" t="s">
        <v>346</v>
      </c>
      <c r="G451" s="460" t="s">
        <v>1174</v>
      </c>
      <c r="H451" s="380" t="s">
        <v>12183</v>
      </c>
      <c r="I451" s="459" t="n">
        <v>43462</v>
      </c>
      <c r="J451" s="460" t="n">
        <v>12</v>
      </c>
      <c r="K451" s="591" t="s">
        <v>47</v>
      </c>
      <c r="L451" s="380" t="s">
        <v>58</v>
      </c>
      <c r="M451" s="545" t="n">
        <f aca="false">I451-D451</f>
        <v>974</v>
      </c>
    </row>
    <row r="452" customFormat="false" ht="12.75" hidden="true" customHeight="true" outlineLevel="0" collapsed="false">
      <c r="A452" s="449" t="n">
        <v>45118</v>
      </c>
      <c r="B452" s="450" t="s">
        <v>14780</v>
      </c>
      <c r="C452" s="450" t="n">
        <v>2013</v>
      </c>
      <c r="D452" s="451" t="n">
        <v>41453</v>
      </c>
      <c r="E452" s="452" t="s">
        <v>14781</v>
      </c>
      <c r="F452" s="378" t="s">
        <v>13285</v>
      </c>
      <c r="G452" s="452" t="s">
        <v>1188</v>
      </c>
      <c r="H452" s="378" t="s">
        <v>10901</v>
      </c>
      <c r="I452" s="451" t="n">
        <v>43462</v>
      </c>
      <c r="J452" s="452" t="n">
        <v>12</v>
      </c>
      <c r="K452" s="604" t="s">
        <v>47</v>
      </c>
      <c r="L452" s="378" t="s">
        <v>60</v>
      </c>
      <c r="M452" s="546" t="n">
        <f aca="false">I452-D452</f>
        <v>2009</v>
      </c>
    </row>
    <row r="453" customFormat="false" ht="12.75" hidden="true" customHeight="false" outlineLevel="0" collapsed="false"/>
  </sheetData>
  <autoFilter ref="A1:L453">
    <filterColumn colId="6">
      <filters>
        <filter val="PTE"/>
      </filters>
    </filterColumn>
  </autoFilter>
  <mergeCells count="76">
    <mergeCell ref="O2:P2"/>
    <mergeCell ref="O14:S15"/>
    <mergeCell ref="O16:S16"/>
    <mergeCell ref="O17:S17"/>
    <mergeCell ref="O18:S18"/>
    <mergeCell ref="O19:S19"/>
    <mergeCell ref="O20:S20"/>
    <mergeCell ref="O21:S21"/>
    <mergeCell ref="O22:S22"/>
    <mergeCell ref="O23:S23"/>
    <mergeCell ref="O24:S24"/>
    <mergeCell ref="O26:S27"/>
    <mergeCell ref="P28:R28"/>
    <mergeCell ref="P29:R29"/>
    <mergeCell ref="P30:R30"/>
    <mergeCell ref="P31:R31"/>
    <mergeCell ref="P32:R32"/>
    <mergeCell ref="P33:R33"/>
    <mergeCell ref="P34:R34"/>
    <mergeCell ref="P35:R35"/>
    <mergeCell ref="P36:R36"/>
    <mergeCell ref="P37:R37"/>
    <mergeCell ref="P38:R38"/>
    <mergeCell ref="P39:R39"/>
    <mergeCell ref="P40:R40"/>
    <mergeCell ref="P41:R41"/>
    <mergeCell ref="P42:R42"/>
    <mergeCell ref="O44:S45"/>
    <mergeCell ref="P46:R46"/>
    <mergeCell ref="P47:R47"/>
    <mergeCell ref="P48:R48"/>
    <mergeCell ref="P49:R49"/>
    <mergeCell ref="P50:R50"/>
    <mergeCell ref="P51:R51"/>
    <mergeCell ref="P52:R52"/>
    <mergeCell ref="P53:R53"/>
    <mergeCell ref="P54:R54"/>
    <mergeCell ref="P55:R55"/>
    <mergeCell ref="P56:R56"/>
    <mergeCell ref="P57:R57"/>
    <mergeCell ref="P58:R58"/>
    <mergeCell ref="P59:R59"/>
    <mergeCell ref="O61:T62"/>
    <mergeCell ref="O63:R63"/>
    <mergeCell ref="O64:R64"/>
    <mergeCell ref="O65:R65"/>
    <mergeCell ref="O66:R66"/>
    <mergeCell ref="O67:R67"/>
    <mergeCell ref="O68:R68"/>
    <mergeCell ref="O69:R69"/>
    <mergeCell ref="O70:R70"/>
    <mergeCell ref="O71:R71"/>
    <mergeCell ref="O72:R72"/>
    <mergeCell ref="O73:R73"/>
    <mergeCell ref="O74:R74"/>
    <mergeCell ref="O75:R75"/>
    <mergeCell ref="O76:R76"/>
    <mergeCell ref="O78:T79"/>
    <mergeCell ref="O80:R80"/>
    <mergeCell ref="O81:R81"/>
    <mergeCell ref="O82:R82"/>
    <mergeCell ref="O83:R83"/>
    <mergeCell ref="O84:R84"/>
    <mergeCell ref="O85:R85"/>
    <mergeCell ref="O87:R88"/>
    <mergeCell ref="P89:R89"/>
    <mergeCell ref="P90:R90"/>
    <mergeCell ref="P91:R91"/>
    <mergeCell ref="P92:R92"/>
    <mergeCell ref="P93:R93"/>
    <mergeCell ref="P94:R94"/>
    <mergeCell ref="P95:R95"/>
    <mergeCell ref="P96:R96"/>
    <mergeCell ref="P97:R97"/>
    <mergeCell ref="P98:R98"/>
    <mergeCell ref="P99:R99"/>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40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E1" activeCellId="0" sqref="E1"/>
    </sheetView>
  </sheetViews>
  <sheetFormatPr defaultColWidth="14.2890625" defaultRowHeight="12.75" customHeight="false" zeroHeight="false" outlineLevelRow="0" outlineLevelCol="0"/>
  <cols>
    <col collapsed="false" customWidth="true" hidden="false" outlineLevel="0" max="1" min="1" style="0" width="16.14"/>
    <col collapsed="false" customWidth="true" hidden="false" outlineLevel="0" max="3" min="2" style="0" width="24.71"/>
    <col collapsed="false" customWidth="true" hidden="false" outlineLevel="0" max="4" min="4" style="0" width="23.42"/>
    <col collapsed="false" customWidth="true" hidden="false" outlineLevel="0" max="5" min="5" style="0" width="46.57"/>
    <col collapsed="false" customWidth="true" hidden="false" outlineLevel="0" max="6" min="6" style="0" width="61.71"/>
    <col collapsed="false" customWidth="true" hidden="false" outlineLevel="0" max="7" min="7" style="0" width="15.28"/>
    <col collapsed="false" customWidth="true" hidden="false" outlineLevel="0" max="8" min="8" style="0" width="29.85"/>
    <col collapsed="false" customWidth="true" hidden="false" outlineLevel="0" max="9" min="9" style="0" width="24.71"/>
    <col collapsed="false" customWidth="true" hidden="false" outlineLevel="0" max="10" min="10" style="0" width="25.57"/>
    <col collapsed="false" customWidth="true" hidden="false" outlineLevel="0" max="11" min="11" style="0" width="63.71"/>
    <col collapsed="false" customWidth="true" hidden="false" outlineLevel="0" max="12" min="12" style="0" width="76.14"/>
    <col collapsed="false" customWidth="true" hidden="false" outlineLevel="0" max="13" min="13" style="0" width="45.29"/>
    <col collapsed="false" customWidth="true" hidden="false" outlineLevel="0" max="14" min="14" style="0" width="7.71"/>
    <col collapsed="false" customWidth="true" hidden="false" outlineLevel="0" max="15" min="15" style="0" width="27.14"/>
    <col collapsed="false" customWidth="true" hidden="false" outlineLevel="0" max="16" min="16" style="0" width="9.85"/>
    <col collapsed="false" customWidth="true" hidden="false" outlineLevel="0" max="17" min="17" style="0" width="3.42"/>
    <col collapsed="false" customWidth="true" hidden="false" outlineLevel="0" max="18" min="18" style="0" width="39"/>
    <col collapsed="false" customWidth="true" hidden="false" outlineLevel="0" max="19" min="19" style="0" width="62.85"/>
    <col collapsed="false" customWidth="true" hidden="false" outlineLevel="0" max="20" min="20" style="0" width="13.71"/>
    <col collapsed="false" customWidth="true" hidden="false" outlineLevel="0" max="26" min="21" style="0" width="8.71"/>
  </cols>
  <sheetData>
    <row r="1" customFormat="false" ht="12.75" hidden="false" customHeight="true" outlineLevel="0" collapsed="false">
      <c r="A1" s="605" t="s">
        <v>92</v>
      </c>
      <c r="B1" s="606" t="s">
        <v>93</v>
      </c>
      <c r="C1" s="606" t="s">
        <v>89</v>
      </c>
      <c r="D1" s="607" t="s">
        <v>94</v>
      </c>
      <c r="E1" s="608" t="s">
        <v>95</v>
      </c>
      <c r="F1" s="608" t="s">
        <v>96</v>
      </c>
      <c r="G1" s="608" t="s">
        <v>97</v>
      </c>
      <c r="H1" s="609" t="s">
        <v>98</v>
      </c>
      <c r="I1" s="610" t="s">
        <v>99</v>
      </c>
      <c r="J1" s="611" t="s">
        <v>62</v>
      </c>
      <c r="K1" s="611" t="s">
        <v>101</v>
      </c>
      <c r="L1" s="611" t="s">
        <v>102</v>
      </c>
      <c r="M1" s="612" t="s">
        <v>103</v>
      </c>
      <c r="N1" s="590"/>
      <c r="O1" s="590"/>
      <c r="P1" s="590"/>
      <c r="Q1" s="590"/>
      <c r="R1" s="590"/>
      <c r="S1" s="590"/>
    </row>
    <row r="2" customFormat="false" ht="12.75" hidden="false" customHeight="true" outlineLevel="0" collapsed="false">
      <c r="A2" s="456" t="n">
        <v>117</v>
      </c>
      <c r="B2" s="458" t="s">
        <v>14782</v>
      </c>
      <c r="C2" s="458" t="n">
        <v>2011</v>
      </c>
      <c r="D2" s="459" t="n">
        <v>40550</v>
      </c>
      <c r="E2" s="460" t="s">
        <v>14783</v>
      </c>
      <c r="F2" s="380" t="s">
        <v>4819</v>
      </c>
      <c r="G2" s="460" t="s">
        <v>1174</v>
      </c>
      <c r="H2" s="380" t="s">
        <v>223</v>
      </c>
      <c r="I2" s="459" t="n">
        <v>42746</v>
      </c>
      <c r="J2" s="460" t="n">
        <v>1</v>
      </c>
      <c r="K2" s="613" t="s">
        <v>50</v>
      </c>
      <c r="L2" s="458" t="s">
        <v>60</v>
      </c>
      <c r="M2" s="463" t="n">
        <f aca="false">I2-D2</f>
        <v>2196</v>
      </c>
      <c r="N2" s="45"/>
      <c r="O2" s="280" t="s">
        <v>14784</v>
      </c>
      <c r="P2" s="280"/>
      <c r="Q2" s="146"/>
      <c r="R2" s="146"/>
      <c r="S2" s="146"/>
    </row>
    <row r="3" customFormat="false" ht="12.75" hidden="false" customHeight="true" outlineLevel="0" collapsed="false">
      <c r="A3" s="449" t="n">
        <v>217</v>
      </c>
      <c r="B3" s="450" t="s">
        <v>14785</v>
      </c>
      <c r="C3" s="450" t="n">
        <v>2012</v>
      </c>
      <c r="D3" s="451" t="n">
        <v>41115</v>
      </c>
      <c r="E3" s="452" t="s">
        <v>14786</v>
      </c>
      <c r="F3" s="378" t="s">
        <v>1277</v>
      </c>
      <c r="G3" s="452" t="s">
        <v>441</v>
      </c>
      <c r="H3" s="378" t="s">
        <v>192</v>
      </c>
      <c r="I3" s="451" t="n">
        <v>42748</v>
      </c>
      <c r="J3" s="452" t="n">
        <v>1</v>
      </c>
      <c r="K3" s="614" t="s">
        <v>45</v>
      </c>
      <c r="L3" s="450" t="s">
        <v>58</v>
      </c>
      <c r="M3" s="455" t="n">
        <f aca="false">I3-D3</f>
        <v>1633</v>
      </c>
      <c r="N3" s="45"/>
      <c r="O3" s="281" t="s">
        <v>1182</v>
      </c>
      <c r="P3" s="281" t="n">
        <f aca="false">COUNTIF($G$2:$G$476,"PT")</f>
        <v>0</v>
      </c>
      <c r="Q3" s="146"/>
      <c r="R3" s="146"/>
      <c r="S3" s="146"/>
    </row>
    <row r="4" customFormat="false" ht="12.75" hidden="false" customHeight="true" outlineLevel="0" collapsed="false">
      <c r="A4" s="456" t="n">
        <v>317</v>
      </c>
      <c r="B4" s="458" t="s">
        <v>14787</v>
      </c>
      <c r="C4" s="458" t="n">
        <v>2016</v>
      </c>
      <c r="D4" s="459" t="n">
        <v>42458</v>
      </c>
      <c r="E4" s="460" t="s">
        <v>14788</v>
      </c>
      <c r="F4" s="380" t="s">
        <v>14789</v>
      </c>
      <c r="G4" s="460" t="s">
        <v>125</v>
      </c>
      <c r="H4" s="380" t="s">
        <v>373</v>
      </c>
      <c r="I4" s="459" t="n">
        <v>42755</v>
      </c>
      <c r="J4" s="460" t="n">
        <v>1</v>
      </c>
      <c r="K4" s="615" t="s">
        <v>47</v>
      </c>
      <c r="L4" s="458" t="s">
        <v>61</v>
      </c>
      <c r="M4" s="463" t="n">
        <f aca="false">I4-D4</f>
        <v>297</v>
      </c>
      <c r="N4" s="45"/>
      <c r="O4" s="282" t="s">
        <v>1188</v>
      </c>
      <c r="P4" s="282" t="n">
        <f aca="false">COUNTIF($G$2:$G$476,"PTN")</f>
        <v>5</v>
      </c>
      <c r="Q4" s="153"/>
      <c r="R4" s="153"/>
      <c r="S4" s="153"/>
    </row>
    <row r="5" customFormat="false" ht="12.75" hidden="false" customHeight="true" outlineLevel="0" collapsed="false">
      <c r="A5" s="449" t="n">
        <v>417</v>
      </c>
      <c r="B5" s="450" t="s">
        <v>14790</v>
      </c>
      <c r="C5" s="450" t="n">
        <v>2010</v>
      </c>
      <c r="D5" s="451" t="n">
        <v>40207</v>
      </c>
      <c r="E5" s="452" t="s">
        <v>14791</v>
      </c>
      <c r="F5" s="378" t="s">
        <v>705</v>
      </c>
      <c r="G5" s="452" t="s">
        <v>441</v>
      </c>
      <c r="H5" s="378" t="s">
        <v>12073</v>
      </c>
      <c r="I5" s="451" t="n">
        <v>42759</v>
      </c>
      <c r="J5" s="452" t="n">
        <v>1</v>
      </c>
      <c r="K5" s="616" t="s">
        <v>42</v>
      </c>
      <c r="L5" s="450" t="s">
        <v>58</v>
      </c>
      <c r="M5" s="455" t="n">
        <f aca="false">I5-D5</f>
        <v>2552</v>
      </c>
      <c r="N5" s="45"/>
      <c r="O5" s="283" t="s">
        <v>1192</v>
      </c>
      <c r="P5" s="283" t="n">
        <f aca="false">COUNTIF($G$2:$G$476,"PTE")</f>
        <v>177</v>
      </c>
      <c r="Q5" s="153"/>
      <c r="R5" s="153"/>
      <c r="S5" s="153"/>
    </row>
    <row r="6" customFormat="false" ht="12.75" hidden="false" customHeight="true" outlineLevel="0" collapsed="false">
      <c r="A6" s="456" t="n">
        <v>517</v>
      </c>
      <c r="B6" s="458" t="s">
        <v>14792</v>
      </c>
      <c r="C6" s="458" t="n">
        <v>2011</v>
      </c>
      <c r="D6" s="459" t="n">
        <v>40808</v>
      </c>
      <c r="E6" s="460" t="s">
        <v>14793</v>
      </c>
      <c r="F6" s="380" t="s">
        <v>180</v>
      </c>
      <c r="G6" s="460" t="s">
        <v>1174</v>
      </c>
      <c r="H6" s="380" t="s">
        <v>14794</v>
      </c>
      <c r="I6" s="459" t="n">
        <v>42765</v>
      </c>
      <c r="J6" s="460" t="n">
        <v>1</v>
      </c>
      <c r="K6" s="615" t="s">
        <v>47</v>
      </c>
      <c r="L6" s="458" t="s">
        <v>58</v>
      </c>
      <c r="M6" s="463" t="n">
        <f aca="false">I6-D6</f>
        <v>1957</v>
      </c>
      <c r="N6" s="617"/>
      <c r="O6" s="282" t="s">
        <v>8</v>
      </c>
      <c r="P6" s="282" t="n">
        <f aca="false">COUNTIF($G$2:$G$476,"Pré-Mistura")</f>
        <v>4</v>
      </c>
      <c r="Q6" s="153"/>
      <c r="R6" s="153"/>
      <c r="S6" s="153"/>
    </row>
    <row r="7" customFormat="false" ht="12.75" hidden="false" customHeight="true" outlineLevel="0" collapsed="false">
      <c r="A7" s="449" t="n">
        <v>617</v>
      </c>
      <c r="B7" s="450" t="s">
        <v>14795</v>
      </c>
      <c r="C7" s="450" t="n">
        <v>2011</v>
      </c>
      <c r="D7" s="451" t="n">
        <v>40679</v>
      </c>
      <c r="E7" s="452" t="s">
        <v>14796</v>
      </c>
      <c r="F7" s="378" t="s">
        <v>14258</v>
      </c>
      <c r="G7" s="452" t="s">
        <v>1174</v>
      </c>
      <c r="H7" s="378" t="s">
        <v>706</v>
      </c>
      <c r="I7" s="451" t="n">
        <v>42766</v>
      </c>
      <c r="J7" s="452" t="n">
        <v>1</v>
      </c>
      <c r="K7" s="613" t="s">
        <v>50</v>
      </c>
      <c r="L7" s="450" t="s">
        <v>58</v>
      </c>
      <c r="M7" s="455" t="n">
        <f aca="false">I7-D7</f>
        <v>2087</v>
      </c>
      <c r="N7" s="45"/>
      <c r="O7" s="283" t="s">
        <v>110</v>
      </c>
      <c r="P7" s="283" t="n">
        <f aca="false">COUNTIF($G$2:$G$476,"PF")</f>
        <v>36</v>
      </c>
      <c r="Q7" s="153"/>
      <c r="R7" s="153"/>
      <c r="S7" s="153"/>
    </row>
    <row r="8" customFormat="false" ht="12.75" hidden="false" customHeight="true" outlineLevel="0" collapsed="false">
      <c r="A8" s="456" t="n">
        <v>717</v>
      </c>
      <c r="B8" s="458" t="s">
        <v>14797</v>
      </c>
      <c r="C8" s="458" t="n">
        <v>2012</v>
      </c>
      <c r="D8" s="459" t="n">
        <v>40919</v>
      </c>
      <c r="E8" s="460" t="s">
        <v>14798</v>
      </c>
      <c r="F8" s="380" t="s">
        <v>14799</v>
      </c>
      <c r="G8" s="460" t="s">
        <v>1174</v>
      </c>
      <c r="H8" s="380" t="s">
        <v>192</v>
      </c>
      <c r="I8" s="459" t="n">
        <v>42767</v>
      </c>
      <c r="J8" s="460" t="n">
        <v>2</v>
      </c>
      <c r="K8" s="616" t="s">
        <v>42</v>
      </c>
      <c r="L8" s="458" t="s">
        <v>58</v>
      </c>
      <c r="M8" s="463" t="n">
        <f aca="false">I8-D8</f>
        <v>1848</v>
      </c>
      <c r="N8" s="45"/>
      <c r="O8" s="282" t="s">
        <v>115</v>
      </c>
      <c r="P8" s="282" t="n">
        <f aca="false">COUNTIF($G$2:$G$476,"PFN")</f>
        <v>9</v>
      </c>
      <c r="Q8" s="153"/>
      <c r="R8" s="153"/>
      <c r="S8" s="153"/>
    </row>
    <row r="9" customFormat="false" ht="12.75" hidden="false" customHeight="true" outlineLevel="0" collapsed="false">
      <c r="A9" s="449" t="n">
        <v>817</v>
      </c>
      <c r="B9" s="450" t="s">
        <v>14800</v>
      </c>
      <c r="C9" s="450" t="n">
        <v>2012</v>
      </c>
      <c r="D9" s="451" t="n">
        <v>41199</v>
      </c>
      <c r="E9" s="452" t="s">
        <v>14801</v>
      </c>
      <c r="F9" s="378" t="s">
        <v>113</v>
      </c>
      <c r="G9" s="452" t="s">
        <v>1174</v>
      </c>
      <c r="H9" s="378" t="s">
        <v>354</v>
      </c>
      <c r="I9" s="451" t="n">
        <v>42767</v>
      </c>
      <c r="J9" s="452" t="n">
        <v>2</v>
      </c>
      <c r="K9" s="615" t="s">
        <v>47</v>
      </c>
      <c r="L9" s="450" t="s">
        <v>60</v>
      </c>
      <c r="M9" s="455" t="n">
        <f aca="false">I9-D9</f>
        <v>1568</v>
      </c>
      <c r="N9" s="45"/>
      <c r="O9" s="283" t="s">
        <v>120</v>
      </c>
      <c r="P9" s="283" t="n">
        <f aca="false">COUNTIF($G$2:$G$476,"PF/PTE")</f>
        <v>131</v>
      </c>
      <c r="Q9" s="153"/>
      <c r="R9" s="153"/>
      <c r="S9" s="153"/>
    </row>
    <row r="10" customFormat="false" ht="12.75" hidden="false" customHeight="true" outlineLevel="0" collapsed="false">
      <c r="A10" s="456" t="n">
        <v>917</v>
      </c>
      <c r="B10" s="458" t="s">
        <v>14802</v>
      </c>
      <c r="C10" s="458" t="n">
        <v>2014</v>
      </c>
      <c r="D10" s="459" t="n">
        <v>41754</v>
      </c>
      <c r="E10" s="460" t="s">
        <v>14803</v>
      </c>
      <c r="F10" s="380" t="s">
        <v>113</v>
      </c>
      <c r="G10" s="460" t="s">
        <v>1174</v>
      </c>
      <c r="H10" s="380" t="s">
        <v>192</v>
      </c>
      <c r="I10" s="459" t="n">
        <v>42767</v>
      </c>
      <c r="J10" s="460" t="n">
        <v>2</v>
      </c>
      <c r="K10" s="615" t="s">
        <v>47</v>
      </c>
      <c r="L10" s="458" t="s">
        <v>60</v>
      </c>
      <c r="M10" s="463" t="n">
        <f aca="false">I10-D10</f>
        <v>1013</v>
      </c>
      <c r="N10" s="617"/>
      <c r="O10" s="282" t="s">
        <v>125</v>
      </c>
      <c r="P10" s="282" t="n">
        <f aca="false">COUNTIF($G$2:$G$476,"Bio")</f>
        <v>21</v>
      </c>
      <c r="Q10" s="153"/>
      <c r="R10" s="153"/>
      <c r="S10" s="153"/>
    </row>
    <row r="11" customFormat="false" ht="12.75" hidden="false" customHeight="true" outlineLevel="0" collapsed="false">
      <c r="A11" s="449" t="n">
        <v>1017</v>
      </c>
      <c r="B11" s="450" t="s">
        <v>14804</v>
      </c>
      <c r="C11" s="450" t="n">
        <v>2014</v>
      </c>
      <c r="D11" s="451" t="n">
        <v>41800</v>
      </c>
      <c r="E11" s="452" t="s">
        <v>14805</v>
      </c>
      <c r="F11" s="378" t="s">
        <v>113</v>
      </c>
      <c r="G11" s="452" t="s">
        <v>1174</v>
      </c>
      <c r="H11" s="378" t="s">
        <v>1501</v>
      </c>
      <c r="I11" s="451" t="n">
        <v>42767</v>
      </c>
      <c r="J11" s="452" t="n">
        <v>2</v>
      </c>
      <c r="K11" s="615" t="s">
        <v>47</v>
      </c>
      <c r="L11" s="450" t="s">
        <v>60</v>
      </c>
      <c r="M11" s="455" t="n">
        <f aca="false">I11-D11</f>
        <v>967</v>
      </c>
      <c r="N11" s="617"/>
      <c r="O11" s="284" t="s">
        <v>130</v>
      </c>
      <c r="P11" s="284" t="n">
        <f aca="false">COUNTIF($G$2:$G$476,"Bio/Org")</f>
        <v>21</v>
      </c>
      <c r="Q11" s="153"/>
      <c r="R11" s="153"/>
      <c r="S11" s="153"/>
    </row>
    <row r="12" customFormat="false" ht="12.75" hidden="false" customHeight="true" outlineLevel="0" collapsed="false">
      <c r="A12" s="456" t="n">
        <v>1117</v>
      </c>
      <c r="B12" s="458" t="s">
        <v>14806</v>
      </c>
      <c r="C12" s="458" t="n">
        <v>2011</v>
      </c>
      <c r="D12" s="459" t="n">
        <v>40696</v>
      </c>
      <c r="E12" s="460" t="s">
        <v>14807</v>
      </c>
      <c r="F12" s="380" t="s">
        <v>113</v>
      </c>
      <c r="G12" s="460" t="s">
        <v>1174</v>
      </c>
      <c r="H12" s="380" t="s">
        <v>192</v>
      </c>
      <c r="I12" s="459" t="n">
        <v>42767</v>
      </c>
      <c r="J12" s="460" t="n">
        <v>2</v>
      </c>
      <c r="K12" s="615" t="s">
        <v>47</v>
      </c>
      <c r="L12" s="458" t="s">
        <v>60</v>
      </c>
      <c r="M12" s="463" t="n">
        <f aca="false">I12-D12</f>
        <v>2071</v>
      </c>
      <c r="N12" s="45"/>
      <c r="O12" s="285" t="s">
        <v>140</v>
      </c>
      <c r="P12" s="286" t="n">
        <f aca="false">SUM(P3:P11)</f>
        <v>404</v>
      </c>
      <c r="Q12" s="153"/>
      <c r="R12" s="153"/>
      <c r="S12" s="153"/>
    </row>
    <row r="13" customFormat="false" ht="12.75" hidden="false" customHeight="true" outlineLevel="0" collapsed="false">
      <c r="A13" s="449" t="n">
        <v>1217</v>
      </c>
      <c r="B13" s="450" t="s">
        <v>14808</v>
      </c>
      <c r="C13" s="450" t="n">
        <v>2013</v>
      </c>
      <c r="D13" s="451" t="n">
        <v>41457</v>
      </c>
      <c r="E13" s="452" t="s">
        <v>14809</v>
      </c>
      <c r="F13" s="378" t="s">
        <v>113</v>
      </c>
      <c r="G13" s="452" t="s">
        <v>1174</v>
      </c>
      <c r="H13" s="378" t="s">
        <v>11617</v>
      </c>
      <c r="I13" s="451" t="n">
        <v>42767</v>
      </c>
      <c r="J13" s="452" t="n">
        <v>2</v>
      </c>
      <c r="K13" s="615" t="s">
        <v>47</v>
      </c>
      <c r="L13" s="450" t="s">
        <v>60</v>
      </c>
      <c r="M13" s="455" t="n">
        <f aca="false">I13-D13</f>
        <v>1310</v>
      </c>
      <c r="N13" s="45"/>
      <c r="O13" s="153"/>
      <c r="P13" s="153"/>
      <c r="Q13" s="153"/>
      <c r="R13" s="287"/>
      <c r="S13" s="287"/>
    </row>
    <row r="14" customFormat="false" ht="13.5" hidden="false" customHeight="true" outlineLevel="0" collapsed="false">
      <c r="A14" s="456" t="n">
        <v>1317</v>
      </c>
      <c r="B14" s="458" t="s">
        <v>14810</v>
      </c>
      <c r="C14" s="458" t="n">
        <v>2013</v>
      </c>
      <c r="D14" s="459" t="n">
        <v>41460</v>
      </c>
      <c r="E14" s="460" t="s">
        <v>14811</v>
      </c>
      <c r="F14" s="380" t="s">
        <v>113</v>
      </c>
      <c r="G14" s="460" t="s">
        <v>1174</v>
      </c>
      <c r="H14" s="380" t="s">
        <v>1266</v>
      </c>
      <c r="I14" s="459" t="n">
        <v>42767</v>
      </c>
      <c r="J14" s="460" t="n">
        <v>2</v>
      </c>
      <c r="K14" s="615" t="s">
        <v>47</v>
      </c>
      <c r="L14" s="458" t="s">
        <v>60</v>
      </c>
      <c r="M14" s="463" t="n">
        <f aca="false">I14-D14</f>
        <v>1307</v>
      </c>
      <c r="N14" s="45"/>
      <c r="O14" s="411" t="s">
        <v>151</v>
      </c>
      <c r="P14" s="411"/>
      <c r="Q14" s="411"/>
      <c r="R14" s="411"/>
      <c r="S14" s="411"/>
    </row>
    <row r="15" customFormat="false" ht="14.25" hidden="false" customHeight="true" outlineLevel="0" collapsed="false">
      <c r="A15" s="449" t="n">
        <v>1417</v>
      </c>
      <c r="B15" s="450" t="s">
        <v>14812</v>
      </c>
      <c r="C15" s="450" t="n">
        <v>2013</v>
      </c>
      <c r="D15" s="451" t="n">
        <v>41465</v>
      </c>
      <c r="E15" s="452" t="s">
        <v>14813</v>
      </c>
      <c r="F15" s="378" t="s">
        <v>113</v>
      </c>
      <c r="G15" s="452" t="s">
        <v>1174</v>
      </c>
      <c r="H15" s="378" t="s">
        <v>184</v>
      </c>
      <c r="I15" s="451" t="n">
        <v>42767</v>
      </c>
      <c r="J15" s="452" t="n">
        <v>2</v>
      </c>
      <c r="K15" s="615" t="s">
        <v>47</v>
      </c>
      <c r="L15" s="450" t="s">
        <v>60</v>
      </c>
      <c r="M15" s="455" t="n">
        <f aca="false">I15-D15</f>
        <v>1302</v>
      </c>
      <c r="N15" s="45"/>
      <c r="O15" s="411"/>
      <c r="P15" s="411"/>
      <c r="Q15" s="411"/>
      <c r="R15" s="411"/>
      <c r="S15" s="411"/>
    </row>
    <row r="16" customFormat="false" ht="12.75" hidden="false" customHeight="true" outlineLevel="0" collapsed="false">
      <c r="A16" s="456" t="n">
        <v>1517</v>
      </c>
      <c r="B16" s="458" t="s">
        <v>14814</v>
      </c>
      <c r="C16" s="458" t="n">
        <v>2013</v>
      </c>
      <c r="D16" s="459" t="n">
        <v>41515</v>
      </c>
      <c r="E16" s="460" t="s">
        <v>14815</v>
      </c>
      <c r="F16" s="380" t="s">
        <v>113</v>
      </c>
      <c r="G16" s="460" t="s">
        <v>1174</v>
      </c>
      <c r="H16" s="380" t="s">
        <v>373</v>
      </c>
      <c r="I16" s="459" t="n">
        <v>42767</v>
      </c>
      <c r="J16" s="460" t="n">
        <v>2</v>
      </c>
      <c r="K16" s="615" t="s">
        <v>47</v>
      </c>
      <c r="L16" s="458" t="s">
        <v>60</v>
      </c>
      <c r="M16" s="463" t="n">
        <f aca="false">I16-D16</f>
        <v>1252</v>
      </c>
      <c r="N16" s="45"/>
      <c r="O16" s="412" t="s">
        <v>2194</v>
      </c>
      <c r="P16" s="412"/>
      <c r="Q16" s="412"/>
      <c r="R16" s="412"/>
      <c r="S16" s="412"/>
    </row>
    <row r="17" customFormat="false" ht="12.75" hidden="false" customHeight="true" outlineLevel="0" collapsed="false">
      <c r="A17" s="449" t="n">
        <v>1617</v>
      </c>
      <c r="B17" s="450" t="s">
        <v>14816</v>
      </c>
      <c r="C17" s="450" t="n">
        <v>2016</v>
      </c>
      <c r="D17" s="451" t="n">
        <v>42468</v>
      </c>
      <c r="E17" s="452" t="s">
        <v>14817</v>
      </c>
      <c r="F17" s="378" t="s">
        <v>113</v>
      </c>
      <c r="G17" s="452" t="s">
        <v>1174</v>
      </c>
      <c r="H17" s="378" t="s">
        <v>10614</v>
      </c>
      <c r="I17" s="451" t="n">
        <v>42767</v>
      </c>
      <c r="J17" s="452" t="n">
        <v>2</v>
      </c>
      <c r="K17" s="615" t="s">
        <v>47</v>
      </c>
      <c r="L17" s="450" t="s">
        <v>60</v>
      </c>
      <c r="M17" s="455" t="n">
        <f aca="false">I17-D17</f>
        <v>299</v>
      </c>
      <c r="N17" s="45"/>
      <c r="O17" s="413" t="s">
        <v>2198</v>
      </c>
      <c r="P17" s="413"/>
      <c r="Q17" s="413"/>
      <c r="R17" s="413"/>
      <c r="S17" s="413"/>
    </row>
    <row r="18" customFormat="false" ht="12.75" hidden="false" customHeight="true" outlineLevel="0" collapsed="false">
      <c r="A18" s="456" t="n">
        <v>1717</v>
      </c>
      <c r="B18" s="458" t="s">
        <v>14818</v>
      </c>
      <c r="C18" s="458" t="n">
        <v>2016</v>
      </c>
      <c r="D18" s="459" t="n">
        <v>42566</v>
      </c>
      <c r="E18" s="460" t="s">
        <v>14819</v>
      </c>
      <c r="F18" s="380" t="s">
        <v>113</v>
      </c>
      <c r="G18" s="460" t="s">
        <v>1174</v>
      </c>
      <c r="H18" s="380" t="s">
        <v>267</v>
      </c>
      <c r="I18" s="459" t="n">
        <v>42767</v>
      </c>
      <c r="J18" s="460" t="n">
        <v>2</v>
      </c>
      <c r="K18" s="615" t="s">
        <v>47</v>
      </c>
      <c r="L18" s="458" t="s">
        <v>60</v>
      </c>
      <c r="M18" s="463" t="n">
        <f aca="false">I18-D18</f>
        <v>201</v>
      </c>
      <c r="N18" s="45"/>
      <c r="O18" s="414" t="s">
        <v>2203</v>
      </c>
      <c r="P18" s="414"/>
      <c r="Q18" s="414"/>
      <c r="R18" s="414"/>
      <c r="S18" s="414"/>
    </row>
    <row r="19" customFormat="false" ht="12.75" hidden="false" customHeight="true" outlineLevel="0" collapsed="false">
      <c r="A19" s="449" t="n">
        <v>1817</v>
      </c>
      <c r="B19" s="450" t="s">
        <v>14820</v>
      </c>
      <c r="C19" s="450" t="n">
        <v>2016</v>
      </c>
      <c r="D19" s="451" t="n">
        <v>42604</v>
      </c>
      <c r="E19" s="452" t="s">
        <v>14821</v>
      </c>
      <c r="F19" s="378" t="s">
        <v>14789</v>
      </c>
      <c r="G19" s="452" t="s">
        <v>125</v>
      </c>
      <c r="H19" s="378" t="s">
        <v>373</v>
      </c>
      <c r="I19" s="451" t="n">
        <v>42768</v>
      </c>
      <c r="J19" s="452" t="n">
        <v>2</v>
      </c>
      <c r="K19" s="615" t="s">
        <v>47</v>
      </c>
      <c r="L19" s="450" t="s">
        <v>61</v>
      </c>
      <c r="M19" s="455" t="n">
        <f aca="false">I19-D19</f>
        <v>164</v>
      </c>
      <c r="N19" s="45"/>
      <c r="O19" s="413" t="s">
        <v>2207</v>
      </c>
      <c r="P19" s="413"/>
      <c r="Q19" s="413"/>
      <c r="R19" s="413"/>
      <c r="S19" s="413"/>
    </row>
    <row r="20" customFormat="false" ht="12.75" hidden="false" customHeight="true" outlineLevel="0" collapsed="false">
      <c r="A20" s="456" t="n">
        <v>1917</v>
      </c>
      <c r="B20" s="458" t="s">
        <v>14822</v>
      </c>
      <c r="C20" s="458" t="n">
        <v>2015</v>
      </c>
      <c r="D20" s="459" t="n">
        <v>42181</v>
      </c>
      <c r="E20" s="460" t="s">
        <v>14823</v>
      </c>
      <c r="F20" s="380" t="s">
        <v>9790</v>
      </c>
      <c r="G20" s="460" t="s">
        <v>125</v>
      </c>
      <c r="H20" s="380" t="s">
        <v>13256</v>
      </c>
      <c r="I20" s="459" t="n">
        <v>42772</v>
      </c>
      <c r="J20" s="460" t="n">
        <v>2</v>
      </c>
      <c r="K20" s="614" t="s">
        <v>45</v>
      </c>
      <c r="L20" s="458" t="s">
        <v>61</v>
      </c>
      <c r="M20" s="463" t="n">
        <f aca="false">I20-D20</f>
        <v>591</v>
      </c>
      <c r="N20" s="45"/>
      <c r="O20" s="414" t="s">
        <v>2211</v>
      </c>
      <c r="P20" s="414"/>
      <c r="Q20" s="414"/>
      <c r="R20" s="414"/>
      <c r="S20" s="414"/>
    </row>
    <row r="21" customFormat="false" ht="12.75" hidden="false" customHeight="true" outlineLevel="0" collapsed="false">
      <c r="A21" s="449" t="n">
        <v>2017</v>
      </c>
      <c r="B21" s="450" t="s">
        <v>14824</v>
      </c>
      <c r="C21" s="450" t="n">
        <v>2012</v>
      </c>
      <c r="D21" s="451" t="n">
        <v>41031</v>
      </c>
      <c r="E21" s="452" t="s">
        <v>14825</v>
      </c>
      <c r="F21" s="378" t="s">
        <v>689</v>
      </c>
      <c r="G21" s="452" t="s">
        <v>1174</v>
      </c>
      <c r="H21" s="378" t="s">
        <v>14826</v>
      </c>
      <c r="I21" s="451" t="n">
        <v>42774</v>
      </c>
      <c r="J21" s="452" t="n">
        <v>2</v>
      </c>
      <c r="K21" s="616" t="s">
        <v>42</v>
      </c>
      <c r="L21" s="450" t="s">
        <v>60</v>
      </c>
      <c r="M21" s="455" t="n">
        <f aca="false">I21-D21</f>
        <v>1743</v>
      </c>
      <c r="N21" s="45"/>
      <c r="O21" s="413" t="s">
        <v>2215</v>
      </c>
      <c r="P21" s="413"/>
      <c r="Q21" s="413"/>
      <c r="R21" s="413"/>
      <c r="S21" s="413"/>
    </row>
    <row r="22" customFormat="false" ht="12.75" hidden="false" customHeight="true" outlineLevel="0" collapsed="false">
      <c r="A22" s="456" t="n">
        <v>2117</v>
      </c>
      <c r="B22" s="458" t="s">
        <v>14827</v>
      </c>
      <c r="C22" s="458" t="n">
        <v>2015</v>
      </c>
      <c r="D22" s="459" t="n">
        <v>42209</v>
      </c>
      <c r="E22" s="460" t="s">
        <v>14828</v>
      </c>
      <c r="F22" s="380" t="s">
        <v>449</v>
      </c>
      <c r="G22" s="460" t="s">
        <v>1174</v>
      </c>
      <c r="H22" s="380" t="s">
        <v>5907</v>
      </c>
      <c r="I22" s="459" t="n">
        <v>42774</v>
      </c>
      <c r="J22" s="460" t="n">
        <v>2</v>
      </c>
      <c r="K22" s="615" t="s">
        <v>47</v>
      </c>
      <c r="L22" s="458" t="s">
        <v>58</v>
      </c>
      <c r="M22" s="463" t="n">
        <f aca="false">I22-D22</f>
        <v>565</v>
      </c>
      <c r="N22" s="45"/>
      <c r="O22" s="414" t="s">
        <v>2220</v>
      </c>
      <c r="P22" s="414"/>
      <c r="Q22" s="414"/>
      <c r="R22" s="414"/>
      <c r="S22" s="414"/>
    </row>
    <row r="23" customFormat="false" ht="12.75" hidden="false" customHeight="true" outlineLevel="0" collapsed="false">
      <c r="A23" s="449" t="n">
        <v>2217</v>
      </c>
      <c r="B23" s="450" t="s">
        <v>14829</v>
      </c>
      <c r="C23" s="450" t="n">
        <v>2013</v>
      </c>
      <c r="D23" s="451" t="n">
        <v>41632</v>
      </c>
      <c r="E23" s="452" t="s">
        <v>14830</v>
      </c>
      <c r="F23" s="378" t="s">
        <v>346</v>
      </c>
      <c r="G23" s="452" t="s">
        <v>441</v>
      </c>
      <c r="H23" s="378" t="s">
        <v>350</v>
      </c>
      <c r="I23" s="451" t="n">
        <v>42775</v>
      </c>
      <c r="J23" s="452" t="n">
        <v>2</v>
      </c>
      <c r="K23" s="615" t="s">
        <v>47</v>
      </c>
      <c r="L23" s="450" t="s">
        <v>58</v>
      </c>
      <c r="M23" s="455" t="n">
        <f aca="false">I23-D23</f>
        <v>1143</v>
      </c>
      <c r="N23" s="45"/>
      <c r="O23" s="413" t="s">
        <v>2225</v>
      </c>
      <c r="P23" s="413"/>
      <c r="Q23" s="413"/>
      <c r="R23" s="413"/>
      <c r="S23" s="413"/>
    </row>
    <row r="24" customFormat="false" ht="12.75" hidden="false" customHeight="true" outlineLevel="0" collapsed="false">
      <c r="A24" s="456" t="n">
        <v>2317</v>
      </c>
      <c r="B24" s="458" t="s">
        <v>14831</v>
      </c>
      <c r="C24" s="458" t="n">
        <v>2015</v>
      </c>
      <c r="D24" s="459" t="n">
        <v>42108</v>
      </c>
      <c r="E24" s="460" t="s">
        <v>14832</v>
      </c>
      <c r="F24" s="380" t="s">
        <v>14833</v>
      </c>
      <c r="G24" s="460" t="s">
        <v>125</v>
      </c>
      <c r="H24" s="380" t="s">
        <v>134</v>
      </c>
      <c r="I24" s="459" t="n">
        <v>42776</v>
      </c>
      <c r="J24" s="460" t="n">
        <v>2</v>
      </c>
      <c r="K24" s="616" t="s">
        <v>42</v>
      </c>
      <c r="L24" s="458" t="s">
        <v>61</v>
      </c>
      <c r="M24" s="463" t="n">
        <f aca="false">I24-D24</f>
        <v>668</v>
      </c>
      <c r="N24" s="45"/>
      <c r="O24" s="415" t="s">
        <v>2229</v>
      </c>
      <c r="P24" s="415"/>
      <c r="Q24" s="415"/>
      <c r="R24" s="415"/>
      <c r="S24" s="415"/>
    </row>
    <row r="25" customFormat="false" ht="12.75" hidden="false" customHeight="true" outlineLevel="0" collapsed="false">
      <c r="A25" s="449" t="n">
        <v>2417</v>
      </c>
      <c r="B25" s="450" t="s">
        <v>14834</v>
      </c>
      <c r="C25" s="450" t="n">
        <v>2015</v>
      </c>
      <c r="D25" s="451" t="n">
        <v>42108</v>
      </c>
      <c r="E25" s="452" t="s">
        <v>14835</v>
      </c>
      <c r="F25" s="378" t="s">
        <v>14833</v>
      </c>
      <c r="G25" s="452" t="s">
        <v>125</v>
      </c>
      <c r="H25" s="378" t="s">
        <v>134</v>
      </c>
      <c r="I25" s="451" t="n">
        <v>42776</v>
      </c>
      <c r="J25" s="452" t="n">
        <v>2</v>
      </c>
      <c r="K25" s="616" t="s">
        <v>42</v>
      </c>
      <c r="L25" s="450" t="s">
        <v>61</v>
      </c>
      <c r="M25" s="455" t="n">
        <f aca="false">I25-D25</f>
        <v>668</v>
      </c>
      <c r="N25" s="45"/>
      <c r="O25" s="153"/>
      <c r="P25" s="153"/>
      <c r="Q25" s="153"/>
      <c r="R25" s="153"/>
      <c r="S25" s="153"/>
    </row>
    <row r="26" customFormat="false" ht="13.5" hidden="false" customHeight="true" outlineLevel="0" collapsed="false">
      <c r="A26" s="456" t="n">
        <v>2517</v>
      </c>
      <c r="B26" s="458" t="s">
        <v>14836</v>
      </c>
      <c r="C26" s="458" t="n">
        <v>2015</v>
      </c>
      <c r="D26" s="459" t="n">
        <v>42132</v>
      </c>
      <c r="E26" s="460" t="s">
        <v>14837</v>
      </c>
      <c r="F26" s="380" t="s">
        <v>6361</v>
      </c>
      <c r="G26" s="460" t="s">
        <v>125</v>
      </c>
      <c r="H26" s="380" t="s">
        <v>13256</v>
      </c>
      <c r="I26" s="459" t="n">
        <v>42776</v>
      </c>
      <c r="J26" s="460" t="n">
        <v>2</v>
      </c>
      <c r="K26" s="614" t="s">
        <v>45</v>
      </c>
      <c r="L26" s="458" t="s">
        <v>61</v>
      </c>
      <c r="M26" s="463" t="n">
        <f aca="false">I26-D26</f>
        <v>644</v>
      </c>
      <c r="N26" s="45"/>
      <c r="O26" s="326" t="s">
        <v>185</v>
      </c>
      <c r="P26" s="326"/>
      <c r="Q26" s="326"/>
      <c r="R26" s="326"/>
      <c r="S26" s="326"/>
    </row>
    <row r="27" customFormat="false" ht="15" hidden="false" customHeight="true" outlineLevel="0" collapsed="false">
      <c r="A27" s="449" t="n">
        <v>2617</v>
      </c>
      <c r="B27" s="450" t="s">
        <v>14838</v>
      </c>
      <c r="C27" s="450" t="n">
        <v>2015</v>
      </c>
      <c r="D27" s="451" t="n">
        <v>42181</v>
      </c>
      <c r="E27" s="452" t="s">
        <v>14839</v>
      </c>
      <c r="F27" s="378" t="s">
        <v>6361</v>
      </c>
      <c r="G27" s="452" t="s">
        <v>125</v>
      </c>
      <c r="H27" s="378" t="s">
        <v>13256</v>
      </c>
      <c r="I27" s="451" t="n">
        <v>42776</v>
      </c>
      <c r="J27" s="452" t="n">
        <v>2</v>
      </c>
      <c r="K27" s="614" t="s">
        <v>45</v>
      </c>
      <c r="L27" s="450" t="s">
        <v>61</v>
      </c>
      <c r="M27" s="455" t="n">
        <f aca="false">I27-D27</f>
        <v>595</v>
      </c>
      <c r="N27" s="45"/>
      <c r="O27" s="326"/>
      <c r="P27" s="326"/>
      <c r="Q27" s="326"/>
      <c r="R27" s="326"/>
      <c r="S27" s="326"/>
    </row>
    <row r="28" customFormat="false" ht="15" hidden="false" customHeight="true" outlineLevel="0" collapsed="false">
      <c r="A28" s="456" t="n">
        <v>2717</v>
      </c>
      <c r="B28" s="458" t="s">
        <v>14840</v>
      </c>
      <c r="C28" s="458" t="n">
        <v>2010</v>
      </c>
      <c r="D28" s="459" t="n">
        <v>40266</v>
      </c>
      <c r="E28" s="460" t="s">
        <v>14841</v>
      </c>
      <c r="F28" s="380" t="s">
        <v>14799</v>
      </c>
      <c r="G28" s="460" t="s">
        <v>1174</v>
      </c>
      <c r="H28" s="380" t="s">
        <v>11658</v>
      </c>
      <c r="I28" s="459" t="n">
        <v>42776</v>
      </c>
      <c r="J28" s="460" t="n">
        <v>2</v>
      </c>
      <c r="K28" s="616" t="s">
        <v>42</v>
      </c>
      <c r="L28" s="458" t="s">
        <v>58</v>
      </c>
      <c r="M28" s="463" t="n">
        <f aca="false">I28-D28</f>
        <v>2510</v>
      </c>
      <c r="N28" s="45"/>
      <c r="O28" s="309" t="s">
        <v>39</v>
      </c>
      <c r="P28" s="416" t="s">
        <v>40</v>
      </c>
      <c r="Q28" s="416"/>
      <c r="R28" s="416"/>
      <c r="S28" s="313" t="s">
        <v>41</v>
      </c>
    </row>
    <row r="29" customFormat="false" ht="15" hidden="false" customHeight="true" outlineLevel="0" collapsed="false">
      <c r="A29" s="449" t="n">
        <v>2817</v>
      </c>
      <c r="B29" s="450" t="s">
        <v>14842</v>
      </c>
      <c r="C29" s="450" t="n">
        <v>2014</v>
      </c>
      <c r="D29" s="451" t="n">
        <v>41780</v>
      </c>
      <c r="E29" s="452" t="s">
        <v>14843</v>
      </c>
      <c r="F29" s="378" t="s">
        <v>449</v>
      </c>
      <c r="G29" s="452" t="s">
        <v>1174</v>
      </c>
      <c r="H29" s="378" t="s">
        <v>184</v>
      </c>
      <c r="I29" s="451" t="n">
        <v>42776</v>
      </c>
      <c r="J29" s="452" t="n">
        <v>2</v>
      </c>
      <c r="K29" s="615" t="s">
        <v>47</v>
      </c>
      <c r="L29" s="450" t="s">
        <v>58</v>
      </c>
      <c r="M29" s="455" t="n">
        <f aca="false">I29-D29</f>
        <v>996</v>
      </c>
      <c r="N29" s="45"/>
      <c r="O29" s="283" t="n">
        <v>2005</v>
      </c>
      <c r="P29" s="314" t="n">
        <f aca="false">COUNTIF($C$2:$C$503,"2005")</f>
        <v>0</v>
      </c>
      <c r="Q29" s="314"/>
      <c r="R29" s="314"/>
      <c r="S29" s="315" t="n">
        <f aca="false">P29/P42</f>
        <v>0</v>
      </c>
    </row>
    <row r="30" customFormat="false" ht="12.75" hidden="false" customHeight="true" outlineLevel="0" collapsed="false">
      <c r="A30" s="456" t="n">
        <v>2917</v>
      </c>
      <c r="B30" s="458" t="s">
        <v>14844</v>
      </c>
      <c r="C30" s="458" t="n">
        <v>2013</v>
      </c>
      <c r="D30" s="459" t="n">
        <v>41586</v>
      </c>
      <c r="E30" s="460" t="s">
        <v>14845</v>
      </c>
      <c r="F30" s="380" t="s">
        <v>5463</v>
      </c>
      <c r="G30" s="460" t="s">
        <v>1174</v>
      </c>
      <c r="H30" s="380" t="s">
        <v>223</v>
      </c>
      <c r="I30" s="459" t="n">
        <v>42776</v>
      </c>
      <c r="J30" s="460" t="n">
        <v>2</v>
      </c>
      <c r="K30" s="615" t="s">
        <v>47</v>
      </c>
      <c r="L30" s="458" t="s">
        <v>60</v>
      </c>
      <c r="M30" s="463" t="n">
        <f aca="false">I30-D30</f>
        <v>1190</v>
      </c>
      <c r="N30" s="45"/>
      <c r="O30" s="282" t="n">
        <v>2006</v>
      </c>
      <c r="P30" s="282" t="n">
        <f aca="false">COUNTIF($C$2:$C$503,"2006")</f>
        <v>0</v>
      </c>
      <c r="Q30" s="282"/>
      <c r="R30" s="282"/>
      <c r="S30" s="316" t="n">
        <f aca="false">P30/P42</f>
        <v>0</v>
      </c>
    </row>
    <row r="31" customFormat="false" ht="12.75" hidden="false" customHeight="true" outlineLevel="0" collapsed="false">
      <c r="A31" s="449" t="n">
        <v>3017</v>
      </c>
      <c r="B31" s="450" t="s">
        <v>14846</v>
      </c>
      <c r="C31" s="450" t="n">
        <v>2012</v>
      </c>
      <c r="D31" s="451" t="n">
        <v>41257</v>
      </c>
      <c r="E31" s="452" t="s">
        <v>14847</v>
      </c>
      <c r="F31" s="378" t="s">
        <v>449</v>
      </c>
      <c r="G31" s="452" t="s">
        <v>1174</v>
      </c>
      <c r="H31" s="378" t="s">
        <v>354</v>
      </c>
      <c r="I31" s="451" t="n">
        <v>42776</v>
      </c>
      <c r="J31" s="452" t="n">
        <v>2</v>
      </c>
      <c r="K31" s="615" t="s">
        <v>47</v>
      </c>
      <c r="L31" s="450" t="s">
        <v>58</v>
      </c>
      <c r="M31" s="455" t="n">
        <f aca="false">I31-D31</f>
        <v>1519</v>
      </c>
      <c r="N31" s="45"/>
      <c r="O31" s="283" t="n">
        <v>2007</v>
      </c>
      <c r="P31" s="283" t="n">
        <f aca="false">COUNTIF($C$2:$C$503,"2007")</f>
        <v>0</v>
      </c>
      <c r="Q31" s="283"/>
      <c r="R31" s="283"/>
      <c r="S31" s="315" t="n">
        <f aca="false">(P31/P42)</f>
        <v>0</v>
      </c>
    </row>
    <row r="32" customFormat="false" ht="12.75" hidden="false" customHeight="true" outlineLevel="0" collapsed="false">
      <c r="A32" s="456" t="n">
        <v>3117</v>
      </c>
      <c r="B32" s="458" t="s">
        <v>14848</v>
      </c>
      <c r="C32" s="458" t="n">
        <v>2010</v>
      </c>
      <c r="D32" s="459" t="n">
        <v>40498</v>
      </c>
      <c r="E32" s="460" t="s">
        <v>14849</v>
      </c>
      <c r="F32" s="380" t="s">
        <v>699</v>
      </c>
      <c r="G32" s="460" t="s">
        <v>1174</v>
      </c>
      <c r="H32" s="380" t="s">
        <v>2296</v>
      </c>
      <c r="I32" s="459" t="n">
        <v>42779</v>
      </c>
      <c r="J32" s="460" t="n">
        <v>2</v>
      </c>
      <c r="K32" s="616" t="s">
        <v>42</v>
      </c>
      <c r="L32" s="458" t="s">
        <v>60</v>
      </c>
      <c r="M32" s="463" t="n">
        <f aca="false">I32-D32</f>
        <v>2281</v>
      </c>
      <c r="N32" s="45"/>
      <c r="O32" s="282" t="n">
        <v>2008</v>
      </c>
      <c r="P32" s="282" t="n">
        <f aca="false">COUNTIF($C$2:$C$503,"2008")</f>
        <v>2</v>
      </c>
      <c r="Q32" s="282"/>
      <c r="R32" s="282"/>
      <c r="S32" s="316" t="n">
        <f aca="false">(P32/P42)</f>
        <v>0.00495049504950495</v>
      </c>
    </row>
    <row r="33" customFormat="false" ht="12.75" hidden="false" customHeight="true" outlineLevel="0" collapsed="false">
      <c r="A33" s="449" t="n">
        <v>3217</v>
      </c>
      <c r="B33" s="450" t="s">
        <v>14850</v>
      </c>
      <c r="C33" s="450" t="n">
        <v>2014</v>
      </c>
      <c r="D33" s="451" t="n">
        <v>41960</v>
      </c>
      <c r="E33" s="452" t="s">
        <v>14851</v>
      </c>
      <c r="F33" s="378" t="s">
        <v>11580</v>
      </c>
      <c r="G33" s="452" t="s">
        <v>125</v>
      </c>
      <c r="H33" s="378" t="s">
        <v>254</v>
      </c>
      <c r="I33" s="451" t="n">
        <v>42779</v>
      </c>
      <c r="J33" s="452" t="n">
        <v>2</v>
      </c>
      <c r="K33" s="615" t="s">
        <v>47</v>
      </c>
      <c r="L33" s="450" t="s">
        <v>61</v>
      </c>
      <c r="M33" s="455" t="n">
        <f aca="false">I33-D33</f>
        <v>819</v>
      </c>
      <c r="N33" s="45"/>
      <c r="O33" s="283" t="n">
        <v>2009</v>
      </c>
      <c r="P33" s="283" t="n">
        <f aca="false">COUNTIF($C$2:$C$503,"2009")</f>
        <v>30</v>
      </c>
      <c r="Q33" s="283"/>
      <c r="R33" s="283"/>
      <c r="S33" s="315" t="n">
        <f aca="false">(P33/P42)</f>
        <v>0.0742574257425743</v>
      </c>
    </row>
    <row r="34" customFormat="false" ht="12.75" hidden="false" customHeight="true" outlineLevel="0" collapsed="false">
      <c r="A34" s="456" t="n">
        <v>3317</v>
      </c>
      <c r="B34" s="458" t="s">
        <v>14852</v>
      </c>
      <c r="C34" s="458" t="n">
        <v>2010</v>
      </c>
      <c r="D34" s="459" t="n">
        <v>40501</v>
      </c>
      <c r="E34" s="460" t="s">
        <v>14853</v>
      </c>
      <c r="F34" s="380" t="s">
        <v>699</v>
      </c>
      <c r="G34" s="460" t="s">
        <v>1174</v>
      </c>
      <c r="H34" s="380" t="s">
        <v>354</v>
      </c>
      <c r="I34" s="459" t="n">
        <v>42781</v>
      </c>
      <c r="J34" s="460" t="n">
        <v>2</v>
      </c>
      <c r="K34" s="616" t="s">
        <v>42</v>
      </c>
      <c r="L34" s="458" t="s">
        <v>60</v>
      </c>
      <c r="M34" s="463" t="n">
        <f aca="false">I34-D34</f>
        <v>2280</v>
      </c>
      <c r="N34" s="45"/>
      <c r="O34" s="282" t="n">
        <v>2010</v>
      </c>
      <c r="P34" s="282" t="n">
        <f aca="false">COUNTIF($C$2:$C$503,"2010")</f>
        <v>39</v>
      </c>
      <c r="Q34" s="282"/>
      <c r="R34" s="282"/>
      <c r="S34" s="316" t="n">
        <f aca="false">(P34/P42)</f>
        <v>0.0965346534653465</v>
      </c>
    </row>
    <row r="35" customFormat="false" ht="12.75" hidden="false" customHeight="true" outlineLevel="0" collapsed="false">
      <c r="A35" s="449" t="n">
        <v>3417</v>
      </c>
      <c r="B35" s="450" t="s">
        <v>14854</v>
      </c>
      <c r="C35" s="450" t="n">
        <v>2011</v>
      </c>
      <c r="D35" s="451" t="n">
        <v>40738</v>
      </c>
      <c r="E35" s="452" t="s">
        <v>14855</v>
      </c>
      <c r="F35" s="378" t="s">
        <v>449</v>
      </c>
      <c r="G35" s="452" t="s">
        <v>1174</v>
      </c>
      <c r="H35" s="378" t="s">
        <v>192</v>
      </c>
      <c r="I35" s="451" t="n">
        <v>42781</v>
      </c>
      <c r="J35" s="452" t="n">
        <v>2</v>
      </c>
      <c r="K35" s="615" t="s">
        <v>47</v>
      </c>
      <c r="L35" s="450" t="s">
        <v>58</v>
      </c>
      <c r="M35" s="455" t="n">
        <f aca="false">I35-D35</f>
        <v>2043</v>
      </c>
      <c r="N35" s="45"/>
      <c r="O35" s="283" t="n">
        <v>2011</v>
      </c>
      <c r="P35" s="283" t="n">
        <f aca="false">COUNTIF($C$2:$C$503,"2011")</f>
        <v>59</v>
      </c>
      <c r="Q35" s="283"/>
      <c r="R35" s="283"/>
      <c r="S35" s="315" t="n">
        <f aca="false">(P35/P42)</f>
        <v>0.146039603960396</v>
      </c>
    </row>
    <row r="36" customFormat="false" ht="12.75" hidden="false" customHeight="true" outlineLevel="0" collapsed="false">
      <c r="A36" s="456" t="n">
        <v>3517</v>
      </c>
      <c r="B36" s="458" t="s">
        <v>14856</v>
      </c>
      <c r="C36" s="458" t="n">
        <v>2014</v>
      </c>
      <c r="D36" s="459" t="n">
        <v>41978</v>
      </c>
      <c r="E36" s="460" t="s">
        <v>14857</v>
      </c>
      <c r="F36" s="380" t="s">
        <v>449</v>
      </c>
      <c r="G36" s="460" t="s">
        <v>1174</v>
      </c>
      <c r="H36" s="380" t="s">
        <v>350</v>
      </c>
      <c r="I36" s="459" t="n">
        <v>42781</v>
      </c>
      <c r="J36" s="460" t="n">
        <v>2</v>
      </c>
      <c r="K36" s="615" t="s">
        <v>47</v>
      </c>
      <c r="L36" s="458" t="s">
        <v>58</v>
      </c>
      <c r="M36" s="463" t="n">
        <f aca="false">I36-D36</f>
        <v>803</v>
      </c>
      <c r="N36" s="45"/>
      <c r="O36" s="282" t="n">
        <v>2012</v>
      </c>
      <c r="P36" s="282" t="n">
        <f aca="false">COUNTIF($C$2:$C$503,"2012")</f>
        <v>57</v>
      </c>
      <c r="Q36" s="282"/>
      <c r="R36" s="282"/>
      <c r="S36" s="316" t="n">
        <f aca="false">(P36/P42)</f>
        <v>0.141089108910891</v>
      </c>
    </row>
    <row r="37" customFormat="false" ht="12.75" hidden="false" customHeight="true" outlineLevel="0" collapsed="false">
      <c r="A37" s="449" t="n">
        <v>3617</v>
      </c>
      <c r="B37" s="450" t="s">
        <v>14858</v>
      </c>
      <c r="C37" s="450" t="n">
        <v>2013</v>
      </c>
      <c r="D37" s="451" t="n">
        <v>41376</v>
      </c>
      <c r="E37" s="452" t="s">
        <v>14859</v>
      </c>
      <c r="F37" s="378" t="s">
        <v>449</v>
      </c>
      <c r="G37" s="452" t="s">
        <v>1174</v>
      </c>
      <c r="H37" s="378" t="s">
        <v>12073</v>
      </c>
      <c r="I37" s="451" t="n">
        <v>42781</v>
      </c>
      <c r="J37" s="452" t="n">
        <v>2</v>
      </c>
      <c r="K37" s="615" t="s">
        <v>47</v>
      </c>
      <c r="L37" s="450" t="s">
        <v>58</v>
      </c>
      <c r="M37" s="455" t="n">
        <f aca="false">I37-D37</f>
        <v>1405</v>
      </c>
      <c r="N37" s="45"/>
      <c r="O37" s="283" t="n">
        <v>2013</v>
      </c>
      <c r="P37" s="283" t="n">
        <f aca="false">COUNTIF($C$2:$C$503,"2013")</f>
        <v>55</v>
      </c>
      <c r="Q37" s="283"/>
      <c r="R37" s="283"/>
      <c r="S37" s="315" t="n">
        <f aca="false">(P37/P42)</f>
        <v>0.136138613861386</v>
      </c>
    </row>
    <row r="38" customFormat="false" ht="12.75" hidden="false" customHeight="true" outlineLevel="0" collapsed="false">
      <c r="A38" s="456" t="n">
        <v>3717</v>
      </c>
      <c r="B38" s="458" t="s">
        <v>14860</v>
      </c>
      <c r="C38" s="458" t="n">
        <v>2012</v>
      </c>
      <c r="D38" s="459" t="n">
        <v>41257</v>
      </c>
      <c r="E38" s="460" t="s">
        <v>14861</v>
      </c>
      <c r="F38" s="380" t="s">
        <v>449</v>
      </c>
      <c r="G38" s="460" t="s">
        <v>1174</v>
      </c>
      <c r="H38" s="380" t="s">
        <v>14826</v>
      </c>
      <c r="I38" s="459" t="n">
        <v>42781</v>
      </c>
      <c r="J38" s="460" t="n">
        <v>2</v>
      </c>
      <c r="K38" s="615" t="s">
        <v>47</v>
      </c>
      <c r="L38" s="458" t="s">
        <v>58</v>
      </c>
      <c r="M38" s="463" t="n">
        <f aca="false">I38-D38</f>
        <v>1524</v>
      </c>
      <c r="N38" s="617"/>
      <c r="O38" s="282" t="n">
        <v>2014</v>
      </c>
      <c r="P38" s="282" t="n">
        <f aca="false">COUNTIF($C$2:$C$503,"2014")</f>
        <v>61</v>
      </c>
      <c r="Q38" s="282"/>
      <c r="R38" s="282"/>
      <c r="S38" s="316" t="n">
        <f aca="false">(P38/P42)</f>
        <v>0.150990099009901</v>
      </c>
    </row>
    <row r="39" customFormat="false" ht="12.75" hidden="false" customHeight="true" outlineLevel="0" collapsed="false">
      <c r="A39" s="449" t="n">
        <v>3817</v>
      </c>
      <c r="B39" s="450" t="s">
        <v>14862</v>
      </c>
      <c r="C39" s="450" t="n">
        <v>2011</v>
      </c>
      <c r="D39" s="451" t="n">
        <v>40602</v>
      </c>
      <c r="E39" s="452" t="s">
        <v>14863</v>
      </c>
      <c r="F39" s="378" t="s">
        <v>14177</v>
      </c>
      <c r="G39" s="452" t="s">
        <v>1174</v>
      </c>
      <c r="H39" s="378" t="s">
        <v>12073</v>
      </c>
      <c r="I39" s="451" t="n">
        <v>42781</v>
      </c>
      <c r="J39" s="452" t="n">
        <v>2</v>
      </c>
      <c r="K39" s="615" t="s">
        <v>47</v>
      </c>
      <c r="L39" s="450" t="s">
        <v>60</v>
      </c>
      <c r="M39" s="455" t="n">
        <f aca="false">I39-D39</f>
        <v>2179</v>
      </c>
      <c r="N39" s="45"/>
      <c r="O39" s="283" t="n">
        <v>2015</v>
      </c>
      <c r="P39" s="283" t="n">
        <f aca="false">COUNTIF($C$2:$C$503,"2015")</f>
        <v>51</v>
      </c>
      <c r="Q39" s="283"/>
      <c r="R39" s="283"/>
      <c r="S39" s="315" t="n">
        <f aca="false">(P39/P42)</f>
        <v>0.126237623762376</v>
      </c>
    </row>
    <row r="40" customFormat="false" ht="12.75" hidden="false" customHeight="true" outlineLevel="0" collapsed="false">
      <c r="A40" s="456" t="n">
        <v>3917</v>
      </c>
      <c r="B40" s="458" t="s">
        <v>14864</v>
      </c>
      <c r="C40" s="458" t="n">
        <v>2013</v>
      </c>
      <c r="D40" s="459" t="n">
        <v>41298</v>
      </c>
      <c r="E40" s="460" t="s">
        <v>14865</v>
      </c>
      <c r="F40" s="380" t="s">
        <v>449</v>
      </c>
      <c r="G40" s="460" t="s">
        <v>1174</v>
      </c>
      <c r="H40" s="380" t="s">
        <v>350</v>
      </c>
      <c r="I40" s="459" t="n">
        <v>42783</v>
      </c>
      <c r="J40" s="460" t="n">
        <v>2</v>
      </c>
      <c r="K40" s="615" t="s">
        <v>47</v>
      </c>
      <c r="L40" s="458" t="s">
        <v>58</v>
      </c>
      <c r="M40" s="463" t="n">
        <f aca="false">I40-D40</f>
        <v>1485</v>
      </c>
      <c r="N40" s="45"/>
      <c r="O40" s="282" t="n">
        <v>2016</v>
      </c>
      <c r="P40" s="282" t="n">
        <f aca="false">COUNTIF($C$2:$C$503,"2016")</f>
        <v>35</v>
      </c>
      <c r="Q40" s="282"/>
      <c r="R40" s="282"/>
      <c r="S40" s="316" t="n">
        <f aca="false">(P40/P42)</f>
        <v>0.0866336633663366</v>
      </c>
    </row>
    <row r="41" customFormat="false" ht="12.75" hidden="false" customHeight="true" outlineLevel="0" collapsed="false">
      <c r="A41" s="449" t="n">
        <v>4017</v>
      </c>
      <c r="B41" s="450" t="s">
        <v>14866</v>
      </c>
      <c r="C41" s="450" t="n">
        <v>2015</v>
      </c>
      <c r="D41" s="451" t="n">
        <v>42104</v>
      </c>
      <c r="E41" s="452" t="s">
        <v>14867</v>
      </c>
      <c r="F41" s="378" t="s">
        <v>379</v>
      </c>
      <c r="G41" s="452" t="s">
        <v>1174</v>
      </c>
      <c r="H41" s="378" t="s">
        <v>1501</v>
      </c>
      <c r="I41" s="451" t="n">
        <v>42786</v>
      </c>
      <c r="J41" s="452" t="n">
        <v>2</v>
      </c>
      <c r="K41" s="614" t="s">
        <v>45</v>
      </c>
      <c r="L41" s="450" t="s">
        <v>60</v>
      </c>
      <c r="M41" s="455" t="n">
        <f aca="false">I41-D41</f>
        <v>682</v>
      </c>
      <c r="N41" s="45"/>
      <c r="O41" s="283" t="n">
        <v>2017</v>
      </c>
      <c r="P41" s="283" t="n">
        <f aca="false">COUNTIF($C$2:$C$503,"2017")</f>
        <v>15</v>
      </c>
      <c r="Q41" s="283"/>
      <c r="R41" s="283"/>
      <c r="S41" s="315" t="n">
        <f aca="false">(P41/P42)</f>
        <v>0.0371287128712871</v>
      </c>
    </row>
    <row r="42" customFormat="false" ht="12.75" hidden="false" customHeight="true" outlineLevel="0" collapsed="false">
      <c r="A42" s="456" t="n">
        <v>4117</v>
      </c>
      <c r="B42" s="458" t="s">
        <v>14868</v>
      </c>
      <c r="C42" s="458" t="n">
        <v>2012</v>
      </c>
      <c r="D42" s="459" t="n">
        <v>41229</v>
      </c>
      <c r="E42" s="460" t="s">
        <v>14869</v>
      </c>
      <c r="F42" s="380" t="s">
        <v>379</v>
      </c>
      <c r="G42" s="460" t="s">
        <v>1174</v>
      </c>
      <c r="H42" s="380" t="s">
        <v>12073</v>
      </c>
      <c r="I42" s="459" t="n">
        <v>42786</v>
      </c>
      <c r="J42" s="460" t="n">
        <v>2</v>
      </c>
      <c r="K42" s="614" t="s">
        <v>45</v>
      </c>
      <c r="L42" s="458" t="s">
        <v>60</v>
      </c>
      <c r="M42" s="463" t="n">
        <f aca="false">I42-D42</f>
        <v>1557</v>
      </c>
      <c r="N42" s="45"/>
      <c r="O42" s="323" t="s">
        <v>56</v>
      </c>
      <c r="P42" s="418" t="n">
        <f aca="false">SUM(P29:R41)</f>
        <v>404</v>
      </c>
      <c r="Q42" s="418"/>
      <c r="R42" s="418"/>
      <c r="S42" s="325" t="n">
        <f aca="false">SUM(S29:S41)</f>
        <v>1</v>
      </c>
    </row>
    <row r="43" customFormat="false" ht="12.75" hidden="false" customHeight="true" outlineLevel="0" collapsed="false">
      <c r="A43" s="449" t="n">
        <v>4217</v>
      </c>
      <c r="B43" s="450" t="s">
        <v>14870</v>
      </c>
      <c r="C43" s="450" t="n">
        <v>2013</v>
      </c>
      <c r="D43" s="451" t="n">
        <v>41533</v>
      </c>
      <c r="E43" s="452" t="s">
        <v>14871</v>
      </c>
      <c r="F43" s="378" t="s">
        <v>113</v>
      </c>
      <c r="G43" s="452" t="s">
        <v>1174</v>
      </c>
      <c r="H43" s="378" t="s">
        <v>10614</v>
      </c>
      <c r="I43" s="451" t="n">
        <v>42786</v>
      </c>
      <c r="J43" s="452" t="n">
        <v>2</v>
      </c>
      <c r="K43" s="615" t="s">
        <v>47</v>
      </c>
      <c r="L43" s="450" t="s">
        <v>60</v>
      </c>
      <c r="M43" s="455" t="n">
        <f aca="false">I43-D43</f>
        <v>1253</v>
      </c>
      <c r="N43" s="45"/>
      <c r="O43" s="153"/>
      <c r="P43" s="153"/>
      <c r="Q43" s="153"/>
      <c r="R43" s="153"/>
      <c r="S43" s="153"/>
    </row>
    <row r="44" customFormat="false" ht="13.5" hidden="false" customHeight="true" outlineLevel="0" collapsed="false">
      <c r="A44" s="456" t="n">
        <v>4317</v>
      </c>
      <c r="B44" s="458" t="s">
        <v>14872</v>
      </c>
      <c r="C44" s="458" t="n">
        <v>2016</v>
      </c>
      <c r="D44" s="459" t="n">
        <v>42510</v>
      </c>
      <c r="E44" s="460" t="s">
        <v>14873</v>
      </c>
      <c r="F44" s="380" t="s">
        <v>113</v>
      </c>
      <c r="G44" s="460" t="s">
        <v>1174</v>
      </c>
      <c r="H44" s="380" t="s">
        <v>14874</v>
      </c>
      <c r="I44" s="459" t="n">
        <v>42787</v>
      </c>
      <c r="J44" s="460" t="n">
        <v>2</v>
      </c>
      <c r="K44" s="615" t="s">
        <v>47</v>
      </c>
      <c r="L44" s="458" t="s">
        <v>60</v>
      </c>
      <c r="M44" s="463" t="n">
        <f aca="false">I44-D44</f>
        <v>277</v>
      </c>
      <c r="N44" s="45"/>
      <c r="O44" s="326" t="s">
        <v>272</v>
      </c>
      <c r="P44" s="326"/>
      <c r="Q44" s="326"/>
      <c r="R44" s="326"/>
      <c r="S44" s="326"/>
    </row>
    <row r="45" customFormat="false" ht="15" hidden="false" customHeight="true" outlineLevel="0" collapsed="false">
      <c r="A45" s="449" t="n">
        <v>4417</v>
      </c>
      <c r="B45" s="450" t="s">
        <v>14875</v>
      </c>
      <c r="C45" s="450" t="n">
        <v>2014</v>
      </c>
      <c r="D45" s="451" t="n">
        <v>41953</v>
      </c>
      <c r="E45" s="452" t="s">
        <v>14876</v>
      </c>
      <c r="F45" s="378" t="s">
        <v>449</v>
      </c>
      <c r="G45" s="452" t="s">
        <v>1174</v>
      </c>
      <c r="H45" s="378" t="s">
        <v>184</v>
      </c>
      <c r="I45" s="451" t="n">
        <v>42787</v>
      </c>
      <c r="J45" s="452" t="n">
        <v>2</v>
      </c>
      <c r="K45" s="615" t="s">
        <v>47</v>
      </c>
      <c r="L45" s="450" t="s">
        <v>58</v>
      </c>
      <c r="M45" s="455" t="n">
        <f aca="false">I45-D45</f>
        <v>834</v>
      </c>
      <c r="N45" s="45"/>
      <c r="O45" s="326"/>
      <c r="P45" s="326"/>
      <c r="Q45" s="326"/>
      <c r="R45" s="326"/>
      <c r="S45" s="326"/>
    </row>
    <row r="46" customFormat="false" ht="15" hidden="false" customHeight="true" outlineLevel="0" collapsed="false">
      <c r="A46" s="456" t="n">
        <v>4517</v>
      </c>
      <c r="B46" s="458" t="s">
        <v>14877</v>
      </c>
      <c r="C46" s="458" t="n">
        <v>2011</v>
      </c>
      <c r="D46" s="459" t="n">
        <v>40841</v>
      </c>
      <c r="E46" s="460" t="s">
        <v>14878</v>
      </c>
      <c r="F46" s="380" t="s">
        <v>449</v>
      </c>
      <c r="G46" s="460" t="s">
        <v>1174</v>
      </c>
      <c r="H46" s="380" t="s">
        <v>14879</v>
      </c>
      <c r="I46" s="459" t="n">
        <v>42787</v>
      </c>
      <c r="J46" s="460" t="n">
        <v>2</v>
      </c>
      <c r="K46" s="616" t="s">
        <v>42</v>
      </c>
      <c r="L46" s="458" t="s">
        <v>58</v>
      </c>
      <c r="M46" s="463" t="n">
        <f aca="false">I46-D46</f>
        <v>1946</v>
      </c>
      <c r="N46" s="45"/>
      <c r="O46" s="309" t="s">
        <v>100</v>
      </c>
      <c r="P46" s="416" t="s">
        <v>40</v>
      </c>
      <c r="Q46" s="416"/>
      <c r="R46" s="416"/>
      <c r="S46" s="313" t="s">
        <v>41</v>
      </c>
    </row>
    <row r="47" customFormat="false" ht="12.75" hidden="false" customHeight="true" outlineLevel="0" collapsed="false">
      <c r="A47" s="449" t="n">
        <v>4617</v>
      </c>
      <c r="B47" s="450" t="s">
        <v>14880</v>
      </c>
      <c r="C47" s="450" t="n">
        <v>2015</v>
      </c>
      <c r="D47" s="451" t="n">
        <v>42215</v>
      </c>
      <c r="E47" s="452" t="s">
        <v>14881</v>
      </c>
      <c r="F47" s="378" t="s">
        <v>449</v>
      </c>
      <c r="G47" s="452" t="s">
        <v>1174</v>
      </c>
      <c r="H47" s="378" t="s">
        <v>6755</v>
      </c>
      <c r="I47" s="451" t="n">
        <v>42787</v>
      </c>
      <c r="J47" s="452" t="n">
        <v>2</v>
      </c>
      <c r="K47" s="615" t="s">
        <v>47</v>
      </c>
      <c r="L47" s="450" t="s">
        <v>58</v>
      </c>
      <c r="M47" s="455" t="n">
        <f aca="false">I47-D47</f>
        <v>572</v>
      </c>
      <c r="N47" s="617"/>
      <c r="O47" s="314" t="s">
        <v>63</v>
      </c>
      <c r="P47" s="314" t="n">
        <f aca="false">COUNTIF($J$2:$J$476,"1")</f>
        <v>6</v>
      </c>
      <c r="Q47" s="314"/>
      <c r="R47" s="314"/>
      <c r="S47" s="469" t="n">
        <f aca="false">(P47/P59)</f>
        <v>0.0148514851485149</v>
      </c>
    </row>
    <row r="48" customFormat="false" ht="12.75" hidden="false" customHeight="true" outlineLevel="0" collapsed="false">
      <c r="A48" s="456" t="n">
        <v>4717</v>
      </c>
      <c r="B48" s="458" t="s">
        <v>14882</v>
      </c>
      <c r="C48" s="458" t="n">
        <v>2009</v>
      </c>
      <c r="D48" s="459" t="n">
        <v>40163</v>
      </c>
      <c r="E48" s="460" t="s">
        <v>14883</v>
      </c>
      <c r="F48" s="380" t="s">
        <v>11484</v>
      </c>
      <c r="G48" s="460" t="s">
        <v>441</v>
      </c>
      <c r="H48" s="380" t="s">
        <v>350</v>
      </c>
      <c r="I48" s="459" t="n">
        <v>42788</v>
      </c>
      <c r="J48" s="460" t="n">
        <v>2</v>
      </c>
      <c r="K48" s="615" t="s">
        <v>47</v>
      </c>
      <c r="L48" s="458" t="s">
        <v>58</v>
      </c>
      <c r="M48" s="463" t="n">
        <f aca="false">I48-D48</f>
        <v>2625</v>
      </c>
      <c r="N48" s="45"/>
      <c r="O48" s="282" t="s">
        <v>64</v>
      </c>
      <c r="P48" s="282" t="n">
        <f aca="false">COUNTIF($J$2:$J$476,"2")</f>
        <v>46</v>
      </c>
      <c r="Q48" s="282"/>
      <c r="R48" s="282"/>
      <c r="S48" s="316" t="n">
        <f aca="false">(P48/P59)</f>
        <v>0.113861386138614</v>
      </c>
    </row>
    <row r="49" customFormat="false" ht="12.75" hidden="false" customHeight="true" outlineLevel="0" collapsed="false">
      <c r="A49" s="449" t="n">
        <v>4817</v>
      </c>
      <c r="B49" s="450" t="s">
        <v>14884</v>
      </c>
      <c r="C49" s="450" t="n">
        <v>2014</v>
      </c>
      <c r="D49" s="451" t="n">
        <v>41892</v>
      </c>
      <c r="E49" s="452" t="s">
        <v>14885</v>
      </c>
      <c r="F49" s="378" t="s">
        <v>449</v>
      </c>
      <c r="G49" s="452" t="s">
        <v>1174</v>
      </c>
      <c r="H49" s="378" t="s">
        <v>1266</v>
      </c>
      <c r="I49" s="451" t="n">
        <v>42790</v>
      </c>
      <c r="J49" s="452" t="n">
        <v>2</v>
      </c>
      <c r="K49" s="615" t="s">
        <v>47</v>
      </c>
      <c r="L49" s="450" t="s">
        <v>58</v>
      </c>
      <c r="M49" s="455" t="n">
        <f aca="false">I49-D49</f>
        <v>898</v>
      </c>
      <c r="N49" s="45"/>
      <c r="O49" s="283" t="s">
        <v>66</v>
      </c>
      <c r="P49" s="283" t="n">
        <f aca="false">COUNTIF($J$2:$J$476,"3")</f>
        <v>41</v>
      </c>
      <c r="Q49" s="283"/>
      <c r="R49" s="283"/>
      <c r="S49" s="315" t="n">
        <f aca="false">(P49/P59)</f>
        <v>0.101485148514851</v>
      </c>
      <c r="T49" s="153"/>
    </row>
    <row r="50" customFormat="false" ht="12.75" hidden="false" customHeight="true" outlineLevel="0" collapsed="false">
      <c r="A50" s="456" t="n">
        <v>4917</v>
      </c>
      <c r="B50" s="458" t="s">
        <v>14886</v>
      </c>
      <c r="C50" s="458" t="n">
        <v>2015</v>
      </c>
      <c r="D50" s="459" t="n">
        <v>42083</v>
      </c>
      <c r="E50" s="460" t="s">
        <v>14887</v>
      </c>
      <c r="F50" s="380" t="s">
        <v>449</v>
      </c>
      <c r="G50" s="460" t="s">
        <v>1174</v>
      </c>
      <c r="H50" s="380" t="s">
        <v>706</v>
      </c>
      <c r="I50" s="459" t="n">
        <v>42790</v>
      </c>
      <c r="J50" s="460" t="n">
        <v>2</v>
      </c>
      <c r="K50" s="615" t="s">
        <v>47</v>
      </c>
      <c r="L50" s="458" t="s">
        <v>58</v>
      </c>
      <c r="M50" s="463" t="n">
        <f aca="false">I50-D50</f>
        <v>707</v>
      </c>
      <c r="N50" s="45"/>
      <c r="O50" s="282" t="s">
        <v>67</v>
      </c>
      <c r="P50" s="282" t="n">
        <f aca="false">COUNTIF($J$2:$J$476,"4")</f>
        <v>20</v>
      </c>
      <c r="Q50" s="282"/>
      <c r="R50" s="282"/>
      <c r="S50" s="316" t="n">
        <f aca="false">(P50/P59)</f>
        <v>0.0495049504950495</v>
      </c>
      <c r="T50" s="153"/>
    </row>
    <row r="51" customFormat="false" ht="12.75" hidden="false" customHeight="true" outlineLevel="0" collapsed="false">
      <c r="A51" s="449" t="n">
        <v>5017</v>
      </c>
      <c r="B51" s="450" t="s">
        <v>14888</v>
      </c>
      <c r="C51" s="450" t="n">
        <v>2011</v>
      </c>
      <c r="D51" s="451" t="n">
        <v>40711</v>
      </c>
      <c r="E51" s="452" t="s">
        <v>14889</v>
      </c>
      <c r="F51" s="378" t="s">
        <v>317</v>
      </c>
      <c r="G51" s="452" t="s">
        <v>441</v>
      </c>
      <c r="H51" s="378" t="s">
        <v>471</v>
      </c>
      <c r="I51" s="451" t="n">
        <v>42790</v>
      </c>
      <c r="J51" s="452" t="n">
        <v>2</v>
      </c>
      <c r="K51" s="615" t="s">
        <v>47</v>
      </c>
      <c r="L51" s="450" t="s">
        <v>58</v>
      </c>
      <c r="M51" s="455" t="n">
        <f aca="false">I51-D51</f>
        <v>2079</v>
      </c>
      <c r="N51" s="618"/>
      <c r="O51" s="283" t="s">
        <v>68</v>
      </c>
      <c r="P51" s="283" t="n">
        <f aca="false">COUNTIF($J$2:$J$476,"5")</f>
        <v>31</v>
      </c>
      <c r="Q51" s="283"/>
      <c r="R51" s="283"/>
      <c r="S51" s="315" t="n">
        <f aca="false">(P51/P59)</f>
        <v>0.0767326732673267</v>
      </c>
      <c r="T51" s="153"/>
    </row>
    <row r="52" customFormat="false" ht="12.75" hidden="false" customHeight="true" outlineLevel="0" collapsed="false">
      <c r="A52" s="456" t="n">
        <v>5117</v>
      </c>
      <c r="B52" s="458" t="s">
        <v>14890</v>
      </c>
      <c r="C52" s="458" t="n">
        <v>2012</v>
      </c>
      <c r="D52" s="459" t="n">
        <v>41094</v>
      </c>
      <c r="E52" s="460" t="s">
        <v>14891</v>
      </c>
      <c r="F52" s="380" t="s">
        <v>317</v>
      </c>
      <c r="G52" s="460" t="s">
        <v>441</v>
      </c>
      <c r="H52" s="380" t="s">
        <v>471</v>
      </c>
      <c r="I52" s="459" t="n">
        <v>42790</v>
      </c>
      <c r="J52" s="460" t="n">
        <v>2</v>
      </c>
      <c r="K52" s="615" t="s">
        <v>47</v>
      </c>
      <c r="L52" s="458" t="s">
        <v>58</v>
      </c>
      <c r="M52" s="463" t="n">
        <f aca="false">I52-D52</f>
        <v>1696</v>
      </c>
      <c r="N52" s="45"/>
      <c r="O52" s="282" t="s">
        <v>70</v>
      </c>
      <c r="P52" s="282" t="n">
        <f aca="false">COUNTIF($J$2:$J$476,"6")</f>
        <v>26</v>
      </c>
      <c r="Q52" s="282"/>
      <c r="R52" s="282"/>
      <c r="S52" s="316" t="n">
        <f aca="false">(P52/P59)</f>
        <v>0.0643564356435644</v>
      </c>
      <c r="T52" s="153"/>
    </row>
    <row r="53" customFormat="false" ht="12.75" hidden="false" customHeight="true" outlineLevel="0" collapsed="false">
      <c r="A53" s="449" t="n">
        <v>5217</v>
      </c>
      <c r="B53" s="450" t="s">
        <v>14892</v>
      </c>
      <c r="C53" s="450" t="n">
        <v>2012</v>
      </c>
      <c r="D53" s="451" t="n">
        <v>41094</v>
      </c>
      <c r="E53" s="452" t="s">
        <v>14893</v>
      </c>
      <c r="F53" s="378" t="s">
        <v>317</v>
      </c>
      <c r="G53" s="452" t="s">
        <v>441</v>
      </c>
      <c r="H53" s="378" t="s">
        <v>471</v>
      </c>
      <c r="I53" s="451" t="n">
        <v>42790</v>
      </c>
      <c r="J53" s="452" t="n">
        <v>2</v>
      </c>
      <c r="K53" s="615" t="s">
        <v>47</v>
      </c>
      <c r="L53" s="450" t="s">
        <v>58</v>
      </c>
      <c r="M53" s="455" t="n">
        <f aca="false">I53-D53</f>
        <v>1696</v>
      </c>
      <c r="N53" s="45"/>
      <c r="O53" s="283" t="s">
        <v>72</v>
      </c>
      <c r="P53" s="283" t="n">
        <f aca="false">COUNTIF($J$2:$J$476,"7")</f>
        <v>32</v>
      </c>
      <c r="Q53" s="283"/>
      <c r="R53" s="283"/>
      <c r="S53" s="315" t="n">
        <f aca="false">(P53/P59)</f>
        <v>0.0792079207920792</v>
      </c>
      <c r="T53" s="153"/>
    </row>
    <row r="54" customFormat="false" ht="12.75" hidden="false" customHeight="true" outlineLevel="0" collapsed="false">
      <c r="A54" s="456" t="n">
        <v>5317</v>
      </c>
      <c r="B54" s="458" t="s">
        <v>14894</v>
      </c>
      <c r="C54" s="458" t="n">
        <v>2009</v>
      </c>
      <c r="D54" s="459" t="n">
        <v>40003</v>
      </c>
      <c r="E54" s="460" t="s">
        <v>14895</v>
      </c>
      <c r="F54" s="380" t="s">
        <v>1277</v>
      </c>
      <c r="G54" s="460" t="s">
        <v>441</v>
      </c>
      <c r="H54" s="380" t="s">
        <v>223</v>
      </c>
      <c r="I54" s="459" t="n">
        <v>42800</v>
      </c>
      <c r="J54" s="460" t="n">
        <v>3</v>
      </c>
      <c r="K54" s="614" t="s">
        <v>45</v>
      </c>
      <c r="L54" s="458" t="s">
        <v>58</v>
      </c>
      <c r="M54" s="463" t="n">
        <f aca="false">I54-D54</f>
        <v>2797</v>
      </c>
      <c r="N54" s="45"/>
      <c r="O54" s="282" t="s">
        <v>74</v>
      </c>
      <c r="P54" s="282" t="n">
        <f aca="false">COUNTIF($J$2:$J$476,"8")</f>
        <v>36</v>
      </c>
      <c r="Q54" s="282"/>
      <c r="R54" s="282"/>
      <c r="S54" s="316" t="n">
        <f aca="false">(P54/P59)</f>
        <v>0.0891089108910891</v>
      </c>
      <c r="T54" s="153"/>
    </row>
    <row r="55" customFormat="false" ht="13.5" hidden="false" customHeight="true" outlineLevel="0" collapsed="false">
      <c r="A55" s="449" t="n">
        <v>5417</v>
      </c>
      <c r="B55" s="450" t="s">
        <v>14896</v>
      </c>
      <c r="C55" s="450" t="n">
        <v>2010</v>
      </c>
      <c r="D55" s="451" t="n">
        <v>40263</v>
      </c>
      <c r="E55" s="452" t="s">
        <v>14897</v>
      </c>
      <c r="F55" s="378" t="s">
        <v>699</v>
      </c>
      <c r="G55" s="452" t="s">
        <v>441</v>
      </c>
      <c r="H55" s="378" t="s">
        <v>471</v>
      </c>
      <c r="I55" s="451" t="n">
        <v>42804</v>
      </c>
      <c r="J55" s="452" t="n">
        <v>3</v>
      </c>
      <c r="K55" s="616" t="s">
        <v>42</v>
      </c>
      <c r="L55" s="450" t="s">
        <v>60</v>
      </c>
      <c r="M55" s="455" t="n">
        <f aca="false">I55-D55</f>
        <v>2541</v>
      </c>
      <c r="N55" s="45"/>
      <c r="O55" s="283" t="s">
        <v>76</v>
      </c>
      <c r="P55" s="283" t="n">
        <f aca="false">COUNTIF($J$2:$J$476,"9")</f>
        <v>4</v>
      </c>
      <c r="Q55" s="283"/>
      <c r="R55" s="283"/>
      <c r="S55" s="315" t="n">
        <f aca="false">(P55/P59)</f>
        <v>0.0099009900990099</v>
      </c>
      <c r="T55" s="153"/>
    </row>
    <row r="56" customFormat="false" ht="13.5" hidden="false" customHeight="true" outlineLevel="0" collapsed="false">
      <c r="A56" s="456" t="n">
        <v>5517</v>
      </c>
      <c r="B56" s="458" t="s">
        <v>14898</v>
      </c>
      <c r="C56" s="458" t="n">
        <v>2011</v>
      </c>
      <c r="D56" s="459" t="n">
        <v>40616</v>
      </c>
      <c r="E56" s="460" t="s">
        <v>14899</v>
      </c>
      <c r="F56" s="380" t="s">
        <v>699</v>
      </c>
      <c r="G56" s="460" t="s">
        <v>441</v>
      </c>
      <c r="H56" s="380" t="s">
        <v>471</v>
      </c>
      <c r="I56" s="459" t="n">
        <v>42804</v>
      </c>
      <c r="J56" s="460" t="n">
        <v>3</v>
      </c>
      <c r="K56" s="615" t="s">
        <v>47</v>
      </c>
      <c r="L56" s="458" t="s">
        <v>60</v>
      </c>
      <c r="M56" s="463" t="n">
        <f aca="false">I56-D56</f>
        <v>2188</v>
      </c>
      <c r="N56" s="45"/>
      <c r="O56" s="282" t="s">
        <v>78</v>
      </c>
      <c r="P56" s="282" t="n">
        <f aca="false">COUNTIF($J$2:$J$476,"10")</f>
        <v>29</v>
      </c>
      <c r="Q56" s="282"/>
      <c r="R56" s="282"/>
      <c r="S56" s="316" t="n">
        <f aca="false">(P56/P59)</f>
        <v>0.0717821782178218</v>
      </c>
      <c r="T56" s="153"/>
    </row>
    <row r="57" customFormat="false" ht="12.75" hidden="false" customHeight="true" outlineLevel="0" collapsed="false">
      <c r="A57" s="449" t="n">
        <v>5617</v>
      </c>
      <c r="B57" s="450" t="s">
        <v>14900</v>
      </c>
      <c r="C57" s="450" t="n">
        <v>2010</v>
      </c>
      <c r="D57" s="451" t="n">
        <v>40420</v>
      </c>
      <c r="E57" s="452" t="s">
        <v>14901</v>
      </c>
      <c r="F57" s="378" t="s">
        <v>14902</v>
      </c>
      <c r="G57" s="452" t="s">
        <v>1188</v>
      </c>
      <c r="H57" s="378" t="s">
        <v>1109</v>
      </c>
      <c r="I57" s="451" t="n">
        <v>42804</v>
      </c>
      <c r="J57" s="452" t="n">
        <v>3</v>
      </c>
      <c r="K57" s="615" t="s">
        <v>47</v>
      </c>
      <c r="L57" s="450" t="s">
        <v>58</v>
      </c>
      <c r="M57" s="455" t="n">
        <f aca="false">I57-D57</f>
        <v>2384</v>
      </c>
      <c r="N57" s="45"/>
      <c r="O57" s="283" t="s">
        <v>80</v>
      </c>
      <c r="P57" s="283" t="n">
        <f aca="false">COUNTIF($J$2:$J$476,"11")</f>
        <v>59</v>
      </c>
      <c r="Q57" s="283"/>
      <c r="R57" s="283"/>
      <c r="S57" s="315" t="n">
        <f aca="false">(P57/P59)</f>
        <v>0.146039603960396</v>
      </c>
      <c r="T57" s="153"/>
    </row>
    <row r="58" customFormat="false" ht="12.75" hidden="false" customHeight="true" outlineLevel="0" collapsed="false">
      <c r="A58" s="456" t="n">
        <v>5717</v>
      </c>
      <c r="B58" s="458" t="s">
        <v>14903</v>
      </c>
      <c r="C58" s="458" t="n">
        <v>2010</v>
      </c>
      <c r="D58" s="459" t="n">
        <v>40494</v>
      </c>
      <c r="E58" s="460" t="s">
        <v>14904</v>
      </c>
      <c r="F58" s="380" t="s">
        <v>14905</v>
      </c>
      <c r="G58" s="460" t="s">
        <v>115</v>
      </c>
      <c r="H58" s="380" t="s">
        <v>1109</v>
      </c>
      <c r="I58" s="459" t="n">
        <v>42804</v>
      </c>
      <c r="J58" s="460" t="n">
        <v>3</v>
      </c>
      <c r="K58" s="616" t="s">
        <v>42</v>
      </c>
      <c r="L58" s="458" t="s">
        <v>58</v>
      </c>
      <c r="M58" s="463" t="n">
        <f aca="false">I58-D58</f>
        <v>2310</v>
      </c>
      <c r="N58" s="45"/>
      <c r="O58" s="336" t="s">
        <v>82</v>
      </c>
      <c r="P58" s="282" t="n">
        <f aca="false">COUNTIF($J$2:$J$476,"12")</f>
        <v>74</v>
      </c>
      <c r="Q58" s="282"/>
      <c r="R58" s="282"/>
      <c r="S58" s="470" t="n">
        <f aca="false">(P58/P59)</f>
        <v>0.183168316831683</v>
      </c>
      <c r="T58" s="153"/>
    </row>
    <row r="59" customFormat="false" ht="12.75" hidden="false" customHeight="true" outlineLevel="0" collapsed="false">
      <c r="A59" s="449" t="n">
        <v>5817</v>
      </c>
      <c r="B59" s="450" t="s">
        <v>14906</v>
      </c>
      <c r="C59" s="450" t="n">
        <v>2011</v>
      </c>
      <c r="D59" s="451" t="n">
        <v>40602</v>
      </c>
      <c r="E59" s="452" t="s">
        <v>14907</v>
      </c>
      <c r="F59" s="378" t="s">
        <v>5463</v>
      </c>
      <c r="G59" s="452" t="s">
        <v>441</v>
      </c>
      <c r="H59" s="378" t="s">
        <v>223</v>
      </c>
      <c r="I59" s="451" t="n">
        <v>42810</v>
      </c>
      <c r="J59" s="452" t="n">
        <v>3</v>
      </c>
      <c r="K59" s="616" t="s">
        <v>42</v>
      </c>
      <c r="L59" s="450" t="s">
        <v>60</v>
      </c>
      <c r="M59" s="455" t="n">
        <f aca="false">I59-D59</f>
        <v>2208</v>
      </c>
      <c r="N59" s="45"/>
      <c r="O59" s="323" t="s">
        <v>54</v>
      </c>
      <c r="P59" s="418" t="n">
        <f aca="false">SUM(P47:R58)</f>
        <v>404</v>
      </c>
      <c r="Q59" s="418"/>
      <c r="R59" s="418"/>
      <c r="S59" s="325" t="n">
        <f aca="false">SUM(S47:S58)</f>
        <v>1</v>
      </c>
      <c r="T59" s="153"/>
    </row>
    <row r="60" customFormat="false" ht="12.75" hidden="false" customHeight="true" outlineLevel="0" collapsed="false">
      <c r="A60" s="456" t="n">
        <v>5917</v>
      </c>
      <c r="B60" s="458" t="s">
        <v>14908</v>
      </c>
      <c r="C60" s="458" t="n">
        <v>2014</v>
      </c>
      <c r="D60" s="459" t="n">
        <v>41912</v>
      </c>
      <c r="E60" s="460" t="s">
        <v>14909</v>
      </c>
      <c r="F60" s="380" t="s">
        <v>9790</v>
      </c>
      <c r="G60" s="460" t="s">
        <v>125</v>
      </c>
      <c r="H60" s="380" t="s">
        <v>254</v>
      </c>
      <c r="I60" s="459" t="n">
        <v>42810</v>
      </c>
      <c r="J60" s="460" t="n">
        <v>3</v>
      </c>
      <c r="K60" s="615" t="s">
        <v>47</v>
      </c>
      <c r="L60" s="458" t="s">
        <v>61</v>
      </c>
      <c r="M60" s="463" t="n">
        <f aca="false">I60-D60</f>
        <v>898</v>
      </c>
      <c r="N60" s="45"/>
      <c r="O60" s="153"/>
      <c r="P60" s="153"/>
      <c r="Q60" s="153"/>
      <c r="R60" s="153"/>
      <c r="S60" s="153"/>
      <c r="T60" s="153"/>
    </row>
    <row r="61" customFormat="false" ht="13.5" hidden="false" customHeight="true" outlineLevel="0" collapsed="false">
      <c r="A61" s="449" t="n">
        <v>6017</v>
      </c>
      <c r="B61" s="450" t="s">
        <v>14910</v>
      </c>
      <c r="C61" s="450" t="n">
        <v>2013</v>
      </c>
      <c r="D61" s="451" t="n">
        <v>41288</v>
      </c>
      <c r="E61" s="452" t="s">
        <v>14911</v>
      </c>
      <c r="F61" s="378" t="s">
        <v>379</v>
      </c>
      <c r="G61" s="452" t="s">
        <v>441</v>
      </c>
      <c r="H61" s="378" t="s">
        <v>1266</v>
      </c>
      <c r="I61" s="451" t="n">
        <v>42810</v>
      </c>
      <c r="J61" s="452" t="n">
        <v>3</v>
      </c>
      <c r="K61" s="615" t="s">
        <v>47</v>
      </c>
      <c r="L61" s="450" t="s">
        <v>60</v>
      </c>
      <c r="M61" s="455" t="n">
        <f aca="false">I61-D61</f>
        <v>1522</v>
      </c>
      <c r="N61" s="45"/>
      <c r="O61" s="339" t="s">
        <v>335</v>
      </c>
      <c r="P61" s="339"/>
      <c r="Q61" s="339"/>
      <c r="R61" s="339"/>
      <c r="S61" s="339"/>
      <c r="T61" s="339"/>
    </row>
    <row r="62" customFormat="false" ht="12.75" hidden="false" customHeight="true" outlineLevel="0" collapsed="false">
      <c r="A62" s="456" t="n">
        <v>6117</v>
      </c>
      <c r="B62" s="458" t="s">
        <v>14912</v>
      </c>
      <c r="C62" s="458" t="n">
        <v>2012</v>
      </c>
      <c r="D62" s="459" t="n">
        <v>41184</v>
      </c>
      <c r="E62" s="460" t="s">
        <v>14913</v>
      </c>
      <c r="F62" s="380" t="s">
        <v>699</v>
      </c>
      <c r="G62" s="460" t="s">
        <v>441</v>
      </c>
      <c r="H62" s="380" t="s">
        <v>192</v>
      </c>
      <c r="I62" s="459" t="n">
        <v>42810</v>
      </c>
      <c r="J62" s="460" t="n">
        <v>3</v>
      </c>
      <c r="K62" s="615" t="s">
        <v>47</v>
      </c>
      <c r="L62" s="458" t="s">
        <v>60</v>
      </c>
      <c r="M62" s="463" t="n">
        <f aca="false">I62-D62</f>
        <v>1626</v>
      </c>
      <c r="N62" s="45"/>
      <c r="O62" s="339"/>
      <c r="P62" s="339"/>
      <c r="Q62" s="339"/>
      <c r="R62" s="339"/>
      <c r="S62" s="339"/>
      <c r="T62" s="339"/>
    </row>
    <row r="63" customFormat="false" ht="12.75" hidden="false" customHeight="true" outlineLevel="0" collapsed="false">
      <c r="A63" s="449" t="n">
        <v>6217</v>
      </c>
      <c r="B63" s="450" t="s">
        <v>14914</v>
      </c>
      <c r="C63" s="450" t="n">
        <v>2011</v>
      </c>
      <c r="D63" s="451" t="n">
        <v>40728</v>
      </c>
      <c r="E63" s="452" t="s">
        <v>14915</v>
      </c>
      <c r="F63" s="378" t="s">
        <v>1277</v>
      </c>
      <c r="G63" s="452" t="s">
        <v>441</v>
      </c>
      <c r="H63" s="378" t="s">
        <v>1059</v>
      </c>
      <c r="I63" s="451" t="n">
        <v>42811</v>
      </c>
      <c r="J63" s="452" t="n">
        <v>3</v>
      </c>
      <c r="K63" s="616" t="s">
        <v>42</v>
      </c>
      <c r="L63" s="450" t="s">
        <v>58</v>
      </c>
      <c r="M63" s="455" t="n">
        <f aca="false">I63-D63</f>
        <v>2083</v>
      </c>
      <c r="N63" s="45"/>
      <c r="O63" s="340" t="s">
        <v>38</v>
      </c>
      <c r="P63" s="340"/>
      <c r="Q63" s="340"/>
      <c r="R63" s="340"/>
      <c r="S63" s="341" t="s">
        <v>343</v>
      </c>
      <c r="T63" s="342" t="s">
        <v>41</v>
      </c>
    </row>
    <row r="64" customFormat="false" ht="13.5" hidden="false" customHeight="true" outlineLevel="0" collapsed="false">
      <c r="A64" s="456" t="n">
        <v>6317</v>
      </c>
      <c r="B64" s="458" t="s">
        <v>14916</v>
      </c>
      <c r="C64" s="458" t="n">
        <v>2010</v>
      </c>
      <c r="D64" s="459" t="n">
        <v>40402</v>
      </c>
      <c r="E64" s="460" t="s">
        <v>14917</v>
      </c>
      <c r="F64" s="380" t="s">
        <v>699</v>
      </c>
      <c r="G64" s="460" t="s">
        <v>1174</v>
      </c>
      <c r="H64" s="380" t="s">
        <v>2296</v>
      </c>
      <c r="I64" s="459" t="n">
        <v>42811</v>
      </c>
      <c r="J64" s="460" t="n">
        <v>3</v>
      </c>
      <c r="K64" s="615" t="s">
        <v>47</v>
      </c>
      <c r="L64" s="458" t="s">
        <v>58</v>
      </c>
      <c r="M64" s="463" t="n">
        <f aca="false">I64-D64</f>
        <v>2409</v>
      </c>
      <c r="N64" s="45"/>
      <c r="O64" s="471" t="s">
        <v>42</v>
      </c>
      <c r="P64" s="471"/>
      <c r="Q64" s="471"/>
      <c r="R64" s="471"/>
      <c r="S64" s="471" t="n">
        <f aca="false">COUNTIF($K$2:$K$476,"I - Extremamente tóxico")</f>
        <v>134</v>
      </c>
      <c r="T64" s="472" t="n">
        <f aca="false">(S64/S76)</f>
        <v>0.331683168316832</v>
      </c>
    </row>
    <row r="65" customFormat="false" ht="14.25" hidden="false" customHeight="true" outlineLevel="0" collapsed="false">
      <c r="A65" s="449" t="n">
        <v>6417</v>
      </c>
      <c r="B65" s="450" t="s">
        <v>14918</v>
      </c>
      <c r="C65" s="450" t="n">
        <v>2010</v>
      </c>
      <c r="D65" s="451" t="n">
        <v>40406</v>
      </c>
      <c r="E65" s="452" t="s">
        <v>14919</v>
      </c>
      <c r="F65" s="378" t="s">
        <v>699</v>
      </c>
      <c r="G65" s="452" t="s">
        <v>1174</v>
      </c>
      <c r="H65" s="378" t="s">
        <v>354</v>
      </c>
      <c r="I65" s="451" t="n">
        <v>42811</v>
      </c>
      <c r="J65" s="452" t="n">
        <v>3</v>
      </c>
      <c r="K65" s="616" t="s">
        <v>42</v>
      </c>
      <c r="L65" s="450" t="s">
        <v>60</v>
      </c>
      <c r="M65" s="455" t="n">
        <f aca="false">I65-D65</f>
        <v>2405</v>
      </c>
      <c r="N65" s="45"/>
      <c r="O65" s="345" t="s">
        <v>43</v>
      </c>
      <c r="P65" s="345"/>
      <c r="Q65" s="345"/>
      <c r="R65" s="345"/>
      <c r="S65" s="345" t="n">
        <f aca="false">COUNTIF($K$2:$K$476,"Categoria 1 - Produto Extremamente Tóxico")</f>
        <v>0</v>
      </c>
      <c r="T65" s="473" t="n">
        <f aca="false">(S65/S76)</f>
        <v>0</v>
      </c>
    </row>
    <row r="66" customFormat="false" ht="12.75" hidden="false" customHeight="true" outlineLevel="0" collapsed="false">
      <c r="A66" s="456" t="n">
        <v>6517</v>
      </c>
      <c r="B66" s="458" t="s">
        <v>14920</v>
      </c>
      <c r="C66" s="458" t="n">
        <v>2013</v>
      </c>
      <c r="D66" s="459" t="n">
        <v>41628</v>
      </c>
      <c r="E66" s="460" t="s">
        <v>14921</v>
      </c>
      <c r="F66" s="380" t="s">
        <v>113</v>
      </c>
      <c r="G66" s="460" t="s">
        <v>1174</v>
      </c>
      <c r="H66" s="380" t="s">
        <v>350</v>
      </c>
      <c r="I66" s="459" t="n">
        <v>42811</v>
      </c>
      <c r="J66" s="460" t="n">
        <v>3</v>
      </c>
      <c r="K66" s="615" t="s">
        <v>47</v>
      </c>
      <c r="L66" s="458" t="s">
        <v>60</v>
      </c>
      <c r="M66" s="463" t="n">
        <f aca="false">I66-D66</f>
        <v>1183</v>
      </c>
      <c r="N66" s="45"/>
      <c r="O66" s="345" t="s">
        <v>44</v>
      </c>
      <c r="P66" s="345"/>
      <c r="Q66" s="345"/>
      <c r="R66" s="345"/>
      <c r="S66" s="345" t="n">
        <f aca="false">COUNTIF($K$2:$K$476,"Categoria 2 - Produto Altamente Tóxico")</f>
        <v>0</v>
      </c>
      <c r="T66" s="473" t="n">
        <f aca="false">(S66/S76)</f>
        <v>0</v>
      </c>
    </row>
    <row r="67" customFormat="false" ht="12.75" hidden="false" customHeight="true" outlineLevel="0" collapsed="false">
      <c r="A67" s="449" t="n">
        <v>6617</v>
      </c>
      <c r="B67" s="450" t="s">
        <v>14922</v>
      </c>
      <c r="C67" s="450" t="n">
        <v>2016</v>
      </c>
      <c r="D67" s="451" t="n">
        <v>42613</v>
      </c>
      <c r="E67" s="452" t="s">
        <v>14923</v>
      </c>
      <c r="F67" s="378" t="s">
        <v>113</v>
      </c>
      <c r="G67" s="452" t="s">
        <v>1174</v>
      </c>
      <c r="H67" s="378" t="s">
        <v>350</v>
      </c>
      <c r="I67" s="451" t="n">
        <v>42811</v>
      </c>
      <c r="J67" s="452" t="n">
        <v>3</v>
      </c>
      <c r="K67" s="615" t="s">
        <v>47</v>
      </c>
      <c r="L67" s="450" t="s">
        <v>60</v>
      </c>
      <c r="M67" s="455" t="n">
        <f aca="false">I67-D67</f>
        <v>198</v>
      </c>
      <c r="N67" s="45"/>
      <c r="O67" s="349" t="s">
        <v>45</v>
      </c>
      <c r="P67" s="349"/>
      <c r="Q67" s="349"/>
      <c r="R67" s="349"/>
      <c r="S67" s="349" t="n">
        <f aca="false">COUNTIF($K$2:$K$476,"II - Altamente tóxico")</f>
        <v>56</v>
      </c>
      <c r="T67" s="474" t="n">
        <f aca="false">(S67/S76)</f>
        <v>0.138613861386139</v>
      </c>
    </row>
    <row r="68" customFormat="false" ht="12.75" hidden="false" customHeight="true" outlineLevel="0" collapsed="false">
      <c r="A68" s="456" t="n">
        <v>6717</v>
      </c>
      <c r="B68" s="458" t="s">
        <v>14924</v>
      </c>
      <c r="C68" s="458" t="n">
        <v>2011</v>
      </c>
      <c r="D68" s="459" t="n">
        <v>40805</v>
      </c>
      <c r="E68" s="460" t="s">
        <v>14925</v>
      </c>
      <c r="F68" s="380" t="s">
        <v>4956</v>
      </c>
      <c r="G68" s="460" t="s">
        <v>1174</v>
      </c>
      <c r="H68" s="380" t="s">
        <v>1072</v>
      </c>
      <c r="I68" s="459" t="n">
        <v>42814</v>
      </c>
      <c r="J68" s="460" t="n">
        <v>3</v>
      </c>
      <c r="K68" s="615" t="s">
        <v>47</v>
      </c>
      <c r="L68" s="458" t="s">
        <v>58</v>
      </c>
      <c r="M68" s="463" t="n">
        <f aca="false">I68-D68</f>
        <v>2009</v>
      </c>
      <c r="N68" s="45"/>
      <c r="O68" s="349" t="s">
        <v>46</v>
      </c>
      <c r="P68" s="349"/>
      <c r="Q68" s="349"/>
      <c r="R68" s="349"/>
      <c r="S68" s="349" t="n">
        <f aca="false">COUNTIF($K$2:$K$476,"Categoria 3 - Produto Moderadamente Tóxico")</f>
        <v>0</v>
      </c>
      <c r="T68" s="474" t="n">
        <f aca="false">(S68/S76)</f>
        <v>0</v>
      </c>
    </row>
    <row r="69" customFormat="false" ht="12.75" hidden="false" customHeight="true" outlineLevel="0" collapsed="false">
      <c r="A69" s="449" t="n">
        <v>6817</v>
      </c>
      <c r="B69" s="450" t="s">
        <v>14926</v>
      </c>
      <c r="C69" s="450" t="n">
        <v>2013</v>
      </c>
      <c r="D69" s="451" t="n">
        <v>41486</v>
      </c>
      <c r="E69" s="452" t="s">
        <v>14927</v>
      </c>
      <c r="F69" s="378" t="s">
        <v>4956</v>
      </c>
      <c r="G69" s="452" t="s">
        <v>1174</v>
      </c>
      <c r="H69" s="378" t="s">
        <v>184</v>
      </c>
      <c r="I69" s="451" t="n">
        <v>42814</v>
      </c>
      <c r="J69" s="452" t="n">
        <v>3</v>
      </c>
      <c r="K69" s="615" t="s">
        <v>47</v>
      </c>
      <c r="L69" s="450" t="s">
        <v>58</v>
      </c>
      <c r="M69" s="455" t="n">
        <f aca="false">I69-D69</f>
        <v>1328</v>
      </c>
      <c r="N69" s="45"/>
      <c r="O69" s="351" t="s">
        <v>47</v>
      </c>
      <c r="P69" s="351"/>
      <c r="Q69" s="351"/>
      <c r="R69" s="351"/>
      <c r="S69" s="351" t="n">
        <f aca="false">COUNTIF($K$2:$K$476,"III - Medianamente tóxico")</f>
        <v>165</v>
      </c>
      <c r="T69" s="475" t="n">
        <f aca="false">(S69/S76)</f>
        <v>0.408415841584158</v>
      </c>
    </row>
    <row r="70" customFormat="false" ht="12.75" hidden="false" customHeight="true" outlineLevel="0" collapsed="false">
      <c r="A70" s="456" t="n">
        <v>6917</v>
      </c>
      <c r="B70" s="458" t="s">
        <v>14928</v>
      </c>
      <c r="C70" s="458" t="n">
        <v>2014</v>
      </c>
      <c r="D70" s="459" t="n">
        <v>41687</v>
      </c>
      <c r="E70" s="460" t="s">
        <v>14929</v>
      </c>
      <c r="F70" s="380" t="s">
        <v>4956</v>
      </c>
      <c r="G70" s="460" t="s">
        <v>1174</v>
      </c>
      <c r="H70" s="380" t="s">
        <v>1266</v>
      </c>
      <c r="I70" s="459" t="n">
        <v>42814</v>
      </c>
      <c r="J70" s="460" t="n">
        <v>3</v>
      </c>
      <c r="K70" s="615" t="s">
        <v>47</v>
      </c>
      <c r="L70" s="458" t="s">
        <v>58</v>
      </c>
      <c r="M70" s="463" t="n">
        <f aca="false">I70-D70</f>
        <v>1127</v>
      </c>
      <c r="N70" s="45"/>
      <c r="O70" s="351" t="s">
        <v>48</v>
      </c>
      <c r="P70" s="351"/>
      <c r="Q70" s="351"/>
      <c r="R70" s="351"/>
      <c r="S70" s="351" t="n">
        <f aca="false">COUNTIF($K$2:$K$476,"Categoria 4 - Produto Pouco Tóxico")</f>
        <v>0</v>
      </c>
      <c r="T70" s="475" t="n">
        <f aca="false">(S70/S76)</f>
        <v>0</v>
      </c>
    </row>
    <row r="71" customFormat="false" ht="12.75" hidden="false" customHeight="true" outlineLevel="0" collapsed="false">
      <c r="A71" s="449" t="n">
        <v>7017</v>
      </c>
      <c r="B71" s="450" t="s">
        <v>14930</v>
      </c>
      <c r="C71" s="450" t="n">
        <v>2013</v>
      </c>
      <c r="D71" s="451" t="n">
        <v>41565</v>
      </c>
      <c r="E71" s="452" t="s">
        <v>14931</v>
      </c>
      <c r="F71" s="378" t="s">
        <v>4956</v>
      </c>
      <c r="G71" s="452" t="s">
        <v>1174</v>
      </c>
      <c r="H71" s="378" t="s">
        <v>513</v>
      </c>
      <c r="I71" s="451" t="n">
        <v>42814</v>
      </c>
      <c r="J71" s="452" t="n">
        <v>3</v>
      </c>
      <c r="K71" s="615" t="s">
        <v>47</v>
      </c>
      <c r="L71" s="450" t="s">
        <v>58</v>
      </c>
      <c r="M71" s="455" t="n">
        <f aca="false">I71-D71</f>
        <v>1249</v>
      </c>
      <c r="N71" s="45"/>
      <c r="O71" s="351" t="s">
        <v>49</v>
      </c>
      <c r="P71" s="351"/>
      <c r="Q71" s="351"/>
      <c r="R71" s="351"/>
      <c r="S71" s="351" t="n">
        <f aca="false">COUNTIF($K$2:$K$476,"Categoria 5 - Produto Improvável de Causar Dano Agudo")</f>
        <v>0</v>
      </c>
      <c r="T71" s="475" t="n">
        <f aca="false">(S71/S76)</f>
        <v>0</v>
      </c>
    </row>
    <row r="72" customFormat="false" ht="12.75" hidden="false" customHeight="true" outlineLevel="0" collapsed="false">
      <c r="A72" s="456" t="n">
        <v>7117</v>
      </c>
      <c r="B72" s="458" t="s">
        <v>14932</v>
      </c>
      <c r="C72" s="458" t="n">
        <v>2016</v>
      </c>
      <c r="D72" s="459" t="n">
        <v>42457</v>
      </c>
      <c r="E72" s="460" t="s">
        <v>14933</v>
      </c>
      <c r="F72" s="380" t="s">
        <v>4956</v>
      </c>
      <c r="G72" s="460" t="s">
        <v>1174</v>
      </c>
      <c r="H72" s="380" t="s">
        <v>706</v>
      </c>
      <c r="I72" s="459" t="n">
        <v>42814</v>
      </c>
      <c r="J72" s="460" t="n">
        <v>3</v>
      </c>
      <c r="K72" s="615" t="s">
        <v>47</v>
      </c>
      <c r="L72" s="458" t="s">
        <v>58</v>
      </c>
      <c r="M72" s="463" t="n">
        <f aca="false">I72-D72</f>
        <v>357</v>
      </c>
      <c r="N72" s="45"/>
      <c r="O72" s="353" t="s">
        <v>50</v>
      </c>
      <c r="P72" s="353"/>
      <c r="Q72" s="353"/>
      <c r="R72" s="353"/>
      <c r="S72" s="353" t="n">
        <f aca="false">COUNTIF($K$2:$K$476,"IV - Pouco tóxico")</f>
        <v>43</v>
      </c>
      <c r="T72" s="476" t="n">
        <f aca="false">(S72/S76)</f>
        <v>0.106435643564356</v>
      </c>
    </row>
    <row r="73" customFormat="false" ht="12.75" hidden="false" customHeight="true" outlineLevel="0" collapsed="false">
      <c r="A73" s="449" t="n">
        <v>7217</v>
      </c>
      <c r="B73" s="450" t="s">
        <v>14934</v>
      </c>
      <c r="C73" s="450" t="n">
        <v>2014</v>
      </c>
      <c r="D73" s="451" t="n">
        <v>41731</v>
      </c>
      <c r="E73" s="452" t="s">
        <v>14935</v>
      </c>
      <c r="F73" s="378" t="s">
        <v>689</v>
      </c>
      <c r="G73" s="452" t="s">
        <v>1174</v>
      </c>
      <c r="H73" s="378" t="s">
        <v>6674</v>
      </c>
      <c r="I73" s="451" t="n">
        <v>42814</v>
      </c>
      <c r="J73" s="452" t="n">
        <v>3</v>
      </c>
      <c r="K73" s="616" t="s">
        <v>42</v>
      </c>
      <c r="L73" s="450" t="s">
        <v>60</v>
      </c>
      <c r="M73" s="455" t="n">
        <f aca="false">I73-D73</f>
        <v>1083</v>
      </c>
      <c r="N73" s="45"/>
      <c r="O73" s="353" t="s">
        <v>51</v>
      </c>
      <c r="P73" s="353"/>
      <c r="Q73" s="353"/>
      <c r="R73" s="353"/>
      <c r="S73" s="353" t="n">
        <f aca="false">COUNTIF($K$2:$K$476,"Não classificado - Produto não classificado")</f>
        <v>0</v>
      </c>
      <c r="T73" s="476" t="n">
        <f aca="false">(S73/S76)</f>
        <v>0</v>
      </c>
    </row>
    <row r="74" customFormat="false" ht="12.75" hidden="false" customHeight="true" outlineLevel="0" collapsed="false">
      <c r="A74" s="456" t="n">
        <v>7317</v>
      </c>
      <c r="B74" s="458" t="s">
        <v>14936</v>
      </c>
      <c r="C74" s="458" t="n">
        <v>2012</v>
      </c>
      <c r="D74" s="459" t="n">
        <v>40969</v>
      </c>
      <c r="E74" s="460" t="s">
        <v>14937</v>
      </c>
      <c r="F74" s="380" t="s">
        <v>211</v>
      </c>
      <c r="G74" s="460" t="s">
        <v>1174</v>
      </c>
      <c r="H74" s="380" t="s">
        <v>706</v>
      </c>
      <c r="I74" s="459" t="n">
        <v>42815</v>
      </c>
      <c r="J74" s="460" t="n">
        <v>3</v>
      </c>
      <c r="K74" s="616" t="s">
        <v>42</v>
      </c>
      <c r="L74" s="458" t="s">
        <v>60</v>
      </c>
      <c r="M74" s="463" t="n">
        <f aca="false">I74-D74</f>
        <v>1846</v>
      </c>
      <c r="N74" s="45"/>
      <c r="O74" s="353" t="s">
        <v>2407</v>
      </c>
      <c r="P74" s="353"/>
      <c r="Q74" s="353"/>
      <c r="R74" s="353"/>
      <c r="S74" s="353" t="n">
        <f aca="false">COUNTIF($K$2:$K$476,"Não determinada devido à natureza do produto (Inimigos naturais)")</f>
        <v>6</v>
      </c>
      <c r="T74" s="476" t="n">
        <f aca="false">(S74/S76)</f>
        <v>0.0148514851485149</v>
      </c>
    </row>
    <row r="75" customFormat="false" ht="12.75" hidden="false" customHeight="true" outlineLevel="0" collapsed="false">
      <c r="A75" s="449" t="n">
        <v>7417</v>
      </c>
      <c r="B75" s="450" t="s">
        <v>14938</v>
      </c>
      <c r="C75" s="450" t="n">
        <v>2010</v>
      </c>
      <c r="D75" s="451" t="n">
        <v>40212</v>
      </c>
      <c r="E75" s="452" t="s">
        <v>14939</v>
      </c>
      <c r="F75" s="378" t="s">
        <v>238</v>
      </c>
      <c r="G75" s="452" t="s">
        <v>1174</v>
      </c>
      <c r="H75" s="378" t="s">
        <v>223</v>
      </c>
      <c r="I75" s="451" t="n">
        <v>42815</v>
      </c>
      <c r="J75" s="452" t="n">
        <v>3</v>
      </c>
      <c r="K75" s="615" t="s">
        <v>47</v>
      </c>
      <c r="L75" s="450" t="s">
        <v>60</v>
      </c>
      <c r="M75" s="455" t="n">
        <f aca="false">I75-D75</f>
        <v>2603</v>
      </c>
      <c r="N75" s="45"/>
      <c r="O75" s="478" t="s">
        <v>53</v>
      </c>
      <c r="P75" s="478"/>
      <c r="Q75" s="478"/>
      <c r="R75" s="478"/>
      <c r="S75" s="478" t="n">
        <f aca="false">COUNTIF($K$2:$K$476,"O perfil toxicológico foi considerado equivalente ao produto técnico de referência")</f>
        <v>0</v>
      </c>
      <c r="T75" s="479" t="n">
        <f aca="false">(S75/S76)</f>
        <v>0</v>
      </c>
    </row>
    <row r="76" customFormat="false" ht="13.5" hidden="false" customHeight="true" outlineLevel="0" collapsed="false">
      <c r="A76" s="456" t="n">
        <v>7517</v>
      </c>
      <c r="B76" s="458" t="s">
        <v>14940</v>
      </c>
      <c r="C76" s="458" t="n">
        <v>2013</v>
      </c>
      <c r="D76" s="459" t="n">
        <v>41521</v>
      </c>
      <c r="E76" s="460" t="s">
        <v>14941</v>
      </c>
      <c r="F76" s="380" t="s">
        <v>1150</v>
      </c>
      <c r="G76" s="460" t="s">
        <v>441</v>
      </c>
      <c r="H76" s="380" t="s">
        <v>2296</v>
      </c>
      <c r="I76" s="459" t="n">
        <v>42816</v>
      </c>
      <c r="J76" s="460" t="n">
        <v>3</v>
      </c>
      <c r="K76" s="615" t="s">
        <v>47</v>
      </c>
      <c r="L76" s="458" t="s">
        <v>58</v>
      </c>
      <c r="M76" s="463" t="n">
        <f aca="false">I76-D76</f>
        <v>1295</v>
      </c>
      <c r="N76" s="45"/>
      <c r="O76" s="419" t="s">
        <v>54</v>
      </c>
      <c r="P76" s="419"/>
      <c r="Q76" s="419"/>
      <c r="R76" s="419"/>
      <c r="S76" s="363" t="n">
        <f aca="false">SUM(S64:S75)</f>
        <v>404</v>
      </c>
      <c r="T76" s="364" t="n">
        <f aca="false">(S76/S76)</f>
        <v>1</v>
      </c>
    </row>
    <row r="77" customFormat="false" ht="12.75" hidden="false" customHeight="true" outlineLevel="0" collapsed="false">
      <c r="A77" s="449" t="n">
        <v>7617</v>
      </c>
      <c r="B77" s="450" t="s">
        <v>14942</v>
      </c>
      <c r="C77" s="450" t="n">
        <v>2013</v>
      </c>
      <c r="D77" s="451" t="n">
        <v>41523</v>
      </c>
      <c r="E77" s="452" t="s">
        <v>14943</v>
      </c>
      <c r="F77" s="378" t="s">
        <v>1150</v>
      </c>
      <c r="G77" s="452" t="s">
        <v>441</v>
      </c>
      <c r="H77" s="378" t="s">
        <v>354</v>
      </c>
      <c r="I77" s="451" t="n">
        <v>42816</v>
      </c>
      <c r="J77" s="452" t="n">
        <v>3</v>
      </c>
      <c r="K77" s="615" t="s">
        <v>47</v>
      </c>
      <c r="L77" s="450" t="s">
        <v>58</v>
      </c>
      <c r="M77" s="455" t="n">
        <f aca="false">I77-D77</f>
        <v>1293</v>
      </c>
      <c r="N77" s="45"/>
      <c r="O77" s="153"/>
      <c r="P77" s="153"/>
      <c r="Q77" s="153"/>
      <c r="R77" s="153"/>
      <c r="S77" s="153"/>
      <c r="T77" s="153"/>
    </row>
    <row r="78" customFormat="false" ht="13.5" hidden="false" customHeight="true" outlineLevel="0" collapsed="false">
      <c r="A78" s="456" t="n">
        <v>7717</v>
      </c>
      <c r="B78" s="458" t="s">
        <v>14944</v>
      </c>
      <c r="C78" s="458" t="n">
        <v>2015</v>
      </c>
      <c r="D78" s="459" t="n">
        <v>42207</v>
      </c>
      <c r="E78" s="460" t="s">
        <v>14945</v>
      </c>
      <c r="F78" s="380" t="s">
        <v>449</v>
      </c>
      <c r="G78" s="460" t="s">
        <v>1174</v>
      </c>
      <c r="H78" s="380" t="s">
        <v>706</v>
      </c>
      <c r="I78" s="459" t="n">
        <v>42817</v>
      </c>
      <c r="J78" s="460" t="n">
        <v>3</v>
      </c>
      <c r="K78" s="615" t="s">
        <v>47</v>
      </c>
      <c r="L78" s="458" t="s">
        <v>58</v>
      </c>
      <c r="M78" s="463" t="n">
        <f aca="false">I78-D78</f>
        <v>610</v>
      </c>
      <c r="N78" s="45"/>
      <c r="O78" s="339" t="s">
        <v>102</v>
      </c>
      <c r="P78" s="339"/>
      <c r="Q78" s="339"/>
      <c r="R78" s="339"/>
      <c r="S78" s="339"/>
      <c r="T78" s="339"/>
    </row>
    <row r="79" customFormat="false" ht="12.75" hidden="false" customHeight="true" outlineLevel="0" collapsed="false">
      <c r="A79" s="449" t="n">
        <v>7817</v>
      </c>
      <c r="B79" s="450" t="s">
        <v>14946</v>
      </c>
      <c r="C79" s="450" t="n">
        <v>2013</v>
      </c>
      <c r="D79" s="451" t="n">
        <v>41579</v>
      </c>
      <c r="E79" s="452" t="s">
        <v>14947</v>
      </c>
      <c r="F79" s="378" t="s">
        <v>823</v>
      </c>
      <c r="G79" s="452" t="s">
        <v>1174</v>
      </c>
      <c r="H79" s="378" t="s">
        <v>10614</v>
      </c>
      <c r="I79" s="451" t="n">
        <v>42817</v>
      </c>
      <c r="J79" s="452" t="n">
        <v>3</v>
      </c>
      <c r="K79" s="615" t="s">
        <v>47</v>
      </c>
      <c r="L79" s="450" t="s">
        <v>58</v>
      </c>
      <c r="M79" s="455" t="n">
        <f aca="false">I79-D79</f>
        <v>1238</v>
      </c>
      <c r="N79" s="45"/>
      <c r="O79" s="339"/>
      <c r="P79" s="339"/>
      <c r="Q79" s="339"/>
      <c r="R79" s="339"/>
      <c r="S79" s="339"/>
      <c r="T79" s="339"/>
    </row>
    <row r="80" customFormat="false" ht="12.75" hidden="false" customHeight="true" outlineLevel="0" collapsed="false">
      <c r="A80" s="456" t="n">
        <v>7917</v>
      </c>
      <c r="B80" s="458" t="s">
        <v>14948</v>
      </c>
      <c r="C80" s="458" t="n">
        <v>2010</v>
      </c>
      <c r="D80" s="459" t="n">
        <v>40393</v>
      </c>
      <c r="E80" s="460" t="s">
        <v>14949</v>
      </c>
      <c r="F80" s="380" t="s">
        <v>180</v>
      </c>
      <c r="G80" s="460" t="s">
        <v>1174</v>
      </c>
      <c r="H80" s="380" t="s">
        <v>706</v>
      </c>
      <c r="I80" s="459" t="n">
        <v>42817</v>
      </c>
      <c r="J80" s="460" t="n">
        <v>3</v>
      </c>
      <c r="K80" s="615" t="s">
        <v>47</v>
      </c>
      <c r="L80" s="458" t="s">
        <v>58</v>
      </c>
      <c r="M80" s="463" t="n">
        <f aca="false">I80-D80</f>
        <v>2424</v>
      </c>
      <c r="N80" s="45"/>
      <c r="O80" s="340" t="s">
        <v>38</v>
      </c>
      <c r="P80" s="340"/>
      <c r="Q80" s="340"/>
      <c r="R80" s="340"/>
      <c r="S80" s="374" t="s">
        <v>343</v>
      </c>
      <c r="T80" s="375" t="s">
        <v>41</v>
      </c>
    </row>
    <row r="81" customFormat="false" ht="13.5" hidden="false" customHeight="true" outlineLevel="0" collapsed="false">
      <c r="A81" s="449" t="n">
        <v>8017</v>
      </c>
      <c r="B81" s="450" t="s">
        <v>14950</v>
      </c>
      <c r="C81" s="450" t="n">
        <v>2015</v>
      </c>
      <c r="D81" s="451" t="n">
        <v>42094</v>
      </c>
      <c r="E81" s="452" t="s">
        <v>14951</v>
      </c>
      <c r="F81" s="378" t="s">
        <v>14952</v>
      </c>
      <c r="G81" s="452" t="s">
        <v>144</v>
      </c>
      <c r="H81" s="378" t="s">
        <v>1109</v>
      </c>
      <c r="I81" s="451" t="n">
        <v>42822</v>
      </c>
      <c r="J81" s="452" t="n">
        <v>3</v>
      </c>
      <c r="K81" s="614" t="s">
        <v>45</v>
      </c>
      <c r="L81" s="450" t="s">
        <v>57</v>
      </c>
      <c r="M81" s="455" t="n">
        <f aca="false">I81-D81</f>
        <v>728</v>
      </c>
      <c r="N81" s="45"/>
      <c r="O81" s="480" t="s">
        <v>57</v>
      </c>
      <c r="P81" s="480"/>
      <c r="Q81" s="480"/>
      <c r="R81" s="480"/>
      <c r="S81" s="536" t="n">
        <f aca="false">COUNTIF($L$2:$L$476,"I - Produto altamente perigoso ao meio ambiente")</f>
        <v>13</v>
      </c>
      <c r="T81" s="377" t="n">
        <f aca="false">(S81/S85)</f>
        <v>0.0321782178217822</v>
      </c>
    </row>
    <row r="82" customFormat="false" ht="13.5" hidden="false" customHeight="true" outlineLevel="0" collapsed="false">
      <c r="A82" s="456" t="n">
        <v>8117</v>
      </c>
      <c r="B82" s="458" t="s">
        <v>14953</v>
      </c>
      <c r="C82" s="458" t="n">
        <v>2011</v>
      </c>
      <c r="D82" s="459" t="n">
        <v>40773</v>
      </c>
      <c r="E82" s="460" t="s">
        <v>14954</v>
      </c>
      <c r="F82" s="380" t="s">
        <v>1277</v>
      </c>
      <c r="G82" s="460" t="s">
        <v>1174</v>
      </c>
      <c r="H82" s="380" t="s">
        <v>3240</v>
      </c>
      <c r="I82" s="459" t="n">
        <v>42823</v>
      </c>
      <c r="J82" s="460" t="n">
        <v>3</v>
      </c>
      <c r="K82" s="614" t="s">
        <v>45</v>
      </c>
      <c r="L82" s="458" t="s">
        <v>58</v>
      </c>
      <c r="M82" s="463" t="n">
        <f aca="false">I82-D82</f>
        <v>2050</v>
      </c>
      <c r="N82" s="45"/>
      <c r="O82" s="378" t="s">
        <v>58</v>
      </c>
      <c r="P82" s="378"/>
      <c r="Q82" s="378"/>
      <c r="R82" s="378"/>
      <c r="S82" s="537" t="n">
        <f aca="false">COUNTIF($L$2:$L$476,"II - Produto muito perigoso ao meio ambiente")</f>
        <v>202</v>
      </c>
      <c r="T82" s="379" t="n">
        <f aca="false">(S82/S85)</f>
        <v>0.5</v>
      </c>
    </row>
    <row r="83" customFormat="false" ht="13.5" hidden="false" customHeight="true" outlineLevel="0" collapsed="false">
      <c r="A83" s="449" t="n">
        <v>8217</v>
      </c>
      <c r="B83" s="450" t="s">
        <v>14953</v>
      </c>
      <c r="C83" s="450" t="n">
        <v>2011</v>
      </c>
      <c r="D83" s="451" t="n">
        <v>40773</v>
      </c>
      <c r="E83" s="452" t="s">
        <v>14955</v>
      </c>
      <c r="F83" s="378" t="s">
        <v>1277</v>
      </c>
      <c r="G83" s="452" t="s">
        <v>1174</v>
      </c>
      <c r="H83" s="378" t="s">
        <v>471</v>
      </c>
      <c r="I83" s="451" t="n">
        <v>42823</v>
      </c>
      <c r="J83" s="452" t="n">
        <v>3</v>
      </c>
      <c r="K83" s="614" t="s">
        <v>45</v>
      </c>
      <c r="L83" s="450" t="s">
        <v>58</v>
      </c>
      <c r="M83" s="455" t="n">
        <f aca="false">I83-D83</f>
        <v>2050</v>
      </c>
      <c r="N83" s="45"/>
      <c r="O83" s="380" t="s">
        <v>60</v>
      </c>
      <c r="P83" s="380"/>
      <c r="Q83" s="380"/>
      <c r="R83" s="380"/>
      <c r="S83" s="536" t="n">
        <f aca="false">COUNTIF($L$2:$L$476,"III - Produto perigoso ao meio ambiente")</f>
        <v>141</v>
      </c>
      <c r="T83" s="377" t="n">
        <f aca="false">(S83/S85)</f>
        <v>0.349009900990099</v>
      </c>
    </row>
    <row r="84" customFormat="false" ht="14.25" hidden="false" customHeight="true" outlineLevel="0" collapsed="false">
      <c r="A84" s="456" t="n">
        <v>8317</v>
      </c>
      <c r="B84" s="458" t="s">
        <v>14956</v>
      </c>
      <c r="C84" s="458" t="n">
        <v>2014</v>
      </c>
      <c r="D84" s="459" t="n">
        <v>41705</v>
      </c>
      <c r="E84" s="460" t="s">
        <v>14957</v>
      </c>
      <c r="F84" s="380" t="s">
        <v>14958</v>
      </c>
      <c r="G84" s="460" t="s">
        <v>115</v>
      </c>
      <c r="H84" s="380" t="s">
        <v>134</v>
      </c>
      <c r="I84" s="459" t="n">
        <v>42823</v>
      </c>
      <c r="J84" s="460" t="n">
        <v>3</v>
      </c>
      <c r="K84" s="615" t="s">
        <v>47</v>
      </c>
      <c r="L84" s="458" t="s">
        <v>58</v>
      </c>
      <c r="M84" s="463" t="n">
        <f aca="false">I84-D84</f>
        <v>1118</v>
      </c>
      <c r="N84" s="45"/>
      <c r="O84" s="378" t="s">
        <v>61</v>
      </c>
      <c r="P84" s="378"/>
      <c r="Q84" s="378"/>
      <c r="R84" s="378"/>
      <c r="S84" s="537" t="n">
        <f aca="false">COUNTIF($L$2:$L$476,"IV - Produto pouco perigoso ao meio ambiente")</f>
        <v>48</v>
      </c>
      <c r="T84" s="379" t="n">
        <f aca="false">(S84/S85)</f>
        <v>0.118811881188119</v>
      </c>
    </row>
    <row r="85" customFormat="false" ht="12.75" hidden="false" customHeight="true" outlineLevel="0" collapsed="false">
      <c r="A85" s="449" t="n">
        <v>8417</v>
      </c>
      <c r="B85" s="450" t="s">
        <v>14959</v>
      </c>
      <c r="C85" s="450" t="n">
        <v>2015</v>
      </c>
      <c r="D85" s="451" t="n">
        <v>42187</v>
      </c>
      <c r="E85" s="452" t="s">
        <v>14960</v>
      </c>
      <c r="F85" s="378" t="s">
        <v>211</v>
      </c>
      <c r="G85" s="452" t="s">
        <v>1174</v>
      </c>
      <c r="H85" s="378" t="s">
        <v>14961</v>
      </c>
      <c r="I85" s="451" t="n">
        <v>42825</v>
      </c>
      <c r="J85" s="452" t="n">
        <v>3</v>
      </c>
      <c r="K85" s="616" t="s">
        <v>42</v>
      </c>
      <c r="L85" s="450" t="s">
        <v>58</v>
      </c>
      <c r="M85" s="455" t="n">
        <f aca="false">I85-D85</f>
        <v>638</v>
      </c>
      <c r="N85" s="45"/>
      <c r="O85" s="340" t="s">
        <v>54</v>
      </c>
      <c r="P85" s="340"/>
      <c r="Q85" s="340"/>
      <c r="R85" s="340"/>
      <c r="S85" s="363" t="n">
        <f aca="false">SUM(S81:S84)</f>
        <v>404</v>
      </c>
      <c r="T85" s="364" t="n">
        <f aca="false">(S85/S85)</f>
        <v>1</v>
      </c>
    </row>
    <row r="86" customFormat="false" ht="12.75" hidden="false" customHeight="true" outlineLevel="0" collapsed="false">
      <c r="A86" s="456" t="n">
        <v>8517</v>
      </c>
      <c r="B86" s="458" t="s">
        <v>14962</v>
      </c>
      <c r="C86" s="458" t="n">
        <v>2011</v>
      </c>
      <c r="D86" s="459" t="n">
        <v>40584</v>
      </c>
      <c r="E86" s="460" t="s">
        <v>14963</v>
      </c>
      <c r="F86" s="380" t="s">
        <v>8232</v>
      </c>
      <c r="G86" s="460" t="s">
        <v>441</v>
      </c>
      <c r="H86" s="380" t="s">
        <v>14964</v>
      </c>
      <c r="I86" s="459" t="n">
        <v>42825</v>
      </c>
      <c r="J86" s="460" t="n">
        <v>3</v>
      </c>
      <c r="K86" s="613" t="s">
        <v>50</v>
      </c>
      <c r="L86" s="458" t="s">
        <v>60</v>
      </c>
      <c r="M86" s="463" t="n">
        <f aca="false">I86-D86</f>
        <v>2241</v>
      </c>
      <c r="N86" s="45"/>
      <c r="O86" s="153"/>
      <c r="P86" s="153"/>
      <c r="Q86" s="153"/>
      <c r="R86" s="153"/>
      <c r="S86" s="153"/>
      <c r="T86" s="153"/>
    </row>
    <row r="87" customFormat="false" ht="13.5" hidden="false" customHeight="true" outlineLevel="0" collapsed="false">
      <c r="A87" s="449" t="n">
        <v>8617</v>
      </c>
      <c r="B87" s="450" t="s">
        <v>14965</v>
      </c>
      <c r="C87" s="450" t="n">
        <v>2011</v>
      </c>
      <c r="D87" s="451" t="n">
        <v>40592</v>
      </c>
      <c r="E87" s="452" t="s">
        <v>14966</v>
      </c>
      <c r="F87" s="378" t="s">
        <v>8232</v>
      </c>
      <c r="G87" s="452" t="s">
        <v>441</v>
      </c>
      <c r="H87" s="378" t="s">
        <v>14964</v>
      </c>
      <c r="I87" s="451" t="n">
        <v>42825</v>
      </c>
      <c r="J87" s="452" t="n">
        <v>3</v>
      </c>
      <c r="K87" s="613" t="s">
        <v>50</v>
      </c>
      <c r="L87" s="450" t="s">
        <v>60</v>
      </c>
      <c r="M87" s="455" t="n">
        <f aca="false">I87-D87</f>
        <v>2233</v>
      </c>
      <c r="N87" s="45"/>
      <c r="O87" s="421" t="s">
        <v>425</v>
      </c>
      <c r="P87" s="421"/>
      <c r="Q87" s="421"/>
      <c r="R87" s="421"/>
      <c r="S87" s="153"/>
      <c r="T87" s="153"/>
    </row>
    <row r="88" customFormat="false" ht="12.75" hidden="false" customHeight="true" outlineLevel="0" collapsed="false">
      <c r="A88" s="456" t="n">
        <v>8717</v>
      </c>
      <c r="B88" s="458" t="s">
        <v>14967</v>
      </c>
      <c r="C88" s="458" t="n">
        <v>2011</v>
      </c>
      <c r="D88" s="459" t="n">
        <v>40592</v>
      </c>
      <c r="E88" s="460" t="s">
        <v>14968</v>
      </c>
      <c r="F88" s="380" t="s">
        <v>8232</v>
      </c>
      <c r="G88" s="460" t="s">
        <v>441</v>
      </c>
      <c r="H88" s="380" t="s">
        <v>14964</v>
      </c>
      <c r="I88" s="459" t="n">
        <v>42825</v>
      </c>
      <c r="J88" s="460" t="n">
        <v>3</v>
      </c>
      <c r="K88" s="613" t="s">
        <v>50</v>
      </c>
      <c r="L88" s="458" t="s">
        <v>60</v>
      </c>
      <c r="M88" s="463" t="n">
        <f aca="false">I88-D88</f>
        <v>2233</v>
      </c>
      <c r="N88" s="45"/>
      <c r="O88" s="421"/>
      <c r="P88" s="421"/>
      <c r="Q88" s="421"/>
      <c r="R88" s="421"/>
      <c r="S88" s="153"/>
      <c r="T88" s="153"/>
    </row>
    <row r="89" customFormat="false" ht="12.75" hidden="false" customHeight="true" outlineLevel="0" collapsed="false">
      <c r="A89" s="449" t="n">
        <v>8817</v>
      </c>
      <c r="B89" s="450" t="s">
        <v>14969</v>
      </c>
      <c r="C89" s="450" t="n">
        <v>2011</v>
      </c>
      <c r="D89" s="451" t="n">
        <v>40690</v>
      </c>
      <c r="E89" s="452" t="s">
        <v>14970</v>
      </c>
      <c r="F89" s="378" t="s">
        <v>1277</v>
      </c>
      <c r="G89" s="452" t="s">
        <v>441</v>
      </c>
      <c r="H89" s="378" t="s">
        <v>192</v>
      </c>
      <c r="I89" s="451" t="n">
        <v>42825</v>
      </c>
      <c r="J89" s="452" t="n">
        <v>3</v>
      </c>
      <c r="K89" s="614" t="s">
        <v>45</v>
      </c>
      <c r="L89" s="450" t="s">
        <v>58</v>
      </c>
      <c r="M89" s="455" t="n">
        <f aca="false">I89-D89</f>
        <v>2135</v>
      </c>
      <c r="N89" s="45"/>
      <c r="O89" s="390" t="s">
        <v>69</v>
      </c>
      <c r="P89" s="422" t="s">
        <v>433</v>
      </c>
      <c r="Q89" s="422"/>
      <c r="R89" s="422"/>
      <c r="S89" s="153"/>
      <c r="T89" s="153"/>
    </row>
    <row r="90" customFormat="false" ht="12.75" hidden="false" customHeight="true" outlineLevel="0" collapsed="false">
      <c r="A90" s="456" t="n">
        <v>8917</v>
      </c>
      <c r="B90" s="458" t="s">
        <v>14971</v>
      </c>
      <c r="C90" s="458" t="n">
        <v>2009</v>
      </c>
      <c r="D90" s="459" t="n">
        <v>39948</v>
      </c>
      <c r="E90" s="460" t="s">
        <v>14972</v>
      </c>
      <c r="F90" s="380" t="s">
        <v>1243</v>
      </c>
      <c r="G90" s="460" t="s">
        <v>144</v>
      </c>
      <c r="H90" s="380" t="s">
        <v>453</v>
      </c>
      <c r="I90" s="459" t="n">
        <v>42825</v>
      </c>
      <c r="J90" s="460" t="n">
        <v>3</v>
      </c>
      <c r="K90" s="613" t="s">
        <v>50</v>
      </c>
      <c r="L90" s="458" t="s">
        <v>60</v>
      </c>
      <c r="M90" s="463" t="n">
        <f aca="false">I90-D90</f>
        <v>2877</v>
      </c>
      <c r="N90" s="45"/>
      <c r="O90" s="394" t="s">
        <v>1474</v>
      </c>
      <c r="P90" s="481" t="e">
        <f aca="false">AVERAGEIF(G2:G476,"PT",M2:M476)</f>
        <v>#DIV/0!</v>
      </c>
      <c r="Q90" s="481"/>
      <c r="R90" s="481"/>
      <c r="S90" s="153"/>
      <c r="T90" s="153"/>
    </row>
    <row r="91" customFormat="false" ht="12.75" hidden="false" customHeight="true" outlineLevel="0" collapsed="false">
      <c r="A91" s="449" t="n">
        <v>9017</v>
      </c>
      <c r="B91" s="450" t="s">
        <v>14973</v>
      </c>
      <c r="C91" s="450" t="n">
        <v>2016</v>
      </c>
      <c r="D91" s="451" t="n">
        <v>42634</v>
      </c>
      <c r="E91" s="452" t="s">
        <v>14974</v>
      </c>
      <c r="F91" s="378" t="s">
        <v>6303</v>
      </c>
      <c r="G91" s="452" t="s">
        <v>130</v>
      </c>
      <c r="H91" s="378" t="s">
        <v>14975</v>
      </c>
      <c r="I91" s="451" t="n">
        <v>42825</v>
      </c>
      <c r="J91" s="452" t="n">
        <v>3</v>
      </c>
      <c r="K91" s="613" t="s">
        <v>50</v>
      </c>
      <c r="L91" s="450" t="s">
        <v>61</v>
      </c>
      <c r="M91" s="455" t="n">
        <f aca="false">I91-D91</f>
        <v>191</v>
      </c>
      <c r="N91" s="45"/>
      <c r="O91" s="396" t="s">
        <v>1188</v>
      </c>
      <c r="P91" s="482" t="n">
        <f aca="false">AVERAGEIF(G2:G477,"PTN",M2:M477)</f>
        <v>1986.8</v>
      </c>
      <c r="Q91" s="482"/>
      <c r="R91" s="482"/>
      <c r="S91" s="153"/>
      <c r="T91" s="153"/>
    </row>
    <row r="92" customFormat="false" ht="12.75" hidden="false" customHeight="true" outlineLevel="0" collapsed="false">
      <c r="A92" s="456" t="n">
        <v>9117</v>
      </c>
      <c r="B92" s="458" t="s">
        <v>14976</v>
      </c>
      <c r="C92" s="458" t="n">
        <v>2011</v>
      </c>
      <c r="D92" s="459" t="n">
        <v>40758</v>
      </c>
      <c r="E92" s="460" t="s">
        <v>14977</v>
      </c>
      <c r="F92" s="380" t="s">
        <v>211</v>
      </c>
      <c r="G92" s="460" t="s">
        <v>1174</v>
      </c>
      <c r="H92" s="380" t="s">
        <v>706</v>
      </c>
      <c r="I92" s="459" t="n">
        <v>42825</v>
      </c>
      <c r="J92" s="460" t="n">
        <v>3</v>
      </c>
      <c r="K92" s="616" t="s">
        <v>42</v>
      </c>
      <c r="L92" s="458" t="s">
        <v>58</v>
      </c>
      <c r="M92" s="463" t="n">
        <f aca="false">I92-D92</f>
        <v>2067</v>
      </c>
      <c r="N92" s="45"/>
      <c r="O92" s="394" t="s">
        <v>1174</v>
      </c>
      <c r="P92" s="481" t="n">
        <f aca="false">AVERAGEIF(G2:G476,"PTE",M2:M476)</f>
        <v>1537.9604519774</v>
      </c>
      <c r="Q92" s="481"/>
      <c r="R92" s="481"/>
      <c r="S92" s="153"/>
      <c r="T92" s="153"/>
    </row>
    <row r="93" customFormat="false" ht="12.75" hidden="false" customHeight="true" outlineLevel="0" collapsed="false">
      <c r="A93" s="449" t="n">
        <v>9217</v>
      </c>
      <c r="B93" s="450" t="s">
        <v>14978</v>
      </c>
      <c r="C93" s="450" t="n">
        <v>2014</v>
      </c>
      <c r="D93" s="451" t="n">
        <v>41941</v>
      </c>
      <c r="E93" s="452" t="s">
        <v>14979</v>
      </c>
      <c r="F93" s="378" t="s">
        <v>168</v>
      </c>
      <c r="G93" s="452" t="s">
        <v>1174</v>
      </c>
      <c r="H93" s="378" t="s">
        <v>267</v>
      </c>
      <c r="I93" s="451" t="n">
        <v>42825</v>
      </c>
      <c r="J93" s="452" t="n">
        <v>3</v>
      </c>
      <c r="K93" s="616" t="s">
        <v>42</v>
      </c>
      <c r="L93" s="450" t="s">
        <v>58</v>
      </c>
      <c r="M93" s="455" t="n">
        <f aca="false">I93-D93</f>
        <v>884</v>
      </c>
      <c r="N93" s="45"/>
      <c r="O93" s="396" t="s">
        <v>8</v>
      </c>
      <c r="P93" s="482" t="n">
        <f aca="false">AVERAGEIF(G2:G476,"Pré-Mistura",M2:M476)</f>
        <v>1127.5</v>
      </c>
      <c r="Q93" s="482"/>
      <c r="R93" s="482"/>
      <c r="S93" s="153"/>
      <c r="T93" s="153"/>
    </row>
    <row r="94" customFormat="false" ht="12.75" hidden="false" customHeight="true" outlineLevel="0" collapsed="false">
      <c r="A94" s="456" t="n">
        <v>9317</v>
      </c>
      <c r="B94" s="458" t="s">
        <v>14980</v>
      </c>
      <c r="C94" s="458" t="n">
        <v>2013</v>
      </c>
      <c r="D94" s="459" t="n">
        <v>41320</v>
      </c>
      <c r="E94" s="460" t="s">
        <v>14981</v>
      </c>
      <c r="F94" s="380" t="s">
        <v>168</v>
      </c>
      <c r="G94" s="460" t="s">
        <v>1174</v>
      </c>
      <c r="H94" s="380" t="s">
        <v>471</v>
      </c>
      <c r="I94" s="459" t="n">
        <v>42825</v>
      </c>
      <c r="J94" s="460" t="n">
        <v>3</v>
      </c>
      <c r="K94" s="616" t="s">
        <v>42</v>
      </c>
      <c r="L94" s="458" t="s">
        <v>58</v>
      </c>
      <c r="M94" s="463" t="n">
        <f aca="false">I94-D94</f>
        <v>1505</v>
      </c>
      <c r="N94" s="45"/>
      <c r="O94" s="394" t="s">
        <v>144</v>
      </c>
      <c r="P94" s="481" t="n">
        <f aca="false">AVERAGEIF(G2:G476,"PF",M2:M476)</f>
        <v>1785.41666666667</v>
      </c>
      <c r="Q94" s="481"/>
      <c r="R94" s="481"/>
      <c r="S94" s="153"/>
      <c r="T94" s="153"/>
    </row>
    <row r="95" customFormat="false" ht="12.75" hidden="false" customHeight="true" outlineLevel="0" collapsed="false">
      <c r="A95" s="449" t="n">
        <v>9417</v>
      </c>
      <c r="B95" s="450" t="s">
        <v>14982</v>
      </c>
      <c r="C95" s="450" t="n">
        <v>2014</v>
      </c>
      <c r="D95" s="451" t="n">
        <v>42003</v>
      </c>
      <c r="E95" s="452" t="s">
        <v>14983</v>
      </c>
      <c r="F95" s="378" t="s">
        <v>14984</v>
      </c>
      <c r="G95" s="452" t="s">
        <v>144</v>
      </c>
      <c r="H95" s="378" t="s">
        <v>1109</v>
      </c>
      <c r="I95" s="451" t="n">
        <v>42830</v>
      </c>
      <c r="J95" s="452" t="n">
        <v>4</v>
      </c>
      <c r="K95" s="615" t="s">
        <v>47</v>
      </c>
      <c r="L95" s="450" t="s">
        <v>57</v>
      </c>
      <c r="M95" s="455" t="n">
        <f aca="false">I95-D95</f>
        <v>827</v>
      </c>
      <c r="N95" s="45"/>
      <c r="O95" s="396" t="s">
        <v>115</v>
      </c>
      <c r="P95" s="482" t="n">
        <f aca="false">AVERAGEIF(G2:G476,"PFN",M2:M476)</f>
        <v>1478.11111111111</v>
      </c>
      <c r="Q95" s="482"/>
      <c r="R95" s="482"/>
      <c r="S95" s="153"/>
      <c r="T95" s="153"/>
    </row>
    <row r="96" customFormat="false" ht="12.75" hidden="false" customHeight="true" outlineLevel="0" collapsed="false">
      <c r="A96" s="456" t="n">
        <v>9517</v>
      </c>
      <c r="B96" s="458" t="s">
        <v>14985</v>
      </c>
      <c r="C96" s="458" t="n">
        <v>2013</v>
      </c>
      <c r="D96" s="459" t="n">
        <v>41638</v>
      </c>
      <c r="E96" s="460" t="s">
        <v>14986</v>
      </c>
      <c r="F96" s="380" t="s">
        <v>14905</v>
      </c>
      <c r="G96" s="460" t="s">
        <v>115</v>
      </c>
      <c r="H96" s="380" t="s">
        <v>1109</v>
      </c>
      <c r="I96" s="459" t="n">
        <v>42835</v>
      </c>
      <c r="J96" s="460" t="n">
        <v>4</v>
      </c>
      <c r="K96" s="616" t="s">
        <v>42</v>
      </c>
      <c r="L96" s="458" t="s">
        <v>58</v>
      </c>
      <c r="M96" s="463" t="n">
        <f aca="false">I96-D96</f>
        <v>1197</v>
      </c>
      <c r="N96" s="45"/>
      <c r="O96" s="394" t="s">
        <v>441</v>
      </c>
      <c r="P96" s="481" t="n">
        <f aca="false">AVERAGEIF(G2:G476,"PF/PTE",M2:M476)</f>
        <v>1837.19847328244</v>
      </c>
      <c r="Q96" s="481"/>
      <c r="R96" s="481"/>
      <c r="S96" s="153"/>
      <c r="T96" s="153"/>
    </row>
    <row r="97" customFormat="false" ht="12.75" hidden="false" customHeight="true" outlineLevel="0" collapsed="false">
      <c r="A97" s="449" t="n">
        <v>9617</v>
      </c>
      <c r="B97" s="450" t="s">
        <v>14987</v>
      </c>
      <c r="C97" s="450" t="n">
        <v>2009</v>
      </c>
      <c r="D97" s="451" t="n">
        <v>39917</v>
      </c>
      <c r="E97" s="452" t="s">
        <v>14988</v>
      </c>
      <c r="F97" s="378" t="s">
        <v>699</v>
      </c>
      <c r="G97" s="452" t="s">
        <v>441</v>
      </c>
      <c r="H97" s="378" t="s">
        <v>12073</v>
      </c>
      <c r="I97" s="451" t="n">
        <v>42838</v>
      </c>
      <c r="J97" s="452" t="n">
        <v>4</v>
      </c>
      <c r="K97" s="613" t="s">
        <v>50</v>
      </c>
      <c r="L97" s="450" t="s">
        <v>60</v>
      </c>
      <c r="M97" s="455" t="n">
        <f aca="false">I97-D97</f>
        <v>2921</v>
      </c>
      <c r="N97" s="45"/>
      <c r="O97" s="396" t="s">
        <v>125</v>
      </c>
      <c r="P97" s="482" t="n">
        <f aca="false">AVERAGEIF(G2:G476,"Bio",M2:M476)</f>
        <v>713.571428571429</v>
      </c>
      <c r="Q97" s="482"/>
      <c r="R97" s="482"/>
    </row>
    <row r="98" customFormat="false" ht="12.75" hidden="false" customHeight="true" outlineLevel="0" collapsed="false">
      <c r="A98" s="456" t="n">
        <v>9717</v>
      </c>
      <c r="B98" s="458" t="s">
        <v>14989</v>
      </c>
      <c r="C98" s="458" t="n">
        <v>2012</v>
      </c>
      <c r="D98" s="459" t="n">
        <v>41264</v>
      </c>
      <c r="E98" s="460" t="s">
        <v>14990</v>
      </c>
      <c r="F98" s="380" t="s">
        <v>191</v>
      </c>
      <c r="G98" s="460" t="s">
        <v>144</v>
      </c>
      <c r="H98" s="380" t="s">
        <v>14991</v>
      </c>
      <c r="I98" s="459" t="n">
        <v>42842</v>
      </c>
      <c r="J98" s="460" t="n">
        <v>4</v>
      </c>
      <c r="K98" s="613" t="s">
        <v>50</v>
      </c>
      <c r="L98" s="458" t="s">
        <v>58</v>
      </c>
      <c r="M98" s="463" t="n">
        <f aca="false">I98-D98</f>
        <v>1578</v>
      </c>
      <c r="N98" s="45"/>
      <c r="O98" s="394" t="s">
        <v>130</v>
      </c>
      <c r="P98" s="481" t="n">
        <f aca="false">AVERAGEIF(G2:G476,"Bio/Org",M2:M476)</f>
        <v>378.333333333333</v>
      </c>
      <c r="Q98" s="481"/>
      <c r="R98" s="481"/>
    </row>
    <row r="99" customFormat="false" ht="12.75" hidden="false" customHeight="true" outlineLevel="0" collapsed="false">
      <c r="A99" s="449" t="n">
        <v>9817</v>
      </c>
      <c r="B99" s="450" t="s">
        <v>14992</v>
      </c>
      <c r="C99" s="450" t="n">
        <v>2010</v>
      </c>
      <c r="D99" s="451" t="n">
        <v>40521</v>
      </c>
      <c r="E99" s="452" t="s">
        <v>14993</v>
      </c>
      <c r="F99" s="378" t="s">
        <v>3844</v>
      </c>
      <c r="G99" s="452" t="s">
        <v>1174</v>
      </c>
      <c r="H99" s="378" t="s">
        <v>12073</v>
      </c>
      <c r="I99" s="451" t="n">
        <v>42844</v>
      </c>
      <c r="J99" s="452" t="n">
        <v>4</v>
      </c>
      <c r="K99" s="615" t="s">
        <v>47</v>
      </c>
      <c r="L99" s="450" t="s">
        <v>58</v>
      </c>
      <c r="M99" s="455" t="n">
        <f aca="false">I99-D99</f>
        <v>2323</v>
      </c>
      <c r="N99" s="45"/>
      <c r="O99" s="398" t="s">
        <v>86</v>
      </c>
      <c r="P99" s="399" t="n">
        <f aca="false">AVERAGE(M2:M494)</f>
        <v>1554.06930693069</v>
      </c>
      <c r="Q99" s="399"/>
      <c r="R99" s="399"/>
    </row>
    <row r="100" customFormat="false" ht="12.75" hidden="false" customHeight="true" outlineLevel="0" collapsed="false">
      <c r="A100" s="456" t="n">
        <v>9917</v>
      </c>
      <c r="B100" s="458" t="s">
        <v>14994</v>
      </c>
      <c r="C100" s="458" t="n">
        <v>2011</v>
      </c>
      <c r="D100" s="459" t="n">
        <v>40679</v>
      </c>
      <c r="E100" s="460" t="s">
        <v>14995</v>
      </c>
      <c r="F100" s="380" t="s">
        <v>1527</v>
      </c>
      <c r="G100" s="460" t="s">
        <v>441</v>
      </c>
      <c r="H100" s="380" t="s">
        <v>1059</v>
      </c>
      <c r="I100" s="459" t="n">
        <v>42834</v>
      </c>
      <c r="J100" s="460" t="n">
        <v>4</v>
      </c>
      <c r="K100" s="616" t="s">
        <v>42</v>
      </c>
      <c r="L100" s="458" t="s">
        <v>58</v>
      </c>
      <c r="M100" s="463" t="n">
        <f aca="false">I100-D100</f>
        <v>2155</v>
      </c>
      <c r="N100" s="45"/>
      <c r="O100" s="45"/>
      <c r="P100" s="45"/>
      <c r="Q100" s="45"/>
      <c r="R100" s="45"/>
    </row>
    <row r="101" customFormat="false" ht="12.75" hidden="false" customHeight="true" outlineLevel="0" collapsed="false">
      <c r="A101" s="449" t="n">
        <v>10017</v>
      </c>
      <c r="B101" s="450" t="s">
        <v>14996</v>
      </c>
      <c r="C101" s="450" t="n">
        <v>2013</v>
      </c>
      <c r="D101" s="451" t="n">
        <v>41435</v>
      </c>
      <c r="E101" s="452" t="s">
        <v>14997</v>
      </c>
      <c r="F101" s="378" t="s">
        <v>1357</v>
      </c>
      <c r="G101" s="452" t="s">
        <v>441</v>
      </c>
      <c r="H101" s="378" t="s">
        <v>1266</v>
      </c>
      <c r="I101" s="451" t="n">
        <v>42834</v>
      </c>
      <c r="J101" s="452" t="n">
        <v>4</v>
      </c>
      <c r="K101" s="616" t="s">
        <v>42</v>
      </c>
      <c r="L101" s="450" t="s">
        <v>58</v>
      </c>
      <c r="M101" s="455" t="n">
        <f aca="false">I101-D101</f>
        <v>1399</v>
      </c>
      <c r="N101" s="45"/>
      <c r="O101" s="45"/>
      <c r="P101" s="45"/>
      <c r="Q101" s="45"/>
      <c r="R101" s="45"/>
    </row>
    <row r="102" customFormat="false" ht="12.75" hidden="false" customHeight="true" outlineLevel="0" collapsed="false">
      <c r="A102" s="456" t="n">
        <v>10117</v>
      </c>
      <c r="B102" s="458" t="s">
        <v>14998</v>
      </c>
      <c r="C102" s="458" t="n">
        <v>2011</v>
      </c>
      <c r="D102" s="459" t="n">
        <v>40571</v>
      </c>
      <c r="E102" s="460" t="s">
        <v>14999</v>
      </c>
      <c r="F102" s="380" t="s">
        <v>9757</v>
      </c>
      <c r="G102" s="460" t="s">
        <v>1174</v>
      </c>
      <c r="H102" s="380" t="s">
        <v>1266</v>
      </c>
      <c r="I102" s="459" t="n">
        <v>42845</v>
      </c>
      <c r="J102" s="460" t="n">
        <v>4</v>
      </c>
      <c r="K102" s="615" t="s">
        <v>47</v>
      </c>
      <c r="L102" s="458" t="s">
        <v>60</v>
      </c>
      <c r="M102" s="463" t="n">
        <f aca="false">I102-D102</f>
        <v>2274</v>
      </c>
      <c r="N102" s="45"/>
      <c r="O102" s="45"/>
      <c r="P102" s="45"/>
      <c r="Q102" s="45"/>
      <c r="R102" s="45"/>
    </row>
    <row r="103" customFormat="false" ht="12.75" hidden="false" customHeight="true" outlineLevel="0" collapsed="false">
      <c r="A103" s="449" t="n">
        <v>10217</v>
      </c>
      <c r="B103" s="450" t="s">
        <v>15000</v>
      </c>
      <c r="C103" s="450" t="n">
        <v>2013</v>
      </c>
      <c r="D103" s="451" t="n">
        <v>41452</v>
      </c>
      <c r="E103" s="452" t="s">
        <v>15001</v>
      </c>
      <c r="F103" s="378" t="s">
        <v>4819</v>
      </c>
      <c r="G103" s="452" t="s">
        <v>441</v>
      </c>
      <c r="H103" s="378" t="s">
        <v>693</v>
      </c>
      <c r="I103" s="451" t="n">
        <v>42845</v>
      </c>
      <c r="J103" s="452" t="n">
        <v>4</v>
      </c>
      <c r="K103" s="613" t="s">
        <v>50</v>
      </c>
      <c r="L103" s="450" t="s">
        <v>58</v>
      </c>
      <c r="M103" s="455" t="n">
        <f aca="false">I103-D103</f>
        <v>1393</v>
      </c>
      <c r="N103" s="45"/>
      <c r="O103" s="45"/>
      <c r="P103" s="45"/>
      <c r="Q103" s="45"/>
      <c r="R103" s="45"/>
    </row>
    <row r="104" customFormat="false" ht="12.75" hidden="false" customHeight="true" outlineLevel="0" collapsed="false">
      <c r="A104" s="456" t="n">
        <v>10317</v>
      </c>
      <c r="B104" s="458" t="s">
        <v>15002</v>
      </c>
      <c r="C104" s="458" t="n">
        <v>2015</v>
      </c>
      <c r="D104" s="459" t="n">
        <v>42124</v>
      </c>
      <c r="E104" s="460" t="s">
        <v>15003</v>
      </c>
      <c r="F104" s="380" t="s">
        <v>699</v>
      </c>
      <c r="G104" s="460" t="s">
        <v>441</v>
      </c>
      <c r="H104" s="380" t="s">
        <v>1109</v>
      </c>
      <c r="I104" s="459" t="n">
        <v>42849</v>
      </c>
      <c r="J104" s="460" t="n">
        <v>4</v>
      </c>
      <c r="K104" s="615" t="s">
        <v>47</v>
      </c>
      <c r="L104" s="458" t="s">
        <v>60</v>
      </c>
      <c r="M104" s="463" t="n">
        <f aca="false">I104-D104</f>
        <v>725</v>
      </c>
      <c r="N104" s="45"/>
      <c r="O104" s="45"/>
      <c r="P104" s="45"/>
      <c r="Q104" s="45"/>
      <c r="R104" s="45"/>
    </row>
    <row r="105" customFormat="false" ht="12.75" hidden="false" customHeight="true" outlineLevel="0" collapsed="false">
      <c r="A105" s="449" t="n">
        <v>10417</v>
      </c>
      <c r="B105" s="450" t="s">
        <v>15004</v>
      </c>
      <c r="C105" s="450" t="n">
        <v>2012</v>
      </c>
      <c r="D105" s="451" t="n">
        <v>40939</v>
      </c>
      <c r="E105" s="452" t="s">
        <v>15005</v>
      </c>
      <c r="F105" s="378" t="s">
        <v>780</v>
      </c>
      <c r="G105" s="452" t="s">
        <v>1174</v>
      </c>
      <c r="H105" s="378" t="s">
        <v>471</v>
      </c>
      <c r="I105" s="451" t="n">
        <v>42849</v>
      </c>
      <c r="J105" s="452" t="n">
        <v>4</v>
      </c>
      <c r="K105" s="614" t="s">
        <v>45</v>
      </c>
      <c r="L105" s="450" t="s">
        <v>60</v>
      </c>
      <c r="M105" s="455" t="n">
        <f aca="false">I105-D105</f>
        <v>1910</v>
      </c>
      <c r="N105" s="45"/>
      <c r="O105" s="45"/>
      <c r="P105" s="45"/>
      <c r="Q105" s="45"/>
      <c r="R105" s="45"/>
    </row>
    <row r="106" customFormat="false" ht="12.75" hidden="false" customHeight="true" outlineLevel="0" collapsed="false">
      <c r="A106" s="456" t="n">
        <v>10517</v>
      </c>
      <c r="B106" s="458" t="s">
        <v>15006</v>
      </c>
      <c r="C106" s="458" t="n">
        <v>2015</v>
      </c>
      <c r="D106" s="459" t="n">
        <v>42103</v>
      </c>
      <c r="E106" s="460" t="s">
        <v>15007</v>
      </c>
      <c r="F106" s="380" t="s">
        <v>780</v>
      </c>
      <c r="G106" s="460" t="s">
        <v>1174</v>
      </c>
      <c r="H106" s="380" t="s">
        <v>267</v>
      </c>
      <c r="I106" s="459" t="n">
        <v>42849</v>
      </c>
      <c r="J106" s="460" t="n">
        <v>4</v>
      </c>
      <c r="K106" s="614" t="s">
        <v>45</v>
      </c>
      <c r="L106" s="458" t="s">
        <v>60</v>
      </c>
      <c r="M106" s="463" t="n">
        <f aca="false">I106-D106</f>
        <v>746</v>
      </c>
      <c r="N106" s="45"/>
      <c r="O106" s="45"/>
      <c r="P106" s="45"/>
      <c r="Q106" s="45"/>
      <c r="R106" s="45"/>
    </row>
    <row r="107" customFormat="false" ht="12.75" hidden="false" customHeight="true" outlineLevel="0" collapsed="false">
      <c r="A107" s="449" t="n">
        <v>10617</v>
      </c>
      <c r="B107" s="450" t="s">
        <v>15008</v>
      </c>
      <c r="C107" s="450" t="n">
        <v>2011</v>
      </c>
      <c r="D107" s="451" t="n">
        <v>40772</v>
      </c>
      <c r="E107" s="452" t="s">
        <v>15009</v>
      </c>
      <c r="F107" s="378" t="s">
        <v>3844</v>
      </c>
      <c r="G107" s="452" t="s">
        <v>1174</v>
      </c>
      <c r="H107" s="378" t="s">
        <v>1567</v>
      </c>
      <c r="I107" s="451" t="n">
        <v>42850</v>
      </c>
      <c r="J107" s="452" t="n">
        <v>4</v>
      </c>
      <c r="K107" s="615" t="s">
        <v>47</v>
      </c>
      <c r="L107" s="450" t="s">
        <v>58</v>
      </c>
      <c r="M107" s="455" t="n">
        <f aca="false">I107-D107</f>
        <v>2078</v>
      </c>
      <c r="N107" s="45"/>
      <c r="O107" s="45"/>
      <c r="P107" s="45"/>
      <c r="Q107" s="45"/>
      <c r="R107" s="45"/>
    </row>
    <row r="108" customFormat="false" ht="12.75" hidden="false" customHeight="true" outlineLevel="0" collapsed="false">
      <c r="A108" s="456" t="n">
        <v>10717</v>
      </c>
      <c r="B108" s="458" t="s">
        <v>15010</v>
      </c>
      <c r="C108" s="458" t="n">
        <v>2015</v>
      </c>
      <c r="D108" s="459" t="n">
        <v>42242</v>
      </c>
      <c r="E108" s="460" t="s">
        <v>15011</v>
      </c>
      <c r="F108" s="380" t="s">
        <v>168</v>
      </c>
      <c r="G108" s="460" t="s">
        <v>1174</v>
      </c>
      <c r="H108" s="380" t="s">
        <v>192</v>
      </c>
      <c r="I108" s="459" t="n">
        <v>42851</v>
      </c>
      <c r="J108" s="460" t="n">
        <v>4</v>
      </c>
      <c r="K108" s="616" t="s">
        <v>42</v>
      </c>
      <c r="L108" s="458" t="s">
        <v>58</v>
      </c>
      <c r="M108" s="463" t="n">
        <f aca="false">I108-D108</f>
        <v>609</v>
      </c>
      <c r="N108" s="45"/>
      <c r="O108" s="45"/>
      <c r="P108" s="45"/>
      <c r="Q108" s="45"/>
      <c r="R108" s="45"/>
    </row>
    <row r="109" customFormat="false" ht="12.75" hidden="false" customHeight="true" outlineLevel="0" collapsed="false">
      <c r="A109" s="449" t="n">
        <v>10817</v>
      </c>
      <c r="B109" s="450" t="s">
        <v>15012</v>
      </c>
      <c r="C109" s="450" t="n">
        <v>2014</v>
      </c>
      <c r="D109" s="451" t="n">
        <v>41862</v>
      </c>
      <c r="E109" s="452" t="s">
        <v>15013</v>
      </c>
      <c r="F109" s="378" t="s">
        <v>168</v>
      </c>
      <c r="G109" s="452" t="s">
        <v>1174</v>
      </c>
      <c r="H109" s="378" t="s">
        <v>192</v>
      </c>
      <c r="I109" s="451" t="n">
        <v>42851</v>
      </c>
      <c r="J109" s="452" t="n">
        <v>4</v>
      </c>
      <c r="K109" s="616" t="s">
        <v>42</v>
      </c>
      <c r="L109" s="450" t="s">
        <v>58</v>
      </c>
      <c r="M109" s="455" t="n">
        <f aca="false">I109-D109</f>
        <v>989</v>
      </c>
      <c r="N109" s="45"/>
      <c r="O109" s="45"/>
      <c r="P109" s="45"/>
      <c r="Q109" s="45"/>
      <c r="R109" s="45"/>
    </row>
    <row r="110" customFormat="false" ht="12.75" hidden="false" customHeight="true" outlineLevel="0" collapsed="false">
      <c r="A110" s="456" t="n">
        <v>10917</v>
      </c>
      <c r="B110" s="458" t="s">
        <v>15014</v>
      </c>
      <c r="C110" s="458" t="n">
        <v>2013</v>
      </c>
      <c r="D110" s="459" t="n">
        <v>41606</v>
      </c>
      <c r="E110" s="460" t="s">
        <v>15015</v>
      </c>
      <c r="F110" s="380" t="s">
        <v>449</v>
      </c>
      <c r="G110" s="460" t="s">
        <v>1174</v>
      </c>
      <c r="H110" s="380" t="s">
        <v>6674</v>
      </c>
      <c r="I110" s="459" t="n">
        <v>42852</v>
      </c>
      <c r="J110" s="460" t="n">
        <v>4</v>
      </c>
      <c r="K110" s="615" t="s">
        <v>47</v>
      </c>
      <c r="L110" s="458" t="s">
        <v>58</v>
      </c>
      <c r="M110" s="463" t="n">
        <f aca="false">I110-D110</f>
        <v>1246</v>
      </c>
      <c r="N110" s="45"/>
      <c r="O110" s="45"/>
      <c r="P110" s="45"/>
      <c r="Q110" s="45"/>
      <c r="R110" s="45"/>
    </row>
    <row r="111" customFormat="false" ht="12.75" hidden="false" customHeight="true" outlineLevel="0" collapsed="false">
      <c r="A111" s="449" t="n">
        <v>11017</v>
      </c>
      <c r="B111" s="450" t="s">
        <v>15016</v>
      </c>
      <c r="C111" s="450" t="n">
        <v>2014</v>
      </c>
      <c r="D111" s="451" t="n">
        <v>41761</v>
      </c>
      <c r="E111" s="452" t="s">
        <v>15017</v>
      </c>
      <c r="F111" s="378" t="s">
        <v>346</v>
      </c>
      <c r="G111" s="452" t="s">
        <v>441</v>
      </c>
      <c r="H111" s="378" t="s">
        <v>11617</v>
      </c>
      <c r="I111" s="451" t="n">
        <v>42853</v>
      </c>
      <c r="J111" s="452" t="n">
        <v>4</v>
      </c>
      <c r="K111" s="613" t="s">
        <v>50</v>
      </c>
      <c r="L111" s="450" t="s">
        <v>58</v>
      </c>
      <c r="M111" s="455" t="n">
        <f aca="false">I111-D111</f>
        <v>1092</v>
      </c>
      <c r="N111" s="45"/>
      <c r="O111" s="45"/>
      <c r="P111" s="45"/>
      <c r="Q111" s="45"/>
      <c r="R111" s="45"/>
    </row>
    <row r="112" customFormat="false" ht="12.75" hidden="false" customHeight="true" outlineLevel="0" collapsed="false">
      <c r="A112" s="456" t="n">
        <v>11117</v>
      </c>
      <c r="B112" s="458" t="s">
        <v>15018</v>
      </c>
      <c r="C112" s="458" t="n">
        <v>2013</v>
      </c>
      <c r="D112" s="459" t="n">
        <v>41576</v>
      </c>
      <c r="E112" s="460" t="s">
        <v>15019</v>
      </c>
      <c r="F112" s="380" t="s">
        <v>138</v>
      </c>
      <c r="G112" s="460" t="s">
        <v>441</v>
      </c>
      <c r="H112" s="380" t="s">
        <v>354</v>
      </c>
      <c r="I112" s="459" t="n">
        <v>42853</v>
      </c>
      <c r="J112" s="460" t="n">
        <v>4</v>
      </c>
      <c r="K112" s="616" t="s">
        <v>42</v>
      </c>
      <c r="L112" s="458" t="s">
        <v>60</v>
      </c>
      <c r="M112" s="463" t="n">
        <f aca="false">I112-D112</f>
        <v>1277</v>
      </c>
      <c r="N112" s="45"/>
      <c r="O112" s="45"/>
      <c r="P112" s="45"/>
      <c r="Q112" s="45"/>
      <c r="R112" s="45"/>
    </row>
    <row r="113" customFormat="false" ht="12.75" hidden="false" customHeight="true" outlineLevel="0" collapsed="false">
      <c r="A113" s="449" t="n">
        <v>11217</v>
      </c>
      <c r="B113" s="450" t="s">
        <v>15020</v>
      </c>
      <c r="C113" s="450" t="n">
        <v>2014</v>
      </c>
      <c r="D113" s="451" t="n">
        <v>41876</v>
      </c>
      <c r="E113" s="452" t="s">
        <v>15021</v>
      </c>
      <c r="F113" s="378" t="s">
        <v>346</v>
      </c>
      <c r="G113" s="452" t="s">
        <v>441</v>
      </c>
      <c r="H113" s="378" t="s">
        <v>11617</v>
      </c>
      <c r="I113" s="451" t="n">
        <v>42853</v>
      </c>
      <c r="J113" s="452" t="n">
        <v>4</v>
      </c>
      <c r="K113" s="613" t="s">
        <v>50</v>
      </c>
      <c r="L113" s="450" t="s">
        <v>58</v>
      </c>
      <c r="M113" s="455" t="n">
        <f aca="false">I113-D113</f>
        <v>977</v>
      </c>
    </row>
    <row r="114" customFormat="false" ht="12.75" hidden="false" customHeight="true" outlineLevel="0" collapsed="false">
      <c r="A114" s="456" t="n">
        <v>11317</v>
      </c>
      <c r="B114" s="458" t="s">
        <v>15022</v>
      </c>
      <c r="C114" s="458" t="n">
        <v>2014</v>
      </c>
      <c r="D114" s="459" t="n">
        <v>41886</v>
      </c>
      <c r="E114" s="460" t="s">
        <v>15023</v>
      </c>
      <c r="F114" s="380" t="s">
        <v>346</v>
      </c>
      <c r="G114" s="460" t="s">
        <v>441</v>
      </c>
      <c r="H114" s="380" t="s">
        <v>11617</v>
      </c>
      <c r="I114" s="459" t="n">
        <v>42853</v>
      </c>
      <c r="J114" s="460" t="n">
        <v>4</v>
      </c>
      <c r="K114" s="613" t="s">
        <v>50</v>
      </c>
      <c r="L114" s="458" t="s">
        <v>58</v>
      </c>
      <c r="M114" s="463" t="n">
        <f aca="false">I114-D114</f>
        <v>967</v>
      </c>
    </row>
    <row r="115" customFormat="false" ht="12.75" hidden="false" customHeight="true" outlineLevel="0" collapsed="false">
      <c r="A115" s="449" t="n">
        <v>11417</v>
      </c>
      <c r="B115" s="450" t="s">
        <v>15024</v>
      </c>
      <c r="C115" s="450" t="n">
        <v>2011</v>
      </c>
      <c r="D115" s="451" t="n">
        <v>40809</v>
      </c>
      <c r="E115" s="452" t="s">
        <v>15025</v>
      </c>
      <c r="F115" s="378" t="s">
        <v>1277</v>
      </c>
      <c r="G115" s="452" t="s">
        <v>441</v>
      </c>
      <c r="H115" s="378" t="s">
        <v>522</v>
      </c>
      <c r="I115" s="451" t="n">
        <v>42857</v>
      </c>
      <c r="J115" s="452" t="n">
        <v>5</v>
      </c>
      <c r="K115" s="614" t="s">
        <v>45</v>
      </c>
      <c r="L115" s="450" t="s">
        <v>58</v>
      </c>
      <c r="M115" s="455" t="n">
        <f aca="false">I115-D115</f>
        <v>2048</v>
      </c>
    </row>
    <row r="116" customFormat="false" ht="12.75" hidden="false" customHeight="true" outlineLevel="0" collapsed="false">
      <c r="A116" s="456" t="n">
        <v>11517</v>
      </c>
      <c r="B116" s="458" t="s">
        <v>15026</v>
      </c>
      <c r="C116" s="458" t="n">
        <v>2014</v>
      </c>
      <c r="D116" s="459" t="n">
        <v>41912</v>
      </c>
      <c r="E116" s="460" t="s">
        <v>15027</v>
      </c>
      <c r="F116" s="380" t="s">
        <v>449</v>
      </c>
      <c r="G116" s="460" t="s">
        <v>441</v>
      </c>
      <c r="H116" s="380" t="s">
        <v>1109</v>
      </c>
      <c r="I116" s="459" t="n">
        <v>42857</v>
      </c>
      <c r="J116" s="460" t="n">
        <v>5</v>
      </c>
      <c r="K116" s="615" t="s">
        <v>47</v>
      </c>
      <c r="L116" s="458" t="s">
        <v>58</v>
      </c>
      <c r="M116" s="463" t="n">
        <f aca="false">I116-D116</f>
        <v>945</v>
      </c>
    </row>
    <row r="117" customFormat="false" ht="12.75" hidden="false" customHeight="true" outlineLevel="0" collapsed="false">
      <c r="A117" s="449" t="n">
        <v>11617</v>
      </c>
      <c r="B117" s="450" t="s">
        <v>15028</v>
      </c>
      <c r="C117" s="450" t="n">
        <v>2015</v>
      </c>
      <c r="D117" s="451" t="n">
        <v>42243</v>
      </c>
      <c r="E117" s="452" t="s">
        <v>15029</v>
      </c>
      <c r="F117" s="378" t="s">
        <v>15030</v>
      </c>
      <c r="G117" s="452" t="s">
        <v>130</v>
      </c>
      <c r="H117" s="378" t="s">
        <v>15031</v>
      </c>
      <c r="I117" s="451" t="n">
        <v>42859</v>
      </c>
      <c r="J117" s="452" t="n">
        <v>5</v>
      </c>
      <c r="K117" s="613" t="s">
        <v>50</v>
      </c>
      <c r="L117" s="450" t="s">
        <v>61</v>
      </c>
      <c r="M117" s="455" t="n">
        <f aca="false">I117-D117</f>
        <v>616</v>
      </c>
    </row>
    <row r="118" customFormat="false" ht="12.75" hidden="false" customHeight="true" outlineLevel="0" collapsed="false">
      <c r="A118" s="456" t="n">
        <v>11717</v>
      </c>
      <c r="B118" s="458" t="s">
        <v>15032</v>
      </c>
      <c r="C118" s="458" t="n">
        <v>2015</v>
      </c>
      <c r="D118" s="459" t="n">
        <v>42094</v>
      </c>
      <c r="E118" s="460" t="s">
        <v>15033</v>
      </c>
      <c r="F118" s="380" t="s">
        <v>15034</v>
      </c>
      <c r="G118" s="460" t="s">
        <v>441</v>
      </c>
      <c r="H118" s="380" t="s">
        <v>1109</v>
      </c>
      <c r="I118" s="459" t="n">
        <v>42860</v>
      </c>
      <c r="J118" s="460" t="n">
        <v>5</v>
      </c>
      <c r="K118" s="614" t="s">
        <v>45</v>
      </c>
      <c r="L118" s="458" t="s">
        <v>58</v>
      </c>
      <c r="M118" s="463" t="n">
        <f aca="false">I118-D118</f>
        <v>766</v>
      </c>
    </row>
    <row r="119" customFormat="false" ht="12.75" hidden="false" customHeight="true" outlineLevel="0" collapsed="false">
      <c r="A119" s="449" t="n">
        <v>11817</v>
      </c>
      <c r="B119" s="602" t="s">
        <v>10996</v>
      </c>
      <c r="C119" s="602" t="s">
        <v>10996</v>
      </c>
      <c r="D119" s="557" t="s">
        <v>10996</v>
      </c>
      <c r="E119" s="602" t="s">
        <v>10996</v>
      </c>
      <c r="F119" s="602" t="s">
        <v>10996</v>
      </c>
      <c r="G119" s="602" t="s">
        <v>10996</v>
      </c>
      <c r="H119" s="602" t="s">
        <v>10996</v>
      </c>
      <c r="I119" s="557" t="s">
        <v>10996</v>
      </c>
      <c r="J119" s="602" t="s">
        <v>10996</v>
      </c>
      <c r="K119" s="602" t="s">
        <v>10996</v>
      </c>
      <c r="L119" s="602" t="s">
        <v>10996</v>
      </c>
      <c r="M119" s="602" t="s">
        <v>10996</v>
      </c>
    </row>
    <row r="120" customFormat="false" ht="12.75" hidden="false" customHeight="true" outlineLevel="0" collapsed="false">
      <c r="A120" s="456" t="n">
        <v>11917</v>
      </c>
      <c r="B120" s="458" t="s">
        <v>15035</v>
      </c>
      <c r="C120" s="458" t="n">
        <v>2009</v>
      </c>
      <c r="D120" s="459" t="n">
        <v>39953</v>
      </c>
      <c r="E120" s="460" t="s">
        <v>15036</v>
      </c>
      <c r="F120" s="380" t="s">
        <v>15037</v>
      </c>
      <c r="G120" s="460" t="s">
        <v>144</v>
      </c>
      <c r="H120" s="380" t="s">
        <v>453</v>
      </c>
      <c r="I120" s="459" t="n">
        <v>42860</v>
      </c>
      <c r="J120" s="460" t="n">
        <v>5</v>
      </c>
      <c r="K120" s="616" t="s">
        <v>42</v>
      </c>
      <c r="L120" s="458" t="s">
        <v>58</v>
      </c>
      <c r="M120" s="463" t="n">
        <f aca="false">I120-D120</f>
        <v>2907</v>
      </c>
    </row>
    <row r="121" customFormat="false" ht="12.75" hidden="false" customHeight="true" outlineLevel="0" collapsed="false">
      <c r="A121" s="449" t="n">
        <v>12017</v>
      </c>
      <c r="B121" s="450" t="s">
        <v>15038</v>
      </c>
      <c r="C121" s="450" t="n">
        <v>2014</v>
      </c>
      <c r="D121" s="451" t="n">
        <v>41729</v>
      </c>
      <c r="E121" s="452" t="s">
        <v>15039</v>
      </c>
      <c r="F121" s="378" t="s">
        <v>15040</v>
      </c>
      <c r="G121" s="452" t="s">
        <v>144</v>
      </c>
      <c r="H121" s="378" t="s">
        <v>1109</v>
      </c>
      <c r="I121" s="451" t="n">
        <v>42863</v>
      </c>
      <c r="J121" s="452" t="n">
        <v>5</v>
      </c>
      <c r="K121" s="615" t="s">
        <v>47</v>
      </c>
      <c r="L121" s="450" t="s">
        <v>60</v>
      </c>
      <c r="M121" s="455" t="n">
        <f aca="false">I121-D121</f>
        <v>1134</v>
      </c>
    </row>
    <row r="122" customFormat="false" ht="12.75" hidden="false" customHeight="true" outlineLevel="0" collapsed="false">
      <c r="A122" s="456" t="n">
        <v>12117</v>
      </c>
      <c r="B122" s="458" t="s">
        <v>15041</v>
      </c>
      <c r="C122" s="458" t="n">
        <v>2015</v>
      </c>
      <c r="D122" s="459" t="n">
        <v>42276</v>
      </c>
      <c r="E122" s="460" t="s">
        <v>15042</v>
      </c>
      <c r="F122" s="380" t="s">
        <v>15043</v>
      </c>
      <c r="G122" s="460" t="s">
        <v>144</v>
      </c>
      <c r="H122" s="380" t="s">
        <v>1109</v>
      </c>
      <c r="I122" s="459" t="n">
        <v>42863</v>
      </c>
      <c r="J122" s="460" t="n">
        <v>5</v>
      </c>
      <c r="K122" s="615" t="s">
        <v>47</v>
      </c>
      <c r="L122" s="458" t="s">
        <v>60</v>
      </c>
      <c r="M122" s="463" t="n">
        <f aca="false">I122-D122</f>
        <v>587</v>
      </c>
    </row>
    <row r="123" customFormat="false" ht="12.75" hidden="false" customHeight="true" outlineLevel="0" collapsed="false">
      <c r="A123" s="449" t="n">
        <v>12217</v>
      </c>
      <c r="B123" s="450" t="s">
        <v>15044</v>
      </c>
      <c r="C123" s="450" t="n">
        <v>2015</v>
      </c>
      <c r="D123" s="451" t="n">
        <v>42352</v>
      </c>
      <c r="E123" s="452" t="s">
        <v>15045</v>
      </c>
      <c r="F123" s="378" t="s">
        <v>138</v>
      </c>
      <c r="G123" s="452" t="s">
        <v>441</v>
      </c>
      <c r="H123" s="378" t="s">
        <v>192</v>
      </c>
      <c r="I123" s="451" t="n">
        <v>42864</v>
      </c>
      <c r="J123" s="452" t="n">
        <v>5</v>
      </c>
      <c r="K123" s="616" t="s">
        <v>42</v>
      </c>
      <c r="L123" s="450" t="s">
        <v>60</v>
      </c>
      <c r="M123" s="455" t="n">
        <f aca="false">I123-D123</f>
        <v>512</v>
      </c>
    </row>
    <row r="124" customFormat="false" ht="12.75" hidden="false" customHeight="true" outlineLevel="0" collapsed="false">
      <c r="A124" s="456" t="n">
        <v>12317</v>
      </c>
      <c r="B124" s="458" t="s">
        <v>15046</v>
      </c>
      <c r="C124" s="458" t="n">
        <v>2011</v>
      </c>
      <c r="D124" s="459" t="n">
        <v>40808</v>
      </c>
      <c r="E124" s="460" t="s">
        <v>15047</v>
      </c>
      <c r="F124" s="380" t="s">
        <v>705</v>
      </c>
      <c r="G124" s="460" t="s">
        <v>441</v>
      </c>
      <c r="H124" s="380" t="s">
        <v>706</v>
      </c>
      <c r="I124" s="459" t="n">
        <v>42865</v>
      </c>
      <c r="J124" s="460" t="n">
        <v>5</v>
      </c>
      <c r="K124" s="616" t="s">
        <v>42</v>
      </c>
      <c r="L124" s="458" t="s">
        <v>60</v>
      </c>
      <c r="M124" s="463" t="n">
        <f aca="false">I124-D124</f>
        <v>2057</v>
      </c>
    </row>
    <row r="125" customFormat="false" ht="12.75" hidden="false" customHeight="true" outlineLevel="0" collapsed="false">
      <c r="A125" s="449" t="n">
        <v>12417</v>
      </c>
      <c r="B125" s="450" t="s">
        <v>15048</v>
      </c>
      <c r="C125" s="450" t="n">
        <v>2014</v>
      </c>
      <c r="D125" s="451" t="n">
        <v>41788</v>
      </c>
      <c r="E125" s="452" t="s">
        <v>15049</v>
      </c>
      <c r="F125" s="378" t="s">
        <v>1693</v>
      </c>
      <c r="G125" s="452" t="s">
        <v>1174</v>
      </c>
      <c r="H125" s="378" t="s">
        <v>192</v>
      </c>
      <c r="I125" s="451" t="n">
        <v>42865</v>
      </c>
      <c r="J125" s="452" t="n">
        <v>5</v>
      </c>
      <c r="K125" s="614" t="s">
        <v>45</v>
      </c>
      <c r="L125" s="450" t="s">
        <v>58</v>
      </c>
      <c r="M125" s="455" t="n">
        <f aca="false">I125-D125</f>
        <v>1077</v>
      </c>
    </row>
    <row r="126" customFormat="false" ht="12.75" hidden="false" customHeight="true" outlineLevel="0" collapsed="false">
      <c r="A126" s="456" t="n">
        <v>12517</v>
      </c>
      <c r="B126" s="458" t="s">
        <v>15050</v>
      </c>
      <c r="C126" s="458" t="n">
        <v>2015</v>
      </c>
      <c r="D126" s="459" t="n">
        <v>42067</v>
      </c>
      <c r="E126" s="460" t="s">
        <v>15051</v>
      </c>
      <c r="F126" s="380" t="s">
        <v>2151</v>
      </c>
      <c r="G126" s="460" t="s">
        <v>1174</v>
      </c>
      <c r="H126" s="380" t="s">
        <v>6674</v>
      </c>
      <c r="I126" s="459" t="n">
        <v>42866</v>
      </c>
      <c r="J126" s="460" t="n">
        <v>5</v>
      </c>
      <c r="K126" s="615" t="s">
        <v>47</v>
      </c>
      <c r="L126" s="458" t="s">
        <v>58</v>
      </c>
      <c r="M126" s="463" t="n">
        <f aca="false">I126-D126</f>
        <v>799</v>
      </c>
    </row>
    <row r="127" customFormat="false" ht="12.75" hidden="false" customHeight="true" outlineLevel="0" collapsed="false">
      <c r="A127" s="449" t="n">
        <v>12617</v>
      </c>
      <c r="B127" s="450" t="s">
        <v>15052</v>
      </c>
      <c r="C127" s="450" t="n">
        <v>2012</v>
      </c>
      <c r="D127" s="451" t="n">
        <v>40956</v>
      </c>
      <c r="E127" s="452" t="s">
        <v>15053</v>
      </c>
      <c r="F127" s="378" t="s">
        <v>1693</v>
      </c>
      <c r="G127" s="452" t="s">
        <v>1174</v>
      </c>
      <c r="H127" s="378" t="s">
        <v>1567</v>
      </c>
      <c r="I127" s="451" t="n">
        <v>42866</v>
      </c>
      <c r="J127" s="452" t="n">
        <v>5</v>
      </c>
      <c r="K127" s="614" t="s">
        <v>45</v>
      </c>
      <c r="L127" s="450" t="s">
        <v>58</v>
      </c>
      <c r="M127" s="455" t="n">
        <f aca="false">I127-D127</f>
        <v>1910</v>
      </c>
    </row>
    <row r="128" customFormat="false" ht="12.75" hidden="false" customHeight="true" outlineLevel="0" collapsed="false">
      <c r="A128" s="456" t="n">
        <v>12717</v>
      </c>
      <c r="B128" s="458" t="s">
        <v>15054</v>
      </c>
      <c r="C128" s="458" t="n">
        <v>2015</v>
      </c>
      <c r="D128" s="459" t="n">
        <v>42101</v>
      </c>
      <c r="E128" s="460" t="s">
        <v>15055</v>
      </c>
      <c r="F128" s="380" t="s">
        <v>1693</v>
      </c>
      <c r="G128" s="460" t="s">
        <v>1174</v>
      </c>
      <c r="H128" s="380" t="s">
        <v>1501</v>
      </c>
      <c r="I128" s="459" t="n">
        <v>42867</v>
      </c>
      <c r="J128" s="460" t="n">
        <v>5</v>
      </c>
      <c r="K128" s="614" t="s">
        <v>45</v>
      </c>
      <c r="L128" s="458" t="s">
        <v>58</v>
      </c>
      <c r="M128" s="463" t="n">
        <f aca="false">I128-D128</f>
        <v>766</v>
      </c>
    </row>
    <row r="129" customFormat="false" ht="12.75" hidden="false" customHeight="true" outlineLevel="0" collapsed="false">
      <c r="A129" s="449" t="n">
        <v>12817</v>
      </c>
      <c r="B129" s="450" t="s">
        <v>15056</v>
      </c>
      <c r="C129" s="450" t="n">
        <v>2016</v>
      </c>
      <c r="D129" s="451" t="n">
        <v>42555</v>
      </c>
      <c r="E129" s="452" t="s">
        <v>15057</v>
      </c>
      <c r="F129" s="378" t="s">
        <v>1693</v>
      </c>
      <c r="G129" s="452" t="s">
        <v>1174</v>
      </c>
      <c r="H129" s="378" t="s">
        <v>1501</v>
      </c>
      <c r="I129" s="451" t="n">
        <v>42867</v>
      </c>
      <c r="J129" s="452" t="n">
        <v>5</v>
      </c>
      <c r="K129" s="614" t="s">
        <v>45</v>
      </c>
      <c r="L129" s="450" t="s">
        <v>58</v>
      </c>
      <c r="M129" s="455" t="n">
        <f aca="false">I129-D129</f>
        <v>312</v>
      </c>
    </row>
    <row r="130" customFormat="false" ht="12.75" hidden="false" customHeight="true" outlineLevel="0" collapsed="false">
      <c r="A130" s="456" t="n">
        <v>12917</v>
      </c>
      <c r="B130" s="458" t="s">
        <v>15058</v>
      </c>
      <c r="C130" s="458" t="n">
        <v>2015</v>
      </c>
      <c r="D130" s="459" t="n">
        <v>42243</v>
      </c>
      <c r="E130" s="460" t="s">
        <v>15059</v>
      </c>
      <c r="F130" s="380" t="s">
        <v>346</v>
      </c>
      <c r="G130" s="460" t="s">
        <v>441</v>
      </c>
      <c r="H130" s="380" t="s">
        <v>223</v>
      </c>
      <c r="I130" s="459" t="n">
        <v>42870</v>
      </c>
      <c r="J130" s="460" t="n">
        <v>5</v>
      </c>
      <c r="K130" s="615" t="s">
        <v>47</v>
      </c>
      <c r="L130" s="458" t="s">
        <v>58</v>
      </c>
      <c r="M130" s="463" t="n">
        <f aca="false">I130-D130</f>
        <v>627</v>
      </c>
    </row>
    <row r="131" customFormat="false" ht="12.75" hidden="false" customHeight="true" outlineLevel="0" collapsed="false">
      <c r="A131" s="449" t="n">
        <v>13017</v>
      </c>
      <c r="B131" s="450" t="s">
        <v>15060</v>
      </c>
      <c r="C131" s="450" t="n">
        <v>2011</v>
      </c>
      <c r="D131" s="451" t="n">
        <v>40816</v>
      </c>
      <c r="E131" s="452" t="s">
        <v>15061</v>
      </c>
      <c r="F131" s="378" t="s">
        <v>15062</v>
      </c>
      <c r="G131" s="452" t="s">
        <v>441</v>
      </c>
      <c r="H131" s="378" t="s">
        <v>267</v>
      </c>
      <c r="I131" s="451" t="n">
        <v>42871</v>
      </c>
      <c r="J131" s="452" t="n">
        <v>5</v>
      </c>
      <c r="K131" s="616" t="s">
        <v>42</v>
      </c>
      <c r="L131" s="450" t="s">
        <v>58</v>
      </c>
      <c r="M131" s="455" t="n">
        <f aca="false">I131-D131</f>
        <v>2055</v>
      </c>
    </row>
    <row r="132" customFormat="false" ht="12.75" hidden="false" customHeight="true" outlineLevel="0" collapsed="false">
      <c r="A132" s="456" t="n">
        <v>13117</v>
      </c>
      <c r="B132" s="458" t="s">
        <v>15063</v>
      </c>
      <c r="C132" s="458" t="n">
        <v>2013</v>
      </c>
      <c r="D132" s="459" t="n">
        <v>41318</v>
      </c>
      <c r="E132" s="460" t="s">
        <v>15064</v>
      </c>
      <c r="F132" s="380" t="s">
        <v>168</v>
      </c>
      <c r="G132" s="460" t="s">
        <v>1174</v>
      </c>
      <c r="H132" s="380" t="s">
        <v>522</v>
      </c>
      <c r="I132" s="459" t="n">
        <v>42873</v>
      </c>
      <c r="J132" s="460" t="n">
        <v>5</v>
      </c>
      <c r="K132" s="616" t="s">
        <v>42</v>
      </c>
      <c r="L132" s="458" t="s">
        <v>58</v>
      </c>
      <c r="M132" s="463" t="n">
        <f aca="false">I132-D132</f>
        <v>1555</v>
      </c>
    </row>
    <row r="133" customFormat="false" ht="12.75" hidden="false" customHeight="true" outlineLevel="0" collapsed="false">
      <c r="A133" s="449" t="n">
        <v>13217</v>
      </c>
      <c r="B133" s="450" t="s">
        <v>15065</v>
      </c>
      <c r="C133" s="450" t="n">
        <v>2009</v>
      </c>
      <c r="D133" s="451" t="n">
        <v>40168</v>
      </c>
      <c r="E133" s="452" t="s">
        <v>15066</v>
      </c>
      <c r="F133" s="378" t="s">
        <v>10637</v>
      </c>
      <c r="G133" s="452" t="s">
        <v>441</v>
      </c>
      <c r="H133" s="378" t="s">
        <v>6570</v>
      </c>
      <c r="I133" s="451" t="n">
        <v>42876</v>
      </c>
      <c r="J133" s="452" t="n">
        <v>5</v>
      </c>
      <c r="K133" s="616" t="s">
        <v>42</v>
      </c>
      <c r="L133" s="450" t="s">
        <v>58</v>
      </c>
      <c r="M133" s="455" t="n">
        <f aca="false">I133-D133</f>
        <v>2708</v>
      </c>
    </row>
    <row r="134" customFormat="false" ht="12.75" hidden="false" customHeight="true" outlineLevel="0" collapsed="false">
      <c r="A134" s="456" t="n">
        <v>13317</v>
      </c>
      <c r="B134" s="458" t="s">
        <v>15067</v>
      </c>
      <c r="C134" s="458" t="n">
        <v>2009</v>
      </c>
      <c r="D134" s="459" t="n">
        <v>40136</v>
      </c>
      <c r="E134" s="460" t="s">
        <v>15068</v>
      </c>
      <c r="F134" s="380" t="s">
        <v>10637</v>
      </c>
      <c r="G134" s="460" t="s">
        <v>441</v>
      </c>
      <c r="H134" s="380" t="s">
        <v>6570</v>
      </c>
      <c r="I134" s="459" t="n">
        <v>42876</v>
      </c>
      <c r="J134" s="460" t="n">
        <v>5</v>
      </c>
      <c r="K134" s="616" t="s">
        <v>42</v>
      </c>
      <c r="L134" s="458" t="s">
        <v>58</v>
      </c>
      <c r="M134" s="463" t="n">
        <f aca="false">I134-D134</f>
        <v>2740</v>
      </c>
    </row>
    <row r="135" customFormat="false" ht="12.75" hidden="false" customHeight="true" outlineLevel="0" collapsed="false">
      <c r="A135" s="449" t="n">
        <v>13417</v>
      </c>
      <c r="B135" s="450" t="s">
        <v>15069</v>
      </c>
      <c r="C135" s="450" t="n">
        <v>2015</v>
      </c>
      <c r="D135" s="451" t="n">
        <v>42185</v>
      </c>
      <c r="E135" s="452" t="s">
        <v>15070</v>
      </c>
      <c r="F135" s="378" t="s">
        <v>15071</v>
      </c>
      <c r="G135" s="452" t="s">
        <v>441</v>
      </c>
      <c r="H135" s="378" t="s">
        <v>267</v>
      </c>
      <c r="I135" s="451" t="n">
        <v>42877</v>
      </c>
      <c r="J135" s="452" t="n">
        <v>5</v>
      </c>
      <c r="K135" s="614" t="s">
        <v>45</v>
      </c>
      <c r="L135" s="450" t="s">
        <v>58</v>
      </c>
      <c r="M135" s="455" t="n">
        <f aca="false">I135-D135</f>
        <v>692</v>
      </c>
    </row>
    <row r="136" customFormat="false" ht="12.75" hidden="false" customHeight="true" outlineLevel="0" collapsed="false">
      <c r="A136" s="456" t="n">
        <v>13517</v>
      </c>
      <c r="B136" s="458" t="s">
        <v>15072</v>
      </c>
      <c r="C136" s="458" t="n">
        <v>2012</v>
      </c>
      <c r="D136" s="459" t="n">
        <v>41143</v>
      </c>
      <c r="E136" s="460" t="s">
        <v>15073</v>
      </c>
      <c r="F136" s="380" t="s">
        <v>15074</v>
      </c>
      <c r="G136" s="460" t="s">
        <v>1174</v>
      </c>
      <c r="H136" s="380" t="s">
        <v>1567</v>
      </c>
      <c r="I136" s="459" t="n">
        <v>42878</v>
      </c>
      <c r="J136" s="460" t="n">
        <v>5</v>
      </c>
      <c r="K136" s="615" t="s">
        <v>47</v>
      </c>
      <c r="L136" s="458" t="s">
        <v>60</v>
      </c>
      <c r="M136" s="463" t="n">
        <f aca="false">I136-D136</f>
        <v>1735</v>
      </c>
    </row>
    <row r="137" customFormat="false" ht="12.75" hidden="false" customHeight="true" outlineLevel="0" collapsed="false">
      <c r="A137" s="449" t="n">
        <v>13617</v>
      </c>
      <c r="B137" s="450" t="s">
        <v>15075</v>
      </c>
      <c r="C137" s="450" t="n">
        <v>2013</v>
      </c>
      <c r="D137" s="451" t="n">
        <v>41579</v>
      </c>
      <c r="E137" s="452" t="s">
        <v>15076</v>
      </c>
      <c r="F137" s="378" t="s">
        <v>668</v>
      </c>
      <c r="G137" s="452" t="s">
        <v>1174</v>
      </c>
      <c r="H137" s="378" t="s">
        <v>6674</v>
      </c>
      <c r="I137" s="451" t="n">
        <v>42878</v>
      </c>
      <c r="J137" s="452" t="n">
        <v>5</v>
      </c>
      <c r="K137" s="616" t="s">
        <v>42</v>
      </c>
      <c r="L137" s="450" t="s">
        <v>58</v>
      </c>
      <c r="M137" s="455" t="n">
        <f aca="false">I137-D137</f>
        <v>1299</v>
      </c>
    </row>
    <row r="138" customFormat="false" ht="12.75" hidden="false" customHeight="true" outlineLevel="0" collapsed="false">
      <c r="A138" s="456" t="n">
        <v>13717</v>
      </c>
      <c r="B138" s="458" t="s">
        <v>15077</v>
      </c>
      <c r="C138" s="458" t="n">
        <v>2014</v>
      </c>
      <c r="D138" s="459" t="n">
        <v>41918</v>
      </c>
      <c r="E138" s="460" t="s">
        <v>15078</v>
      </c>
      <c r="F138" s="380" t="s">
        <v>902</v>
      </c>
      <c r="G138" s="460" t="s">
        <v>441</v>
      </c>
      <c r="H138" s="380" t="s">
        <v>2677</v>
      </c>
      <c r="I138" s="459" t="n">
        <v>42878</v>
      </c>
      <c r="J138" s="460" t="n">
        <v>5</v>
      </c>
      <c r="K138" s="614" t="s">
        <v>45</v>
      </c>
      <c r="L138" s="458" t="s">
        <v>58</v>
      </c>
      <c r="M138" s="463" t="n">
        <f aca="false">I138-D138</f>
        <v>960</v>
      </c>
    </row>
    <row r="139" customFormat="false" ht="12.75" hidden="false" customHeight="true" outlineLevel="0" collapsed="false">
      <c r="A139" s="449" t="n">
        <v>13817</v>
      </c>
      <c r="B139" s="450" t="s">
        <v>15079</v>
      </c>
      <c r="C139" s="450" t="n">
        <v>2015</v>
      </c>
      <c r="D139" s="451" t="n">
        <v>42341</v>
      </c>
      <c r="E139" s="452" t="s">
        <v>15080</v>
      </c>
      <c r="F139" s="378" t="s">
        <v>15081</v>
      </c>
      <c r="G139" s="452" t="s">
        <v>130</v>
      </c>
      <c r="H139" s="378" t="s">
        <v>14408</v>
      </c>
      <c r="I139" s="451" t="n">
        <v>42879</v>
      </c>
      <c r="J139" s="452" t="n">
        <v>5</v>
      </c>
      <c r="K139" s="613" t="s">
        <v>50</v>
      </c>
      <c r="L139" s="450" t="s">
        <v>61</v>
      </c>
      <c r="M139" s="455" t="n">
        <f aca="false">I139-D139</f>
        <v>538</v>
      </c>
    </row>
    <row r="140" customFormat="false" ht="12.75" hidden="false" customHeight="true" outlineLevel="0" collapsed="false">
      <c r="A140" s="456" t="n">
        <v>13917</v>
      </c>
      <c r="B140" s="458" t="s">
        <v>15082</v>
      </c>
      <c r="C140" s="458" t="n">
        <v>2009</v>
      </c>
      <c r="D140" s="459" t="n">
        <v>39923</v>
      </c>
      <c r="E140" s="460" t="s">
        <v>15083</v>
      </c>
      <c r="F140" s="380" t="s">
        <v>699</v>
      </c>
      <c r="G140" s="460" t="s">
        <v>441</v>
      </c>
      <c r="H140" s="380" t="s">
        <v>12073</v>
      </c>
      <c r="I140" s="459" t="n">
        <v>42881</v>
      </c>
      <c r="J140" s="460" t="n">
        <v>5</v>
      </c>
      <c r="K140" s="615" t="s">
        <v>47</v>
      </c>
      <c r="L140" s="458" t="s">
        <v>60</v>
      </c>
      <c r="M140" s="463" t="n">
        <f aca="false">I140-D140</f>
        <v>2958</v>
      </c>
    </row>
    <row r="141" customFormat="false" ht="12.75" hidden="false" customHeight="true" outlineLevel="0" collapsed="false">
      <c r="A141" s="449" t="n">
        <v>14017</v>
      </c>
      <c r="B141" s="450" t="s">
        <v>15084</v>
      </c>
      <c r="C141" s="450" t="n">
        <v>2013</v>
      </c>
      <c r="D141" s="451" t="n">
        <v>41453</v>
      </c>
      <c r="E141" s="452" t="s">
        <v>15085</v>
      </c>
      <c r="F141" s="378" t="s">
        <v>138</v>
      </c>
      <c r="G141" s="452" t="s">
        <v>8</v>
      </c>
      <c r="H141" s="378" t="s">
        <v>267</v>
      </c>
      <c r="I141" s="451" t="n">
        <v>42881</v>
      </c>
      <c r="J141" s="452" t="n">
        <v>5</v>
      </c>
      <c r="K141" s="615" t="s">
        <v>47</v>
      </c>
      <c r="L141" s="450" t="s">
        <v>61</v>
      </c>
      <c r="M141" s="455" t="n">
        <f aca="false">I141-D141</f>
        <v>1428</v>
      </c>
    </row>
    <row r="142" customFormat="false" ht="12.75" hidden="false" customHeight="true" outlineLevel="0" collapsed="false">
      <c r="A142" s="456" t="n">
        <v>14117</v>
      </c>
      <c r="B142" s="458" t="s">
        <v>15086</v>
      </c>
      <c r="C142" s="458" t="n">
        <v>2010</v>
      </c>
      <c r="D142" s="459" t="n">
        <v>40322</v>
      </c>
      <c r="E142" s="460" t="s">
        <v>15087</v>
      </c>
      <c r="F142" s="380" t="s">
        <v>7739</v>
      </c>
      <c r="G142" s="460" t="s">
        <v>1174</v>
      </c>
      <c r="H142" s="380" t="s">
        <v>522</v>
      </c>
      <c r="I142" s="459" t="n">
        <v>42884</v>
      </c>
      <c r="J142" s="460" t="n">
        <v>5</v>
      </c>
      <c r="K142" s="614" t="s">
        <v>45</v>
      </c>
      <c r="L142" s="458" t="s">
        <v>60</v>
      </c>
      <c r="M142" s="463" t="n">
        <f aca="false">I142-D142</f>
        <v>2562</v>
      </c>
    </row>
    <row r="143" customFormat="false" ht="12.75" hidden="false" customHeight="true" outlineLevel="0" collapsed="false">
      <c r="A143" s="449" t="n">
        <v>14217</v>
      </c>
      <c r="B143" s="450" t="s">
        <v>15088</v>
      </c>
      <c r="C143" s="450" t="n">
        <v>2012</v>
      </c>
      <c r="D143" s="451" t="n">
        <v>41043</v>
      </c>
      <c r="E143" s="452" t="s">
        <v>15089</v>
      </c>
      <c r="F143" s="378" t="s">
        <v>207</v>
      </c>
      <c r="G143" s="452" t="s">
        <v>1174</v>
      </c>
      <c r="H143" s="378" t="s">
        <v>267</v>
      </c>
      <c r="I143" s="451" t="n">
        <v>42885</v>
      </c>
      <c r="J143" s="452" t="n">
        <v>5</v>
      </c>
      <c r="K143" s="616" t="s">
        <v>42</v>
      </c>
      <c r="L143" s="450" t="s">
        <v>58</v>
      </c>
      <c r="M143" s="455" t="n">
        <f aca="false">I143-D143</f>
        <v>1842</v>
      </c>
    </row>
    <row r="144" customFormat="false" ht="12.75" hidden="false" customHeight="true" outlineLevel="0" collapsed="false">
      <c r="A144" s="456" t="n">
        <v>14317</v>
      </c>
      <c r="B144" s="458" t="s">
        <v>15090</v>
      </c>
      <c r="C144" s="458" t="n">
        <v>2012</v>
      </c>
      <c r="D144" s="459" t="n">
        <v>41059</v>
      </c>
      <c r="E144" s="460" t="s">
        <v>15091</v>
      </c>
      <c r="F144" s="380" t="s">
        <v>15092</v>
      </c>
      <c r="G144" s="460" t="s">
        <v>1174</v>
      </c>
      <c r="H144" s="380" t="s">
        <v>267</v>
      </c>
      <c r="I144" s="459" t="n">
        <v>42885</v>
      </c>
      <c r="J144" s="460" t="n">
        <v>5</v>
      </c>
      <c r="K144" s="616" t="s">
        <v>42</v>
      </c>
      <c r="L144" s="458" t="s">
        <v>58</v>
      </c>
      <c r="M144" s="463" t="n">
        <f aca="false">I144-D144</f>
        <v>1826</v>
      </c>
    </row>
    <row r="145" customFormat="false" ht="12.75" hidden="false" customHeight="true" outlineLevel="0" collapsed="false">
      <c r="A145" s="449" t="n">
        <v>14417</v>
      </c>
      <c r="B145" s="450" t="s">
        <v>15093</v>
      </c>
      <c r="C145" s="450" t="n">
        <v>2011</v>
      </c>
      <c r="D145" s="451" t="n">
        <v>40715</v>
      </c>
      <c r="E145" s="452" t="s">
        <v>15094</v>
      </c>
      <c r="F145" s="378" t="s">
        <v>15095</v>
      </c>
      <c r="G145" s="452" t="s">
        <v>1188</v>
      </c>
      <c r="H145" s="378" t="s">
        <v>1791</v>
      </c>
      <c r="I145" s="451" t="n">
        <v>42885</v>
      </c>
      <c r="J145" s="452" t="n">
        <v>5</v>
      </c>
      <c r="K145" s="615" t="s">
        <v>47</v>
      </c>
      <c r="L145" s="450" t="s">
        <v>58</v>
      </c>
      <c r="M145" s="455" t="n">
        <f aca="false">I145-D145</f>
        <v>2170</v>
      </c>
    </row>
    <row r="146" customFormat="false" ht="12.75" hidden="false" customHeight="true" outlineLevel="0" collapsed="false">
      <c r="A146" s="456" t="n">
        <v>14517</v>
      </c>
      <c r="B146" s="458" t="s">
        <v>15096</v>
      </c>
      <c r="C146" s="458" t="n">
        <v>2016</v>
      </c>
      <c r="D146" s="459" t="n">
        <v>42433</v>
      </c>
      <c r="E146" s="460" t="s">
        <v>15097</v>
      </c>
      <c r="F146" s="380" t="s">
        <v>6303</v>
      </c>
      <c r="G146" s="460" t="s">
        <v>130</v>
      </c>
      <c r="H146" s="380" t="s">
        <v>15098</v>
      </c>
      <c r="I146" s="459" t="n">
        <v>42886</v>
      </c>
      <c r="J146" s="460" t="n">
        <v>5</v>
      </c>
      <c r="K146" s="613" t="s">
        <v>50</v>
      </c>
      <c r="L146" s="458" t="s">
        <v>61</v>
      </c>
      <c r="M146" s="463" t="n">
        <f aca="false">I146-D146</f>
        <v>453</v>
      </c>
    </row>
    <row r="147" customFormat="false" ht="12.75" hidden="false" customHeight="true" outlineLevel="0" collapsed="false">
      <c r="A147" s="449" t="n">
        <v>14617</v>
      </c>
      <c r="B147" s="450" t="s">
        <v>15099</v>
      </c>
      <c r="C147" s="450" t="n">
        <v>2015</v>
      </c>
      <c r="D147" s="451" t="n">
        <v>42313</v>
      </c>
      <c r="E147" s="452" t="s">
        <v>15100</v>
      </c>
      <c r="F147" s="378" t="s">
        <v>11199</v>
      </c>
      <c r="G147" s="452" t="s">
        <v>441</v>
      </c>
      <c r="H147" s="378" t="s">
        <v>223</v>
      </c>
      <c r="I147" s="451" t="n">
        <v>42887</v>
      </c>
      <c r="J147" s="452" t="n">
        <v>6</v>
      </c>
      <c r="K147" s="615" t="s">
        <v>47</v>
      </c>
      <c r="L147" s="450" t="s">
        <v>57</v>
      </c>
      <c r="M147" s="455" t="n">
        <f aca="false">I147-D147</f>
        <v>574</v>
      </c>
    </row>
    <row r="148" customFormat="false" ht="12.75" hidden="false" customHeight="true" outlineLevel="0" collapsed="false">
      <c r="A148" s="456" t="n">
        <v>14717</v>
      </c>
      <c r="B148" s="458" t="s">
        <v>15101</v>
      </c>
      <c r="C148" s="458" t="n">
        <v>2016</v>
      </c>
      <c r="D148" s="459" t="n">
        <v>42646</v>
      </c>
      <c r="E148" s="460" t="s">
        <v>15102</v>
      </c>
      <c r="F148" s="380" t="s">
        <v>15092</v>
      </c>
      <c r="G148" s="460" t="s">
        <v>1174</v>
      </c>
      <c r="H148" s="380" t="s">
        <v>544</v>
      </c>
      <c r="I148" s="459" t="n">
        <v>42887</v>
      </c>
      <c r="J148" s="460" t="n">
        <v>6</v>
      </c>
      <c r="K148" s="616" t="s">
        <v>42</v>
      </c>
      <c r="L148" s="458" t="s">
        <v>58</v>
      </c>
      <c r="M148" s="463" t="n">
        <f aca="false">I148-D148</f>
        <v>241</v>
      </c>
    </row>
    <row r="149" customFormat="false" ht="12.75" hidden="false" customHeight="true" outlineLevel="0" collapsed="false">
      <c r="A149" s="449" t="n">
        <v>14817</v>
      </c>
      <c r="B149" s="450" t="s">
        <v>15103</v>
      </c>
      <c r="C149" s="450" t="n">
        <v>2013</v>
      </c>
      <c r="D149" s="451" t="n">
        <v>41460</v>
      </c>
      <c r="E149" s="452" t="s">
        <v>15104</v>
      </c>
      <c r="F149" s="378" t="s">
        <v>9757</v>
      </c>
      <c r="G149" s="452" t="s">
        <v>1174</v>
      </c>
      <c r="H149" s="378" t="s">
        <v>11617</v>
      </c>
      <c r="I149" s="451" t="n">
        <v>42891</v>
      </c>
      <c r="J149" s="452" t="n">
        <v>6</v>
      </c>
      <c r="K149" s="615" t="s">
        <v>47</v>
      </c>
      <c r="L149" s="450" t="s">
        <v>60</v>
      </c>
      <c r="M149" s="455" t="n">
        <f aca="false">I149-D149</f>
        <v>1431</v>
      </c>
    </row>
    <row r="150" customFormat="false" ht="12.75" hidden="false" customHeight="true" outlineLevel="0" collapsed="false">
      <c r="A150" s="456" t="n">
        <v>14917</v>
      </c>
      <c r="B150" s="458" t="s">
        <v>15105</v>
      </c>
      <c r="C150" s="458" t="n">
        <v>2012</v>
      </c>
      <c r="D150" s="459" t="n">
        <v>41149</v>
      </c>
      <c r="E150" s="460" t="s">
        <v>15106</v>
      </c>
      <c r="F150" s="380" t="s">
        <v>15107</v>
      </c>
      <c r="G150" s="460" t="s">
        <v>1188</v>
      </c>
      <c r="H150" s="380" t="s">
        <v>134</v>
      </c>
      <c r="I150" s="459" t="n">
        <v>42891</v>
      </c>
      <c r="J150" s="460" t="n">
        <v>6</v>
      </c>
      <c r="K150" s="615" t="s">
        <v>47</v>
      </c>
      <c r="L150" s="458" t="s">
        <v>60</v>
      </c>
      <c r="M150" s="463" t="n">
        <f aca="false">I150-D150</f>
        <v>1742</v>
      </c>
    </row>
    <row r="151" customFormat="false" ht="12.75" hidden="false" customHeight="true" outlineLevel="0" collapsed="false">
      <c r="A151" s="449" t="n">
        <v>15017</v>
      </c>
      <c r="B151" s="450" t="s">
        <v>15108</v>
      </c>
      <c r="C151" s="450" t="n">
        <v>2016</v>
      </c>
      <c r="D151" s="451" t="n">
        <v>42571</v>
      </c>
      <c r="E151" s="452" t="s">
        <v>15109</v>
      </c>
      <c r="F151" s="378" t="s">
        <v>12416</v>
      </c>
      <c r="G151" s="452" t="s">
        <v>144</v>
      </c>
      <c r="H151" s="378" t="s">
        <v>15110</v>
      </c>
      <c r="I151" s="451" t="n">
        <v>42895</v>
      </c>
      <c r="J151" s="452" t="n">
        <v>6</v>
      </c>
      <c r="K151" s="613" t="s">
        <v>50</v>
      </c>
      <c r="L151" s="450" t="s">
        <v>61</v>
      </c>
      <c r="M151" s="455" t="n">
        <f aca="false">I151-D151</f>
        <v>324</v>
      </c>
    </row>
    <row r="152" customFormat="false" ht="12.75" hidden="false" customHeight="true" outlineLevel="0" collapsed="false">
      <c r="A152" s="456" t="n">
        <v>15117</v>
      </c>
      <c r="B152" s="458" t="s">
        <v>15111</v>
      </c>
      <c r="C152" s="458" t="n">
        <v>2009</v>
      </c>
      <c r="D152" s="459" t="n">
        <v>40021</v>
      </c>
      <c r="E152" s="460" t="s">
        <v>15112</v>
      </c>
      <c r="F152" s="380" t="s">
        <v>15113</v>
      </c>
      <c r="G152" s="460" t="s">
        <v>144</v>
      </c>
      <c r="H152" s="380" t="s">
        <v>10110</v>
      </c>
      <c r="I152" s="459" t="n">
        <v>42895</v>
      </c>
      <c r="J152" s="460" t="n">
        <v>6</v>
      </c>
      <c r="K152" s="614" t="s">
        <v>45</v>
      </c>
      <c r="L152" s="458" t="s">
        <v>58</v>
      </c>
      <c r="M152" s="463" t="n">
        <f aca="false">I152-D152</f>
        <v>2874</v>
      </c>
    </row>
    <row r="153" customFormat="false" ht="12.75" hidden="false" customHeight="true" outlineLevel="0" collapsed="false">
      <c r="A153" s="449" t="n">
        <v>15217</v>
      </c>
      <c r="B153" s="450" t="s">
        <v>15114</v>
      </c>
      <c r="C153" s="450" t="n">
        <v>2012</v>
      </c>
      <c r="D153" s="451" t="n">
        <v>41134</v>
      </c>
      <c r="E153" s="452" t="s">
        <v>15115</v>
      </c>
      <c r="F153" s="378" t="s">
        <v>1277</v>
      </c>
      <c r="G153" s="452" t="s">
        <v>1174</v>
      </c>
      <c r="H153" s="378" t="s">
        <v>354</v>
      </c>
      <c r="I153" s="451" t="n">
        <v>42899</v>
      </c>
      <c r="J153" s="452" t="n">
        <v>6</v>
      </c>
      <c r="K153" s="614" t="s">
        <v>45</v>
      </c>
      <c r="L153" s="450" t="s">
        <v>58</v>
      </c>
      <c r="M153" s="455" t="n">
        <f aca="false">I153-D153</f>
        <v>1765</v>
      </c>
    </row>
    <row r="154" customFormat="false" ht="12.75" hidden="false" customHeight="true" outlineLevel="0" collapsed="false">
      <c r="A154" s="456" t="n">
        <v>15317</v>
      </c>
      <c r="B154" s="458" t="s">
        <v>15116</v>
      </c>
      <c r="C154" s="458" t="n">
        <v>2013</v>
      </c>
      <c r="D154" s="459" t="n">
        <v>41312</v>
      </c>
      <c r="E154" s="460" t="s">
        <v>15117</v>
      </c>
      <c r="F154" s="380" t="s">
        <v>1277</v>
      </c>
      <c r="G154" s="460" t="s">
        <v>1174</v>
      </c>
      <c r="H154" s="380" t="s">
        <v>13796</v>
      </c>
      <c r="I154" s="459" t="n">
        <v>42900</v>
      </c>
      <c r="J154" s="460" t="n">
        <v>6</v>
      </c>
      <c r="K154" s="614" t="s">
        <v>45</v>
      </c>
      <c r="L154" s="458" t="s">
        <v>58</v>
      </c>
      <c r="M154" s="463" t="n">
        <f aca="false">I154-D154</f>
        <v>1588</v>
      </c>
    </row>
    <row r="155" customFormat="false" ht="12.75" hidden="false" customHeight="true" outlineLevel="0" collapsed="false">
      <c r="A155" s="449" t="n">
        <v>15417</v>
      </c>
      <c r="B155" s="450" t="s">
        <v>15118</v>
      </c>
      <c r="C155" s="450" t="n">
        <v>2009</v>
      </c>
      <c r="D155" s="451" t="n">
        <v>39974</v>
      </c>
      <c r="E155" s="452" t="s">
        <v>15119</v>
      </c>
      <c r="F155" s="378" t="s">
        <v>15120</v>
      </c>
      <c r="G155" s="452" t="s">
        <v>441</v>
      </c>
      <c r="H155" s="378" t="s">
        <v>1072</v>
      </c>
      <c r="I155" s="451" t="n">
        <v>42900</v>
      </c>
      <c r="J155" s="452" t="n">
        <v>6</v>
      </c>
      <c r="K155" s="613" t="s">
        <v>50</v>
      </c>
      <c r="L155" s="450" t="s">
        <v>60</v>
      </c>
      <c r="M155" s="455" t="n">
        <f aca="false">I155-D155</f>
        <v>2926</v>
      </c>
    </row>
    <row r="156" customFormat="false" ht="12.75" hidden="false" customHeight="true" outlineLevel="0" collapsed="false">
      <c r="A156" s="456" t="n">
        <v>15517</v>
      </c>
      <c r="B156" s="458" t="s">
        <v>15121</v>
      </c>
      <c r="C156" s="458" t="n">
        <v>2014</v>
      </c>
      <c r="D156" s="459" t="n">
        <v>41983</v>
      </c>
      <c r="E156" s="460" t="s">
        <v>15122</v>
      </c>
      <c r="F156" s="380" t="s">
        <v>1277</v>
      </c>
      <c r="G156" s="460" t="s">
        <v>1174</v>
      </c>
      <c r="H156" s="380" t="s">
        <v>1501</v>
      </c>
      <c r="I156" s="459" t="n">
        <v>42900</v>
      </c>
      <c r="J156" s="460" t="n">
        <v>6</v>
      </c>
      <c r="K156" s="614" t="s">
        <v>45</v>
      </c>
      <c r="L156" s="458" t="s">
        <v>58</v>
      </c>
      <c r="M156" s="463" t="n">
        <f aca="false">I156-D156</f>
        <v>917</v>
      </c>
    </row>
    <row r="157" customFormat="false" ht="12.75" hidden="false" customHeight="true" outlineLevel="0" collapsed="false">
      <c r="A157" s="449" t="n">
        <v>15617</v>
      </c>
      <c r="B157" s="450" t="s">
        <v>15123</v>
      </c>
      <c r="C157" s="450" t="n">
        <v>2012</v>
      </c>
      <c r="D157" s="451" t="n">
        <v>41142</v>
      </c>
      <c r="E157" s="452" t="s">
        <v>15124</v>
      </c>
      <c r="F157" s="378" t="s">
        <v>1277</v>
      </c>
      <c r="G157" s="452" t="s">
        <v>1174</v>
      </c>
      <c r="H157" s="378" t="s">
        <v>2296</v>
      </c>
      <c r="I157" s="451" t="n">
        <v>42900</v>
      </c>
      <c r="J157" s="452" t="n">
        <v>6</v>
      </c>
      <c r="K157" s="614" t="s">
        <v>45</v>
      </c>
      <c r="L157" s="450" t="s">
        <v>58</v>
      </c>
      <c r="M157" s="455" t="n">
        <f aca="false">I157-D157</f>
        <v>1758</v>
      </c>
    </row>
    <row r="158" customFormat="false" ht="12.75" hidden="false" customHeight="true" outlineLevel="0" collapsed="false">
      <c r="A158" s="456" t="n">
        <v>15717</v>
      </c>
      <c r="B158" s="458" t="s">
        <v>15125</v>
      </c>
      <c r="C158" s="458" t="n">
        <v>2012</v>
      </c>
      <c r="D158" s="459" t="n">
        <v>41124</v>
      </c>
      <c r="E158" s="460" t="s">
        <v>15126</v>
      </c>
      <c r="F158" s="380" t="s">
        <v>699</v>
      </c>
      <c r="G158" s="460" t="s">
        <v>441</v>
      </c>
      <c r="H158" s="380" t="s">
        <v>471</v>
      </c>
      <c r="I158" s="459" t="n">
        <v>42902</v>
      </c>
      <c r="J158" s="460" t="n">
        <v>6</v>
      </c>
      <c r="K158" s="616" t="s">
        <v>42</v>
      </c>
      <c r="L158" s="458" t="s">
        <v>60</v>
      </c>
      <c r="M158" s="463" t="n">
        <f aca="false">I158-D158</f>
        <v>1778</v>
      </c>
    </row>
    <row r="159" customFormat="false" ht="12.75" hidden="false" customHeight="true" outlineLevel="0" collapsed="false">
      <c r="A159" s="449" t="n">
        <v>15817</v>
      </c>
      <c r="B159" s="450" t="s">
        <v>15127</v>
      </c>
      <c r="C159" s="450" t="n">
        <v>2015</v>
      </c>
      <c r="D159" s="451" t="n">
        <v>42356</v>
      </c>
      <c r="E159" s="452" t="s">
        <v>15128</v>
      </c>
      <c r="F159" s="378" t="s">
        <v>10637</v>
      </c>
      <c r="G159" s="452" t="s">
        <v>441</v>
      </c>
      <c r="H159" s="378" t="s">
        <v>13816</v>
      </c>
      <c r="I159" s="451" t="n">
        <v>42902</v>
      </c>
      <c r="J159" s="452" t="n">
        <v>6</v>
      </c>
      <c r="K159" s="615" t="s">
        <v>47</v>
      </c>
      <c r="L159" s="450" t="s">
        <v>58</v>
      </c>
      <c r="M159" s="455" t="n">
        <f aca="false">I159-D159</f>
        <v>546</v>
      </c>
    </row>
    <row r="160" customFormat="false" ht="12.75" hidden="false" customHeight="true" outlineLevel="0" collapsed="false">
      <c r="A160" s="456" t="n">
        <v>15917</v>
      </c>
      <c r="B160" s="458" t="s">
        <v>15129</v>
      </c>
      <c r="C160" s="458" t="n">
        <v>2013</v>
      </c>
      <c r="D160" s="459" t="n">
        <v>41467</v>
      </c>
      <c r="E160" s="460" t="s">
        <v>15130</v>
      </c>
      <c r="F160" s="380" t="s">
        <v>1156</v>
      </c>
      <c r="G160" s="460" t="s">
        <v>441</v>
      </c>
      <c r="H160" s="380" t="s">
        <v>2296</v>
      </c>
      <c r="I160" s="459" t="n">
        <v>42907</v>
      </c>
      <c r="J160" s="460" t="n">
        <v>6</v>
      </c>
      <c r="K160" s="616" t="s">
        <v>42</v>
      </c>
      <c r="L160" s="458" t="s">
        <v>58</v>
      </c>
      <c r="M160" s="463" t="n">
        <f aca="false">I160-D160</f>
        <v>1440</v>
      </c>
    </row>
    <row r="161" customFormat="false" ht="12.75" hidden="false" customHeight="true" outlineLevel="0" collapsed="false">
      <c r="A161" s="449" t="n">
        <v>16017</v>
      </c>
      <c r="B161" s="450" t="s">
        <v>15131</v>
      </c>
      <c r="C161" s="450" t="n">
        <v>2008</v>
      </c>
      <c r="D161" s="451" t="n">
        <v>39673</v>
      </c>
      <c r="E161" s="452" t="s">
        <v>15132</v>
      </c>
      <c r="F161" s="378" t="s">
        <v>1357</v>
      </c>
      <c r="G161" s="452" t="s">
        <v>441</v>
      </c>
      <c r="H161" s="378" t="s">
        <v>15133</v>
      </c>
      <c r="I161" s="451" t="n">
        <v>42907</v>
      </c>
      <c r="J161" s="452" t="n">
        <v>6</v>
      </c>
      <c r="K161" s="616" t="s">
        <v>42</v>
      </c>
      <c r="L161" s="450" t="s">
        <v>58</v>
      </c>
      <c r="M161" s="455" t="n">
        <f aca="false">I161-D161</f>
        <v>3234</v>
      </c>
    </row>
    <row r="162" customFormat="false" ht="12.75" hidden="false" customHeight="true" outlineLevel="0" collapsed="false">
      <c r="A162" s="456" t="n">
        <v>16117</v>
      </c>
      <c r="B162" s="458" t="s">
        <v>15134</v>
      </c>
      <c r="C162" s="458" t="n">
        <v>2014</v>
      </c>
      <c r="D162" s="459" t="n">
        <v>41878</v>
      </c>
      <c r="E162" s="460" t="s">
        <v>15135</v>
      </c>
      <c r="F162" s="380" t="s">
        <v>168</v>
      </c>
      <c r="G162" s="460" t="s">
        <v>441</v>
      </c>
      <c r="H162" s="380" t="s">
        <v>706</v>
      </c>
      <c r="I162" s="459" t="n">
        <v>42907</v>
      </c>
      <c r="J162" s="460" t="n">
        <v>6</v>
      </c>
      <c r="K162" s="614" t="s">
        <v>45</v>
      </c>
      <c r="L162" s="458" t="s">
        <v>58</v>
      </c>
      <c r="M162" s="463" t="n">
        <f aca="false">I162-D162</f>
        <v>1029</v>
      </c>
    </row>
    <row r="163" customFormat="false" ht="12.75" hidden="false" customHeight="true" outlineLevel="0" collapsed="false">
      <c r="A163" s="449" t="n">
        <v>16217</v>
      </c>
      <c r="B163" s="450" t="s">
        <v>15136</v>
      </c>
      <c r="C163" s="450" t="n">
        <v>2014</v>
      </c>
      <c r="D163" s="451" t="n">
        <v>41918</v>
      </c>
      <c r="E163" s="452" t="s">
        <v>15137</v>
      </c>
      <c r="F163" s="378" t="s">
        <v>15138</v>
      </c>
      <c r="G163" s="452" t="s">
        <v>125</v>
      </c>
      <c r="H163" s="378" t="s">
        <v>149</v>
      </c>
      <c r="I163" s="451" t="n">
        <v>42908</v>
      </c>
      <c r="J163" s="452" t="n">
        <v>6</v>
      </c>
      <c r="K163" s="615" t="s">
        <v>47</v>
      </c>
      <c r="L163" s="450" t="s">
        <v>61</v>
      </c>
      <c r="M163" s="455" t="n">
        <f aca="false">I163-D163</f>
        <v>990</v>
      </c>
    </row>
    <row r="164" customFormat="false" ht="12.75" hidden="false" customHeight="true" outlineLevel="0" collapsed="false">
      <c r="A164" s="456" t="n">
        <v>16317</v>
      </c>
      <c r="B164" s="458" t="s">
        <v>15129</v>
      </c>
      <c r="C164" s="458" t="n">
        <v>2013</v>
      </c>
      <c r="D164" s="459" t="n">
        <v>41467</v>
      </c>
      <c r="E164" s="460" t="s">
        <v>15139</v>
      </c>
      <c r="F164" s="380" t="s">
        <v>1156</v>
      </c>
      <c r="G164" s="460" t="s">
        <v>441</v>
      </c>
      <c r="H164" s="380" t="s">
        <v>354</v>
      </c>
      <c r="I164" s="459" t="n">
        <v>42908</v>
      </c>
      <c r="J164" s="460" t="n">
        <v>6</v>
      </c>
      <c r="K164" s="616" t="s">
        <v>42</v>
      </c>
      <c r="L164" s="458" t="s">
        <v>58</v>
      </c>
      <c r="M164" s="463" t="n">
        <f aca="false">I164-D164</f>
        <v>1441</v>
      </c>
    </row>
    <row r="165" customFormat="false" ht="12.75" hidden="false" customHeight="true" outlineLevel="0" collapsed="false">
      <c r="A165" s="449" t="n">
        <v>16417</v>
      </c>
      <c r="B165" s="450" t="s">
        <v>15140</v>
      </c>
      <c r="C165" s="450" t="n">
        <v>2011</v>
      </c>
      <c r="D165" s="451" t="n">
        <v>40667</v>
      </c>
      <c r="E165" s="452" t="s">
        <v>15141</v>
      </c>
      <c r="F165" s="378" t="s">
        <v>1180</v>
      </c>
      <c r="G165" s="452" t="s">
        <v>441</v>
      </c>
      <c r="H165" s="378" t="s">
        <v>15133</v>
      </c>
      <c r="I165" s="451" t="n">
        <v>42908</v>
      </c>
      <c r="J165" s="452" t="n">
        <v>6</v>
      </c>
      <c r="K165" s="616" t="s">
        <v>42</v>
      </c>
      <c r="L165" s="450" t="s">
        <v>58</v>
      </c>
      <c r="M165" s="455" t="n">
        <f aca="false">I165-D165</f>
        <v>2241</v>
      </c>
    </row>
    <row r="166" customFormat="false" ht="12.75" hidden="false" customHeight="true" outlineLevel="0" collapsed="false">
      <c r="A166" s="456" t="n">
        <v>16517</v>
      </c>
      <c r="B166" s="458" t="s">
        <v>15142</v>
      </c>
      <c r="C166" s="458" t="n">
        <v>2015</v>
      </c>
      <c r="D166" s="459" t="n">
        <v>42240</v>
      </c>
      <c r="E166" s="460" t="s">
        <v>15143</v>
      </c>
      <c r="F166" s="380" t="s">
        <v>3207</v>
      </c>
      <c r="G166" s="460" t="s">
        <v>130</v>
      </c>
      <c r="H166" s="380" t="s">
        <v>15144</v>
      </c>
      <c r="I166" s="459" t="n">
        <v>42908</v>
      </c>
      <c r="J166" s="460" t="n">
        <v>6</v>
      </c>
      <c r="K166" s="613" t="s">
        <v>2407</v>
      </c>
      <c r="L166" s="458" t="s">
        <v>61</v>
      </c>
      <c r="M166" s="463" t="n">
        <f aca="false">I166-D166</f>
        <v>668</v>
      </c>
    </row>
    <row r="167" customFormat="false" ht="12.75" hidden="false" customHeight="true" outlineLevel="0" collapsed="false">
      <c r="A167" s="449" t="n">
        <v>16617</v>
      </c>
      <c r="B167" s="450" t="s">
        <v>15145</v>
      </c>
      <c r="C167" s="450" t="n">
        <v>2014</v>
      </c>
      <c r="D167" s="451" t="n">
        <v>41941</v>
      </c>
      <c r="E167" s="452" t="s">
        <v>15146</v>
      </c>
      <c r="F167" s="378" t="s">
        <v>15147</v>
      </c>
      <c r="G167" s="452" t="s">
        <v>144</v>
      </c>
      <c r="H167" s="378" t="s">
        <v>10110</v>
      </c>
      <c r="I167" s="451" t="n">
        <v>42909</v>
      </c>
      <c r="J167" s="452" t="n">
        <v>6</v>
      </c>
      <c r="K167" s="616" t="s">
        <v>42</v>
      </c>
      <c r="L167" s="450" t="s">
        <v>60</v>
      </c>
      <c r="M167" s="455" t="n">
        <f aca="false">I167-D167</f>
        <v>968</v>
      </c>
    </row>
    <row r="168" customFormat="false" ht="15.75" hidden="false" customHeight="true" outlineLevel="0" collapsed="false">
      <c r="A168" s="456" t="n">
        <v>16717</v>
      </c>
      <c r="B168" s="458" t="s">
        <v>15148</v>
      </c>
      <c r="C168" s="458" t="n">
        <v>2009</v>
      </c>
      <c r="D168" s="459" t="n">
        <v>40023</v>
      </c>
      <c r="E168" s="460" t="s">
        <v>15149</v>
      </c>
      <c r="F168" s="380" t="s">
        <v>1916</v>
      </c>
      <c r="G168" s="460" t="s">
        <v>441</v>
      </c>
      <c r="H168" s="380" t="s">
        <v>4045</v>
      </c>
      <c r="I168" s="459" t="n">
        <v>42914</v>
      </c>
      <c r="J168" s="460" t="n">
        <v>6</v>
      </c>
      <c r="K168" s="616" t="s">
        <v>42</v>
      </c>
      <c r="L168" s="458" t="s">
        <v>58</v>
      </c>
      <c r="M168" s="463" t="n">
        <f aca="false">I168-D168</f>
        <v>2891</v>
      </c>
    </row>
    <row r="169" customFormat="false" ht="12.75" hidden="false" customHeight="true" outlineLevel="0" collapsed="false">
      <c r="A169" s="449" t="n">
        <v>16817</v>
      </c>
      <c r="B169" s="450" t="s">
        <v>15150</v>
      </c>
      <c r="C169" s="450" t="n">
        <v>2011</v>
      </c>
      <c r="D169" s="451" t="n">
        <v>40709</v>
      </c>
      <c r="E169" s="452" t="s">
        <v>15151</v>
      </c>
      <c r="F169" s="378" t="s">
        <v>1097</v>
      </c>
      <c r="G169" s="452" t="s">
        <v>441</v>
      </c>
      <c r="H169" s="378" t="s">
        <v>706</v>
      </c>
      <c r="I169" s="451" t="n">
        <v>42915</v>
      </c>
      <c r="J169" s="452" t="n">
        <v>6</v>
      </c>
      <c r="K169" s="616" t="s">
        <v>42</v>
      </c>
      <c r="L169" s="450" t="s">
        <v>60</v>
      </c>
      <c r="M169" s="455" t="n">
        <f aca="false">I169-D169</f>
        <v>2206</v>
      </c>
    </row>
    <row r="170" customFormat="false" ht="12.75" hidden="false" customHeight="true" outlineLevel="0" collapsed="false">
      <c r="A170" s="456" t="n">
        <v>16917</v>
      </c>
      <c r="B170" s="458" t="s">
        <v>15152</v>
      </c>
      <c r="C170" s="458" t="n">
        <v>2014</v>
      </c>
      <c r="D170" s="459" t="n">
        <v>41950</v>
      </c>
      <c r="E170" s="460" t="s">
        <v>15153</v>
      </c>
      <c r="F170" s="380" t="s">
        <v>15154</v>
      </c>
      <c r="G170" s="460" t="s">
        <v>125</v>
      </c>
      <c r="H170" s="380" t="s">
        <v>453</v>
      </c>
      <c r="I170" s="459" t="n">
        <v>42915</v>
      </c>
      <c r="J170" s="460" t="n">
        <v>6</v>
      </c>
      <c r="K170" s="613" t="s">
        <v>50</v>
      </c>
      <c r="L170" s="458" t="s">
        <v>61</v>
      </c>
      <c r="M170" s="463" t="n">
        <f aca="false">I170-D170</f>
        <v>965</v>
      </c>
    </row>
    <row r="171" customFormat="false" ht="12.75" hidden="false" customHeight="true" outlineLevel="0" collapsed="false">
      <c r="A171" s="449" t="n">
        <v>17017</v>
      </c>
      <c r="B171" s="450" t="s">
        <v>15155</v>
      </c>
      <c r="C171" s="450" t="n">
        <v>2012</v>
      </c>
      <c r="D171" s="451" t="n">
        <v>41124</v>
      </c>
      <c r="E171" s="452" t="s">
        <v>15156</v>
      </c>
      <c r="F171" s="378" t="s">
        <v>699</v>
      </c>
      <c r="G171" s="452" t="s">
        <v>441</v>
      </c>
      <c r="H171" s="378" t="s">
        <v>471</v>
      </c>
      <c r="I171" s="451" t="n">
        <v>42916</v>
      </c>
      <c r="J171" s="452" t="n">
        <v>6</v>
      </c>
      <c r="K171" s="616" t="s">
        <v>42</v>
      </c>
      <c r="L171" s="450" t="s">
        <v>60</v>
      </c>
      <c r="M171" s="455" t="n">
        <f aca="false">I171-D171</f>
        <v>1792</v>
      </c>
    </row>
    <row r="172" customFormat="false" ht="12.75" hidden="false" customHeight="true" outlineLevel="0" collapsed="false">
      <c r="A172" s="456" t="n">
        <v>17117</v>
      </c>
      <c r="B172" s="458" t="s">
        <v>15157</v>
      </c>
      <c r="C172" s="458" t="n">
        <v>2010</v>
      </c>
      <c r="D172" s="459" t="n">
        <v>40284</v>
      </c>
      <c r="E172" s="460" t="s">
        <v>15158</v>
      </c>
      <c r="F172" s="380" t="s">
        <v>671</v>
      </c>
      <c r="G172" s="460" t="s">
        <v>1174</v>
      </c>
      <c r="H172" s="380" t="s">
        <v>706</v>
      </c>
      <c r="I172" s="459" t="n">
        <v>42916</v>
      </c>
      <c r="J172" s="460" t="n">
        <v>6</v>
      </c>
      <c r="K172" s="616" t="s">
        <v>42</v>
      </c>
      <c r="L172" s="458" t="s">
        <v>57</v>
      </c>
      <c r="M172" s="463" t="n">
        <f aca="false">I172-D172</f>
        <v>2632</v>
      </c>
    </row>
    <row r="173" customFormat="false" ht="12.75" hidden="false" customHeight="true" outlineLevel="0" collapsed="false">
      <c r="A173" s="449" t="n">
        <v>17217</v>
      </c>
      <c r="B173" s="450" t="s">
        <v>15159</v>
      </c>
      <c r="C173" s="450" t="n">
        <v>2014</v>
      </c>
      <c r="D173" s="451" t="n">
        <v>41694</v>
      </c>
      <c r="E173" s="452" t="s">
        <v>15160</v>
      </c>
      <c r="F173" s="378" t="s">
        <v>1097</v>
      </c>
      <c r="G173" s="452" t="s">
        <v>1174</v>
      </c>
      <c r="H173" s="378" t="s">
        <v>1266</v>
      </c>
      <c r="I173" s="451" t="n">
        <v>42919</v>
      </c>
      <c r="J173" s="452" t="n">
        <v>7</v>
      </c>
      <c r="K173" s="616" t="s">
        <v>42</v>
      </c>
      <c r="L173" s="450" t="s">
        <v>60</v>
      </c>
      <c r="M173" s="455" t="n">
        <f aca="false">I173-D173</f>
        <v>1225</v>
      </c>
    </row>
    <row r="174" customFormat="false" ht="12.75" hidden="false" customHeight="true" outlineLevel="0" collapsed="false">
      <c r="A174" s="456" t="n">
        <v>17317</v>
      </c>
      <c r="B174" s="458" t="s">
        <v>15161</v>
      </c>
      <c r="C174" s="458" t="n">
        <v>2014</v>
      </c>
      <c r="D174" s="459" t="n">
        <v>41680</v>
      </c>
      <c r="E174" s="460" t="s">
        <v>15162</v>
      </c>
      <c r="F174" s="380" t="s">
        <v>1097</v>
      </c>
      <c r="G174" s="460" t="s">
        <v>1174</v>
      </c>
      <c r="H174" s="380" t="s">
        <v>223</v>
      </c>
      <c r="I174" s="459" t="n">
        <v>42919</v>
      </c>
      <c r="J174" s="460" t="n">
        <v>7</v>
      </c>
      <c r="K174" s="616" t="s">
        <v>42</v>
      </c>
      <c r="L174" s="458" t="s">
        <v>60</v>
      </c>
      <c r="M174" s="463" t="n">
        <f aca="false">I174-D174</f>
        <v>1239</v>
      </c>
    </row>
    <row r="175" customFormat="false" ht="12.75" hidden="false" customHeight="true" outlineLevel="0" collapsed="false">
      <c r="A175" s="449" t="n">
        <v>17417</v>
      </c>
      <c r="B175" s="450" t="s">
        <v>15163</v>
      </c>
      <c r="C175" s="450" t="n">
        <v>2014</v>
      </c>
      <c r="D175" s="451" t="n">
        <v>41757</v>
      </c>
      <c r="E175" s="452" t="s">
        <v>15164</v>
      </c>
      <c r="F175" s="378" t="s">
        <v>1097</v>
      </c>
      <c r="G175" s="452" t="s">
        <v>1174</v>
      </c>
      <c r="H175" s="378" t="s">
        <v>267</v>
      </c>
      <c r="I175" s="451" t="n">
        <v>42919</v>
      </c>
      <c r="J175" s="452" t="n">
        <v>7</v>
      </c>
      <c r="K175" s="616" t="s">
        <v>42</v>
      </c>
      <c r="L175" s="450" t="s">
        <v>60</v>
      </c>
      <c r="M175" s="455" t="n">
        <f aca="false">I175-D175</f>
        <v>1162</v>
      </c>
    </row>
    <row r="176" customFormat="false" ht="12.75" hidden="false" customHeight="true" outlineLevel="0" collapsed="false">
      <c r="A176" s="456" t="n">
        <v>17517</v>
      </c>
      <c r="B176" s="458" t="s">
        <v>15165</v>
      </c>
      <c r="C176" s="458" t="n">
        <v>2013</v>
      </c>
      <c r="D176" s="459" t="n">
        <v>41590</v>
      </c>
      <c r="E176" s="460" t="s">
        <v>15166</v>
      </c>
      <c r="F176" s="380" t="s">
        <v>689</v>
      </c>
      <c r="G176" s="460" t="s">
        <v>441</v>
      </c>
      <c r="H176" s="380" t="s">
        <v>192</v>
      </c>
      <c r="I176" s="459" t="n">
        <v>42921</v>
      </c>
      <c r="J176" s="460" t="n">
        <v>7</v>
      </c>
      <c r="K176" s="615" t="s">
        <v>47</v>
      </c>
      <c r="L176" s="458" t="s">
        <v>60</v>
      </c>
      <c r="M176" s="463" t="n">
        <f aca="false">I176-D176</f>
        <v>1331</v>
      </c>
    </row>
    <row r="177" customFormat="false" ht="12.75" hidden="false" customHeight="true" outlineLevel="0" collapsed="false">
      <c r="A177" s="449" t="n">
        <v>17617</v>
      </c>
      <c r="B177" s="450" t="s">
        <v>15167</v>
      </c>
      <c r="C177" s="450" t="n">
        <v>2010</v>
      </c>
      <c r="D177" s="451" t="n">
        <v>40485</v>
      </c>
      <c r="E177" s="452" t="s">
        <v>15168</v>
      </c>
      <c r="F177" s="378" t="s">
        <v>5993</v>
      </c>
      <c r="G177" s="452" t="s">
        <v>1174</v>
      </c>
      <c r="H177" s="378" t="s">
        <v>2677</v>
      </c>
      <c r="I177" s="451" t="n">
        <v>42921</v>
      </c>
      <c r="J177" s="452" t="n">
        <v>7</v>
      </c>
      <c r="K177" s="613" t="s">
        <v>50</v>
      </c>
      <c r="L177" s="450" t="s">
        <v>57</v>
      </c>
      <c r="M177" s="455" t="n">
        <f aca="false">I177-D177</f>
        <v>2436</v>
      </c>
    </row>
    <row r="178" customFormat="false" ht="12.75" hidden="false" customHeight="true" outlineLevel="0" collapsed="false">
      <c r="A178" s="456" t="n">
        <v>17717</v>
      </c>
      <c r="B178" s="458" t="s">
        <v>15169</v>
      </c>
      <c r="C178" s="458" t="n">
        <v>2014</v>
      </c>
      <c r="D178" s="459" t="n">
        <v>41683</v>
      </c>
      <c r="E178" s="460" t="s">
        <v>15170</v>
      </c>
      <c r="F178" s="380" t="s">
        <v>5993</v>
      </c>
      <c r="G178" s="460" t="s">
        <v>1174</v>
      </c>
      <c r="H178" s="380" t="s">
        <v>1501</v>
      </c>
      <c r="I178" s="459" t="n">
        <v>42922</v>
      </c>
      <c r="J178" s="460" t="n">
        <v>7</v>
      </c>
      <c r="K178" s="613" t="s">
        <v>50</v>
      </c>
      <c r="L178" s="458" t="s">
        <v>57</v>
      </c>
      <c r="M178" s="463" t="n">
        <f aca="false">I178-D178</f>
        <v>1239</v>
      </c>
    </row>
    <row r="179" customFormat="false" ht="12.75" hidden="false" customHeight="true" outlineLevel="0" collapsed="false">
      <c r="A179" s="449" t="n">
        <v>17817</v>
      </c>
      <c r="B179" s="450" t="s">
        <v>15171</v>
      </c>
      <c r="C179" s="450" t="n">
        <v>2011</v>
      </c>
      <c r="D179" s="451" t="n">
        <v>40619</v>
      </c>
      <c r="E179" s="452" t="s">
        <v>15172</v>
      </c>
      <c r="F179" s="378" t="s">
        <v>1156</v>
      </c>
      <c r="G179" s="452" t="s">
        <v>441</v>
      </c>
      <c r="H179" s="378" t="s">
        <v>5230</v>
      </c>
      <c r="I179" s="451" t="n">
        <v>42922</v>
      </c>
      <c r="J179" s="452" t="n">
        <v>7</v>
      </c>
      <c r="K179" s="616" t="s">
        <v>42</v>
      </c>
      <c r="L179" s="450" t="s">
        <v>58</v>
      </c>
      <c r="M179" s="455" t="n">
        <f aca="false">I179-D179</f>
        <v>2303</v>
      </c>
    </row>
    <row r="180" customFormat="false" ht="12.75" hidden="false" customHeight="true" outlineLevel="0" collapsed="false">
      <c r="A180" s="456" t="n">
        <v>17917</v>
      </c>
      <c r="B180" s="458" t="s">
        <v>15173</v>
      </c>
      <c r="C180" s="458" t="n">
        <v>2013</v>
      </c>
      <c r="D180" s="459" t="n">
        <v>41303</v>
      </c>
      <c r="E180" s="460" t="s">
        <v>15174</v>
      </c>
      <c r="F180" s="380" t="s">
        <v>5993</v>
      </c>
      <c r="G180" s="460" t="s">
        <v>1174</v>
      </c>
      <c r="H180" s="380" t="s">
        <v>350</v>
      </c>
      <c r="I180" s="459" t="n">
        <v>42922</v>
      </c>
      <c r="J180" s="460" t="n">
        <v>7</v>
      </c>
      <c r="K180" s="613" t="s">
        <v>50</v>
      </c>
      <c r="L180" s="458" t="s">
        <v>57</v>
      </c>
      <c r="M180" s="463" t="n">
        <f aca="false">I180-D180</f>
        <v>1619</v>
      </c>
    </row>
    <row r="181" customFormat="false" ht="12.75" hidden="false" customHeight="true" outlineLevel="0" collapsed="false">
      <c r="A181" s="449" t="n">
        <v>18017</v>
      </c>
      <c r="B181" s="450" t="s">
        <v>15175</v>
      </c>
      <c r="C181" s="450" t="n">
        <v>2014</v>
      </c>
      <c r="D181" s="451" t="n">
        <v>41673</v>
      </c>
      <c r="E181" s="452" t="s">
        <v>15176</v>
      </c>
      <c r="F181" s="378" t="s">
        <v>671</v>
      </c>
      <c r="G181" s="452" t="s">
        <v>1174</v>
      </c>
      <c r="H181" s="378" t="s">
        <v>6674</v>
      </c>
      <c r="I181" s="451" t="n">
        <v>42923</v>
      </c>
      <c r="J181" s="452" t="n">
        <v>7</v>
      </c>
      <c r="K181" s="615" t="s">
        <v>47</v>
      </c>
      <c r="L181" s="450" t="s">
        <v>57</v>
      </c>
      <c r="M181" s="455" t="n">
        <f aca="false">I181-D181</f>
        <v>1250</v>
      </c>
    </row>
    <row r="182" customFormat="false" ht="12.75" hidden="false" customHeight="true" outlineLevel="0" collapsed="false">
      <c r="A182" s="456" t="n">
        <v>18117</v>
      </c>
      <c r="B182" s="458" t="s">
        <v>15177</v>
      </c>
      <c r="C182" s="458" t="n">
        <v>2014</v>
      </c>
      <c r="D182" s="459" t="n">
        <v>41907</v>
      </c>
      <c r="E182" s="460" t="s">
        <v>15178</v>
      </c>
      <c r="F182" s="380" t="s">
        <v>671</v>
      </c>
      <c r="G182" s="460" t="s">
        <v>1174</v>
      </c>
      <c r="H182" s="380" t="s">
        <v>2677</v>
      </c>
      <c r="I182" s="459" t="n">
        <v>42923</v>
      </c>
      <c r="J182" s="460" t="n">
        <v>7</v>
      </c>
      <c r="K182" s="615" t="s">
        <v>47</v>
      </c>
      <c r="L182" s="458" t="s">
        <v>57</v>
      </c>
      <c r="M182" s="463" t="n">
        <f aca="false">I182-D182</f>
        <v>1016</v>
      </c>
    </row>
    <row r="183" customFormat="false" ht="12.75" hidden="false" customHeight="true" outlineLevel="0" collapsed="false">
      <c r="A183" s="449" t="n">
        <v>18217</v>
      </c>
      <c r="B183" s="450" t="s">
        <v>15179</v>
      </c>
      <c r="C183" s="450" t="n">
        <v>2012</v>
      </c>
      <c r="D183" s="451" t="n">
        <v>41024</v>
      </c>
      <c r="E183" s="452" t="s">
        <v>15180</v>
      </c>
      <c r="F183" s="378" t="s">
        <v>1277</v>
      </c>
      <c r="G183" s="452" t="s">
        <v>1174</v>
      </c>
      <c r="H183" s="378" t="s">
        <v>14826</v>
      </c>
      <c r="I183" s="451" t="n">
        <v>42923</v>
      </c>
      <c r="J183" s="452" t="n">
        <v>7</v>
      </c>
      <c r="K183" s="614" t="s">
        <v>45</v>
      </c>
      <c r="L183" s="450" t="s">
        <v>58</v>
      </c>
      <c r="M183" s="455" t="n">
        <f aca="false">I183-D183</f>
        <v>1899</v>
      </c>
    </row>
    <row r="184" customFormat="false" ht="14.25" hidden="false" customHeight="true" outlineLevel="0" collapsed="false">
      <c r="A184" s="456" t="n">
        <v>18317</v>
      </c>
      <c r="B184" s="458" t="s">
        <v>15181</v>
      </c>
      <c r="C184" s="458" t="n">
        <v>2009</v>
      </c>
      <c r="D184" s="459" t="n">
        <v>39882</v>
      </c>
      <c r="E184" s="460" t="s">
        <v>15182</v>
      </c>
      <c r="F184" s="380" t="s">
        <v>671</v>
      </c>
      <c r="G184" s="460" t="s">
        <v>441</v>
      </c>
      <c r="H184" s="380" t="s">
        <v>2677</v>
      </c>
      <c r="I184" s="459" t="n">
        <v>42923</v>
      </c>
      <c r="J184" s="460" t="n">
        <v>7</v>
      </c>
      <c r="K184" s="616" t="s">
        <v>42</v>
      </c>
      <c r="L184" s="458" t="s">
        <v>57</v>
      </c>
      <c r="M184" s="463" t="n">
        <f aca="false">I184-D184</f>
        <v>3041</v>
      </c>
    </row>
    <row r="185" customFormat="false" ht="12.75" hidden="false" customHeight="true" outlineLevel="0" collapsed="false">
      <c r="A185" s="449" t="n">
        <v>18417</v>
      </c>
      <c r="B185" s="450" t="s">
        <v>15183</v>
      </c>
      <c r="C185" s="450" t="n">
        <v>2011</v>
      </c>
      <c r="D185" s="451" t="n">
        <v>40767</v>
      </c>
      <c r="E185" s="452" t="s">
        <v>15184</v>
      </c>
      <c r="F185" s="378" t="s">
        <v>211</v>
      </c>
      <c r="G185" s="452" t="s">
        <v>1174</v>
      </c>
      <c r="H185" s="378" t="s">
        <v>1501</v>
      </c>
      <c r="I185" s="451" t="n">
        <v>42928</v>
      </c>
      <c r="J185" s="452" t="n">
        <v>7</v>
      </c>
      <c r="K185" s="616" t="s">
        <v>42</v>
      </c>
      <c r="L185" s="450" t="s">
        <v>58</v>
      </c>
      <c r="M185" s="455" t="n">
        <f aca="false">I185-D185</f>
        <v>2161</v>
      </c>
    </row>
    <row r="186" customFormat="false" ht="12.75" hidden="false" customHeight="true" outlineLevel="0" collapsed="false">
      <c r="A186" s="456" t="n">
        <v>18517</v>
      </c>
      <c r="B186" s="458" t="s">
        <v>15185</v>
      </c>
      <c r="C186" s="458" t="n">
        <v>2014</v>
      </c>
      <c r="D186" s="459" t="n">
        <v>41667</v>
      </c>
      <c r="E186" s="460" t="s">
        <v>15186</v>
      </c>
      <c r="F186" s="380" t="s">
        <v>477</v>
      </c>
      <c r="G186" s="460" t="s">
        <v>1174</v>
      </c>
      <c r="H186" s="380" t="s">
        <v>350</v>
      </c>
      <c r="I186" s="459" t="n">
        <v>42928</v>
      </c>
      <c r="J186" s="460" t="n">
        <v>7</v>
      </c>
      <c r="K186" s="615" t="s">
        <v>47</v>
      </c>
      <c r="L186" s="458" t="s">
        <v>58</v>
      </c>
      <c r="M186" s="463" t="n">
        <f aca="false">I186-D186</f>
        <v>1261</v>
      </c>
    </row>
    <row r="187" customFormat="false" ht="12.75" hidden="false" customHeight="true" outlineLevel="0" collapsed="false">
      <c r="A187" s="449" t="n">
        <v>18617</v>
      </c>
      <c r="B187" s="450" t="s">
        <v>15187</v>
      </c>
      <c r="C187" s="450" t="n">
        <v>2015</v>
      </c>
      <c r="D187" s="451" t="n">
        <v>42285</v>
      </c>
      <c r="E187" s="452" t="s">
        <v>15188</v>
      </c>
      <c r="F187" s="378" t="s">
        <v>15189</v>
      </c>
      <c r="G187" s="452" t="s">
        <v>441</v>
      </c>
      <c r="H187" s="378" t="s">
        <v>223</v>
      </c>
      <c r="I187" s="451" t="n">
        <v>42929</v>
      </c>
      <c r="J187" s="452" t="n">
        <v>7</v>
      </c>
      <c r="K187" s="615" t="s">
        <v>47</v>
      </c>
      <c r="L187" s="450" t="s">
        <v>57</v>
      </c>
      <c r="M187" s="455" t="n">
        <f aca="false">I187-D187</f>
        <v>644</v>
      </c>
    </row>
    <row r="188" customFormat="false" ht="12.75" hidden="false" customHeight="true" outlineLevel="0" collapsed="false">
      <c r="A188" s="456" t="n">
        <v>18717</v>
      </c>
      <c r="B188" s="458" t="s">
        <v>15190</v>
      </c>
      <c r="C188" s="458" t="n">
        <v>2012</v>
      </c>
      <c r="D188" s="459" t="n">
        <v>41151</v>
      </c>
      <c r="E188" s="460" t="s">
        <v>15191</v>
      </c>
      <c r="F188" s="380" t="s">
        <v>211</v>
      </c>
      <c r="G188" s="460" t="s">
        <v>1174</v>
      </c>
      <c r="H188" s="380" t="s">
        <v>6610</v>
      </c>
      <c r="I188" s="459" t="n">
        <v>42929</v>
      </c>
      <c r="J188" s="460" t="n">
        <v>7</v>
      </c>
      <c r="K188" s="616" t="s">
        <v>42</v>
      </c>
      <c r="L188" s="458" t="s">
        <v>58</v>
      </c>
      <c r="M188" s="463" t="n">
        <f aca="false">I188-D188</f>
        <v>1778</v>
      </c>
    </row>
    <row r="189" customFormat="false" ht="12.75" hidden="false" customHeight="true" outlineLevel="0" collapsed="false">
      <c r="A189" s="449" t="n">
        <v>18817</v>
      </c>
      <c r="B189" s="450" t="s">
        <v>15192</v>
      </c>
      <c r="C189" s="450" t="n">
        <v>2015</v>
      </c>
      <c r="D189" s="451" t="n">
        <v>42222</v>
      </c>
      <c r="E189" s="452" t="s">
        <v>15193</v>
      </c>
      <c r="F189" s="378" t="s">
        <v>15095</v>
      </c>
      <c r="G189" s="452" t="s">
        <v>115</v>
      </c>
      <c r="H189" s="378" t="s">
        <v>1791</v>
      </c>
      <c r="I189" s="451" t="n">
        <v>42930</v>
      </c>
      <c r="J189" s="452" t="n">
        <v>7</v>
      </c>
      <c r="K189" s="616" t="s">
        <v>42</v>
      </c>
      <c r="L189" s="450" t="s">
        <v>60</v>
      </c>
      <c r="M189" s="455" t="n">
        <f aca="false">I189-D189</f>
        <v>708</v>
      </c>
    </row>
    <row r="190" customFormat="false" ht="12.75" hidden="false" customHeight="true" outlineLevel="0" collapsed="false">
      <c r="A190" s="456" t="n">
        <v>18917</v>
      </c>
      <c r="B190" s="458" t="s">
        <v>15194</v>
      </c>
      <c r="C190" s="458" t="n">
        <v>2012</v>
      </c>
      <c r="D190" s="459" t="n">
        <v>41009</v>
      </c>
      <c r="E190" s="460" t="s">
        <v>15195</v>
      </c>
      <c r="F190" s="380" t="s">
        <v>671</v>
      </c>
      <c r="G190" s="460" t="s">
        <v>441</v>
      </c>
      <c r="H190" s="380" t="s">
        <v>12073</v>
      </c>
      <c r="I190" s="459" t="n">
        <v>42933</v>
      </c>
      <c r="J190" s="460" t="n">
        <v>7</v>
      </c>
      <c r="K190" s="616" t="s">
        <v>42</v>
      </c>
      <c r="L190" s="458" t="s">
        <v>57</v>
      </c>
      <c r="M190" s="463" t="n">
        <f aca="false">I190-D190</f>
        <v>1924</v>
      </c>
    </row>
    <row r="191" customFormat="false" ht="12.75" hidden="false" customHeight="true" outlineLevel="0" collapsed="false">
      <c r="A191" s="449" t="n">
        <v>19017</v>
      </c>
      <c r="B191" s="450" t="s">
        <v>15196</v>
      </c>
      <c r="C191" s="450" t="n">
        <v>2014</v>
      </c>
      <c r="D191" s="451" t="n">
        <v>41996</v>
      </c>
      <c r="E191" s="452" t="s">
        <v>15197</v>
      </c>
      <c r="F191" s="378" t="s">
        <v>449</v>
      </c>
      <c r="G191" s="452" t="s">
        <v>441</v>
      </c>
      <c r="H191" s="378" t="s">
        <v>706</v>
      </c>
      <c r="I191" s="451" t="n">
        <v>42935</v>
      </c>
      <c r="J191" s="452" t="n">
        <v>7</v>
      </c>
      <c r="K191" s="615" t="s">
        <v>47</v>
      </c>
      <c r="L191" s="450" t="s">
        <v>58</v>
      </c>
      <c r="M191" s="455" t="n">
        <f aca="false">I191-D191</f>
        <v>939</v>
      </c>
    </row>
    <row r="192" customFormat="false" ht="12.75" hidden="false" customHeight="true" outlineLevel="0" collapsed="false">
      <c r="A192" s="456" t="n">
        <v>19117</v>
      </c>
      <c r="B192" s="458" t="s">
        <v>15198</v>
      </c>
      <c r="C192" s="458" t="n">
        <v>2012</v>
      </c>
      <c r="D192" s="459" t="n">
        <v>41150</v>
      </c>
      <c r="E192" s="460" t="s">
        <v>15199</v>
      </c>
      <c r="F192" s="380" t="s">
        <v>3101</v>
      </c>
      <c r="G192" s="460" t="s">
        <v>1174</v>
      </c>
      <c r="H192" s="380" t="s">
        <v>1567</v>
      </c>
      <c r="I192" s="459" t="n">
        <v>42935</v>
      </c>
      <c r="J192" s="460" t="n">
        <v>7</v>
      </c>
      <c r="K192" s="615" t="s">
        <v>47</v>
      </c>
      <c r="L192" s="458" t="s">
        <v>61</v>
      </c>
      <c r="M192" s="463" t="n">
        <f aca="false">I192-D192</f>
        <v>1785</v>
      </c>
    </row>
    <row r="193" customFormat="false" ht="12.75" hidden="false" customHeight="true" outlineLevel="0" collapsed="false">
      <c r="A193" s="449" t="n">
        <v>19217</v>
      </c>
      <c r="B193" s="450" t="s">
        <v>15200</v>
      </c>
      <c r="C193" s="450" t="n">
        <v>2011</v>
      </c>
      <c r="D193" s="451" t="n">
        <v>40834</v>
      </c>
      <c r="E193" s="452" t="s">
        <v>15201</v>
      </c>
      <c r="F193" s="378" t="s">
        <v>723</v>
      </c>
      <c r="G193" s="452" t="s">
        <v>441</v>
      </c>
      <c r="H193" s="378" t="s">
        <v>471</v>
      </c>
      <c r="I193" s="451" t="n">
        <v>42936</v>
      </c>
      <c r="J193" s="452" t="n">
        <v>7</v>
      </c>
      <c r="K193" s="616" t="s">
        <v>42</v>
      </c>
      <c r="L193" s="450" t="s">
        <v>58</v>
      </c>
      <c r="M193" s="455" t="n">
        <f aca="false">I193-D193</f>
        <v>2102</v>
      </c>
    </row>
    <row r="194" customFormat="false" ht="12.75" hidden="false" customHeight="true" outlineLevel="0" collapsed="false">
      <c r="A194" s="456" t="n">
        <v>19317</v>
      </c>
      <c r="B194" s="458" t="s">
        <v>15202</v>
      </c>
      <c r="C194" s="458" t="n">
        <v>2012</v>
      </c>
      <c r="D194" s="459" t="n">
        <v>41107</v>
      </c>
      <c r="E194" s="460" t="s">
        <v>15203</v>
      </c>
      <c r="F194" s="380" t="s">
        <v>723</v>
      </c>
      <c r="G194" s="460" t="s">
        <v>441</v>
      </c>
      <c r="H194" s="380" t="s">
        <v>471</v>
      </c>
      <c r="I194" s="459" t="n">
        <v>42936</v>
      </c>
      <c r="J194" s="460" t="n">
        <v>7</v>
      </c>
      <c r="K194" s="616" t="s">
        <v>42</v>
      </c>
      <c r="L194" s="458" t="s">
        <v>58</v>
      </c>
      <c r="M194" s="463" t="n">
        <f aca="false">I194-D194</f>
        <v>1829</v>
      </c>
    </row>
    <row r="195" customFormat="false" ht="12.75" hidden="false" customHeight="true" outlineLevel="0" collapsed="false">
      <c r="A195" s="449" t="n">
        <v>19417</v>
      </c>
      <c r="B195" s="450" t="s">
        <v>15204</v>
      </c>
      <c r="C195" s="450" t="n">
        <v>2012</v>
      </c>
      <c r="D195" s="451" t="n">
        <v>41107</v>
      </c>
      <c r="E195" s="452" t="s">
        <v>15205</v>
      </c>
      <c r="F195" s="378" t="s">
        <v>723</v>
      </c>
      <c r="G195" s="452" t="s">
        <v>441</v>
      </c>
      <c r="H195" s="378" t="s">
        <v>471</v>
      </c>
      <c r="I195" s="451" t="n">
        <v>42936</v>
      </c>
      <c r="J195" s="452" t="n">
        <v>7</v>
      </c>
      <c r="K195" s="616" t="s">
        <v>42</v>
      </c>
      <c r="L195" s="450" t="s">
        <v>58</v>
      </c>
      <c r="M195" s="455" t="n">
        <f aca="false">I195-D195</f>
        <v>1829</v>
      </c>
    </row>
    <row r="196" customFormat="false" ht="12.75" hidden="false" customHeight="true" outlineLevel="0" collapsed="false">
      <c r="A196" s="456" t="n">
        <v>19517</v>
      </c>
      <c r="B196" s="458" t="s">
        <v>15206</v>
      </c>
      <c r="C196" s="458" t="n">
        <v>2013</v>
      </c>
      <c r="D196" s="459" t="n">
        <v>41600</v>
      </c>
      <c r="E196" s="460" t="s">
        <v>15207</v>
      </c>
      <c r="F196" s="380" t="s">
        <v>14177</v>
      </c>
      <c r="G196" s="460" t="s">
        <v>441</v>
      </c>
      <c r="H196" s="380" t="s">
        <v>184</v>
      </c>
      <c r="I196" s="459" t="n">
        <v>42936</v>
      </c>
      <c r="J196" s="460" t="n">
        <v>7</v>
      </c>
      <c r="K196" s="616" t="s">
        <v>42</v>
      </c>
      <c r="L196" s="458" t="s">
        <v>60</v>
      </c>
      <c r="M196" s="463" t="n">
        <f aca="false">I196-D196</f>
        <v>1336</v>
      </c>
    </row>
    <row r="197" customFormat="false" ht="12.75" hidden="false" customHeight="true" outlineLevel="0" collapsed="false">
      <c r="A197" s="449" t="n">
        <v>19617</v>
      </c>
      <c r="B197" s="450" t="s">
        <v>15208</v>
      </c>
      <c r="C197" s="450" t="n">
        <v>2012</v>
      </c>
      <c r="D197" s="451" t="n">
        <v>41186</v>
      </c>
      <c r="E197" s="452" t="s">
        <v>15209</v>
      </c>
      <c r="F197" s="378" t="s">
        <v>207</v>
      </c>
      <c r="G197" s="452" t="s">
        <v>441</v>
      </c>
      <c r="H197" s="378" t="s">
        <v>12073</v>
      </c>
      <c r="I197" s="451" t="n">
        <v>42940</v>
      </c>
      <c r="J197" s="452" t="n">
        <v>7</v>
      </c>
      <c r="K197" s="613" t="s">
        <v>50</v>
      </c>
      <c r="L197" s="450" t="s">
        <v>58</v>
      </c>
      <c r="M197" s="455" t="n">
        <f aca="false">I197-D197</f>
        <v>1754</v>
      </c>
    </row>
    <row r="198" customFormat="false" ht="12.75" hidden="false" customHeight="true" outlineLevel="0" collapsed="false">
      <c r="A198" s="456" t="n">
        <v>19717</v>
      </c>
      <c r="B198" s="458" t="s">
        <v>15210</v>
      </c>
      <c r="C198" s="458" t="n">
        <v>2016</v>
      </c>
      <c r="D198" s="459" t="n">
        <v>42459</v>
      </c>
      <c r="E198" s="460" t="s">
        <v>15211</v>
      </c>
      <c r="F198" s="380" t="s">
        <v>671</v>
      </c>
      <c r="G198" s="460" t="s">
        <v>8</v>
      </c>
      <c r="H198" s="380" t="s">
        <v>453</v>
      </c>
      <c r="I198" s="459" t="n">
        <v>42941</v>
      </c>
      <c r="J198" s="460" t="n">
        <v>7</v>
      </c>
      <c r="K198" s="615" t="s">
        <v>47</v>
      </c>
      <c r="L198" s="458" t="s">
        <v>58</v>
      </c>
      <c r="M198" s="463" t="n">
        <f aca="false">I198-D198</f>
        <v>482</v>
      </c>
    </row>
    <row r="199" customFormat="false" ht="12.75" hidden="false" customHeight="true" outlineLevel="0" collapsed="false">
      <c r="A199" s="449" t="n">
        <v>19817</v>
      </c>
      <c r="B199" s="450" t="s">
        <v>15212</v>
      </c>
      <c r="C199" s="450" t="n">
        <v>2011</v>
      </c>
      <c r="D199" s="451" t="n">
        <v>40752</v>
      </c>
      <c r="E199" s="452" t="s">
        <v>15213</v>
      </c>
      <c r="F199" s="378" t="s">
        <v>1156</v>
      </c>
      <c r="G199" s="452" t="s">
        <v>441</v>
      </c>
      <c r="H199" s="378" t="s">
        <v>706</v>
      </c>
      <c r="I199" s="451" t="n">
        <v>42947</v>
      </c>
      <c r="J199" s="452" t="n">
        <v>7</v>
      </c>
      <c r="K199" s="616" t="s">
        <v>42</v>
      </c>
      <c r="L199" s="450" t="s">
        <v>58</v>
      </c>
      <c r="M199" s="455" t="n">
        <f aca="false">I199-D199</f>
        <v>2195</v>
      </c>
    </row>
    <row r="200" customFormat="false" ht="12.75" hidden="false" customHeight="true" outlineLevel="0" collapsed="false">
      <c r="A200" s="456" t="n">
        <v>19917</v>
      </c>
      <c r="B200" s="458" t="s">
        <v>15214</v>
      </c>
      <c r="C200" s="458" t="n">
        <v>2014</v>
      </c>
      <c r="D200" s="459" t="n">
        <v>41988</v>
      </c>
      <c r="E200" s="460" t="s">
        <v>15215</v>
      </c>
      <c r="F200" s="380" t="s">
        <v>4270</v>
      </c>
      <c r="G200" s="460" t="s">
        <v>441</v>
      </c>
      <c r="H200" s="380" t="s">
        <v>184</v>
      </c>
      <c r="I200" s="459" t="n">
        <v>42947</v>
      </c>
      <c r="J200" s="460" t="n">
        <v>7</v>
      </c>
      <c r="K200" s="616" t="s">
        <v>42</v>
      </c>
      <c r="L200" s="458" t="s">
        <v>58</v>
      </c>
      <c r="M200" s="463" t="n">
        <f aca="false">I200-D200</f>
        <v>959</v>
      </c>
    </row>
    <row r="201" customFormat="false" ht="12.75" hidden="false" customHeight="true" outlineLevel="0" collapsed="false">
      <c r="A201" s="449" t="n">
        <v>20017</v>
      </c>
      <c r="B201" s="450" t="s">
        <v>15216</v>
      </c>
      <c r="C201" s="450" t="n">
        <v>2008</v>
      </c>
      <c r="D201" s="451" t="n">
        <v>39777</v>
      </c>
      <c r="E201" s="452" t="s">
        <v>15217</v>
      </c>
      <c r="F201" s="378" t="s">
        <v>699</v>
      </c>
      <c r="G201" s="452" t="s">
        <v>144</v>
      </c>
      <c r="H201" s="378" t="s">
        <v>285</v>
      </c>
      <c r="I201" s="451" t="n">
        <v>42947</v>
      </c>
      <c r="J201" s="452" t="n">
        <v>7</v>
      </c>
      <c r="K201" s="614" t="s">
        <v>45</v>
      </c>
      <c r="L201" s="450" t="s">
        <v>60</v>
      </c>
      <c r="M201" s="455" t="n">
        <f aca="false">I201-D201</f>
        <v>3170</v>
      </c>
    </row>
    <row r="202" customFormat="false" ht="12.75" hidden="false" customHeight="true" outlineLevel="0" collapsed="false">
      <c r="A202" s="456" t="n">
        <v>20117</v>
      </c>
      <c r="B202" s="458" t="s">
        <v>15218</v>
      </c>
      <c r="C202" s="458" t="n">
        <v>2014</v>
      </c>
      <c r="D202" s="459" t="n">
        <v>41908</v>
      </c>
      <c r="E202" s="460" t="s">
        <v>15219</v>
      </c>
      <c r="F202" s="380" t="s">
        <v>823</v>
      </c>
      <c r="G202" s="460" t="s">
        <v>1174</v>
      </c>
      <c r="H202" s="380" t="s">
        <v>11617</v>
      </c>
      <c r="I202" s="459" t="n">
        <v>42947</v>
      </c>
      <c r="J202" s="460" t="n">
        <v>7</v>
      </c>
      <c r="K202" s="615" t="s">
        <v>47</v>
      </c>
      <c r="L202" s="458" t="s">
        <v>58</v>
      </c>
      <c r="M202" s="463" t="n">
        <f aca="false">I202-D202</f>
        <v>1039</v>
      </c>
    </row>
    <row r="203" customFormat="false" ht="12.75" hidden="false" customHeight="true" outlineLevel="0" collapsed="false">
      <c r="A203" s="449" t="n">
        <v>20217</v>
      </c>
      <c r="B203" s="450" t="s">
        <v>15220</v>
      </c>
      <c r="C203" s="450" t="n">
        <v>2015</v>
      </c>
      <c r="D203" s="451" t="n">
        <v>42305</v>
      </c>
      <c r="E203" s="452" t="s">
        <v>15221</v>
      </c>
      <c r="F203" s="378" t="s">
        <v>823</v>
      </c>
      <c r="G203" s="452" t="s">
        <v>1174</v>
      </c>
      <c r="H203" s="378" t="s">
        <v>6674</v>
      </c>
      <c r="I203" s="451" t="n">
        <v>42947</v>
      </c>
      <c r="J203" s="452" t="n">
        <v>7</v>
      </c>
      <c r="K203" s="615" t="s">
        <v>47</v>
      </c>
      <c r="L203" s="450" t="s">
        <v>58</v>
      </c>
      <c r="M203" s="455" t="n">
        <f aca="false">I203-D203</f>
        <v>642</v>
      </c>
    </row>
    <row r="204" customFormat="false" ht="12.75" hidden="false" customHeight="true" outlineLevel="0" collapsed="false">
      <c r="A204" s="456" t="n">
        <v>20317</v>
      </c>
      <c r="B204" s="458" t="s">
        <v>15222</v>
      </c>
      <c r="C204" s="458" t="n">
        <v>2015</v>
      </c>
      <c r="D204" s="459" t="n">
        <v>42311</v>
      </c>
      <c r="E204" s="460" t="s">
        <v>15223</v>
      </c>
      <c r="F204" s="380" t="s">
        <v>823</v>
      </c>
      <c r="G204" s="460" t="s">
        <v>1174</v>
      </c>
      <c r="H204" s="380" t="s">
        <v>14961</v>
      </c>
      <c r="I204" s="459" t="n">
        <v>42947</v>
      </c>
      <c r="J204" s="460" t="n">
        <v>7</v>
      </c>
      <c r="K204" s="615" t="s">
        <v>47</v>
      </c>
      <c r="L204" s="458" t="s">
        <v>58</v>
      </c>
      <c r="M204" s="463" t="n">
        <f aca="false">I204-D204</f>
        <v>636</v>
      </c>
    </row>
    <row r="205" customFormat="false" ht="12.75" hidden="false" customHeight="true" outlineLevel="0" collapsed="false">
      <c r="A205" s="449" t="n">
        <v>20417</v>
      </c>
      <c r="B205" s="450" t="s">
        <v>15224</v>
      </c>
      <c r="C205" s="450" t="n">
        <v>2016</v>
      </c>
      <c r="D205" s="451" t="n">
        <v>42566</v>
      </c>
      <c r="E205" s="452" t="s">
        <v>15225</v>
      </c>
      <c r="F205" s="378" t="s">
        <v>823</v>
      </c>
      <c r="G205" s="452" t="s">
        <v>1174</v>
      </c>
      <c r="H205" s="378" t="s">
        <v>267</v>
      </c>
      <c r="I205" s="451" t="n">
        <v>42948</v>
      </c>
      <c r="J205" s="452" t="n">
        <v>8</v>
      </c>
      <c r="K205" s="615" t="s">
        <v>47</v>
      </c>
      <c r="L205" s="450" t="s">
        <v>58</v>
      </c>
      <c r="M205" s="455" t="n">
        <f aca="false">I205-D205</f>
        <v>382</v>
      </c>
    </row>
    <row r="206" customFormat="false" ht="12.75" hidden="false" customHeight="true" outlineLevel="0" collapsed="false">
      <c r="A206" s="456" t="n">
        <v>20517</v>
      </c>
      <c r="B206" s="458" t="s">
        <v>15226</v>
      </c>
      <c r="C206" s="458" t="n">
        <v>2016</v>
      </c>
      <c r="D206" s="459" t="n">
        <v>42607</v>
      </c>
      <c r="E206" s="460" t="s">
        <v>15227</v>
      </c>
      <c r="F206" s="380" t="s">
        <v>823</v>
      </c>
      <c r="G206" s="460" t="s">
        <v>1174</v>
      </c>
      <c r="H206" s="380" t="s">
        <v>1072</v>
      </c>
      <c r="I206" s="459" t="n">
        <v>42948</v>
      </c>
      <c r="J206" s="460" t="n">
        <v>8</v>
      </c>
      <c r="K206" s="615" t="s">
        <v>47</v>
      </c>
      <c r="L206" s="458" t="s">
        <v>58</v>
      </c>
      <c r="M206" s="463" t="n">
        <f aca="false">I206-D206</f>
        <v>341</v>
      </c>
    </row>
    <row r="207" customFormat="false" ht="12.75" hidden="false" customHeight="true" outlineLevel="0" collapsed="false">
      <c r="A207" s="449" t="n">
        <v>20617</v>
      </c>
      <c r="B207" s="450" t="s">
        <v>15228</v>
      </c>
      <c r="C207" s="450" t="n">
        <v>2015</v>
      </c>
      <c r="D207" s="451" t="n">
        <v>42235</v>
      </c>
      <c r="E207" s="452" t="s">
        <v>15229</v>
      </c>
      <c r="F207" s="378" t="s">
        <v>15230</v>
      </c>
      <c r="G207" s="452" t="s">
        <v>144</v>
      </c>
      <c r="H207" s="378" t="s">
        <v>267</v>
      </c>
      <c r="I207" s="451" t="n">
        <v>42948</v>
      </c>
      <c r="J207" s="452" t="n">
        <v>8</v>
      </c>
      <c r="K207" s="614" t="s">
        <v>45</v>
      </c>
      <c r="L207" s="450" t="s">
        <v>58</v>
      </c>
      <c r="M207" s="455" t="n">
        <f aca="false">I207-D207</f>
        <v>713</v>
      </c>
    </row>
    <row r="208" customFormat="false" ht="12.75" hidden="false" customHeight="true" outlineLevel="0" collapsed="false">
      <c r="A208" s="456" t="n">
        <v>20717</v>
      </c>
      <c r="B208" s="458" t="s">
        <v>15231</v>
      </c>
      <c r="C208" s="458" t="n">
        <v>2014</v>
      </c>
      <c r="D208" s="459" t="n">
        <v>41991</v>
      </c>
      <c r="E208" s="460" t="s">
        <v>15232</v>
      </c>
      <c r="F208" s="380" t="s">
        <v>705</v>
      </c>
      <c r="G208" s="460" t="s">
        <v>441</v>
      </c>
      <c r="H208" s="380" t="s">
        <v>706</v>
      </c>
      <c r="I208" s="459" t="n">
        <v>42949</v>
      </c>
      <c r="J208" s="460" t="n">
        <v>8</v>
      </c>
      <c r="K208" s="614" t="s">
        <v>45</v>
      </c>
      <c r="L208" s="458" t="s">
        <v>58</v>
      </c>
      <c r="M208" s="463" t="n">
        <f aca="false">I208-D208</f>
        <v>958</v>
      </c>
    </row>
    <row r="209" customFormat="false" ht="12.75" hidden="false" customHeight="true" outlineLevel="0" collapsed="false">
      <c r="A209" s="449" t="n">
        <v>20817</v>
      </c>
      <c r="B209" s="450" t="s">
        <v>15233</v>
      </c>
      <c r="C209" s="450" t="n">
        <v>2014</v>
      </c>
      <c r="D209" s="451" t="n">
        <v>41992</v>
      </c>
      <c r="E209" s="452" t="s">
        <v>15234</v>
      </c>
      <c r="F209" s="378" t="s">
        <v>705</v>
      </c>
      <c r="G209" s="452" t="s">
        <v>441</v>
      </c>
      <c r="H209" s="378" t="s">
        <v>706</v>
      </c>
      <c r="I209" s="451" t="n">
        <v>42949</v>
      </c>
      <c r="J209" s="452" t="n">
        <v>8</v>
      </c>
      <c r="K209" s="614" t="s">
        <v>45</v>
      </c>
      <c r="L209" s="450" t="s">
        <v>58</v>
      </c>
      <c r="M209" s="455" t="n">
        <f aca="false">I209-D209</f>
        <v>957</v>
      </c>
    </row>
    <row r="210" customFormat="false" ht="12.75" hidden="false" customHeight="true" outlineLevel="0" collapsed="false">
      <c r="A210" s="456" t="n">
        <v>20917</v>
      </c>
      <c r="B210" s="458" t="s">
        <v>15235</v>
      </c>
      <c r="C210" s="458" t="n">
        <v>2014</v>
      </c>
      <c r="D210" s="459" t="n">
        <v>41989</v>
      </c>
      <c r="E210" s="460" t="s">
        <v>15236</v>
      </c>
      <c r="F210" s="380" t="s">
        <v>705</v>
      </c>
      <c r="G210" s="460" t="s">
        <v>441</v>
      </c>
      <c r="H210" s="380" t="s">
        <v>706</v>
      </c>
      <c r="I210" s="459" t="n">
        <v>42949</v>
      </c>
      <c r="J210" s="460" t="n">
        <v>8</v>
      </c>
      <c r="K210" s="614" t="s">
        <v>45</v>
      </c>
      <c r="L210" s="458" t="s">
        <v>58</v>
      </c>
      <c r="M210" s="463" t="n">
        <f aca="false">I210-D210</f>
        <v>960</v>
      </c>
    </row>
    <row r="211" customFormat="false" ht="12.75" hidden="false" customHeight="true" outlineLevel="0" collapsed="false">
      <c r="A211" s="449" t="n">
        <v>21017</v>
      </c>
      <c r="B211" s="450" t="s">
        <v>15237</v>
      </c>
      <c r="C211" s="450" t="n">
        <v>2009</v>
      </c>
      <c r="D211" s="451" t="n">
        <v>39962</v>
      </c>
      <c r="E211" s="452" t="s">
        <v>15238</v>
      </c>
      <c r="F211" s="378" t="s">
        <v>10637</v>
      </c>
      <c r="G211" s="452" t="s">
        <v>441</v>
      </c>
      <c r="H211" s="378" t="s">
        <v>1266</v>
      </c>
      <c r="I211" s="451" t="n">
        <v>42949</v>
      </c>
      <c r="J211" s="452" t="n">
        <v>8</v>
      </c>
      <c r="K211" s="616" t="s">
        <v>42</v>
      </c>
      <c r="L211" s="450" t="s">
        <v>58</v>
      </c>
      <c r="M211" s="455" t="n">
        <f aca="false">I211-D211</f>
        <v>2987</v>
      </c>
    </row>
    <row r="212" customFormat="false" ht="12.75" hidden="false" customHeight="true" outlineLevel="0" collapsed="false">
      <c r="A212" s="456" t="n">
        <v>21117</v>
      </c>
      <c r="B212" s="458" t="s">
        <v>15239</v>
      </c>
      <c r="C212" s="458" t="n">
        <v>2013</v>
      </c>
      <c r="D212" s="459" t="n">
        <v>41359</v>
      </c>
      <c r="E212" s="460" t="s">
        <v>15240</v>
      </c>
      <c r="F212" s="380" t="s">
        <v>15095</v>
      </c>
      <c r="G212" s="460" t="s">
        <v>115</v>
      </c>
      <c r="H212" s="380" t="s">
        <v>1791</v>
      </c>
      <c r="I212" s="459" t="n">
        <v>42949</v>
      </c>
      <c r="J212" s="460" t="n">
        <v>8</v>
      </c>
      <c r="K212" s="616" t="s">
        <v>42</v>
      </c>
      <c r="L212" s="458" t="s">
        <v>60</v>
      </c>
      <c r="M212" s="463" t="n">
        <f aca="false">I212-D212</f>
        <v>1590</v>
      </c>
    </row>
    <row r="213" customFormat="false" ht="12.75" hidden="false" customHeight="true" outlineLevel="0" collapsed="false">
      <c r="A213" s="449" t="n">
        <v>21217</v>
      </c>
      <c r="B213" s="450" t="s">
        <v>15241</v>
      </c>
      <c r="C213" s="450" t="n">
        <v>2012</v>
      </c>
      <c r="D213" s="451" t="n">
        <v>41264</v>
      </c>
      <c r="E213" s="452" t="s">
        <v>15242</v>
      </c>
      <c r="F213" s="378" t="s">
        <v>1689</v>
      </c>
      <c r="G213" s="452" t="s">
        <v>1174</v>
      </c>
      <c r="H213" s="378" t="s">
        <v>267</v>
      </c>
      <c r="I213" s="451" t="n">
        <v>42949</v>
      </c>
      <c r="J213" s="452" t="n">
        <v>8</v>
      </c>
      <c r="K213" s="614" t="s">
        <v>45</v>
      </c>
      <c r="L213" s="450" t="s">
        <v>58</v>
      </c>
      <c r="M213" s="455" t="n">
        <f aca="false">I213-D213</f>
        <v>1685</v>
      </c>
    </row>
    <row r="214" customFormat="false" ht="12.75" hidden="false" customHeight="true" outlineLevel="0" collapsed="false">
      <c r="A214" s="456" t="n">
        <v>21317</v>
      </c>
      <c r="B214" s="458" t="s">
        <v>15243</v>
      </c>
      <c r="C214" s="458" t="n">
        <v>2012</v>
      </c>
      <c r="D214" s="459" t="n">
        <v>41176</v>
      </c>
      <c r="E214" s="460" t="s">
        <v>15244</v>
      </c>
      <c r="F214" s="380" t="s">
        <v>2560</v>
      </c>
      <c r="G214" s="460" t="s">
        <v>1174</v>
      </c>
      <c r="H214" s="380" t="s">
        <v>1567</v>
      </c>
      <c r="I214" s="459" t="n">
        <v>42950</v>
      </c>
      <c r="J214" s="460" t="n">
        <v>8</v>
      </c>
      <c r="K214" s="615" t="s">
        <v>47</v>
      </c>
      <c r="L214" s="458" t="s">
        <v>58</v>
      </c>
      <c r="M214" s="463" t="n">
        <f aca="false">I214-D214</f>
        <v>1774</v>
      </c>
    </row>
    <row r="215" customFormat="false" ht="12.75" hidden="false" customHeight="true" outlineLevel="0" collapsed="false">
      <c r="A215" s="449" t="n">
        <v>21417</v>
      </c>
      <c r="B215" s="450" t="s">
        <v>15245</v>
      </c>
      <c r="C215" s="450" t="n">
        <v>2010</v>
      </c>
      <c r="D215" s="451" t="n">
        <v>40508</v>
      </c>
      <c r="E215" s="452" t="s">
        <v>15246</v>
      </c>
      <c r="F215" s="378" t="s">
        <v>699</v>
      </c>
      <c r="G215" s="452" t="s">
        <v>1174</v>
      </c>
      <c r="H215" s="378" t="s">
        <v>15247</v>
      </c>
      <c r="I215" s="451" t="n">
        <v>42950</v>
      </c>
      <c r="J215" s="452" t="n">
        <v>8</v>
      </c>
      <c r="K215" s="616" t="s">
        <v>42</v>
      </c>
      <c r="L215" s="450" t="s">
        <v>60</v>
      </c>
      <c r="M215" s="455" t="n">
        <f aca="false">I215-D215</f>
        <v>2442</v>
      </c>
    </row>
    <row r="216" customFormat="false" ht="12.75" hidden="false" customHeight="true" outlineLevel="0" collapsed="false">
      <c r="A216" s="456" t="n">
        <v>21517</v>
      </c>
      <c r="B216" s="458" t="s">
        <v>15248</v>
      </c>
      <c r="C216" s="458" t="n">
        <v>2009</v>
      </c>
      <c r="D216" s="459" t="n">
        <v>40170</v>
      </c>
      <c r="E216" s="460" t="s">
        <v>15249</v>
      </c>
      <c r="F216" s="380" t="s">
        <v>1277</v>
      </c>
      <c r="G216" s="460" t="s">
        <v>441</v>
      </c>
      <c r="H216" s="380" t="s">
        <v>2677</v>
      </c>
      <c r="I216" s="459" t="n">
        <v>42951</v>
      </c>
      <c r="J216" s="460" t="n">
        <v>8</v>
      </c>
      <c r="K216" s="615" t="s">
        <v>47</v>
      </c>
      <c r="L216" s="458" t="s">
        <v>58</v>
      </c>
      <c r="M216" s="463" t="n">
        <f aca="false">I216-D216</f>
        <v>2781</v>
      </c>
    </row>
    <row r="217" customFormat="false" ht="12.75" hidden="false" customHeight="true" outlineLevel="0" collapsed="false">
      <c r="A217" s="449" t="n">
        <v>21617</v>
      </c>
      <c r="B217" s="450" t="s">
        <v>15250</v>
      </c>
      <c r="C217" s="450" t="n">
        <v>2011</v>
      </c>
      <c r="D217" s="451" t="n">
        <v>40886</v>
      </c>
      <c r="E217" s="452" t="s">
        <v>15251</v>
      </c>
      <c r="F217" s="378" t="s">
        <v>238</v>
      </c>
      <c r="G217" s="452" t="s">
        <v>441</v>
      </c>
      <c r="H217" s="378" t="s">
        <v>223</v>
      </c>
      <c r="I217" s="451" t="n">
        <v>42951</v>
      </c>
      <c r="J217" s="452" t="n">
        <v>8</v>
      </c>
      <c r="K217" s="616" t="s">
        <v>42</v>
      </c>
      <c r="L217" s="450" t="s">
        <v>60</v>
      </c>
      <c r="M217" s="455" t="n">
        <f aca="false">I217-D217</f>
        <v>2065</v>
      </c>
    </row>
    <row r="218" customFormat="false" ht="12.75" hidden="false" customHeight="true" outlineLevel="0" collapsed="false">
      <c r="A218" s="456" t="n">
        <v>21717</v>
      </c>
      <c r="B218" s="458" t="s">
        <v>15252</v>
      </c>
      <c r="C218" s="458" t="n">
        <v>2013</v>
      </c>
      <c r="D218" s="459" t="n">
        <v>41632</v>
      </c>
      <c r="E218" s="460" t="s">
        <v>15253</v>
      </c>
      <c r="F218" s="380" t="s">
        <v>449</v>
      </c>
      <c r="G218" s="460" t="s">
        <v>441</v>
      </c>
      <c r="H218" s="380" t="s">
        <v>350</v>
      </c>
      <c r="I218" s="459" t="n">
        <v>42951</v>
      </c>
      <c r="J218" s="460" t="n">
        <v>8</v>
      </c>
      <c r="K218" s="615" t="s">
        <v>47</v>
      </c>
      <c r="L218" s="458" t="s">
        <v>58</v>
      </c>
      <c r="M218" s="463" t="n">
        <f aca="false">I218-D218</f>
        <v>1319</v>
      </c>
    </row>
    <row r="219" customFormat="false" ht="12.75" hidden="false" customHeight="true" outlineLevel="0" collapsed="false">
      <c r="A219" s="449" t="n">
        <v>21817</v>
      </c>
      <c r="B219" s="450" t="s">
        <v>15254</v>
      </c>
      <c r="C219" s="450" t="n">
        <v>2012</v>
      </c>
      <c r="D219" s="451" t="n">
        <v>41149</v>
      </c>
      <c r="E219" s="452" t="s">
        <v>15255</v>
      </c>
      <c r="F219" s="378" t="s">
        <v>15107</v>
      </c>
      <c r="G219" s="452" t="s">
        <v>115</v>
      </c>
      <c r="H219" s="378" t="s">
        <v>134</v>
      </c>
      <c r="I219" s="451" t="n">
        <v>42956</v>
      </c>
      <c r="J219" s="452" t="n">
        <v>8</v>
      </c>
      <c r="K219" s="615" t="s">
        <v>47</v>
      </c>
      <c r="L219" s="450" t="s">
        <v>60</v>
      </c>
      <c r="M219" s="455" t="n">
        <f aca="false">I219-D219</f>
        <v>1807</v>
      </c>
    </row>
    <row r="220" customFormat="false" ht="12.75" hidden="false" customHeight="true" outlineLevel="0" collapsed="false">
      <c r="A220" s="456" t="n">
        <v>21917</v>
      </c>
      <c r="B220" s="458" t="s">
        <v>15256</v>
      </c>
      <c r="C220" s="458" t="n">
        <v>2012</v>
      </c>
      <c r="D220" s="459" t="n">
        <v>40956</v>
      </c>
      <c r="E220" s="460" t="s">
        <v>15257</v>
      </c>
      <c r="F220" s="380" t="s">
        <v>446</v>
      </c>
      <c r="G220" s="460" t="s">
        <v>1174</v>
      </c>
      <c r="H220" s="380" t="s">
        <v>1567</v>
      </c>
      <c r="I220" s="459" t="n">
        <v>42957</v>
      </c>
      <c r="J220" s="460" t="n">
        <v>8</v>
      </c>
      <c r="K220" s="615" t="s">
        <v>47</v>
      </c>
      <c r="L220" s="458" t="s">
        <v>58</v>
      </c>
      <c r="M220" s="463" t="n">
        <f aca="false">I220-D220</f>
        <v>2001</v>
      </c>
    </row>
    <row r="221" customFormat="false" ht="12.75" hidden="false" customHeight="true" outlineLevel="0" collapsed="false">
      <c r="A221" s="449" t="n">
        <v>22017</v>
      </c>
      <c r="B221" s="450" t="s">
        <v>15258</v>
      </c>
      <c r="C221" s="450" t="n">
        <v>2016</v>
      </c>
      <c r="D221" s="451" t="n">
        <v>42601</v>
      </c>
      <c r="E221" s="452" t="s">
        <v>15259</v>
      </c>
      <c r="F221" s="378" t="s">
        <v>446</v>
      </c>
      <c r="G221" s="452" t="s">
        <v>1174</v>
      </c>
      <c r="H221" s="378" t="s">
        <v>192</v>
      </c>
      <c r="I221" s="451" t="n">
        <v>42957</v>
      </c>
      <c r="J221" s="452" t="n">
        <v>8</v>
      </c>
      <c r="K221" s="615" t="s">
        <v>47</v>
      </c>
      <c r="L221" s="450" t="s">
        <v>58</v>
      </c>
      <c r="M221" s="455" t="n">
        <f aca="false">I221-D221</f>
        <v>356</v>
      </c>
    </row>
    <row r="222" customFormat="false" ht="12.75" hidden="false" customHeight="true" outlineLevel="0" collapsed="false">
      <c r="A222" s="456" t="n">
        <v>22117</v>
      </c>
      <c r="B222" s="458" t="s">
        <v>15260</v>
      </c>
      <c r="C222" s="458" t="n">
        <v>2014</v>
      </c>
      <c r="D222" s="459" t="n">
        <v>41996</v>
      </c>
      <c r="E222" s="460" t="s">
        <v>15261</v>
      </c>
      <c r="F222" s="380" t="s">
        <v>4270</v>
      </c>
      <c r="G222" s="460" t="s">
        <v>441</v>
      </c>
      <c r="H222" s="380" t="s">
        <v>184</v>
      </c>
      <c r="I222" s="459" t="n">
        <v>42961</v>
      </c>
      <c r="J222" s="460" t="n">
        <v>8</v>
      </c>
      <c r="K222" s="616" t="s">
        <v>42</v>
      </c>
      <c r="L222" s="458" t="s">
        <v>58</v>
      </c>
      <c r="M222" s="463" t="n">
        <f aca="false">I222-D222</f>
        <v>965</v>
      </c>
    </row>
    <row r="223" customFormat="false" ht="12.75" hidden="false" customHeight="true" outlineLevel="0" collapsed="false">
      <c r="A223" s="449" t="n">
        <v>22217</v>
      </c>
      <c r="B223" s="450" t="s">
        <v>15262</v>
      </c>
      <c r="C223" s="450" t="n">
        <v>2010</v>
      </c>
      <c r="D223" s="451" t="n">
        <v>40477</v>
      </c>
      <c r="E223" s="452" t="s">
        <v>15263</v>
      </c>
      <c r="F223" s="378" t="s">
        <v>467</v>
      </c>
      <c r="G223" s="452" t="s">
        <v>144</v>
      </c>
      <c r="H223" s="378" t="s">
        <v>254</v>
      </c>
      <c r="I223" s="451" t="n">
        <v>42962</v>
      </c>
      <c r="J223" s="452" t="n">
        <v>8</v>
      </c>
      <c r="K223" s="613" t="s">
        <v>50</v>
      </c>
      <c r="L223" s="450" t="s">
        <v>60</v>
      </c>
      <c r="M223" s="455" t="n">
        <f aca="false">I223-D223</f>
        <v>2485</v>
      </c>
    </row>
    <row r="224" customFormat="false" ht="12.75" hidden="false" customHeight="true" outlineLevel="0" collapsed="false">
      <c r="A224" s="456" t="n">
        <v>22317</v>
      </c>
      <c r="B224" s="458" t="s">
        <v>15264</v>
      </c>
      <c r="C224" s="458" t="n">
        <v>2010</v>
      </c>
      <c r="D224" s="459" t="n">
        <v>40477</v>
      </c>
      <c r="E224" s="460" t="s">
        <v>15265</v>
      </c>
      <c r="F224" s="380" t="s">
        <v>467</v>
      </c>
      <c r="G224" s="460" t="s">
        <v>144</v>
      </c>
      <c r="H224" s="380" t="s">
        <v>254</v>
      </c>
      <c r="I224" s="459" t="n">
        <v>42962</v>
      </c>
      <c r="J224" s="460" t="n">
        <v>8</v>
      </c>
      <c r="K224" s="613" t="s">
        <v>50</v>
      </c>
      <c r="L224" s="458" t="s">
        <v>60</v>
      </c>
      <c r="M224" s="463" t="n">
        <f aca="false">I224-D224</f>
        <v>2485</v>
      </c>
    </row>
    <row r="225" customFormat="false" ht="12.75" hidden="false" customHeight="true" outlineLevel="0" collapsed="false">
      <c r="A225" s="449" t="n">
        <v>22417</v>
      </c>
      <c r="B225" s="450" t="s">
        <v>15266</v>
      </c>
      <c r="C225" s="450" t="n">
        <v>2010</v>
      </c>
      <c r="D225" s="451" t="n">
        <v>40477</v>
      </c>
      <c r="E225" s="452" t="s">
        <v>15267</v>
      </c>
      <c r="F225" s="378" t="s">
        <v>467</v>
      </c>
      <c r="G225" s="452" t="s">
        <v>144</v>
      </c>
      <c r="H225" s="378" t="s">
        <v>254</v>
      </c>
      <c r="I225" s="451" t="n">
        <v>42962</v>
      </c>
      <c r="J225" s="452" t="n">
        <v>8</v>
      </c>
      <c r="K225" s="613" t="s">
        <v>50</v>
      </c>
      <c r="L225" s="450" t="s">
        <v>60</v>
      </c>
      <c r="M225" s="455" t="n">
        <f aca="false">I225-D225</f>
        <v>2485</v>
      </c>
    </row>
    <row r="226" customFormat="false" ht="12.75" hidden="false" customHeight="true" outlineLevel="0" collapsed="false">
      <c r="A226" s="456" t="n">
        <v>22517</v>
      </c>
      <c r="B226" s="458" t="s">
        <v>15248</v>
      </c>
      <c r="C226" s="458" t="n">
        <v>2009</v>
      </c>
      <c r="D226" s="459" t="n">
        <v>40170</v>
      </c>
      <c r="E226" s="460" t="s">
        <v>15268</v>
      </c>
      <c r="F226" s="380" t="s">
        <v>1277</v>
      </c>
      <c r="G226" s="460" t="s">
        <v>441</v>
      </c>
      <c r="H226" s="380" t="s">
        <v>2677</v>
      </c>
      <c r="I226" s="459" t="n">
        <v>42963</v>
      </c>
      <c r="J226" s="460" t="n">
        <v>8</v>
      </c>
      <c r="K226" s="615" t="s">
        <v>47</v>
      </c>
      <c r="L226" s="458" t="s">
        <v>58</v>
      </c>
      <c r="M226" s="463" t="n">
        <f aca="false">I226-D226</f>
        <v>2793</v>
      </c>
    </row>
    <row r="227" customFormat="false" ht="12.75" hidden="false" customHeight="true" outlineLevel="0" collapsed="false">
      <c r="A227" s="449" t="n">
        <v>22617</v>
      </c>
      <c r="B227" s="450" t="s">
        <v>15269</v>
      </c>
      <c r="C227" s="450" t="n">
        <v>2010</v>
      </c>
      <c r="D227" s="451" t="n">
        <v>40459</v>
      </c>
      <c r="E227" s="452" t="s">
        <v>15270</v>
      </c>
      <c r="F227" s="378" t="s">
        <v>467</v>
      </c>
      <c r="G227" s="452" t="s">
        <v>144</v>
      </c>
      <c r="H227" s="378" t="s">
        <v>254</v>
      </c>
      <c r="I227" s="451" t="n">
        <v>42963</v>
      </c>
      <c r="J227" s="452" t="n">
        <v>8</v>
      </c>
      <c r="K227" s="613" t="s">
        <v>50</v>
      </c>
      <c r="L227" s="450" t="s">
        <v>60</v>
      </c>
      <c r="M227" s="455" t="n">
        <f aca="false">I227-D227</f>
        <v>2504</v>
      </c>
    </row>
    <row r="228" customFormat="false" ht="12.75" hidden="false" customHeight="true" outlineLevel="0" collapsed="false">
      <c r="A228" s="456" t="n">
        <v>22717</v>
      </c>
      <c r="B228" s="458" t="s">
        <v>15271</v>
      </c>
      <c r="C228" s="458" t="n">
        <v>2012</v>
      </c>
      <c r="D228" s="459" t="n">
        <v>41156</v>
      </c>
      <c r="E228" s="460" t="s">
        <v>15272</v>
      </c>
      <c r="F228" s="380" t="s">
        <v>1156</v>
      </c>
      <c r="G228" s="460" t="s">
        <v>441</v>
      </c>
      <c r="H228" s="380" t="s">
        <v>706</v>
      </c>
      <c r="I228" s="459" t="n">
        <v>42965</v>
      </c>
      <c r="J228" s="460" t="n">
        <v>8</v>
      </c>
      <c r="K228" s="616" t="s">
        <v>42</v>
      </c>
      <c r="L228" s="458" t="s">
        <v>58</v>
      </c>
      <c r="M228" s="463" t="n">
        <f aca="false">I228-D228</f>
        <v>1809</v>
      </c>
    </row>
    <row r="229" customFormat="false" ht="12.75" hidden="false" customHeight="true" outlineLevel="0" collapsed="false">
      <c r="A229" s="449" t="n">
        <v>22817</v>
      </c>
      <c r="B229" s="450" t="s">
        <v>15273</v>
      </c>
      <c r="C229" s="450" t="n">
        <v>2009</v>
      </c>
      <c r="D229" s="451" t="n">
        <v>39993</v>
      </c>
      <c r="E229" s="452" t="s">
        <v>12666</v>
      </c>
      <c r="F229" s="378" t="s">
        <v>15274</v>
      </c>
      <c r="G229" s="452" t="s">
        <v>144</v>
      </c>
      <c r="H229" s="378" t="s">
        <v>373</v>
      </c>
      <c r="I229" s="451" t="n">
        <v>42965</v>
      </c>
      <c r="J229" s="452" t="n">
        <v>8</v>
      </c>
      <c r="K229" s="615" t="s">
        <v>47</v>
      </c>
      <c r="L229" s="450" t="s">
        <v>58</v>
      </c>
      <c r="M229" s="455" t="n">
        <f aca="false">I229-D229</f>
        <v>2972</v>
      </c>
    </row>
    <row r="230" customFormat="false" ht="12.75" hidden="false" customHeight="true" outlineLevel="0" collapsed="false">
      <c r="A230" s="456" t="n">
        <v>22917</v>
      </c>
      <c r="B230" s="458" t="s">
        <v>15275</v>
      </c>
      <c r="C230" s="458" t="n">
        <v>2009</v>
      </c>
      <c r="D230" s="459" t="n">
        <v>39993</v>
      </c>
      <c r="E230" s="460" t="s">
        <v>15276</v>
      </c>
      <c r="F230" s="380" t="s">
        <v>15274</v>
      </c>
      <c r="G230" s="460" t="s">
        <v>144</v>
      </c>
      <c r="H230" s="380" t="s">
        <v>373</v>
      </c>
      <c r="I230" s="459" t="n">
        <v>42968</v>
      </c>
      <c r="J230" s="460" t="n">
        <v>8</v>
      </c>
      <c r="K230" s="615" t="s">
        <v>47</v>
      </c>
      <c r="L230" s="458" t="s">
        <v>58</v>
      </c>
      <c r="M230" s="463" t="n">
        <f aca="false">I230-D230</f>
        <v>2975</v>
      </c>
    </row>
    <row r="231" customFormat="false" ht="12.75" hidden="false" customHeight="true" outlineLevel="0" collapsed="false">
      <c r="A231" s="449" t="n">
        <v>23017</v>
      </c>
      <c r="B231" s="450" t="s">
        <v>15277</v>
      </c>
      <c r="C231" s="450" t="n">
        <v>2015</v>
      </c>
      <c r="D231" s="451" t="n">
        <v>42081</v>
      </c>
      <c r="E231" s="452" t="s">
        <v>15278</v>
      </c>
      <c r="F231" s="378" t="s">
        <v>9790</v>
      </c>
      <c r="G231" s="452" t="s">
        <v>125</v>
      </c>
      <c r="H231" s="378" t="s">
        <v>10663</v>
      </c>
      <c r="I231" s="451" t="n">
        <v>42970</v>
      </c>
      <c r="J231" s="452" t="n">
        <v>8</v>
      </c>
      <c r="K231" s="616" t="s">
        <v>42</v>
      </c>
      <c r="L231" s="450" t="s">
        <v>61</v>
      </c>
      <c r="M231" s="455" t="n">
        <f aca="false">I231-D231</f>
        <v>889</v>
      </c>
    </row>
    <row r="232" customFormat="false" ht="12.75" hidden="false" customHeight="true" outlineLevel="0" collapsed="false">
      <c r="A232" s="456" t="n">
        <v>23117</v>
      </c>
      <c r="B232" s="458" t="s">
        <v>15279</v>
      </c>
      <c r="C232" s="458" t="n">
        <v>2012</v>
      </c>
      <c r="D232" s="459" t="n">
        <v>41057</v>
      </c>
      <c r="E232" s="460" t="s">
        <v>15280</v>
      </c>
      <c r="F232" s="380" t="s">
        <v>365</v>
      </c>
      <c r="G232" s="460" t="s">
        <v>1174</v>
      </c>
      <c r="H232" s="380" t="s">
        <v>267</v>
      </c>
      <c r="I232" s="459" t="n">
        <v>42976</v>
      </c>
      <c r="J232" s="460" t="n">
        <v>8</v>
      </c>
      <c r="K232" s="614" t="s">
        <v>45</v>
      </c>
      <c r="L232" s="458" t="s">
        <v>58</v>
      </c>
      <c r="M232" s="463" t="n">
        <f aca="false">I232-D232</f>
        <v>1919</v>
      </c>
    </row>
    <row r="233" customFormat="false" ht="12.75" hidden="false" customHeight="true" outlineLevel="0" collapsed="false">
      <c r="A233" s="449" t="n">
        <v>23217</v>
      </c>
      <c r="B233" s="450" t="s">
        <v>15281</v>
      </c>
      <c r="C233" s="450" t="n">
        <v>2010</v>
      </c>
      <c r="D233" s="451" t="n">
        <v>40267</v>
      </c>
      <c r="E233" s="452" t="s">
        <v>15282</v>
      </c>
      <c r="F233" s="378" t="s">
        <v>2003</v>
      </c>
      <c r="G233" s="452" t="s">
        <v>1174</v>
      </c>
      <c r="H233" s="378" t="s">
        <v>12073</v>
      </c>
      <c r="I233" s="451" t="n">
        <v>42976</v>
      </c>
      <c r="J233" s="452" t="n">
        <v>8</v>
      </c>
      <c r="K233" s="616" t="s">
        <v>42</v>
      </c>
      <c r="L233" s="450" t="s">
        <v>58</v>
      </c>
      <c r="M233" s="455" t="n">
        <f aca="false">I233-D233</f>
        <v>2709</v>
      </c>
    </row>
    <row r="234" customFormat="false" ht="12.75" hidden="false" customHeight="true" outlineLevel="0" collapsed="false">
      <c r="A234" s="456" t="n">
        <v>23317</v>
      </c>
      <c r="B234" s="458" t="s">
        <v>15283</v>
      </c>
      <c r="C234" s="458" t="n">
        <v>2012</v>
      </c>
      <c r="D234" s="459" t="n">
        <v>40983</v>
      </c>
      <c r="E234" s="460" t="s">
        <v>15284</v>
      </c>
      <c r="F234" s="380" t="s">
        <v>723</v>
      </c>
      <c r="G234" s="460" t="s">
        <v>1174</v>
      </c>
      <c r="H234" s="380" t="s">
        <v>1059</v>
      </c>
      <c r="I234" s="459" t="n">
        <v>42976</v>
      </c>
      <c r="J234" s="460" t="n">
        <v>8</v>
      </c>
      <c r="K234" s="614" t="s">
        <v>45</v>
      </c>
      <c r="L234" s="458" t="s">
        <v>58</v>
      </c>
      <c r="M234" s="463" t="n">
        <f aca="false">I234-D234</f>
        <v>1993</v>
      </c>
    </row>
    <row r="235" customFormat="false" ht="12.75" hidden="false" customHeight="true" outlineLevel="0" collapsed="false">
      <c r="A235" s="449" t="n">
        <v>23417</v>
      </c>
      <c r="B235" s="450" t="s">
        <v>15285</v>
      </c>
      <c r="C235" s="450" t="n">
        <v>2016</v>
      </c>
      <c r="D235" s="451" t="n">
        <v>42733</v>
      </c>
      <c r="E235" s="452" t="s">
        <v>15286</v>
      </c>
      <c r="F235" s="378" t="s">
        <v>723</v>
      </c>
      <c r="G235" s="452" t="s">
        <v>1174</v>
      </c>
      <c r="H235" s="378" t="s">
        <v>192</v>
      </c>
      <c r="I235" s="451" t="n">
        <v>42976</v>
      </c>
      <c r="J235" s="452" t="n">
        <v>8</v>
      </c>
      <c r="K235" s="614" t="s">
        <v>45</v>
      </c>
      <c r="L235" s="450" t="s">
        <v>58</v>
      </c>
      <c r="M235" s="455" t="n">
        <f aca="false">I235-D235</f>
        <v>243</v>
      </c>
    </row>
    <row r="236" customFormat="false" ht="12.75" hidden="false" customHeight="true" outlineLevel="0" collapsed="false">
      <c r="A236" s="456" t="n">
        <v>23517</v>
      </c>
      <c r="B236" s="458" t="s">
        <v>15287</v>
      </c>
      <c r="C236" s="458" t="n">
        <v>2015</v>
      </c>
      <c r="D236" s="459" t="n">
        <v>42244</v>
      </c>
      <c r="E236" s="460" t="s">
        <v>15288</v>
      </c>
      <c r="F236" s="380" t="s">
        <v>15289</v>
      </c>
      <c r="G236" s="460" t="s">
        <v>441</v>
      </c>
      <c r="H236" s="380" t="s">
        <v>223</v>
      </c>
      <c r="I236" s="459" t="n">
        <v>42976</v>
      </c>
      <c r="J236" s="460" t="n">
        <v>8</v>
      </c>
      <c r="K236" s="615" t="s">
        <v>47</v>
      </c>
      <c r="L236" s="458" t="s">
        <v>58</v>
      </c>
      <c r="M236" s="463" t="n">
        <f aca="false">I236-D236</f>
        <v>732</v>
      </c>
    </row>
    <row r="237" customFormat="false" ht="12.75" hidden="false" customHeight="true" outlineLevel="0" collapsed="false">
      <c r="A237" s="449" t="n">
        <v>23617</v>
      </c>
      <c r="B237" s="450" t="s">
        <v>15290</v>
      </c>
      <c r="C237" s="450" t="n">
        <v>2011</v>
      </c>
      <c r="D237" s="451" t="n">
        <v>40877</v>
      </c>
      <c r="E237" s="452" t="s">
        <v>15291</v>
      </c>
      <c r="F237" s="378" t="s">
        <v>5577</v>
      </c>
      <c r="G237" s="452" t="s">
        <v>1188</v>
      </c>
      <c r="H237" s="378" t="s">
        <v>134</v>
      </c>
      <c r="I237" s="451" t="n">
        <v>42976</v>
      </c>
      <c r="J237" s="452" t="n">
        <v>8</v>
      </c>
      <c r="K237" s="615" t="s">
        <v>47</v>
      </c>
      <c r="L237" s="450" t="s">
        <v>58</v>
      </c>
      <c r="M237" s="455" t="n">
        <f aca="false">I237-D237</f>
        <v>2099</v>
      </c>
    </row>
    <row r="238" customFormat="false" ht="12.75" hidden="false" customHeight="true" outlineLevel="0" collapsed="false">
      <c r="A238" s="456" t="n">
        <v>23717</v>
      </c>
      <c r="B238" s="458" t="s">
        <v>14459</v>
      </c>
      <c r="C238" s="458" t="n">
        <v>2010</v>
      </c>
      <c r="D238" s="459" t="n">
        <v>40494</v>
      </c>
      <c r="E238" s="460" t="s">
        <v>15292</v>
      </c>
      <c r="F238" s="380" t="s">
        <v>365</v>
      </c>
      <c r="G238" s="460" t="s">
        <v>1174</v>
      </c>
      <c r="H238" s="380" t="s">
        <v>706</v>
      </c>
      <c r="I238" s="459" t="n">
        <v>42976</v>
      </c>
      <c r="J238" s="460" t="n">
        <v>8</v>
      </c>
      <c r="K238" s="614" t="s">
        <v>45</v>
      </c>
      <c r="L238" s="458" t="s">
        <v>58</v>
      </c>
      <c r="M238" s="463" t="n">
        <f aca="false">I238-D238</f>
        <v>2482</v>
      </c>
    </row>
    <row r="239" customFormat="false" ht="12.75" hidden="false" customHeight="true" outlineLevel="0" collapsed="false">
      <c r="A239" s="449" t="n">
        <v>23817</v>
      </c>
      <c r="B239" s="450" t="s">
        <v>15293</v>
      </c>
      <c r="C239" s="450" t="n">
        <v>2015</v>
      </c>
      <c r="D239" s="451" t="n">
        <v>42240</v>
      </c>
      <c r="E239" s="452" t="s">
        <v>15294</v>
      </c>
      <c r="F239" s="378" t="s">
        <v>4087</v>
      </c>
      <c r="G239" s="452" t="s">
        <v>130</v>
      </c>
      <c r="H239" s="378" t="s">
        <v>15144</v>
      </c>
      <c r="I239" s="451" t="n">
        <v>42976</v>
      </c>
      <c r="J239" s="452" t="n">
        <v>8</v>
      </c>
      <c r="K239" s="613" t="s">
        <v>2407</v>
      </c>
      <c r="L239" s="450" t="s">
        <v>61</v>
      </c>
      <c r="M239" s="455" t="n">
        <f aca="false">I239-D239</f>
        <v>736</v>
      </c>
    </row>
    <row r="240" customFormat="false" ht="12.75" hidden="false" customHeight="true" outlineLevel="0" collapsed="false">
      <c r="A240" s="456" t="n">
        <v>23917</v>
      </c>
      <c r="B240" s="458" t="s">
        <v>15295</v>
      </c>
      <c r="C240" s="458" t="n">
        <v>2014</v>
      </c>
      <c r="D240" s="459" t="n">
        <v>41992</v>
      </c>
      <c r="E240" s="460" t="s">
        <v>15296</v>
      </c>
      <c r="F240" s="380" t="s">
        <v>689</v>
      </c>
      <c r="G240" s="460" t="s">
        <v>1174</v>
      </c>
      <c r="H240" s="380" t="s">
        <v>354</v>
      </c>
      <c r="I240" s="459" t="n">
        <v>42976</v>
      </c>
      <c r="J240" s="460" t="n">
        <v>8</v>
      </c>
      <c r="K240" s="615" t="s">
        <v>47</v>
      </c>
      <c r="L240" s="458" t="s">
        <v>60</v>
      </c>
      <c r="M240" s="463" t="n">
        <f aca="false">I240-D240</f>
        <v>984</v>
      </c>
    </row>
    <row r="241" customFormat="false" ht="12.75" hidden="false" customHeight="true" outlineLevel="0" collapsed="false">
      <c r="A241" s="449" t="n">
        <v>24017</v>
      </c>
      <c r="B241" s="450" t="s">
        <v>15297</v>
      </c>
      <c r="C241" s="450" t="n">
        <v>2009</v>
      </c>
      <c r="D241" s="451" t="n">
        <v>39993</v>
      </c>
      <c r="E241" s="452" t="s">
        <v>15298</v>
      </c>
      <c r="F241" s="378" t="s">
        <v>15274</v>
      </c>
      <c r="G241" s="452" t="s">
        <v>144</v>
      </c>
      <c r="H241" s="378" t="s">
        <v>373</v>
      </c>
      <c r="I241" s="451" t="n">
        <v>42990</v>
      </c>
      <c r="J241" s="452" t="n">
        <v>9</v>
      </c>
      <c r="K241" s="615" t="s">
        <v>47</v>
      </c>
      <c r="L241" s="450" t="s">
        <v>58</v>
      </c>
      <c r="M241" s="455" t="n">
        <f aca="false">I241-D241</f>
        <v>2997</v>
      </c>
    </row>
    <row r="242" customFormat="false" ht="12.75" hidden="false" customHeight="true" outlineLevel="0" collapsed="false">
      <c r="A242" s="456" t="n">
        <v>24117</v>
      </c>
      <c r="B242" s="458" t="s">
        <v>15299</v>
      </c>
      <c r="C242" s="458" t="n">
        <v>2013</v>
      </c>
      <c r="D242" s="459" t="n">
        <v>41443</v>
      </c>
      <c r="E242" s="460" t="s">
        <v>15300</v>
      </c>
      <c r="F242" s="380" t="s">
        <v>412</v>
      </c>
      <c r="G242" s="460" t="s">
        <v>115</v>
      </c>
      <c r="H242" s="380" t="s">
        <v>134</v>
      </c>
      <c r="I242" s="459" t="n">
        <v>43005</v>
      </c>
      <c r="J242" s="460" t="n">
        <v>9</v>
      </c>
      <c r="K242" s="615" t="s">
        <v>47</v>
      </c>
      <c r="L242" s="458" t="s">
        <v>58</v>
      </c>
      <c r="M242" s="463" t="n">
        <f aca="false">I242-D242</f>
        <v>1562</v>
      </c>
    </row>
    <row r="243" customFormat="false" ht="12.75" hidden="false" customHeight="true" outlineLevel="0" collapsed="false">
      <c r="A243" s="449" t="n">
        <v>24217</v>
      </c>
      <c r="B243" s="450" t="s">
        <v>15301</v>
      </c>
      <c r="C243" s="450" t="n">
        <v>2010</v>
      </c>
      <c r="D243" s="451" t="n">
        <v>40281</v>
      </c>
      <c r="E243" s="452" t="s">
        <v>15302</v>
      </c>
      <c r="F243" s="378" t="s">
        <v>365</v>
      </c>
      <c r="G243" s="452" t="s">
        <v>1174</v>
      </c>
      <c r="H243" s="378" t="s">
        <v>15303</v>
      </c>
      <c r="I243" s="451" t="n">
        <v>43007</v>
      </c>
      <c r="J243" s="452" t="n">
        <v>9</v>
      </c>
      <c r="K243" s="614" t="s">
        <v>45</v>
      </c>
      <c r="L243" s="450" t="s">
        <v>58</v>
      </c>
      <c r="M243" s="455" t="n">
        <f aca="false">I243-D243</f>
        <v>2726</v>
      </c>
    </row>
    <row r="244" customFormat="false" ht="12.75" hidden="false" customHeight="true" outlineLevel="0" collapsed="false">
      <c r="A244" s="456" t="n">
        <v>24317</v>
      </c>
      <c r="B244" s="458" t="s">
        <v>15304</v>
      </c>
      <c r="C244" s="458" t="n">
        <v>2010</v>
      </c>
      <c r="D244" s="459" t="n">
        <v>40381</v>
      </c>
      <c r="E244" s="460" t="s">
        <v>15305</v>
      </c>
      <c r="F244" s="380" t="s">
        <v>365</v>
      </c>
      <c r="G244" s="460" t="s">
        <v>1174</v>
      </c>
      <c r="H244" s="380" t="s">
        <v>12073</v>
      </c>
      <c r="I244" s="459" t="n">
        <v>43007</v>
      </c>
      <c r="J244" s="460" t="n">
        <v>9</v>
      </c>
      <c r="K244" s="614" t="s">
        <v>45</v>
      </c>
      <c r="L244" s="458" t="s">
        <v>58</v>
      </c>
      <c r="M244" s="463" t="n">
        <f aca="false">I244-D244</f>
        <v>2626</v>
      </c>
    </row>
    <row r="245" customFormat="false" ht="12.75" hidden="false" customHeight="true" outlineLevel="0" collapsed="false">
      <c r="A245" s="449" t="n">
        <v>24417</v>
      </c>
      <c r="B245" s="450" t="s">
        <v>15306</v>
      </c>
      <c r="C245" s="450" t="n">
        <v>2014</v>
      </c>
      <c r="D245" s="451" t="n">
        <v>41661</v>
      </c>
      <c r="E245" s="452" t="s">
        <v>15307</v>
      </c>
      <c r="F245" s="378" t="s">
        <v>449</v>
      </c>
      <c r="G245" s="452" t="s">
        <v>144</v>
      </c>
      <c r="H245" s="378" t="s">
        <v>12073</v>
      </c>
      <c r="I245" s="451" t="n">
        <v>43010</v>
      </c>
      <c r="J245" s="452" t="n">
        <v>10</v>
      </c>
      <c r="K245" s="615" t="s">
        <v>47</v>
      </c>
      <c r="L245" s="450" t="s">
        <v>58</v>
      </c>
      <c r="M245" s="455" t="n">
        <f aca="false">I245-D245</f>
        <v>1349</v>
      </c>
    </row>
    <row r="246" customFormat="false" ht="12.75" hidden="false" customHeight="true" outlineLevel="0" collapsed="false">
      <c r="A246" s="456" t="n">
        <v>24517</v>
      </c>
      <c r="B246" s="458" t="s">
        <v>15308</v>
      </c>
      <c r="C246" s="458" t="n">
        <v>2009</v>
      </c>
      <c r="D246" s="459" t="n">
        <v>40039</v>
      </c>
      <c r="E246" s="460" t="s">
        <v>15309</v>
      </c>
      <c r="F246" s="380" t="s">
        <v>1277</v>
      </c>
      <c r="G246" s="460" t="s">
        <v>441</v>
      </c>
      <c r="H246" s="380" t="s">
        <v>267</v>
      </c>
      <c r="I246" s="459" t="n">
        <v>43010</v>
      </c>
      <c r="J246" s="460" t="n">
        <v>10</v>
      </c>
      <c r="K246" s="614" t="s">
        <v>45</v>
      </c>
      <c r="L246" s="458" t="s">
        <v>58</v>
      </c>
      <c r="M246" s="463" t="n">
        <f aca="false">I246-D246</f>
        <v>2971</v>
      </c>
    </row>
    <row r="247" customFormat="false" ht="12.75" hidden="false" customHeight="true" outlineLevel="0" collapsed="false">
      <c r="A247" s="449" t="n">
        <v>24617</v>
      </c>
      <c r="B247" s="450" t="s">
        <v>15310</v>
      </c>
      <c r="C247" s="450" t="n">
        <v>2009</v>
      </c>
      <c r="D247" s="451" t="n">
        <v>40010</v>
      </c>
      <c r="E247" s="452" t="s">
        <v>15311</v>
      </c>
      <c r="F247" s="378" t="s">
        <v>365</v>
      </c>
      <c r="G247" s="452" t="s">
        <v>1174</v>
      </c>
      <c r="H247" s="378" t="s">
        <v>10151</v>
      </c>
      <c r="I247" s="451" t="n">
        <v>43010</v>
      </c>
      <c r="J247" s="452" t="n">
        <v>10</v>
      </c>
      <c r="K247" s="614" t="s">
        <v>45</v>
      </c>
      <c r="L247" s="450" t="s">
        <v>58</v>
      </c>
      <c r="M247" s="455" t="n">
        <f aca="false">I247-D247</f>
        <v>3000</v>
      </c>
    </row>
    <row r="248" customFormat="false" ht="12.75" hidden="false" customHeight="true" outlineLevel="0" collapsed="false">
      <c r="A248" s="456" t="n">
        <v>24717</v>
      </c>
      <c r="B248" s="458" t="s">
        <v>15312</v>
      </c>
      <c r="C248" s="458" t="n">
        <v>2009</v>
      </c>
      <c r="D248" s="459" t="n">
        <v>40149</v>
      </c>
      <c r="E248" s="460" t="s">
        <v>15313</v>
      </c>
      <c r="F248" s="380" t="s">
        <v>365</v>
      </c>
      <c r="G248" s="460" t="s">
        <v>1174</v>
      </c>
      <c r="H248" s="380" t="s">
        <v>223</v>
      </c>
      <c r="I248" s="459" t="n">
        <v>43010</v>
      </c>
      <c r="J248" s="460" t="n">
        <v>10</v>
      </c>
      <c r="K248" s="614" t="s">
        <v>45</v>
      </c>
      <c r="L248" s="458" t="s">
        <v>58</v>
      </c>
      <c r="M248" s="463" t="n">
        <f aca="false">I248-D248</f>
        <v>2861</v>
      </c>
    </row>
    <row r="249" customFormat="false" ht="12.75" hidden="false" customHeight="true" outlineLevel="0" collapsed="false">
      <c r="A249" s="449" t="n">
        <v>24817</v>
      </c>
      <c r="B249" s="450" t="s">
        <v>15314</v>
      </c>
      <c r="C249" s="450" t="n">
        <v>2009</v>
      </c>
      <c r="D249" s="451" t="n">
        <v>40024</v>
      </c>
      <c r="E249" s="452" t="s">
        <v>15315</v>
      </c>
      <c r="F249" s="378" t="s">
        <v>365</v>
      </c>
      <c r="G249" s="452" t="s">
        <v>1174</v>
      </c>
      <c r="H249" s="378" t="s">
        <v>11617</v>
      </c>
      <c r="I249" s="451" t="n">
        <v>43011</v>
      </c>
      <c r="J249" s="452" t="n">
        <v>10</v>
      </c>
      <c r="K249" s="614" t="s">
        <v>45</v>
      </c>
      <c r="L249" s="450" t="s">
        <v>58</v>
      </c>
      <c r="M249" s="455" t="n">
        <f aca="false">I249-D249</f>
        <v>2987</v>
      </c>
    </row>
    <row r="250" customFormat="false" ht="12.75" hidden="false" customHeight="true" outlineLevel="0" collapsed="false">
      <c r="A250" s="456" t="n">
        <v>24917</v>
      </c>
      <c r="B250" s="458" t="s">
        <v>15316</v>
      </c>
      <c r="C250" s="458" t="n">
        <v>2013</v>
      </c>
      <c r="D250" s="459" t="n">
        <v>41582</v>
      </c>
      <c r="E250" s="460" t="s">
        <v>15317</v>
      </c>
      <c r="F250" s="380" t="s">
        <v>8232</v>
      </c>
      <c r="G250" s="460" t="s">
        <v>1174</v>
      </c>
      <c r="H250" s="380" t="s">
        <v>11658</v>
      </c>
      <c r="I250" s="459" t="n">
        <v>43011</v>
      </c>
      <c r="J250" s="460" t="n">
        <v>10</v>
      </c>
      <c r="K250" s="615" t="s">
        <v>47</v>
      </c>
      <c r="L250" s="458" t="s">
        <v>60</v>
      </c>
      <c r="M250" s="463" t="n">
        <f aca="false">I250-D250</f>
        <v>1429</v>
      </c>
    </row>
    <row r="251" customFormat="false" ht="12.75" hidden="false" customHeight="true" outlineLevel="0" collapsed="false">
      <c r="A251" s="449" t="n">
        <v>25017</v>
      </c>
      <c r="B251" s="450" t="s">
        <v>15316</v>
      </c>
      <c r="C251" s="450" t="n">
        <v>2013</v>
      </c>
      <c r="D251" s="451" t="n">
        <v>41582</v>
      </c>
      <c r="E251" s="452" t="s">
        <v>15318</v>
      </c>
      <c r="F251" s="378" t="s">
        <v>8232</v>
      </c>
      <c r="G251" s="452" t="s">
        <v>1174</v>
      </c>
      <c r="H251" s="378" t="s">
        <v>706</v>
      </c>
      <c r="I251" s="451" t="n">
        <v>43011</v>
      </c>
      <c r="J251" s="452" t="n">
        <v>10</v>
      </c>
      <c r="K251" s="615" t="s">
        <v>47</v>
      </c>
      <c r="L251" s="450" t="s">
        <v>60</v>
      </c>
      <c r="M251" s="455" t="n">
        <f aca="false">I251-D251</f>
        <v>1429</v>
      </c>
    </row>
    <row r="252" customFormat="false" ht="12.75" hidden="false" customHeight="true" outlineLevel="0" collapsed="false">
      <c r="A252" s="456" t="n">
        <v>25117</v>
      </c>
      <c r="B252" s="458" t="s">
        <v>15319</v>
      </c>
      <c r="C252" s="458" t="n">
        <v>2015</v>
      </c>
      <c r="D252" s="459" t="n">
        <v>42100</v>
      </c>
      <c r="E252" s="460" t="s">
        <v>15320</v>
      </c>
      <c r="F252" s="380" t="s">
        <v>8232</v>
      </c>
      <c r="G252" s="460" t="s">
        <v>1174</v>
      </c>
      <c r="H252" s="380" t="s">
        <v>2677</v>
      </c>
      <c r="I252" s="459" t="n">
        <v>43011</v>
      </c>
      <c r="J252" s="460" t="n">
        <v>10</v>
      </c>
      <c r="K252" s="615" t="s">
        <v>47</v>
      </c>
      <c r="L252" s="458" t="s">
        <v>60</v>
      </c>
      <c r="M252" s="463" t="n">
        <f aca="false">I252-D252</f>
        <v>911</v>
      </c>
    </row>
    <row r="253" customFormat="false" ht="12.75" hidden="false" customHeight="true" outlineLevel="0" collapsed="false">
      <c r="A253" s="449" t="n">
        <v>25217</v>
      </c>
      <c r="B253" s="450" t="s">
        <v>15321</v>
      </c>
      <c r="C253" s="450" t="n">
        <v>2016</v>
      </c>
      <c r="D253" s="451" t="n">
        <v>42474</v>
      </c>
      <c r="E253" s="452" t="s">
        <v>15322</v>
      </c>
      <c r="F253" s="378" t="s">
        <v>8232</v>
      </c>
      <c r="G253" s="452" t="s">
        <v>1174</v>
      </c>
      <c r="H253" s="378" t="s">
        <v>267</v>
      </c>
      <c r="I253" s="451" t="n">
        <v>43011</v>
      </c>
      <c r="J253" s="452" t="n">
        <v>10</v>
      </c>
      <c r="K253" s="615" t="s">
        <v>47</v>
      </c>
      <c r="L253" s="450" t="s">
        <v>60</v>
      </c>
      <c r="M253" s="455" t="n">
        <f aca="false">I253-D253</f>
        <v>537</v>
      </c>
    </row>
    <row r="254" customFormat="false" ht="12.75" hidden="false" customHeight="true" outlineLevel="0" collapsed="false">
      <c r="A254" s="456" t="n">
        <v>25317</v>
      </c>
      <c r="B254" s="458" t="s">
        <v>15323</v>
      </c>
      <c r="C254" s="458" t="n">
        <v>2016</v>
      </c>
      <c r="D254" s="459" t="n">
        <v>42683</v>
      </c>
      <c r="E254" s="460" t="s">
        <v>15324</v>
      </c>
      <c r="F254" s="380" t="s">
        <v>211</v>
      </c>
      <c r="G254" s="460" t="s">
        <v>1174</v>
      </c>
      <c r="H254" s="380" t="s">
        <v>192</v>
      </c>
      <c r="I254" s="459" t="n">
        <v>43019</v>
      </c>
      <c r="J254" s="460" t="n">
        <v>10</v>
      </c>
      <c r="K254" s="613" t="s">
        <v>50</v>
      </c>
      <c r="L254" s="458" t="s">
        <v>58</v>
      </c>
      <c r="M254" s="463" t="n">
        <f aca="false">I254-D254</f>
        <v>336</v>
      </c>
    </row>
    <row r="255" customFormat="false" ht="12.75" hidden="false" customHeight="true" outlineLevel="0" collapsed="false">
      <c r="A255" s="449" t="n">
        <v>25417</v>
      </c>
      <c r="B255" s="450" t="s">
        <v>15325</v>
      </c>
      <c r="C255" s="450" t="n">
        <v>2014</v>
      </c>
      <c r="D255" s="451" t="n">
        <v>41995</v>
      </c>
      <c r="E255" s="452" t="s">
        <v>15326</v>
      </c>
      <c r="F255" s="378" t="s">
        <v>168</v>
      </c>
      <c r="G255" s="452" t="s">
        <v>441</v>
      </c>
      <c r="H255" s="378" t="s">
        <v>350</v>
      </c>
      <c r="I255" s="451" t="n">
        <v>43019</v>
      </c>
      <c r="J255" s="452" t="n">
        <v>10</v>
      </c>
      <c r="K255" s="615" t="s">
        <v>47</v>
      </c>
      <c r="L255" s="450" t="s">
        <v>60</v>
      </c>
      <c r="M255" s="455" t="n">
        <f aca="false">I255-D255</f>
        <v>1024</v>
      </c>
    </row>
    <row r="256" customFormat="false" ht="12.75" hidden="false" customHeight="true" outlineLevel="0" collapsed="false">
      <c r="A256" s="456" t="n">
        <v>25517</v>
      </c>
      <c r="B256" s="458" t="s">
        <v>15327</v>
      </c>
      <c r="C256" s="458" t="n">
        <v>2011</v>
      </c>
      <c r="D256" s="459" t="n">
        <v>40821</v>
      </c>
      <c r="E256" s="460" t="s">
        <v>15328</v>
      </c>
      <c r="F256" s="380" t="s">
        <v>8232</v>
      </c>
      <c r="G256" s="460" t="s">
        <v>1174</v>
      </c>
      <c r="H256" s="380" t="s">
        <v>5230</v>
      </c>
      <c r="I256" s="459" t="n">
        <v>43019</v>
      </c>
      <c r="J256" s="460" t="n">
        <v>10</v>
      </c>
      <c r="K256" s="615" t="s">
        <v>47</v>
      </c>
      <c r="L256" s="458" t="s">
        <v>60</v>
      </c>
      <c r="M256" s="463" t="n">
        <f aca="false">I256-D256</f>
        <v>2198</v>
      </c>
    </row>
    <row r="257" customFormat="false" ht="12.75" hidden="false" customHeight="true" outlineLevel="0" collapsed="false">
      <c r="A257" s="449" t="n">
        <v>25617</v>
      </c>
      <c r="B257" s="450" t="s">
        <v>15329</v>
      </c>
      <c r="C257" s="450" t="n">
        <v>2012</v>
      </c>
      <c r="D257" s="451" t="n">
        <v>41222</v>
      </c>
      <c r="E257" s="452" t="s">
        <v>15330</v>
      </c>
      <c r="F257" s="378" t="s">
        <v>379</v>
      </c>
      <c r="G257" s="452" t="s">
        <v>1174</v>
      </c>
      <c r="H257" s="378" t="s">
        <v>354</v>
      </c>
      <c r="I257" s="451" t="n">
        <v>43025</v>
      </c>
      <c r="J257" s="452" t="n">
        <v>10</v>
      </c>
      <c r="K257" s="614" t="s">
        <v>45</v>
      </c>
      <c r="L257" s="450" t="s">
        <v>60</v>
      </c>
      <c r="M257" s="455" t="n">
        <f aca="false">I257-D257</f>
        <v>1803</v>
      </c>
    </row>
    <row r="258" customFormat="false" ht="12.75" hidden="false" customHeight="true" outlineLevel="0" collapsed="false">
      <c r="A258" s="456" t="n">
        <v>25717</v>
      </c>
      <c r="B258" s="458" t="s">
        <v>15331</v>
      </c>
      <c r="C258" s="458" t="n">
        <v>2011</v>
      </c>
      <c r="D258" s="459" t="n">
        <v>40606</v>
      </c>
      <c r="E258" s="460" t="s">
        <v>15332</v>
      </c>
      <c r="F258" s="380" t="s">
        <v>699</v>
      </c>
      <c r="G258" s="460" t="s">
        <v>1174</v>
      </c>
      <c r="H258" s="380" t="s">
        <v>706</v>
      </c>
      <c r="I258" s="459" t="n">
        <v>43028</v>
      </c>
      <c r="J258" s="460" t="n">
        <v>10</v>
      </c>
      <c r="K258" s="616" t="s">
        <v>42</v>
      </c>
      <c r="L258" s="458" t="s">
        <v>60</v>
      </c>
      <c r="M258" s="463" t="n">
        <f aca="false">I258-D258</f>
        <v>2422</v>
      </c>
    </row>
    <row r="259" customFormat="false" ht="12.75" hidden="false" customHeight="true" outlineLevel="0" collapsed="false">
      <c r="A259" s="449" t="n">
        <v>25817</v>
      </c>
      <c r="B259" s="450" t="s">
        <v>15333</v>
      </c>
      <c r="C259" s="450" t="n">
        <v>2012</v>
      </c>
      <c r="D259" s="451" t="n">
        <v>41206</v>
      </c>
      <c r="E259" s="452" t="s">
        <v>15334</v>
      </c>
      <c r="F259" s="378" t="s">
        <v>699</v>
      </c>
      <c r="G259" s="452" t="s">
        <v>1174</v>
      </c>
      <c r="H259" s="378" t="s">
        <v>706</v>
      </c>
      <c r="I259" s="451" t="n">
        <v>43028</v>
      </c>
      <c r="J259" s="452" t="n">
        <v>10</v>
      </c>
      <c r="K259" s="616" t="s">
        <v>42</v>
      </c>
      <c r="L259" s="450" t="s">
        <v>60</v>
      </c>
      <c r="M259" s="455" t="n">
        <f aca="false">I259-D259</f>
        <v>1822</v>
      </c>
    </row>
    <row r="260" customFormat="false" ht="12.75" hidden="false" customHeight="true" outlineLevel="0" collapsed="false">
      <c r="A260" s="456" t="n">
        <v>25917</v>
      </c>
      <c r="B260" s="458" t="s">
        <v>15335</v>
      </c>
      <c r="C260" s="458" t="n">
        <v>2012</v>
      </c>
      <c r="D260" s="459" t="n">
        <v>41222</v>
      </c>
      <c r="E260" s="460" t="s">
        <v>15336</v>
      </c>
      <c r="F260" s="380" t="s">
        <v>379</v>
      </c>
      <c r="G260" s="460" t="s">
        <v>1174</v>
      </c>
      <c r="H260" s="380" t="s">
        <v>2296</v>
      </c>
      <c r="I260" s="459" t="n">
        <v>43028</v>
      </c>
      <c r="J260" s="460" t="n">
        <v>10</v>
      </c>
      <c r="K260" s="614" t="s">
        <v>45</v>
      </c>
      <c r="L260" s="458" t="s">
        <v>60</v>
      </c>
      <c r="M260" s="463" t="n">
        <f aca="false">I260-D260</f>
        <v>1806</v>
      </c>
    </row>
    <row r="261" customFormat="false" ht="12.75" hidden="false" customHeight="true" outlineLevel="0" collapsed="false">
      <c r="A261" s="449" t="n">
        <v>26017</v>
      </c>
      <c r="B261" s="450" t="s">
        <v>15337</v>
      </c>
      <c r="C261" s="450" t="n">
        <v>2014</v>
      </c>
      <c r="D261" s="451" t="n">
        <v>41780</v>
      </c>
      <c r="E261" s="452" t="s">
        <v>15338</v>
      </c>
      <c r="F261" s="378" t="s">
        <v>689</v>
      </c>
      <c r="G261" s="452" t="s">
        <v>441</v>
      </c>
      <c r="H261" s="378" t="s">
        <v>1501</v>
      </c>
      <c r="I261" s="451" t="n">
        <v>43031</v>
      </c>
      <c r="J261" s="452" t="n">
        <v>10</v>
      </c>
      <c r="K261" s="615" t="s">
        <v>47</v>
      </c>
      <c r="L261" s="450" t="s">
        <v>58</v>
      </c>
      <c r="M261" s="455" t="n">
        <f aca="false">I261-D261</f>
        <v>1251</v>
      </c>
    </row>
    <row r="262" customFormat="false" ht="12.75" hidden="false" customHeight="true" outlineLevel="0" collapsed="false">
      <c r="A262" s="456" t="n">
        <v>26117</v>
      </c>
      <c r="B262" s="458" t="s">
        <v>15339</v>
      </c>
      <c r="C262" s="458" t="n">
        <v>2011</v>
      </c>
      <c r="D262" s="459" t="n">
        <v>40638</v>
      </c>
      <c r="E262" s="460" t="s">
        <v>15340</v>
      </c>
      <c r="F262" s="380" t="s">
        <v>446</v>
      </c>
      <c r="G262" s="460" t="s">
        <v>441</v>
      </c>
      <c r="H262" s="380" t="s">
        <v>4045</v>
      </c>
      <c r="I262" s="459" t="n">
        <v>43039</v>
      </c>
      <c r="J262" s="460" t="n">
        <v>10</v>
      </c>
      <c r="K262" s="614" t="s">
        <v>45</v>
      </c>
      <c r="L262" s="458" t="s">
        <v>60</v>
      </c>
      <c r="M262" s="463" t="n">
        <f aca="false">I262-D262</f>
        <v>2401</v>
      </c>
    </row>
    <row r="263" customFormat="false" ht="12.75" hidden="false" customHeight="true" outlineLevel="0" collapsed="false">
      <c r="A263" s="449" t="n">
        <v>26217</v>
      </c>
      <c r="B263" s="450" t="s">
        <v>15341</v>
      </c>
      <c r="C263" s="450" t="n">
        <v>2010</v>
      </c>
      <c r="D263" s="451" t="n">
        <v>40501</v>
      </c>
      <c r="E263" s="452" t="s">
        <v>15342</v>
      </c>
      <c r="F263" s="378" t="s">
        <v>5993</v>
      </c>
      <c r="G263" s="452" t="s">
        <v>144</v>
      </c>
      <c r="H263" s="378" t="s">
        <v>2677</v>
      </c>
      <c r="I263" s="451" t="n">
        <v>43031</v>
      </c>
      <c r="J263" s="452" t="n">
        <v>10</v>
      </c>
      <c r="K263" s="615" t="s">
        <v>47</v>
      </c>
      <c r="L263" s="450" t="s">
        <v>58</v>
      </c>
      <c r="M263" s="455" t="n">
        <f aca="false">I263-D263</f>
        <v>2530</v>
      </c>
    </row>
    <row r="264" customFormat="false" ht="12.75" hidden="false" customHeight="true" outlineLevel="0" collapsed="false">
      <c r="A264" s="456" t="n">
        <v>26317</v>
      </c>
      <c r="B264" s="458" t="s">
        <v>15343</v>
      </c>
      <c r="C264" s="458" t="n">
        <v>2014</v>
      </c>
      <c r="D264" s="459" t="n">
        <v>41792</v>
      </c>
      <c r="E264" s="460" t="s">
        <v>15344</v>
      </c>
      <c r="F264" s="380" t="s">
        <v>1150</v>
      </c>
      <c r="G264" s="460" t="s">
        <v>441</v>
      </c>
      <c r="H264" s="380" t="s">
        <v>350</v>
      </c>
      <c r="I264" s="459" t="n">
        <v>43032</v>
      </c>
      <c r="J264" s="460" t="n">
        <v>10</v>
      </c>
      <c r="K264" s="615" t="s">
        <v>47</v>
      </c>
      <c r="L264" s="458" t="s">
        <v>58</v>
      </c>
      <c r="M264" s="463" t="n">
        <f aca="false">I264-D264</f>
        <v>1240</v>
      </c>
    </row>
    <row r="265" customFormat="false" ht="12.75" hidden="false" customHeight="true" outlineLevel="0" collapsed="false">
      <c r="A265" s="449" t="n">
        <v>26417</v>
      </c>
      <c r="B265" s="450" t="s">
        <v>15345</v>
      </c>
      <c r="C265" s="450" t="n">
        <v>2015</v>
      </c>
      <c r="D265" s="451" t="n">
        <v>42244</v>
      </c>
      <c r="E265" s="452" t="s">
        <v>15346</v>
      </c>
      <c r="F265" s="378" t="s">
        <v>5993</v>
      </c>
      <c r="G265" s="452" t="s">
        <v>441</v>
      </c>
      <c r="H265" s="378" t="s">
        <v>350</v>
      </c>
      <c r="I265" s="451" t="n">
        <v>43032</v>
      </c>
      <c r="J265" s="452" t="n">
        <v>10</v>
      </c>
      <c r="K265" s="615" t="s">
        <v>47</v>
      </c>
      <c r="L265" s="450" t="s">
        <v>60</v>
      </c>
      <c r="M265" s="455" t="n">
        <f aca="false">I265-D265</f>
        <v>788</v>
      </c>
    </row>
    <row r="266" customFormat="false" ht="12.75" hidden="false" customHeight="true" outlineLevel="0" collapsed="false">
      <c r="A266" s="456" t="n">
        <v>26517</v>
      </c>
      <c r="B266" s="458" t="s">
        <v>15347</v>
      </c>
      <c r="C266" s="458" t="n">
        <v>2011</v>
      </c>
      <c r="D266" s="459" t="n">
        <v>40821</v>
      </c>
      <c r="E266" s="460" t="s">
        <v>15348</v>
      </c>
      <c r="F266" s="380" t="s">
        <v>211</v>
      </c>
      <c r="G266" s="460" t="s">
        <v>441</v>
      </c>
      <c r="H266" s="380" t="s">
        <v>1305</v>
      </c>
      <c r="I266" s="459" t="n">
        <v>43032</v>
      </c>
      <c r="J266" s="460" t="n">
        <v>10</v>
      </c>
      <c r="K266" s="616" t="s">
        <v>42</v>
      </c>
      <c r="L266" s="458" t="s">
        <v>58</v>
      </c>
      <c r="M266" s="463" t="n">
        <f aca="false">I266-D266</f>
        <v>2211</v>
      </c>
    </row>
    <row r="267" customFormat="false" ht="12.75" hidden="false" customHeight="true" outlineLevel="0" collapsed="false">
      <c r="A267" s="449" t="n">
        <v>26617</v>
      </c>
      <c r="B267" s="450" t="s">
        <v>15349</v>
      </c>
      <c r="C267" s="450" t="n">
        <v>2016</v>
      </c>
      <c r="D267" s="451" t="n">
        <v>42507</v>
      </c>
      <c r="E267" s="452" t="s">
        <v>15350</v>
      </c>
      <c r="F267" s="378" t="s">
        <v>15289</v>
      </c>
      <c r="G267" s="452" t="s">
        <v>441</v>
      </c>
      <c r="H267" s="378" t="s">
        <v>223</v>
      </c>
      <c r="I267" s="451" t="n">
        <v>43032</v>
      </c>
      <c r="J267" s="452" t="n">
        <v>10</v>
      </c>
      <c r="K267" s="614" t="s">
        <v>45</v>
      </c>
      <c r="L267" s="450" t="s">
        <v>58</v>
      </c>
      <c r="M267" s="455" t="n">
        <f aca="false">I267-D267</f>
        <v>525</v>
      </c>
    </row>
    <row r="268" customFormat="false" ht="12.75" hidden="false" customHeight="true" outlineLevel="0" collapsed="false">
      <c r="A268" s="456" t="n">
        <v>26717</v>
      </c>
      <c r="B268" s="458" t="s">
        <v>15351</v>
      </c>
      <c r="C268" s="458" t="n">
        <v>2012</v>
      </c>
      <c r="D268" s="459" t="n">
        <v>41061</v>
      </c>
      <c r="E268" s="460" t="s">
        <v>15352</v>
      </c>
      <c r="F268" s="380" t="s">
        <v>5993</v>
      </c>
      <c r="G268" s="460" t="s">
        <v>144</v>
      </c>
      <c r="H268" s="380" t="s">
        <v>2677</v>
      </c>
      <c r="I268" s="459" t="n">
        <v>43033</v>
      </c>
      <c r="J268" s="460" t="n">
        <v>10</v>
      </c>
      <c r="K268" s="615" t="s">
        <v>47</v>
      </c>
      <c r="L268" s="458" t="s">
        <v>58</v>
      </c>
      <c r="M268" s="463" t="n">
        <f aca="false">I268-D268</f>
        <v>1972</v>
      </c>
    </row>
    <row r="269" customFormat="false" ht="12.75" hidden="false" customHeight="true" outlineLevel="0" collapsed="false">
      <c r="A269" s="449" t="n">
        <v>26817</v>
      </c>
      <c r="B269" s="450" t="s">
        <v>15353</v>
      </c>
      <c r="C269" s="450" t="n">
        <v>2014</v>
      </c>
      <c r="D269" s="451" t="n">
        <v>41977</v>
      </c>
      <c r="E269" s="452" t="s">
        <v>15354</v>
      </c>
      <c r="F269" s="378" t="s">
        <v>689</v>
      </c>
      <c r="G269" s="452" t="s">
        <v>441</v>
      </c>
      <c r="H269" s="378" t="s">
        <v>1501</v>
      </c>
      <c r="I269" s="451" t="n">
        <v>43033</v>
      </c>
      <c r="J269" s="452" t="n">
        <v>10</v>
      </c>
      <c r="K269" s="615" t="s">
        <v>47</v>
      </c>
      <c r="L269" s="450" t="s">
        <v>60</v>
      </c>
      <c r="M269" s="455" t="n">
        <f aca="false">I269-D269</f>
        <v>1056</v>
      </c>
    </row>
    <row r="270" customFormat="false" ht="12.75" hidden="false" customHeight="true" outlineLevel="0" collapsed="false">
      <c r="A270" s="456" t="n">
        <v>26917</v>
      </c>
      <c r="B270" s="458" t="s">
        <v>15355</v>
      </c>
      <c r="C270" s="458" t="n">
        <v>2011</v>
      </c>
      <c r="D270" s="459" t="n">
        <v>40638</v>
      </c>
      <c r="E270" s="460" t="s">
        <v>15356</v>
      </c>
      <c r="F270" s="380" t="s">
        <v>446</v>
      </c>
      <c r="G270" s="460" t="s">
        <v>441</v>
      </c>
      <c r="H270" s="380" t="s">
        <v>4045</v>
      </c>
      <c r="I270" s="459" t="n">
        <v>43033</v>
      </c>
      <c r="J270" s="460" t="n">
        <v>10</v>
      </c>
      <c r="K270" s="614" t="s">
        <v>45</v>
      </c>
      <c r="L270" s="458" t="s">
        <v>60</v>
      </c>
      <c r="M270" s="463" t="n">
        <f aca="false">I270-D270</f>
        <v>2395</v>
      </c>
    </row>
    <row r="271" customFormat="false" ht="12.75" hidden="false" customHeight="true" outlineLevel="0" collapsed="false">
      <c r="A271" s="449" t="n">
        <v>27017</v>
      </c>
      <c r="B271" s="450" t="s">
        <v>15357</v>
      </c>
      <c r="C271" s="450" t="n">
        <v>2011</v>
      </c>
      <c r="D271" s="451" t="n">
        <v>40809</v>
      </c>
      <c r="E271" s="452" t="s">
        <v>15358</v>
      </c>
      <c r="F271" s="378" t="s">
        <v>9676</v>
      </c>
      <c r="G271" s="452" t="s">
        <v>441</v>
      </c>
      <c r="H271" s="378" t="s">
        <v>453</v>
      </c>
      <c r="I271" s="451" t="n">
        <v>43033</v>
      </c>
      <c r="J271" s="452" t="n">
        <v>10</v>
      </c>
      <c r="K271" s="616" t="s">
        <v>42</v>
      </c>
      <c r="L271" s="450" t="s">
        <v>58</v>
      </c>
      <c r="M271" s="455" t="n">
        <f aca="false">I271-D271</f>
        <v>2224</v>
      </c>
    </row>
    <row r="272" customFormat="false" ht="12.75" hidden="false" customHeight="true" outlineLevel="0" collapsed="false">
      <c r="A272" s="456" t="n">
        <v>27117</v>
      </c>
      <c r="B272" s="458" t="s">
        <v>15359</v>
      </c>
      <c r="C272" s="458" t="n">
        <v>2012</v>
      </c>
      <c r="D272" s="459" t="n">
        <v>41271</v>
      </c>
      <c r="E272" s="460" t="s">
        <v>15360</v>
      </c>
      <c r="F272" s="380" t="s">
        <v>2560</v>
      </c>
      <c r="G272" s="460" t="s">
        <v>1174</v>
      </c>
      <c r="H272" s="380" t="s">
        <v>223</v>
      </c>
      <c r="I272" s="459" t="n">
        <v>43034</v>
      </c>
      <c r="J272" s="460" t="n">
        <v>10</v>
      </c>
      <c r="K272" s="615" t="s">
        <v>47</v>
      </c>
      <c r="L272" s="458" t="s">
        <v>58</v>
      </c>
      <c r="M272" s="463" t="n">
        <f aca="false">I272-D272</f>
        <v>1763</v>
      </c>
    </row>
    <row r="273" customFormat="false" ht="12.75" hidden="false" customHeight="true" outlineLevel="0" collapsed="false">
      <c r="A273" s="449" t="n">
        <v>27217</v>
      </c>
      <c r="B273" s="450" t="s">
        <v>15361</v>
      </c>
      <c r="C273" s="450" t="n">
        <v>2010</v>
      </c>
      <c r="D273" s="451" t="n">
        <v>40309</v>
      </c>
      <c r="E273" s="452" t="s">
        <v>15362</v>
      </c>
      <c r="F273" s="378" t="s">
        <v>446</v>
      </c>
      <c r="G273" s="452" t="s">
        <v>441</v>
      </c>
      <c r="H273" s="378" t="s">
        <v>223</v>
      </c>
      <c r="I273" s="451" t="n">
        <v>43039</v>
      </c>
      <c r="J273" s="452" t="n">
        <v>10</v>
      </c>
      <c r="K273" s="616" t="s">
        <v>42</v>
      </c>
      <c r="L273" s="450" t="s">
        <v>60</v>
      </c>
      <c r="M273" s="455" t="n">
        <f aca="false">I273-D273</f>
        <v>2730</v>
      </c>
    </row>
    <row r="274" customFormat="false" ht="12.75" hidden="false" customHeight="true" outlineLevel="0" collapsed="false">
      <c r="A274" s="456" t="n">
        <v>27317</v>
      </c>
      <c r="B274" s="458" t="s">
        <v>15363</v>
      </c>
      <c r="C274" s="458" t="n">
        <v>2010</v>
      </c>
      <c r="D274" s="459" t="n">
        <v>40309</v>
      </c>
      <c r="E274" s="460" t="s">
        <v>15364</v>
      </c>
      <c r="F274" s="380" t="s">
        <v>446</v>
      </c>
      <c r="G274" s="460" t="s">
        <v>441</v>
      </c>
      <c r="H274" s="380" t="s">
        <v>223</v>
      </c>
      <c r="I274" s="459" t="n">
        <v>43040</v>
      </c>
      <c r="J274" s="460" t="n">
        <v>11</v>
      </c>
      <c r="K274" s="616" t="s">
        <v>42</v>
      </c>
      <c r="L274" s="458" t="s">
        <v>60</v>
      </c>
      <c r="M274" s="463" t="n">
        <f aca="false">I274-D274</f>
        <v>2731</v>
      </c>
    </row>
    <row r="275" customFormat="false" ht="12.75" hidden="false" customHeight="true" outlineLevel="0" collapsed="false">
      <c r="A275" s="449" t="n">
        <v>27417</v>
      </c>
      <c r="B275" s="450" t="s">
        <v>15365</v>
      </c>
      <c r="C275" s="450" t="n">
        <v>2009</v>
      </c>
      <c r="D275" s="451" t="n">
        <v>40057</v>
      </c>
      <c r="E275" s="452" t="s">
        <v>15366</v>
      </c>
      <c r="F275" s="378" t="s">
        <v>8232</v>
      </c>
      <c r="G275" s="452" t="s">
        <v>441</v>
      </c>
      <c r="H275" s="378" t="s">
        <v>13006</v>
      </c>
      <c r="I275" s="451" t="n">
        <v>43040</v>
      </c>
      <c r="J275" s="452" t="n">
        <v>11</v>
      </c>
      <c r="K275" s="615" t="s">
        <v>47</v>
      </c>
      <c r="L275" s="450" t="s">
        <v>60</v>
      </c>
      <c r="M275" s="455" t="n">
        <f aca="false">I275-D275</f>
        <v>2983</v>
      </c>
    </row>
    <row r="276" customFormat="false" ht="12.75" hidden="false" customHeight="true" outlineLevel="0" collapsed="false">
      <c r="A276" s="456" t="n">
        <v>27517</v>
      </c>
      <c r="B276" s="458" t="s">
        <v>15367</v>
      </c>
      <c r="C276" s="458" t="n">
        <v>2011</v>
      </c>
      <c r="D276" s="459" t="n">
        <v>40652</v>
      </c>
      <c r="E276" s="460" t="s">
        <v>15368</v>
      </c>
      <c r="F276" s="380" t="s">
        <v>3777</v>
      </c>
      <c r="G276" s="460" t="s">
        <v>441</v>
      </c>
      <c r="H276" s="380" t="s">
        <v>15303</v>
      </c>
      <c r="I276" s="459" t="n">
        <v>43040</v>
      </c>
      <c r="J276" s="460" t="n">
        <v>11</v>
      </c>
      <c r="K276" s="615" t="s">
        <v>47</v>
      </c>
      <c r="L276" s="458" t="s">
        <v>58</v>
      </c>
      <c r="M276" s="463" t="n">
        <f aca="false">I276-D276</f>
        <v>2388</v>
      </c>
    </row>
    <row r="277" customFormat="false" ht="12.75" hidden="false" customHeight="true" outlineLevel="0" collapsed="false">
      <c r="A277" s="449" t="n">
        <v>27617</v>
      </c>
      <c r="B277" s="450" t="s">
        <v>15369</v>
      </c>
      <c r="C277" s="450" t="n">
        <v>2010</v>
      </c>
      <c r="D277" s="451" t="n">
        <v>40280</v>
      </c>
      <c r="E277" s="452" t="s">
        <v>15370</v>
      </c>
      <c r="F277" s="378" t="s">
        <v>5241</v>
      </c>
      <c r="G277" s="452" t="s">
        <v>441</v>
      </c>
      <c r="H277" s="378" t="s">
        <v>223</v>
      </c>
      <c r="I277" s="451" t="n">
        <v>43040</v>
      </c>
      <c r="J277" s="452" t="n">
        <v>11</v>
      </c>
      <c r="K277" s="615" t="s">
        <v>47</v>
      </c>
      <c r="L277" s="450" t="s">
        <v>60</v>
      </c>
      <c r="M277" s="455" t="n">
        <f aca="false">I277-D277</f>
        <v>2760</v>
      </c>
    </row>
    <row r="278" customFormat="false" ht="12.75" hidden="false" customHeight="true" outlineLevel="0" collapsed="false">
      <c r="A278" s="456" t="n">
        <v>27717</v>
      </c>
      <c r="B278" s="458" t="s">
        <v>15371</v>
      </c>
      <c r="C278" s="458" t="n">
        <v>2013</v>
      </c>
      <c r="D278" s="459" t="n">
        <v>41366</v>
      </c>
      <c r="E278" s="460" t="s">
        <v>15372</v>
      </c>
      <c r="F278" s="380" t="s">
        <v>1277</v>
      </c>
      <c r="G278" s="460" t="s">
        <v>441</v>
      </c>
      <c r="H278" s="380" t="s">
        <v>706</v>
      </c>
      <c r="I278" s="459" t="n">
        <v>43040</v>
      </c>
      <c r="J278" s="460" t="n">
        <v>11</v>
      </c>
      <c r="K278" s="616" t="s">
        <v>42</v>
      </c>
      <c r="L278" s="458" t="s">
        <v>58</v>
      </c>
      <c r="M278" s="463" t="n">
        <f aca="false">I278-D278</f>
        <v>1674</v>
      </c>
    </row>
    <row r="279" customFormat="false" ht="12.75" hidden="false" customHeight="true" outlineLevel="0" collapsed="false">
      <c r="A279" s="449" t="n">
        <v>27817</v>
      </c>
      <c r="B279" s="450" t="s">
        <v>15373</v>
      </c>
      <c r="C279" s="450" t="n">
        <v>2015</v>
      </c>
      <c r="D279" s="451" t="n">
        <v>42359</v>
      </c>
      <c r="E279" s="452" t="s">
        <v>15374</v>
      </c>
      <c r="F279" s="378" t="s">
        <v>449</v>
      </c>
      <c r="G279" s="452" t="s">
        <v>441</v>
      </c>
      <c r="H279" s="378" t="s">
        <v>706</v>
      </c>
      <c r="I279" s="451" t="n">
        <v>43042</v>
      </c>
      <c r="J279" s="452" t="n">
        <v>11</v>
      </c>
      <c r="K279" s="615" t="s">
        <v>47</v>
      </c>
      <c r="L279" s="450" t="s">
        <v>58</v>
      </c>
      <c r="M279" s="455" t="n">
        <f aca="false">I279-D279</f>
        <v>683</v>
      </c>
    </row>
    <row r="280" customFormat="false" ht="12.75" hidden="false" customHeight="true" outlineLevel="0" collapsed="false">
      <c r="A280" s="456" t="n">
        <v>27917</v>
      </c>
      <c r="B280" s="458" t="s">
        <v>15375</v>
      </c>
      <c r="C280" s="458" t="n">
        <v>2015</v>
      </c>
      <c r="D280" s="459" t="n">
        <v>42185</v>
      </c>
      <c r="E280" s="460" t="s">
        <v>15376</v>
      </c>
      <c r="F280" s="380" t="s">
        <v>449</v>
      </c>
      <c r="G280" s="460" t="s">
        <v>441</v>
      </c>
      <c r="H280" s="380" t="s">
        <v>706</v>
      </c>
      <c r="I280" s="459" t="n">
        <v>43045</v>
      </c>
      <c r="J280" s="460" t="n">
        <v>11</v>
      </c>
      <c r="K280" s="615" t="s">
        <v>47</v>
      </c>
      <c r="L280" s="458" t="s">
        <v>58</v>
      </c>
      <c r="M280" s="463" t="n">
        <f aca="false">I280-D280</f>
        <v>860</v>
      </c>
    </row>
    <row r="281" customFormat="false" ht="12.75" hidden="false" customHeight="true" outlineLevel="0" collapsed="false">
      <c r="A281" s="449" t="n">
        <v>28017</v>
      </c>
      <c r="B281" s="450" t="s">
        <v>15377</v>
      </c>
      <c r="C281" s="450" t="n">
        <v>2015</v>
      </c>
      <c r="D281" s="451" t="n">
        <v>42184</v>
      </c>
      <c r="E281" s="452" t="s">
        <v>15378</v>
      </c>
      <c r="F281" s="378" t="s">
        <v>449</v>
      </c>
      <c r="G281" s="452" t="s">
        <v>441</v>
      </c>
      <c r="H281" s="378" t="s">
        <v>706</v>
      </c>
      <c r="I281" s="451" t="n">
        <v>43045</v>
      </c>
      <c r="J281" s="452" t="n">
        <v>11</v>
      </c>
      <c r="K281" s="615" t="s">
        <v>47</v>
      </c>
      <c r="L281" s="450" t="s">
        <v>58</v>
      </c>
      <c r="M281" s="455" t="n">
        <f aca="false">I281-D281</f>
        <v>861</v>
      </c>
    </row>
    <row r="282" customFormat="false" ht="12.75" hidden="false" customHeight="true" outlineLevel="0" collapsed="false">
      <c r="A282" s="456" t="n">
        <v>28117</v>
      </c>
      <c r="B282" s="458" t="s">
        <v>15379</v>
      </c>
      <c r="C282" s="458" t="n">
        <v>2015</v>
      </c>
      <c r="D282" s="459" t="n">
        <v>42144</v>
      </c>
      <c r="E282" s="460" t="s">
        <v>15380</v>
      </c>
      <c r="F282" s="380" t="s">
        <v>449</v>
      </c>
      <c r="G282" s="460" t="s">
        <v>441</v>
      </c>
      <c r="H282" s="380" t="s">
        <v>706</v>
      </c>
      <c r="I282" s="459" t="n">
        <v>43045</v>
      </c>
      <c r="J282" s="460" t="n">
        <v>11</v>
      </c>
      <c r="K282" s="615" t="s">
        <v>47</v>
      </c>
      <c r="L282" s="458" t="s">
        <v>58</v>
      </c>
      <c r="M282" s="463" t="n">
        <f aca="false">I282-D282</f>
        <v>901</v>
      </c>
    </row>
    <row r="283" customFormat="false" ht="12.75" hidden="false" customHeight="true" outlineLevel="0" collapsed="false">
      <c r="A283" s="449" t="n">
        <v>28217</v>
      </c>
      <c r="B283" s="450" t="s">
        <v>15381</v>
      </c>
      <c r="C283" s="450" t="n">
        <v>2017</v>
      </c>
      <c r="D283" s="451" t="n">
        <v>42789</v>
      </c>
      <c r="E283" s="452" t="s">
        <v>15382</v>
      </c>
      <c r="F283" s="378" t="s">
        <v>6315</v>
      </c>
      <c r="G283" s="452" t="s">
        <v>130</v>
      </c>
      <c r="H283" s="378" t="s">
        <v>149</v>
      </c>
      <c r="I283" s="451" t="n">
        <v>43045</v>
      </c>
      <c r="J283" s="452" t="n">
        <v>11</v>
      </c>
      <c r="K283" s="613" t="s">
        <v>50</v>
      </c>
      <c r="L283" s="450" t="s">
        <v>61</v>
      </c>
      <c r="M283" s="455" t="n">
        <f aca="false">I283-D283</f>
        <v>256</v>
      </c>
    </row>
    <row r="284" customFormat="false" ht="12.75" hidden="false" customHeight="true" outlineLevel="0" collapsed="false">
      <c r="A284" s="456" t="n">
        <v>28317</v>
      </c>
      <c r="B284" s="458" t="s">
        <v>15383</v>
      </c>
      <c r="C284" s="458" t="n">
        <v>2012</v>
      </c>
      <c r="D284" s="459" t="n">
        <v>41043</v>
      </c>
      <c r="E284" s="460" t="s">
        <v>15384</v>
      </c>
      <c r="F284" s="380" t="s">
        <v>3101</v>
      </c>
      <c r="G284" s="460" t="s">
        <v>1174</v>
      </c>
      <c r="H284" s="380" t="s">
        <v>1042</v>
      </c>
      <c r="I284" s="459" t="n">
        <v>43046</v>
      </c>
      <c r="J284" s="460" t="n">
        <v>11</v>
      </c>
      <c r="K284" s="615" t="s">
        <v>47</v>
      </c>
      <c r="L284" s="458" t="s">
        <v>61</v>
      </c>
      <c r="M284" s="463" t="n">
        <f aca="false">I284-D284</f>
        <v>2003</v>
      </c>
    </row>
    <row r="285" customFormat="false" ht="12.75" hidden="false" customHeight="true" outlineLevel="0" collapsed="false">
      <c r="A285" s="449" t="n">
        <v>28417</v>
      </c>
      <c r="B285" s="450" t="s">
        <v>15385</v>
      </c>
      <c r="C285" s="450" t="n">
        <v>2016</v>
      </c>
      <c r="D285" s="451" t="n">
        <v>42669</v>
      </c>
      <c r="E285" s="452" t="s">
        <v>15386</v>
      </c>
      <c r="F285" s="378" t="s">
        <v>8232</v>
      </c>
      <c r="G285" s="452" t="s">
        <v>1174</v>
      </c>
      <c r="H285" s="378" t="s">
        <v>14961</v>
      </c>
      <c r="I285" s="451" t="n">
        <v>43046</v>
      </c>
      <c r="J285" s="452" t="n">
        <v>11</v>
      </c>
      <c r="K285" s="615" t="s">
        <v>47</v>
      </c>
      <c r="L285" s="450" t="s">
        <v>60</v>
      </c>
      <c r="M285" s="455" t="n">
        <f aca="false">I285-D285</f>
        <v>377</v>
      </c>
    </row>
    <row r="286" customFormat="false" ht="12.75" hidden="false" customHeight="true" outlineLevel="0" collapsed="false">
      <c r="A286" s="456" t="n">
        <v>28517</v>
      </c>
      <c r="B286" s="458" t="s">
        <v>15387</v>
      </c>
      <c r="C286" s="458" t="n">
        <v>2016</v>
      </c>
      <c r="D286" s="459" t="n">
        <v>42548</v>
      </c>
      <c r="E286" s="460" t="s">
        <v>15388</v>
      </c>
      <c r="F286" s="380" t="s">
        <v>168</v>
      </c>
      <c r="G286" s="460" t="s">
        <v>441</v>
      </c>
      <c r="H286" s="380" t="s">
        <v>1109</v>
      </c>
      <c r="I286" s="459" t="n">
        <v>43047</v>
      </c>
      <c r="J286" s="460" t="n">
        <v>11</v>
      </c>
      <c r="K286" s="616" t="s">
        <v>42</v>
      </c>
      <c r="L286" s="458" t="s">
        <v>58</v>
      </c>
      <c r="M286" s="463" t="n">
        <f aca="false">I286-D286</f>
        <v>499</v>
      </c>
    </row>
    <row r="287" customFormat="false" ht="12.75" hidden="false" customHeight="true" outlineLevel="0" collapsed="false">
      <c r="A287" s="449" t="n">
        <v>28617</v>
      </c>
      <c r="B287" s="450" t="s">
        <v>15389</v>
      </c>
      <c r="C287" s="450" t="n">
        <v>2016</v>
      </c>
      <c r="D287" s="451" t="n">
        <v>42585</v>
      </c>
      <c r="E287" s="452" t="s">
        <v>15390</v>
      </c>
      <c r="F287" s="378" t="s">
        <v>15391</v>
      </c>
      <c r="G287" s="452" t="s">
        <v>125</v>
      </c>
      <c r="H287" s="378" t="s">
        <v>149</v>
      </c>
      <c r="I287" s="451" t="n">
        <v>43047</v>
      </c>
      <c r="J287" s="452" t="n">
        <v>11</v>
      </c>
      <c r="K287" s="615" t="s">
        <v>47</v>
      </c>
      <c r="L287" s="450" t="s">
        <v>61</v>
      </c>
      <c r="M287" s="455" t="n">
        <f aca="false">I287-D287</f>
        <v>462</v>
      </c>
    </row>
    <row r="288" customFormat="false" ht="12.75" hidden="false" customHeight="true" outlineLevel="0" collapsed="false">
      <c r="A288" s="456" t="n">
        <v>28717</v>
      </c>
      <c r="B288" s="458" t="s">
        <v>15392</v>
      </c>
      <c r="C288" s="458" t="n">
        <v>2015</v>
      </c>
      <c r="D288" s="459" t="n">
        <v>42065</v>
      </c>
      <c r="E288" s="460" t="s">
        <v>15393</v>
      </c>
      <c r="F288" s="380" t="s">
        <v>449</v>
      </c>
      <c r="G288" s="460" t="s">
        <v>441</v>
      </c>
      <c r="H288" s="380" t="s">
        <v>223</v>
      </c>
      <c r="I288" s="459" t="n">
        <v>43048</v>
      </c>
      <c r="J288" s="460" t="n">
        <v>11</v>
      </c>
      <c r="K288" s="615" t="s">
        <v>47</v>
      </c>
      <c r="L288" s="458" t="s">
        <v>58</v>
      </c>
      <c r="M288" s="463" t="n">
        <f aca="false">I288-D288</f>
        <v>983</v>
      </c>
    </row>
    <row r="289" customFormat="false" ht="12.75" hidden="false" customHeight="true" outlineLevel="0" collapsed="false">
      <c r="A289" s="449" t="n">
        <v>28817</v>
      </c>
      <c r="B289" s="450" t="s">
        <v>15394</v>
      </c>
      <c r="C289" s="450" t="n">
        <v>2010</v>
      </c>
      <c r="D289" s="451" t="n">
        <v>40540</v>
      </c>
      <c r="E289" s="452" t="s">
        <v>15395</v>
      </c>
      <c r="F289" s="378" t="s">
        <v>15396</v>
      </c>
      <c r="G289" s="452" t="s">
        <v>144</v>
      </c>
      <c r="H289" s="378" t="s">
        <v>453</v>
      </c>
      <c r="I289" s="451" t="n">
        <v>43048</v>
      </c>
      <c r="J289" s="452" t="n">
        <v>11</v>
      </c>
      <c r="K289" s="615" t="s">
        <v>47</v>
      </c>
      <c r="L289" s="450" t="s">
        <v>58</v>
      </c>
      <c r="M289" s="455" t="n">
        <f aca="false">I289-D289</f>
        <v>2508</v>
      </c>
    </row>
    <row r="290" customFormat="false" ht="12.75" hidden="false" customHeight="true" outlineLevel="0" collapsed="false">
      <c r="A290" s="456" t="n">
        <v>28917</v>
      </c>
      <c r="B290" s="458" t="s">
        <v>15397</v>
      </c>
      <c r="C290" s="458" t="n">
        <v>2013</v>
      </c>
      <c r="D290" s="459" t="n">
        <v>41576</v>
      </c>
      <c r="E290" s="460" t="s">
        <v>15398</v>
      </c>
      <c r="F290" s="380" t="s">
        <v>138</v>
      </c>
      <c r="G290" s="460" t="s">
        <v>441</v>
      </c>
      <c r="H290" s="380" t="s">
        <v>2296</v>
      </c>
      <c r="I290" s="459" t="n">
        <v>43048</v>
      </c>
      <c r="J290" s="460" t="n">
        <v>11</v>
      </c>
      <c r="K290" s="616" t="s">
        <v>42</v>
      </c>
      <c r="L290" s="458" t="s">
        <v>60</v>
      </c>
      <c r="M290" s="463" t="n">
        <f aca="false">I290-D290</f>
        <v>1472</v>
      </c>
    </row>
    <row r="291" customFormat="false" ht="12.75" hidden="false" customHeight="true" outlineLevel="0" collapsed="false">
      <c r="A291" s="449" t="n">
        <v>29017</v>
      </c>
      <c r="B291" s="450" t="s">
        <v>15399</v>
      </c>
      <c r="C291" s="450" t="n">
        <v>2013</v>
      </c>
      <c r="D291" s="451" t="n">
        <v>41379</v>
      </c>
      <c r="E291" s="452" t="s">
        <v>15400</v>
      </c>
      <c r="F291" s="378" t="s">
        <v>1277</v>
      </c>
      <c r="G291" s="452" t="s">
        <v>441</v>
      </c>
      <c r="H291" s="378" t="s">
        <v>706</v>
      </c>
      <c r="I291" s="451" t="n">
        <v>43048</v>
      </c>
      <c r="J291" s="452" t="n">
        <v>11</v>
      </c>
      <c r="K291" s="616" t="s">
        <v>42</v>
      </c>
      <c r="L291" s="450" t="s">
        <v>58</v>
      </c>
      <c r="M291" s="455" t="n">
        <f aca="false">I291-D291</f>
        <v>1669</v>
      </c>
    </row>
    <row r="292" customFormat="false" ht="12.75" hidden="false" customHeight="true" outlineLevel="0" collapsed="false">
      <c r="A292" s="456" t="n">
        <v>29117</v>
      </c>
      <c r="B292" s="458" t="s">
        <v>15401</v>
      </c>
      <c r="C292" s="458" t="n">
        <v>2013</v>
      </c>
      <c r="D292" s="459" t="n">
        <v>41509</v>
      </c>
      <c r="E292" s="460" t="s">
        <v>15402</v>
      </c>
      <c r="F292" s="380" t="s">
        <v>1445</v>
      </c>
      <c r="G292" s="460" t="s">
        <v>1188</v>
      </c>
      <c r="H292" s="380" t="s">
        <v>453</v>
      </c>
      <c r="I292" s="459" t="n">
        <v>43048</v>
      </c>
      <c r="J292" s="460" t="n">
        <v>11</v>
      </c>
      <c r="K292" s="616" t="s">
        <v>42</v>
      </c>
      <c r="L292" s="458" t="s">
        <v>58</v>
      </c>
      <c r="M292" s="463" t="n">
        <f aca="false">I292-D292</f>
        <v>1539</v>
      </c>
    </row>
    <row r="293" customFormat="false" ht="12.75" hidden="false" customHeight="true" outlineLevel="0" collapsed="false">
      <c r="A293" s="449" t="n">
        <v>29217</v>
      </c>
      <c r="B293" s="450" t="s">
        <v>15403</v>
      </c>
      <c r="C293" s="450" t="n">
        <v>2010</v>
      </c>
      <c r="D293" s="451" t="n">
        <v>40535</v>
      </c>
      <c r="E293" s="452" t="s">
        <v>15404</v>
      </c>
      <c r="F293" s="378" t="s">
        <v>15405</v>
      </c>
      <c r="G293" s="452" t="s">
        <v>441</v>
      </c>
      <c r="H293" s="378" t="s">
        <v>354</v>
      </c>
      <c r="I293" s="451" t="n">
        <v>43049</v>
      </c>
      <c r="J293" s="452" t="n">
        <v>11</v>
      </c>
      <c r="K293" s="616" t="s">
        <v>42</v>
      </c>
      <c r="L293" s="450" t="s">
        <v>60</v>
      </c>
      <c r="M293" s="455" t="n">
        <f aca="false">I293-D293</f>
        <v>2514</v>
      </c>
    </row>
    <row r="294" customFormat="false" ht="12.75" hidden="false" customHeight="true" outlineLevel="0" collapsed="false">
      <c r="A294" s="456" t="n">
        <v>29317</v>
      </c>
      <c r="B294" s="458" t="s">
        <v>15406</v>
      </c>
      <c r="C294" s="458" t="n">
        <v>2009</v>
      </c>
      <c r="D294" s="459" t="n">
        <v>40106</v>
      </c>
      <c r="E294" s="460" t="s">
        <v>15407</v>
      </c>
      <c r="F294" s="380" t="s">
        <v>3091</v>
      </c>
      <c r="G294" s="460" t="s">
        <v>441</v>
      </c>
      <c r="H294" s="380" t="s">
        <v>15408</v>
      </c>
      <c r="I294" s="459" t="n">
        <v>43049</v>
      </c>
      <c r="J294" s="460" t="n">
        <v>11</v>
      </c>
      <c r="K294" s="616" t="s">
        <v>42</v>
      </c>
      <c r="L294" s="458" t="s">
        <v>58</v>
      </c>
      <c r="M294" s="463" t="n">
        <f aca="false">I294-D294</f>
        <v>2943</v>
      </c>
    </row>
    <row r="295" customFormat="false" ht="12.75" hidden="false" customHeight="true" outlineLevel="0" collapsed="false">
      <c r="A295" s="449" t="n">
        <v>29417</v>
      </c>
      <c r="B295" s="450" t="s">
        <v>15409</v>
      </c>
      <c r="C295" s="450" t="n">
        <v>2010</v>
      </c>
      <c r="D295" s="451" t="n">
        <v>40533</v>
      </c>
      <c r="E295" s="452" t="s">
        <v>15410</v>
      </c>
      <c r="F295" s="378" t="s">
        <v>15405</v>
      </c>
      <c r="G295" s="452" t="s">
        <v>441</v>
      </c>
      <c r="H295" s="378" t="s">
        <v>2296</v>
      </c>
      <c r="I295" s="451" t="n">
        <v>43049</v>
      </c>
      <c r="J295" s="452" t="n">
        <v>11</v>
      </c>
      <c r="K295" s="616" t="s">
        <v>42</v>
      </c>
      <c r="L295" s="450" t="s">
        <v>60</v>
      </c>
      <c r="M295" s="455" t="n">
        <f aca="false">I295-D295</f>
        <v>2516</v>
      </c>
    </row>
    <row r="296" customFormat="false" ht="12.75" hidden="false" customHeight="true" outlineLevel="0" collapsed="false">
      <c r="A296" s="456" t="n">
        <v>29517</v>
      </c>
      <c r="B296" s="458" t="s">
        <v>15411</v>
      </c>
      <c r="C296" s="458" t="n">
        <v>2013</v>
      </c>
      <c r="D296" s="459" t="n">
        <v>41453</v>
      </c>
      <c r="E296" s="460" t="s">
        <v>15412</v>
      </c>
      <c r="F296" s="380" t="s">
        <v>15413</v>
      </c>
      <c r="G296" s="460" t="s">
        <v>8</v>
      </c>
      <c r="H296" s="380" t="s">
        <v>453</v>
      </c>
      <c r="I296" s="459" t="n">
        <v>43049</v>
      </c>
      <c r="J296" s="460" t="n">
        <v>11</v>
      </c>
      <c r="K296" s="615" t="s">
        <v>47</v>
      </c>
      <c r="L296" s="458" t="s">
        <v>58</v>
      </c>
      <c r="M296" s="463" t="n">
        <f aca="false">I296-D296</f>
        <v>1596</v>
      </c>
    </row>
    <row r="297" customFormat="false" ht="12.75" hidden="false" customHeight="true" outlineLevel="0" collapsed="false">
      <c r="A297" s="449" t="n">
        <v>29617</v>
      </c>
      <c r="B297" s="450" t="s">
        <v>15414</v>
      </c>
      <c r="C297" s="450" t="n">
        <v>2014</v>
      </c>
      <c r="D297" s="451" t="n">
        <v>41890</v>
      </c>
      <c r="E297" s="452" t="s">
        <v>15415</v>
      </c>
      <c r="F297" s="378" t="s">
        <v>4270</v>
      </c>
      <c r="G297" s="452" t="s">
        <v>441</v>
      </c>
      <c r="H297" s="378" t="s">
        <v>192</v>
      </c>
      <c r="I297" s="451" t="n">
        <v>43049</v>
      </c>
      <c r="J297" s="452" t="n">
        <v>11</v>
      </c>
      <c r="K297" s="616" t="s">
        <v>42</v>
      </c>
      <c r="L297" s="450" t="s">
        <v>58</v>
      </c>
      <c r="M297" s="455" t="n">
        <f aca="false">I297-D297</f>
        <v>1159</v>
      </c>
    </row>
    <row r="298" customFormat="false" ht="12.75" hidden="false" customHeight="true" outlineLevel="0" collapsed="false">
      <c r="A298" s="456" t="n">
        <v>29717</v>
      </c>
      <c r="B298" s="458" t="s">
        <v>15416</v>
      </c>
      <c r="C298" s="458" t="n">
        <v>2011</v>
      </c>
      <c r="D298" s="459" t="n">
        <v>40868</v>
      </c>
      <c r="E298" s="460" t="s">
        <v>15417</v>
      </c>
      <c r="F298" s="380" t="s">
        <v>3091</v>
      </c>
      <c r="G298" s="460" t="s">
        <v>441</v>
      </c>
      <c r="H298" s="380" t="s">
        <v>223</v>
      </c>
      <c r="I298" s="459" t="n">
        <v>43049</v>
      </c>
      <c r="J298" s="460" t="n">
        <v>11</v>
      </c>
      <c r="K298" s="616" t="s">
        <v>42</v>
      </c>
      <c r="L298" s="458" t="s">
        <v>58</v>
      </c>
      <c r="M298" s="463" t="n">
        <f aca="false">I298-D298</f>
        <v>2181</v>
      </c>
    </row>
    <row r="299" customFormat="false" ht="12.75" hidden="false" customHeight="true" outlineLevel="0" collapsed="false">
      <c r="A299" s="449" t="n">
        <v>29817</v>
      </c>
      <c r="B299" s="450" t="s">
        <v>15418</v>
      </c>
      <c r="C299" s="450" t="n">
        <v>2013</v>
      </c>
      <c r="D299" s="451" t="n">
        <v>41509</v>
      </c>
      <c r="E299" s="452" t="s">
        <v>15419</v>
      </c>
      <c r="F299" s="378" t="s">
        <v>1445</v>
      </c>
      <c r="G299" s="452" t="s">
        <v>115</v>
      </c>
      <c r="H299" s="378" t="s">
        <v>453</v>
      </c>
      <c r="I299" s="451" t="n">
        <v>43052</v>
      </c>
      <c r="J299" s="452" t="n">
        <v>11</v>
      </c>
      <c r="K299" s="616" t="s">
        <v>42</v>
      </c>
      <c r="L299" s="450" t="s">
        <v>58</v>
      </c>
      <c r="M299" s="455" t="n">
        <f aca="false">I299-D299</f>
        <v>1543</v>
      </c>
    </row>
    <row r="300" customFormat="false" ht="12.75" hidden="false" customHeight="true" outlineLevel="0" collapsed="false">
      <c r="A300" s="456" t="n">
        <v>29917</v>
      </c>
      <c r="B300" s="458" t="s">
        <v>15420</v>
      </c>
      <c r="C300" s="458" t="n">
        <v>2010</v>
      </c>
      <c r="D300" s="459" t="n">
        <v>40494</v>
      </c>
      <c r="E300" s="460" t="s">
        <v>15421</v>
      </c>
      <c r="F300" s="380" t="s">
        <v>1916</v>
      </c>
      <c r="G300" s="460" t="s">
        <v>441</v>
      </c>
      <c r="H300" s="380" t="s">
        <v>4045</v>
      </c>
      <c r="I300" s="459" t="n">
        <v>43052</v>
      </c>
      <c r="J300" s="460" t="n">
        <v>11</v>
      </c>
      <c r="K300" s="616" t="s">
        <v>42</v>
      </c>
      <c r="L300" s="458" t="s">
        <v>58</v>
      </c>
      <c r="M300" s="463" t="n">
        <f aca="false">I300-D300</f>
        <v>2558</v>
      </c>
    </row>
    <row r="301" customFormat="false" ht="12.75" hidden="false" customHeight="true" outlineLevel="0" collapsed="false">
      <c r="A301" s="449" t="n">
        <v>30017</v>
      </c>
      <c r="B301" s="450" t="s">
        <v>15422</v>
      </c>
      <c r="C301" s="450" t="n">
        <v>2009</v>
      </c>
      <c r="D301" s="451" t="n">
        <v>39981</v>
      </c>
      <c r="E301" s="452" t="s">
        <v>15423</v>
      </c>
      <c r="F301" s="378" t="s">
        <v>1277</v>
      </c>
      <c r="G301" s="452" t="s">
        <v>441</v>
      </c>
      <c r="H301" s="378" t="s">
        <v>267</v>
      </c>
      <c r="I301" s="451" t="n">
        <v>43052</v>
      </c>
      <c r="J301" s="452" t="n">
        <v>11</v>
      </c>
      <c r="K301" s="614" t="s">
        <v>45</v>
      </c>
      <c r="L301" s="450" t="s">
        <v>58</v>
      </c>
      <c r="M301" s="455" t="n">
        <f aca="false">I301-D301</f>
        <v>3071</v>
      </c>
    </row>
    <row r="302" customFormat="false" ht="12.75" hidden="false" customHeight="true" outlineLevel="0" collapsed="false">
      <c r="A302" s="456" t="n">
        <v>30117</v>
      </c>
      <c r="B302" s="458" t="s">
        <v>15424</v>
      </c>
      <c r="C302" s="458" t="n">
        <v>2010</v>
      </c>
      <c r="D302" s="459" t="n">
        <v>40395</v>
      </c>
      <c r="E302" s="460" t="s">
        <v>15425</v>
      </c>
      <c r="F302" s="380" t="s">
        <v>379</v>
      </c>
      <c r="G302" s="460" t="s">
        <v>441</v>
      </c>
      <c r="H302" s="380" t="s">
        <v>1059</v>
      </c>
      <c r="I302" s="459" t="n">
        <v>43053</v>
      </c>
      <c r="J302" s="460" t="n">
        <v>11</v>
      </c>
      <c r="K302" s="613" t="s">
        <v>50</v>
      </c>
      <c r="L302" s="458" t="s">
        <v>60</v>
      </c>
      <c r="M302" s="463" t="n">
        <f aca="false">I302-D302</f>
        <v>2658</v>
      </c>
    </row>
    <row r="303" customFormat="false" ht="12.75" hidden="false" customHeight="true" outlineLevel="0" collapsed="false">
      <c r="A303" s="449" t="n">
        <v>30217</v>
      </c>
      <c r="B303" s="450" t="s">
        <v>15426</v>
      </c>
      <c r="C303" s="450" t="n">
        <v>2009</v>
      </c>
      <c r="D303" s="451" t="n">
        <v>40127</v>
      </c>
      <c r="E303" s="452" t="s">
        <v>15427</v>
      </c>
      <c r="F303" s="378" t="s">
        <v>3091</v>
      </c>
      <c r="G303" s="452" t="s">
        <v>441</v>
      </c>
      <c r="H303" s="378" t="s">
        <v>15408</v>
      </c>
      <c r="I303" s="451" t="n">
        <v>43053</v>
      </c>
      <c r="J303" s="452" t="n">
        <v>11</v>
      </c>
      <c r="K303" s="616" t="s">
        <v>42</v>
      </c>
      <c r="L303" s="450" t="s">
        <v>58</v>
      </c>
      <c r="M303" s="455" t="n">
        <f aca="false">I303-D303</f>
        <v>2926</v>
      </c>
    </row>
    <row r="304" customFormat="false" ht="12.75" hidden="false" customHeight="true" outlineLevel="0" collapsed="false">
      <c r="A304" s="456" t="n">
        <v>30317</v>
      </c>
      <c r="B304" s="458" t="s">
        <v>15428</v>
      </c>
      <c r="C304" s="458" t="n">
        <v>2010</v>
      </c>
      <c r="D304" s="459" t="n">
        <v>40499</v>
      </c>
      <c r="E304" s="460" t="s">
        <v>15429</v>
      </c>
      <c r="F304" s="380" t="s">
        <v>1357</v>
      </c>
      <c r="G304" s="460" t="s">
        <v>441</v>
      </c>
      <c r="H304" s="380" t="s">
        <v>192</v>
      </c>
      <c r="I304" s="459" t="n">
        <v>43053</v>
      </c>
      <c r="J304" s="460" t="n">
        <v>11</v>
      </c>
      <c r="K304" s="616" t="s">
        <v>42</v>
      </c>
      <c r="L304" s="458" t="s">
        <v>60</v>
      </c>
      <c r="M304" s="463" t="n">
        <f aca="false">I304-D304</f>
        <v>2554</v>
      </c>
    </row>
    <row r="305" customFormat="false" ht="12.75" hidden="false" customHeight="true" outlineLevel="0" collapsed="false">
      <c r="A305" s="449" t="n">
        <v>30417</v>
      </c>
      <c r="B305" s="450" t="s">
        <v>15430</v>
      </c>
      <c r="C305" s="450" t="n">
        <v>2013</v>
      </c>
      <c r="D305" s="451" t="n">
        <v>41290</v>
      </c>
      <c r="E305" s="452" t="s">
        <v>15431</v>
      </c>
      <c r="F305" s="378" t="s">
        <v>1097</v>
      </c>
      <c r="G305" s="452" t="s">
        <v>441</v>
      </c>
      <c r="H305" s="378" t="s">
        <v>184</v>
      </c>
      <c r="I305" s="451" t="n">
        <v>43053</v>
      </c>
      <c r="J305" s="452" t="n">
        <v>11</v>
      </c>
      <c r="K305" s="616" t="s">
        <v>42</v>
      </c>
      <c r="L305" s="450" t="s">
        <v>60</v>
      </c>
      <c r="M305" s="455" t="n">
        <f aca="false">I305-D305</f>
        <v>1763</v>
      </c>
    </row>
    <row r="306" customFormat="false" ht="12.75" hidden="false" customHeight="true" outlineLevel="0" collapsed="false">
      <c r="A306" s="456" t="n">
        <v>30517</v>
      </c>
      <c r="B306" s="458" t="s">
        <v>15432</v>
      </c>
      <c r="C306" s="458" t="n">
        <v>2012</v>
      </c>
      <c r="D306" s="459" t="n">
        <v>41158</v>
      </c>
      <c r="E306" s="460" t="s">
        <v>15433</v>
      </c>
      <c r="F306" s="380" t="s">
        <v>13562</v>
      </c>
      <c r="G306" s="460" t="s">
        <v>144</v>
      </c>
      <c r="H306" s="380" t="s">
        <v>184</v>
      </c>
      <c r="I306" s="459" t="n">
        <v>43053</v>
      </c>
      <c r="J306" s="460" t="n">
        <v>11</v>
      </c>
      <c r="K306" s="616" t="s">
        <v>42</v>
      </c>
      <c r="L306" s="458" t="s">
        <v>60</v>
      </c>
      <c r="M306" s="463" t="n">
        <f aca="false">I306-D306</f>
        <v>1895</v>
      </c>
    </row>
    <row r="307" customFormat="false" ht="12.75" hidden="false" customHeight="true" outlineLevel="0" collapsed="false">
      <c r="A307" s="449" t="n">
        <v>30617</v>
      </c>
      <c r="B307" s="450" t="s">
        <v>15387</v>
      </c>
      <c r="C307" s="450" t="n">
        <v>2016</v>
      </c>
      <c r="D307" s="451" t="n">
        <v>42551</v>
      </c>
      <c r="E307" s="452" t="s">
        <v>15434</v>
      </c>
      <c r="F307" s="378" t="s">
        <v>168</v>
      </c>
      <c r="G307" s="452" t="s">
        <v>144</v>
      </c>
      <c r="H307" s="378" t="s">
        <v>1109</v>
      </c>
      <c r="I307" s="451" t="n">
        <v>43055</v>
      </c>
      <c r="J307" s="452" t="n">
        <v>11</v>
      </c>
      <c r="K307" s="616" t="s">
        <v>42</v>
      </c>
      <c r="L307" s="450" t="s">
        <v>60</v>
      </c>
      <c r="M307" s="455" t="n">
        <f aca="false">I307-D307</f>
        <v>504</v>
      </c>
    </row>
    <row r="308" customFormat="false" ht="12.75" hidden="false" customHeight="true" outlineLevel="0" collapsed="false">
      <c r="A308" s="456" t="n">
        <v>30717</v>
      </c>
      <c r="B308" s="458" t="s">
        <v>15435</v>
      </c>
      <c r="C308" s="458" t="n">
        <v>2014</v>
      </c>
      <c r="D308" s="459" t="n">
        <v>41729</v>
      </c>
      <c r="E308" s="460" t="s">
        <v>15436</v>
      </c>
      <c r="F308" s="380" t="s">
        <v>15437</v>
      </c>
      <c r="G308" s="460" t="s">
        <v>144</v>
      </c>
      <c r="H308" s="380" t="s">
        <v>1109</v>
      </c>
      <c r="I308" s="459" t="n">
        <v>43055</v>
      </c>
      <c r="J308" s="460" t="n">
        <v>11</v>
      </c>
      <c r="K308" s="615" t="s">
        <v>47</v>
      </c>
      <c r="L308" s="458" t="s">
        <v>58</v>
      </c>
      <c r="M308" s="463" t="n">
        <f aca="false">I308-D308</f>
        <v>1326</v>
      </c>
    </row>
    <row r="309" customFormat="false" ht="12.75" hidden="false" customHeight="true" outlineLevel="0" collapsed="false">
      <c r="A309" s="449" t="n">
        <v>30817</v>
      </c>
      <c r="B309" s="450" t="s">
        <v>15438</v>
      </c>
      <c r="C309" s="450" t="n">
        <v>2015</v>
      </c>
      <c r="D309" s="451" t="n">
        <v>42185</v>
      </c>
      <c r="E309" s="452" t="s">
        <v>15439</v>
      </c>
      <c r="F309" s="378" t="s">
        <v>15440</v>
      </c>
      <c r="G309" s="452" t="s">
        <v>144</v>
      </c>
      <c r="H309" s="378" t="s">
        <v>1109</v>
      </c>
      <c r="I309" s="451" t="n">
        <v>43056</v>
      </c>
      <c r="J309" s="452" t="n">
        <v>11</v>
      </c>
      <c r="K309" s="615" t="s">
        <v>47</v>
      </c>
      <c r="L309" s="450" t="s">
        <v>60</v>
      </c>
      <c r="M309" s="455" t="n">
        <f aca="false">I309-D309</f>
        <v>871</v>
      </c>
    </row>
    <row r="310" customFormat="false" ht="12.75" hidden="false" customHeight="true" outlineLevel="0" collapsed="false">
      <c r="A310" s="456" t="n">
        <v>30917</v>
      </c>
      <c r="B310" s="458" t="s">
        <v>15441</v>
      </c>
      <c r="C310" s="458" t="n">
        <v>2014</v>
      </c>
      <c r="D310" s="459" t="n">
        <v>41918</v>
      </c>
      <c r="E310" s="460" t="s">
        <v>15442</v>
      </c>
      <c r="F310" s="380" t="s">
        <v>11458</v>
      </c>
      <c r="G310" s="460" t="s">
        <v>125</v>
      </c>
      <c r="H310" s="380" t="s">
        <v>149</v>
      </c>
      <c r="I310" s="459" t="n">
        <v>43056</v>
      </c>
      <c r="J310" s="460" t="n">
        <v>11</v>
      </c>
      <c r="K310" s="615" t="s">
        <v>47</v>
      </c>
      <c r="L310" s="458" t="s">
        <v>61</v>
      </c>
      <c r="M310" s="463" t="n">
        <f aca="false">I310-D310</f>
        <v>1138</v>
      </c>
    </row>
    <row r="311" customFormat="false" ht="12.75" hidden="false" customHeight="true" outlineLevel="0" collapsed="false">
      <c r="A311" s="449" t="n">
        <v>31017</v>
      </c>
      <c r="B311" s="450" t="s">
        <v>15443</v>
      </c>
      <c r="C311" s="450" t="n">
        <v>2015</v>
      </c>
      <c r="D311" s="451" t="n">
        <v>42244</v>
      </c>
      <c r="E311" s="452" t="s">
        <v>15444</v>
      </c>
      <c r="F311" s="378" t="s">
        <v>15445</v>
      </c>
      <c r="G311" s="452" t="s">
        <v>441</v>
      </c>
      <c r="H311" s="378" t="s">
        <v>223</v>
      </c>
      <c r="I311" s="451" t="n">
        <v>43059</v>
      </c>
      <c r="J311" s="452" t="n">
        <v>11</v>
      </c>
      <c r="K311" s="614" t="s">
        <v>45</v>
      </c>
      <c r="L311" s="450" t="s">
        <v>58</v>
      </c>
      <c r="M311" s="455" t="n">
        <f aca="false">I311-D311</f>
        <v>815</v>
      </c>
    </row>
    <row r="312" customFormat="false" ht="12.75" hidden="false" customHeight="true" outlineLevel="0" collapsed="false">
      <c r="A312" s="456" t="n">
        <v>31117</v>
      </c>
      <c r="B312" s="458" t="s">
        <v>15446</v>
      </c>
      <c r="C312" s="458" t="n">
        <v>2011</v>
      </c>
      <c r="D312" s="459" t="n">
        <v>40799</v>
      </c>
      <c r="E312" s="460" t="s">
        <v>15447</v>
      </c>
      <c r="F312" s="380" t="s">
        <v>10780</v>
      </c>
      <c r="G312" s="460" t="s">
        <v>125</v>
      </c>
      <c r="H312" s="380" t="s">
        <v>254</v>
      </c>
      <c r="I312" s="459" t="n">
        <v>43059</v>
      </c>
      <c r="J312" s="460" t="n">
        <v>11</v>
      </c>
      <c r="K312" s="615" t="s">
        <v>47</v>
      </c>
      <c r="L312" s="458" t="s">
        <v>61</v>
      </c>
      <c r="M312" s="463" t="n">
        <f aca="false">I312-D312</f>
        <v>2260</v>
      </c>
    </row>
    <row r="313" customFormat="false" ht="12.75" hidden="false" customHeight="true" outlineLevel="0" collapsed="false">
      <c r="A313" s="449" t="n">
        <v>31217</v>
      </c>
      <c r="B313" s="450" t="s">
        <v>15448</v>
      </c>
      <c r="C313" s="450" t="n">
        <v>2016</v>
      </c>
      <c r="D313" s="451" t="n">
        <v>42394</v>
      </c>
      <c r="E313" s="452" t="s">
        <v>15449</v>
      </c>
      <c r="F313" s="378" t="s">
        <v>6361</v>
      </c>
      <c r="G313" s="452" t="s">
        <v>130</v>
      </c>
      <c r="H313" s="378" t="s">
        <v>13256</v>
      </c>
      <c r="I313" s="451" t="n">
        <v>43060</v>
      </c>
      <c r="J313" s="452" t="n">
        <v>11</v>
      </c>
      <c r="K313" s="613" t="s">
        <v>50</v>
      </c>
      <c r="L313" s="450" t="s">
        <v>61</v>
      </c>
      <c r="M313" s="455" t="n">
        <f aca="false">I313-D313</f>
        <v>666</v>
      </c>
    </row>
    <row r="314" customFormat="false" ht="12.75" hidden="false" customHeight="true" outlineLevel="0" collapsed="false">
      <c r="A314" s="456" t="n">
        <v>31317</v>
      </c>
      <c r="B314" s="458" t="s">
        <v>15450</v>
      </c>
      <c r="C314" s="458" t="n">
        <v>2014</v>
      </c>
      <c r="D314" s="459" t="n">
        <v>41968</v>
      </c>
      <c r="E314" s="460" t="s">
        <v>15451</v>
      </c>
      <c r="F314" s="380" t="s">
        <v>15147</v>
      </c>
      <c r="G314" s="460" t="s">
        <v>144</v>
      </c>
      <c r="H314" s="380" t="s">
        <v>10110</v>
      </c>
      <c r="I314" s="459" t="n">
        <v>43060</v>
      </c>
      <c r="J314" s="460" t="n">
        <v>11</v>
      </c>
      <c r="K314" s="616" t="s">
        <v>42</v>
      </c>
      <c r="L314" s="458" t="s">
        <v>60</v>
      </c>
      <c r="M314" s="463" t="n">
        <f aca="false">I314-D314</f>
        <v>1092</v>
      </c>
    </row>
    <row r="315" customFormat="false" ht="12.75" hidden="false" customHeight="true" outlineLevel="0" collapsed="false">
      <c r="A315" s="449" t="n">
        <v>31417</v>
      </c>
      <c r="B315" s="450" t="s">
        <v>15450</v>
      </c>
      <c r="C315" s="450" t="n">
        <v>2014</v>
      </c>
      <c r="D315" s="451" t="n">
        <v>41968</v>
      </c>
      <c r="E315" s="452" t="s">
        <v>15452</v>
      </c>
      <c r="F315" s="378" t="s">
        <v>15147</v>
      </c>
      <c r="G315" s="452" t="s">
        <v>144</v>
      </c>
      <c r="H315" s="378" t="s">
        <v>10110</v>
      </c>
      <c r="I315" s="451" t="n">
        <v>43060</v>
      </c>
      <c r="J315" s="452" t="n">
        <v>11</v>
      </c>
      <c r="K315" s="616" t="s">
        <v>42</v>
      </c>
      <c r="L315" s="450" t="s">
        <v>60</v>
      </c>
      <c r="M315" s="455" t="n">
        <f aca="false">I315-D315</f>
        <v>1092</v>
      </c>
    </row>
    <row r="316" customFormat="false" ht="12.75" hidden="false" customHeight="true" outlineLevel="0" collapsed="false">
      <c r="A316" s="456" t="n">
        <v>31517</v>
      </c>
      <c r="B316" s="458" t="s">
        <v>15453</v>
      </c>
      <c r="C316" s="458" t="n">
        <v>2014</v>
      </c>
      <c r="D316" s="459" t="n">
        <v>41968</v>
      </c>
      <c r="E316" s="460" t="s">
        <v>15454</v>
      </c>
      <c r="F316" s="380" t="s">
        <v>15147</v>
      </c>
      <c r="G316" s="460" t="s">
        <v>144</v>
      </c>
      <c r="H316" s="380" t="s">
        <v>10110</v>
      </c>
      <c r="I316" s="459" t="n">
        <v>43060</v>
      </c>
      <c r="J316" s="460" t="n">
        <v>11</v>
      </c>
      <c r="K316" s="616" t="s">
        <v>42</v>
      </c>
      <c r="L316" s="458" t="s">
        <v>60</v>
      </c>
      <c r="M316" s="463" t="n">
        <f aca="false">I316-D316</f>
        <v>1092</v>
      </c>
    </row>
    <row r="317" customFormat="false" ht="12.75" hidden="false" customHeight="true" outlineLevel="0" collapsed="false">
      <c r="A317" s="449" t="n">
        <v>31617</v>
      </c>
      <c r="B317" s="450" t="s">
        <v>15455</v>
      </c>
      <c r="C317" s="450" t="n">
        <v>2014</v>
      </c>
      <c r="D317" s="451" t="n">
        <v>41912</v>
      </c>
      <c r="E317" s="452" t="s">
        <v>15456</v>
      </c>
      <c r="F317" s="378" t="s">
        <v>15457</v>
      </c>
      <c r="G317" s="452" t="s">
        <v>144</v>
      </c>
      <c r="H317" s="378" t="s">
        <v>1109</v>
      </c>
      <c r="I317" s="451" t="n">
        <v>43061</v>
      </c>
      <c r="J317" s="452" t="n">
        <v>11</v>
      </c>
      <c r="K317" s="614" t="s">
        <v>45</v>
      </c>
      <c r="L317" s="450" t="s">
        <v>58</v>
      </c>
      <c r="M317" s="455" t="n">
        <f aca="false">I317-D317</f>
        <v>1149</v>
      </c>
    </row>
    <row r="318" customFormat="false" ht="12.75" hidden="false" customHeight="true" outlineLevel="0" collapsed="false">
      <c r="A318" s="456" t="n">
        <v>31717</v>
      </c>
      <c r="B318" s="458" t="s">
        <v>15458</v>
      </c>
      <c r="C318" s="458" t="n">
        <v>2012</v>
      </c>
      <c r="D318" s="459" t="n">
        <v>41029</v>
      </c>
      <c r="E318" s="460" t="s">
        <v>15459</v>
      </c>
      <c r="F318" s="380" t="s">
        <v>379</v>
      </c>
      <c r="G318" s="460" t="s">
        <v>441</v>
      </c>
      <c r="H318" s="380" t="s">
        <v>15303</v>
      </c>
      <c r="I318" s="459" t="n">
        <v>43061</v>
      </c>
      <c r="J318" s="460" t="n">
        <v>11</v>
      </c>
      <c r="K318" s="616" t="s">
        <v>42</v>
      </c>
      <c r="L318" s="458" t="s">
        <v>60</v>
      </c>
      <c r="M318" s="463" t="n">
        <f aca="false">I318-D318</f>
        <v>2032</v>
      </c>
    </row>
    <row r="319" customFormat="false" ht="12.75" hidden="false" customHeight="true" outlineLevel="0" collapsed="false">
      <c r="A319" s="449" t="n">
        <v>31817</v>
      </c>
      <c r="B319" s="450" t="s">
        <v>15460</v>
      </c>
      <c r="C319" s="450" t="n">
        <v>2013</v>
      </c>
      <c r="D319" s="451" t="n">
        <v>41372</v>
      </c>
      <c r="E319" s="452" t="s">
        <v>15461</v>
      </c>
      <c r="F319" s="378" t="s">
        <v>1277</v>
      </c>
      <c r="G319" s="452" t="s">
        <v>441</v>
      </c>
      <c r="H319" s="378" t="s">
        <v>706</v>
      </c>
      <c r="I319" s="451" t="n">
        <v>43061</v>
      </c>
      <c r="J319" s="452" t="n">
        <v>11</v>
      </c>
      <c r="K319" s="616" t="s">
        <v>42</v>
      </c>
      <c r="L319" s="450" t="s">
        <v>58</v>
      </c>
      <c r="M319" s="455" t="n">
        <f aca="false">I319-D319</f>
        <v>1689</v>
      </c>
    </row>
    <row r="320" customFormat="false" ht="12.75" hidden="false" customHeight="true" outlineLevel="0" collapsed="false">
      <c r="A320" s="456" t="n">
        <v>31917</v>
      </c>
      <c r="B320" s="458" t="s">
        <v>15462</v>
      </c>
      <c r="C320" s="458" t="n">
        <v>2017</v>
      </c>
      <c r="D320" s="459" t="n">
        <v>42789</v>
      </c>
      <c r="E320" s="460" t="s">
        <v>15463</v>
      </c>
      <c r="F320" s="380" t="s">
        <v>6303</v>
      </c>
      <c r="G320" s="460" t="s">
        <v>130</v>
      </c>
      <c r="H320" s="380" t="s">
        <v>149</v>
      </c>
      <c r="I320" s="459" t="n">
        <v>43062</v>
      </c>
      <c r="J320" s="460" t="n">
        <v>11</v>
      </c>
      <c r="K320" s="613" t="s">
        <v>50</v>
      </c>
      <c r="L320" s="458" t="s">
        <v>61</v>
      </c>
      <c r="M320" s="463" t="n">
        <f aca="false">I320-D320</f>
        <v>273</v>
      </c>
    </row>
    <row r="321" customFormat="false" ht="12.75" hidden="false" customHeight="true" outlineLevel="0" collapsed="false">
      <c r="A321" s="449" t="n">
        <v>32017</v>
      </c>
      <c r="B321" s="450" t="s">
        <v>15464</v>
      </c>
      <c r="C321" s="450" t="n">
        <v>2017</v>
      </c>
      <c r="D321" s="451" t="n">
        <v>42789</v>
      </c>
      <c r="E321" s="452" t="s">
        <v>15465</v>
      </c>
      <c r="F321" s="378" t="s">
        <v>6303</v>
      </c>
      <c r="G321" s="452" t="s">
        <v>130</v>
      </c>
      <c r="H321" s="378" t="s">
        <v>149</v>
      </c>
      <c r="I321" s="451" t="n">
        <v>43062</v>
      </c>
      <c r="J321" s="452" t="n">
        <v>11</v>
      </c>
      <c r="K321" s="613" t="s">
        <v>50</v>
      </c>
      <c r="L321" s="450" t="s">
        <v>61</v>
      </c>
      <c r="M321" s="455" t="n">
        <f aca="false">I321-D321</f>
        <v>273</v>
      </c>
    </row>
    <row r="322" customFormat="false" ht="12.75" hidden="false" customHeight="true" outlineLevel="0" collapsed="false">
      <c r="A322" s="456" t="n">
        <v>32117</v>
      </c>
      <c r="B322" s="458" t="s">
        <v>15466</v>
      </c>
      <c r="C322" s="458" t="n">
        <v>2017</v>
      </c>
      <c r="D322" s="459" t="n">
        <v>42755</v>
      </c>
      <c r="E322" s="460" t="s">
        <v>15467</v>
      </c>
      <c r="F322" s="380" t="s">
        <v>9785</v>
      </c>
      <c r="G322" s="460" t="s">
        <v>130</v>
      </c>
      <c r="H322" s="380" t="s">
        <v>149</v>
      </c>
      <c r="I322" s="459" t="n">
        <v>43063</v>
      </c>
      <c r="J322" s="460" t="n">
        <v>11</v>
      </c>
      <c r="K322" s="613" t="s">
        <v>50</v>
      </c>
      <c r="L322" s="458" t="s">
        <v>61</v>
      </c>
      <c r="M322" s="463" t="n">
        <f aca="false">I322-D322</f>
        <v>308</v>
      </c>
    </row>
    <row r="323" customFormat="false" ht="12.75" hidden="false" customHeight="true" outlineLevel="0" collapsed="false">
      <c r="A323" s="449" t="n">
        <v>32217</v>
      </c>
      <c r="B323" s="450" t="s">
        <v>15468</v>
      </c>
      <c r="C323" s="450" t="n">
        <v>2017</v>
      </c>
      <c r="D323" s="451" t="n">
        <v>42789</v>
      </c>
      <c r="E323" s="452" t="s">
        <v>15469</v>
      </c>
      <c r="F323" s="378" t="s">
        <v>6315</v>
      </c>
      <c r="G323" s="452" t="s">
        <v>130</v>
      </c>
      <c r="H323" s="378" t="s">
        <v>149</v>
      </c>
      <c r="I323" s="451" t="n">
        <v>43063</v>
      </c>
      <c r="J323" s="452" t="n">
        <v>11</v>
      </c>
      <c r="K323" s="613" t="s">
        <v>50</v>
      </c>
      <c r="L323" s="450" t="s">
        <v>61</v>
      </c>
      <c r="M323" s="455" t="n">
        <f aca="false">I323-D323</f>
        <v>274</v>
      </c>
    </row>
    <row r="324" customFormat="false" ht="12.75" hidden="false" customHeight="true" outlineLevel="0" collapsed="false">
      <c r="A324" s="456" t="n">
        <v>32317</v>
      </c>
      <c r="B324" s="458" t="s">
        <v>15470</v>
      </c>
      <c r="C324" s="458" t="n">
        <v>2016</v>
      </c>
      <c r="D324" s="459" t="n">
        <v>42724</v>
      </c>
      <c r="E324" s="460" t="s">
        <v>15471</v>
      </c>
      <c r="F324" s="380" t="s">
        <v>6315</v>
      </c>
      <c r="G324" s="460" t="s">
        <v>130</v>
      </c>
      <c r="H324" s="380" t="s">
        <v>149</v>
      </c>
      <c r="I324" s="459" t="n">
        <v>43063</v>
      </c>
      <c r="J324" s="460" t="n">
        <v>11</v>
      </c>
      <c r="K324" s="613" t="s">
        <v>50</v>
      </c>
      <c r="L324" s="458" t="s">
        <v>61</v>
      </c>
      <c r="M324" s="463" t="n">
        <f aca="false">I324-D324</f>
        <v>339</v>
      </c>
    </row>
    <row r="325" customFormat="false" ht="12.75" hidden="false" customHeight="true" outlineLevel="0" collapsed="false">
      <c r="A325" s="449" t="n">
        <v>32417</v>
      </c>
      <c r="B325" s="450" t="s">
        <v>15472</v>
      </c>
      <c r="C325" s="450" t="n">
        <v>2016</v>
      </c>
      <c r="D325" s="451" t="n">
        <v>42724</v>
      </c>
      <c r="E325" s="452" t="s">
        <v>15473</v>
      </c>
      <c r="F325" s="378" t="s">
        <v>15474</v>
      </c>
      <c r="G325" s="452" t="s">
        <v>130</v>
      </c>
      <c r="H325" s="378" t="s">
        <v>149</v>
      </c>
      <c r="I325" s="451" t="n">
        <v>43063</v>
      </c>
      <c r="J325" s="452" t="n">
        <v>11</v>
      </c>
      <c r="K325" s="613" t="s">
        <v>2407</v>
      </c>
      <c r="L325" s="450" t="s">
        <v>61</v>
      </c>
      <c r="M325" s="455" t="n">
        <f aca="false">I325-D325</f>
        <v>339</v>
      </c>
    </row>
    <row r="326" customFormat="false" ht="12.75" hidden="false" customHeight="true" outlineLevel="0" collapsed="false">
      <c r="A326" s="456" t="n">
        <v>32517</v>
      </c>
      <c r="B326" s="458" t="s">
        <v>15475</v>
      </c>
      <c r="C326" s="458" t="n">
        <v>2016</v>
      </c>
      <c r="D326" s="459" t="n">
        <v>42724</v>
      </c>
      <c r="E326" s="460" t="s">
        <v>15476</v>
      </c>
      <c r="F326" s="380" t="s">
        <v>15477</v>
      </c>
      <c r="G326" s="460" t="s">
        <v>130</v>
      </c>
      <c r="H326" s="380" t="s">
        <v>149</v>
      </c>
      <c r="I326" s="459" t="n">
        <v>43063</v>
      </c>
      <c r="J326" s="460" t="n">
        <v>11</v>
      </c>
      <c r="K326" s="613" t="s">
        <v>2407</v>
      </c>
      <c r="L326" s="458" t="s">
        <v>61</v>
      </c>
      <c r="M326" s="463" t="n">
        <f aca="false">I326-D326</f>
        <v>339</v>
      </c>
    </row>
    <row r="327" customFormat="false" ht="12.75" hidden="false" customHeight="true" outlineLevel="0" collapsed="false">
      <c r="A327" s="449" t="n">
        <v>32617</v>
      </c>
      <c r="B327" s="450" t="s">
        <v>15478</v>
      </c>
      <c r="C327" s="450" t="n">
        <v>2017</v>
      </c>
      <c r="D327" s="451" t="n">
        <v>42801</v>
      </c>
      <c r="E327" s="452" t="s">
        <v>15479</v>
      </c>
      <c r="F327" s="378" t="s">
        <v>6303</v>
      </c>
      <c r="G327" s="452" t="s">
        <v>130</v>
      </c>
      <c r="H327" s="378" t="s">
        <v>1266</v>
      </c>
      <c r="I327" s="451" t="n">
        <v>43063</v>
      </c>
      <c r="J327" s="452" t="n">
        <v>11</v>
      </c>
      <c r="K327" s="613" t="s">
        <v>50</v>
      </c>
      <c r="L327" s="450" t="s">
        <v>61</v>
      </c>
      <c r="M327" s="455" t="n">
        <f aca="false">I327-D327</f>
        <v>262</v>
      </c>
    </row>
    <row r="328" customFormat="false" ht="12.75" hidden="false" customHeight="true" outlineLevel="0" collapsed="false">
      <c r="A328" s="456" t="n">
        <v>32717</v>
      </c>
      <c r="B328" s="458" t="s">
        <v>15480</v>
      </c>
      <c r="C328" s="458" t="n">
        <v>2016</v>
      </c>
      <c r="D328" s="459" t="n">
        <v>42720</v>
      </c>
      <c r="E328" s="460" t="s">
        <v>15481</v>
      </c>
      <c r="F328" s="380" t="s">
        <v>14833</v>
      </c>
      <c r="G328" s="460" t="s">
        <v>125</v>
      </c>
      <c r="H328" s="380" t="s">
        <v>134</v>
      </c>
      <c r="I328" s="459" t="n">
        <v>43068</v>
      </c>
      <c r="J328" s="460" t="n">
        <v>11</v>
      </c>
      <c r="K328" s="615" t="s">
        <v>47</v>
      </c>
      <c r="L328" s="458" t="s">
        <v>61</v>
      </c>
      <c r="M328" s="463" t="n">
        <f aca="false">I328-D328</f>
        <v>348</v>
      </c>
    </row>
    <row r="329" customFormat="false" ht="12.75" hidden="false" customHeight="true" outlineLevel="0" collapsed="false">
      <c r="A329" s="449" t="n">
        <v>32817</v>
      </c>
      <c r="B329" s="450" t="s">
        <v>15482</v>
      </c>
      <c r="C329" s="450" t="n">
        <v>2017</v>
      </c>
      <c r="D329" s="451" t="n">
        <v>42767</v>
      </c>
      <c r="E329" s="452" t="s">
        <v>15483</v>
      </c>
      <c r="F329" s="378" t="s">
        <v>14833</v>
      </c>
      <c r="G329" s="452" t="s">
        <v>125</v>
      </c>
      <c r="H329" s="378" t="s">
        <v>134</v>
      </c>
      <c r="I329" s="451" t="n">
        <v>43068</v>
      </c>
      <c r="J329" s="452" t="n">
        <v>11</v>
      </c>
      <c r="K329" s="615" t="s">
        <v>47</v>
      </c>
      <c r="L329" s="450" t="s">
        <v>61</v>
      </c>
      <c r="M329" s="455" t="n">
        <f aca="false">I329-D329</f>
        <v>301</v>
      </c>
    </row>
    <row r="330" customFormat="false" ht="12.75" hidden="false" customHeight="true" outlineLevel="0" collapsed="false">
      <c r="A330" s="456" t="n">
        <v>32917</v>
      </c>
      <c r="B330" s="458" t="s">
        <v>15484</v>
      </c>
      <c r="C330" s="458" t="n">
        <v>2017</v>
      </c>
      <c r="D330" s="459" t="n">
        <v>42767</v>
      </c>
      <c r="E330" s="460" t="s">
        <v>15485</v>
      </c>
      <c r="F330" s="380" t="s">
        <v>14833</v>
      </c>
      <c r="G330" s="460" t="s">
        <v>125</v>
      </c>
      <c r="H330" s="380" t="s">
        <v>134</v>
      </c>
      <c r="I330" s="459" t="n">
        <v>43068</v>
      </c>
      <c r="J330" s="460" t="n">
        <v>11</v>
      </c>
      <c r="K330" s="615" t="s">
        <v>47</v>
      </c>
      <c r="L330" s="458" t="s">
        <v>61</v>
      </c>
      <c r="M330" s="463" t="n">
        <f aca="false">I330-D330</f>
        <v>301</v>
      </c>
    </row>
    <row r="331" customFormat="false" ht="12.75" hidden="false" customHeight="true" outlineLevel="0" collapsed="false">
      <c r="A331" s="449" t="n">
        <v>33017</v>
      </c>
      <c r="B331" s="450" t="s">
        <v>15486</v>
      </c>
      <c r="C331" s="450" t="n">
        <v>2014</v>
      </c>
      <c r="D331" s="451" t="n">
        <v>41996</v>
      </c>
      <c r="E331" s="452" t="s">
        <v>15487</v>
      </c>
      <c r="F331" s="378" t="s">
        <v>3101</v>
      </c>
      <c r="G331" s="452" t="s">
        <v>1174</v>
      </c>
      <c r="H331" s="378" t="s">
        <v>15488</v>
      </c>
      <c r="I331" s="451" t="n">
        <v>43069</v>
      </c>
      <c r="J331" s="452" t="n">
        <v>11</v>
      </c>
      <c r="K331" s="615" t="s">
        <v>47</v>
      </c>
      <c r="L331" s="450" t="s">
        <v>61</v>
      </c>
      <c r="M331" s="455" t="n">
        <f aca="false">I331-D331</f>
        <v>1073</v>
      </c>
    </row>
    <row r="332" customFormat="false" ht="12.75" hidden="false" customHeight="true" outlineLevel="0" collapsed="false">
      <c r="A332" s="456" t="n">
        <v>33117</v>
      </c>
      <c r="B332" s="458" t="s">
        <v>15489</v>
      </c>
      <c r="C332" s="458" t="n">
        <v>2011</v>
      </c>
      <c r="D332" s="459" t="n">
        <v>40816</v>
      </c>
      <c r="E332" s="460" t="s">
        <v>15490</v>
      </c>
      <c r="F332" s="380" t="s">
        <v>211</v>
      </c>
      <c r="G332" s="460" t="s">
        <v>1174</v>
      </c>
      <c r="H332" s="380" t="s">
        <v>15491</v>
      </c>
      <c r="I332" s="459" t="n">
        <v>43069</v>
      </c>
      <c r="J332" s="460" t="n">
        <v>11</v>
      </c>
      <c r="K332" s="616" t="s">
        <v>42</v>
      </c>
      <c r="L332" s="458" t="s">
        <v>58</v>
      </c>
      <c r="M332" s="463" t="n">
        <f aca="false">I332-D332</f>
        <v>2253</v>
      </c>
    </row>
    <row r="333" customFormat="false" ht="12.75" hidden="false" customHeight="true" outlineLevel="0" collapsed="false">
      <c r="A333" s="449" t="n">
        <v>33217</v>
      </c>
      <c r="B333" s="450" t="s">
        <v>15492</v>
      </c>
      <c r="C333" s="450" t="n">
        <v>2015</v>
      </c>
      <c r="D333" s="451" t="n">
        <v>42191</v>
      </c>
      <c r="E333" s="452" t="s">
        <v>15493</v>
      </c>
      <c r="F333" s="378" t="s">
        <v>180</v>
      </c>
      <c r="G333" s="452" t="s">
        <v>441</v>
      </c>
      <c r="H333" s="378" t="s">
        <v>184</v>
      </c>
      <c r="I333" s="451" t="n">
        <v>43074</v>
      </c>
      <c r="J333" s="452" t="n">
        <v>12</v>
      </c>
      <c r="K333" s="615" t="s">
        <v>47</v>
      </c>
      <c r="L333" s="450" t="s">
        <v>58</v>
      </c>
      <c r="M333" s="455" t="n">
        <f aca="false">I333-D333</f>
        <v>883</v>
      </c>
    </row>
    <row r="334" customFormat="false" ht="12.75" hidden="false" customHeight="true" outlineLevel="0" collapsed="false">
      <c r="A334" s="456" t="n">
        <v>33317</v>
      </c>
      <c r="B334" s="458" t="s">
        <v>15494</v>
      </c>
      <c r="C334" s="458" t="n">
        <v>2015</v>
      </c>
      <c r="D334" s="459" t="n">
        <v>42185</v>
      </c>
      <c r="E334" s="460" t="s">
        <v>15495</v>
      </c>
      <c r="F334" s="380" t="s">
        <v>123</v>
      </c>
      <c r="G334" s="460" t="s">
        <v>1174</v>
      </c>
      <c r="H334" s="380" t="s">
        <v>267</v>
      </c>
      <c r="I334" s="459" t="n">
        <v>43075</v>
      </c>
      <c r="J334" s="460" t="n">
        <v>12</v>
      </c>
      <c r="K334" s="616" t="s">
        <v>42</v>
      </c>
      <c r="L334" s="458" t="s">
        <v>58</v>
      </c>
      <c r="M334" s="463" t="n">
        <f aca="false">I334-D334</f>
        <v>890</v>
      </c>
    </row>
    <row r="335" customFormat="false" ht="12.75" hidden="false" customHeight="true" outlineLevel="0" collapsed="false">
      <c r="A335" s="449" t="n">
        <v>33417</v>
      </c>
      <c r="B335" s="450" t="s">
        <v>15496</v>
      </c>
      <c r="C335" s="450" t="n">
        <v>2011</v>
      </c>
      <c r="D335" s="451" t="n">
        <v>40745</v>
      </c>
      <c r="E335" s="452" t="s">
        <v>15497</v>
      </c>
      <c r="F335" s="378" t="s">
        <v>123</v>
      </c>
      <c r="G335" s="452" t="s">
        <v>1174</v>
      </c>
      <c r="H335" s="378" t="s">
        <v>471</v>
      </c>
      <c r="I335" s="451" t="n">
        <v>43075</v>
      </c>
      <c r="J335" s="452" t="n">
        <v>12</v>
      </c>
      <c r="K335" s="616" t="s">
        <v>42</v>
      </c>
      <c r="L335" s="450" t="s">
        <v>58</v>
      </c>
      <c r="M335" s="455" t="n">
        <f aca="false">I335-D335</f>
        <v>2330</v>
      </c>
    </row>
    <row r="336" customFormat="false" ht="12.75" hidden="false" customHeight="true" outlineLevel="0" collapsed="false">
      <c r="A336" s="456" t="n">
        <v>33517</v>
      </c>
      <c r="B336" s="458" t="s">
        <v>15498</v>
      </c>
      <c r="C336" s="458" t="n">
        <v>2012</v>
      </c>
      <c r="D336" s="459" t="n">
        <v>41269</v>
      </c>
      <c r="E336" s="460" t="s">
        <v>15499</v>
      </c>
      <c r="F336" s="380" t="s">
        <v>123</v>
      </c>
      <c r="G336" s="460" t="s">
        <v>1174</v>
      </c>
      <c r="H336" s="380" t="s">
        <v>12073</v>
      </c>
      <c r="I336" s="459" t="n">
        <v>43075</v>
      </c>
      <c r="J336" s="460" t="n">
        <v>12</v>
      </c>
      <c r="K336" s="616" t="s">
        <v>42</v>
      </c>
      <c r="L336" s="458" t="s">
        <v>58</v>
      </c>
      <c r="M336" s="463" t="n">
        <f aca="false">I336-D336</f>
        <v>1806</v>
      </c>
    </row>
    <row r="337" customFormat="false" ht="12.75" hidden="false" customHeight="true" outlineLevel="0" collapsed="false">
      <c r="A337" s="449" t="n">
        <v>33617</v>
      </c>
      <c r="B337" s="450" t="s">
        <v>15500</v>
      </c>
      <c r="C337" s="450" t="n">
        <v>2016</v>
      </c>
      <c r="D337" s="451" t="n">
        <v>42429</v>
      </c>
      <c r="E337" s="452" t="s">
        <v>15501</v>
      </c>
      <c r="F337" s="378" t="s">
        <v>113</v>
      </c>
      <c r="G337" s="452" t="s">
        <v>1174</v>
      </c>
      <c r="H337" s="378" t="s">
        <v>6610</v>
      </c>
      <c r="I337" s="451" t="n">
        <v>43075</v>
      </c>
      <c r="J337" s="452" t="n">
        <v>12</v>
      </c>
      <c r="K337" s="615" t="s">
        <v>47</v>
      </c>
      <c r="L337" s="450" t="s">
        <v>60</v>
      </c>
      <c r="M337" s="455" t="n">
        <f aca="false">I337-D337</f>
        <v>646</v>
      </c>
    </row>
    <row r="338" customFormat="false" ht="12.75" hidden="false" customHeight="true" outlineLevel="0" collapsed="false">
      <c r="A338" s="456" t="n">
        <v>33717</v>
      </c>
      <c r="B338" s="458" t="s">
        <v>15502</v>
      </c>
      <c r="C338" s="458" t="n">
        <v>2011</v>
      </c>
      <c r="D338" s="459" t="n">
        <v>40686</v>
      </c>
      <c r="E338" s="460" t="s">
        <v>15503</v>
      </c>
      <c r="F338" s="380" t="s">
        <v>113</v>
      </c>
      <c r="G338" s="460" t="s">
        <v>1174</v>
      </c>
      <c r="H338" s="380" t="s">
        <v>6570</v>
      </c>
      <c r="I338" s="459" t="n">
        <v>43075</v>
      </c>
      <c r="J338" s="460" t="n">
        <v>12</v>
      </c>
      <c r="K338" s="615" t="s">
        <v>47</v>
      </c>
      <c r="L338" s="458" t="s">
        <v>60</v>
      </c>
      <c r="M338" s="463" t="n">
        <f aca="false">I338-D338</f>
        <v>2389</v>
      </c>
    </row>
    <row r="339" customFormat="false" ht="12.75" hidden="false" customHeight="true" outlineLevel="0" collapsed="false">
      <c r="A339" s="449" t="n">
        <v>33817</v>
      </c>
      <c r="B339" s="450" t="s">
        <v>15504</v>
      </c>
      <c r="C339" s="450" t="n">
        <v>2011</v>
      </c>
      <c r="D339" s="451" t="n">
        <v>40632</v>
      </c>
      <c r="E339" s="452" t="s">
        <v>15505</v>
      </c>
      <c r="F339" s="378" t="s">
        <v>113</v>
      </c>
      <c r="G339" s="452" t="s">
        <v>1174</v>
      </c>
      <c r="H339" s="378" t="s">
        <v>1266</v>
      </c>
      <c r="I339" s="451" t="n">
        <v>43075</v>
      </c>
      <c r="J339" s="452" t="n">
        <v>12</v>
      </c>
      <c r="K339" s="615" t="s">
        <v>47</v>
      </c>
      <c r="L339" s="450" t="s">
        <v>60</v>
      </c>
      <c r="M339" s="455" t="n">
        <f aca="false">I339-D339</f>
        <v>2443</v>
      </c>
    </row>
    <row r="340" customFormat="false" ht="12.75" hidden="false" customHeight="true" outlineLevel="0" collapsed="false">
      <c r="A340" s="456" t="n">
        <v>33917</v>
      </c>
      <c r="B340" s="458" t="s">
        <v>15506</v>
      </c>
      <c r="C340" s="458" t="n">
        <v>2013</v>
      </c>
      <c r="D340" s="459" t="n">
        <v>41613</v>
      </c>
      <c r="E340" s="460" t="s">
        <v>15507</v>
      </c>
      <c r="F340" s="380" t="s">
        <v>207</v>
      </c>
      <c r="G340" s="460" t="s">
        <v>1174</v>
      </c>
      <c r="H340" s="380" t="s">
        <v>1501</v>
      </c>
      <c r="I340" s="459" t="n">
        <v>43075</v>
      </c>
      <c r="J340" s="460" t="n">
        <v>12</v>
      </c>
      <c r="K340" s="616" t="s">
        <v>42</v>
      </c>
      <c r="L340" s="458" t="s">
        <v>58</v>
      </c>
      <c r="M340" s="463" t="n">
        <f aca="false">I340-D340</f>
        <v>1462</v>
      </c>
    </row>
    <row r="341" customFormat="false" ht="12.75" hidden="false" customHeight="true" outlineLevel="0" collapsed="false">
      <c r="A341" s="449" t="n">
        <v>34017</v>
      </c>
      <c r="B341" s="450" t="s">
        <v>15508</v>
      </c>
      <c r="C341" s="450" t="n">
        <v>2014</v>
      </c>
      <c r="D341" s="451" t="n">
        <v>41744</v>
      </c>
      <c r="E341" s="452" t="s">
        <v>15509</v>
      </c>
      <c r="F341" s="378" t="s">
        <v>207</v>
      </c>
      <c r="G341" s="452" t="s">
        <v>1174</v>
      </c>
      <c r="H341" s="378" t="s">
        <v>13796</v>
      </c>
      <c r="I341" s="451" t="n">
        <v>43075</v>
      </c>
      <c r="J341" s="452" t="n">
        <v>12</v>
      </c>
      <c r="K341" s="616" t="s">
        <v>42</v>
      </c>
      <c r="L341" s="450" t="s">
        <v>58</v>
      </c>
      <c r="M341" s="455" t="n">
        <f aca="false">I341-D341</f>
        <v>1331</v>
      </c>
    </row>
    <row r="342" customFormat="false" ht="12.75" hidden="false" customHeight="true" outlineLevel="0" collapsed="false">
      <c r="A342" s="456" t="n">
        <v>34117</v>
      </c>
      <c r="B342" s="458" t="s">
        <v>15510</v>
      </c>
      <c r="C342" s="458" t="n">
        <v>2013</v>
      </c>
      <c r="D342" s="459" t="n">
        <v>41389</v>
      </c>
      <c r="E342" s="460" t="s">
        <v>15511</v>
      </c>
      <c r="F342" s="380" t="s">
        <v>123</v>
      </c>
      <c r="G342" s="460" t="s">
        <v>1174</v>
      </c>
      <c r="H342" s="380" t="s">
        <v>243</v>
      </c>
      <c r="I342" s="459" t="n">
        <v>43075</v>
      </c>
      <c r="J342" s="460" t="n">
        <v>12</v>
      </c>
      <c r="K342" s="616" t="s">
        <v>42</v>
      </c>
      <c r="L342" s="458" t="s">
        <v>58</v>
      </c>
      <c r="M342" s="463" t="n">
        <f aca="false">I342-D342</f>
        <v>1686</v>
      </c>
    </row>
    <row r="343" customFormat="false" ht="12.75" hidden="false" customHeight="true" outlineLevel="0" collapsed="false">
      <c r="A343" s="449" t="n">
        <v>34217</v>
      </c>
      <c r="B343" s="450" t="s">
        <v>15512</v>
      </c>
      <c r="C343" s="450" t="n">
        <v>2016</v>
      </c>
      <c r="D343" s="451" t="n">
        <v>42392</v>
      </c>
      <c r="E343" s="452" t="s">
        <v>15513</v>
      </c>
      <c r="F343" s="378" t="s">
        <v>1277</v>
      </c>
      <c r="G343" s="452" t="s">
        <v>1174</v>
      </c>
      <c r="H343" s="378" t="s">
        <v>6610</v>
      </c>
      <c r="I343" s="451" t="n">
        <v>43076</v>
      </c>
      <c r="J343" s="452" t="n">
        <v>12</v>
      </c>
      <c r="K343" s="614" t="s">
        <v>45</v>
      </c>
      <c r="L343" s="450" t="s">
        <v>58</v>
      </c>
      <c r="M343" s="455" t="n">
        <f aca="false">I343-D343</f>
        <v>684</v>
      </c>
    </row>
    <row r="344" customFormat="false" ht="12.75" hidden="false" customHeight="true" outlineLevel="0" collapsed="false">
      <c r="A344" s="456" t="n">
        <v>34317</v>
      </c>
      <c r="B344" s="458" t="s">
        <v>15514</v>
      </c>
      <c r="C344" s="458" t="n">
        <v>2011</v>
      </c>
      <c r="D344" s="459" t="n">
        <v>40716</v>
      </c>
      <c r="E344" s="460" t="s">
        <v>15515</v>
      </c>
      <c r="F344" s="380" t="s">
        <v>1277</v>
      </c>
      <c r="G344" s="460" t="s">
        <v>1174</v>
      </c>
      <c r="H344" s="380" t="s">
        <v>2647</v>
      </c>
      <c r="I344" s="459" t="n">
        <v>43076</v>
      </c>
      <c r="J344" s="460" t="n">
        <v>12</v>
      </c>
      <c r="K344" s="614" t="s">
        <v>45</v>
      </c>
      <c r="L344" s="458" t="s">
        <v>58</v>
      </c>
      <c r="M344" s="463" t="n">
        <f aca="false">I344-D344</f>
        <v>2360</v>
      </c>
    </row>
    <row r="345" customFormat="false" ht="12.75" hidden="false" customHeight="true" outlineLevel="0" collapsed="false">
      <c r="A345" s="449" t="n">
        <v>34417</v>
      </c>
      <c r="B345" s="450" t="s">
        <v>15516</v>
      </c>
      <c r="C345" s="450" t="n">
        <v>2010</v>
      </c>
      <c r="D345" s="451" t="n">
        <v>40218</v>
      </c>
      <c r="E345" s="452" t="s">
        <v>15517</v>
      </c>
      <c r="F345" s="378" t="s">
        <v>10588</v>
      </c>
      <c r="G345" s="452" t="s">
        <v>1174</v>
      </c>
      <c r="H345" s="378" t="s">
        <v>1305</v>
      </c>
      <c r="I345" s="451" t="n">
        <v>43076</v>
      </c>
      <c r="J345" s="452" t="n">
        <v>12</v>
      </c>
      <c r="K345" s="615" t="s">
        <v>47</v>
      </c>
      <c r="L345" s="450" t="s">
        <v>60</v>
      </c>
      <c r="M345" s="455" t="n">
        <f aca="false">I345-D345</f>
        <v>2858</v>
      </c>
    </row>
    <row r="346" customFormat="false" ht="12.75" hidden="false" customHeight="true" outlineLevel="0" collapsed="false">
      <c r="A346" s="456" t="n">
        <v>34517</v>
      </c>
      <c r="B346" s="458" t="s">
        <v>15518</v>
      </c>
      <c r="C346" s="458" t="n">
        <v>2015</v>
      </c>
      <c r="D346" s="459" t="n">
        <v>42086</v>
      </c>
      <c r="E346" s="460" t="s">
        <v>15519</v>
      </c>
      <c r="F346" s="380" t="s">
        <v>1097</v>
      </c>
      <c r="G346" s="460" t="s">
        <v>1174</v>
      </c>
      <c r="H346" s="380" t="s">
        <v>223</v>
      </c>
      <c r="I346" s="459" t="n">
        <v>43080</v>
      </c>
      <c r="J346" s="460" t="n">
        <v>12</v>
      </c>
      <c r="K346" s="616" t="s">
        <v>42</v>
      </c>
      <c r="L346" s="458" t="s">
        <v>60</v>
      </c>
      <c r="M346" s="463" t="n">
        <f aca="false">I346-D346</f>
        <v>994</v>
      </c>
    </row>
    <row r="347" customFormat="false" ht="12.75" hidden="false" customHeight="true" outlineLevel="0" collapsed="false">
      <c r="A347" s="449" t="n">
        <v>34617</v>
      </c>
      <c r="B347" s="450" t="s">
        <v>15520</v>
      </c>
      <c r="C347" s="450" t="n">
        <v>2012</v>
      </c>
      <c r="D347" s="451" t="n">
        <v>40968</v>
      </c>
      <c r="E347" s="452" t="s">
        <v>15521</v>
      </c>
      <c r="F347" s="378" t="s">
        <v>1243</v>
      </c>
      <c r="G347" s="452" t="s">
        <v>1174</v>
      </c>
      <c r="H347" s="378" t="s">
        <v>1059</v>
      </c>
      <c r="I347" s="451" t="n">
        <v>43080</v>
      </c>
      <c r="J347" s="452" t="n">
        <v>12</v>
      </c>
      <c r="K347" s="615" t="s">
        <v>47</v>
      </c>
      <c r="L347" s="450" t="s">
        <v>60</v>
      </c>
      <c r="M347" s="455" t="n">
        <f aca="false">I347-D347</f>
        <v>2112</v>
      </c>
    </row>
    <row r="348" customFormat="false" ht="12.75" hidden="false" customHeight="true" outlineLevel="0" collapsed="false">
      <c r="A348" s="456" t="n">
        <v>34717</v>
      </c>
      <c r="B348" s="458" t="s">
        <v>15522</v>
      </c>
      <c r="C348" s="458" t="n">
        <v>2013</v>
      </c>
      <c r="D348" s="459" t="n">
        <v>41310</v>
      </c>
      <c r="E348" s="460" t="s">
        <v>15523</v>
      </c>
      <c r="F348" s="380" t="s">
        <v>1243</v>
      </c>
      <c r="G348" s="460" t="s">
        <v>1174</v>
      </c>
      <c r="H348" s="380" t="s">
        <v>192</v>
      </c>
      <c r="I348" s="459" t="n">
        <v>43080</v>
      </c>
      <c r="J348" s="460" t="n">
        <v>12</v>
      </c>
      <c r="K348" s="615" t="s">
        <v>47</v>
      </c>
      <c r="L348" s="458" t="s">
        <v>60</v>
      </c>
      <c r="M348" s="463" t="n">
        <f aca="false">I348-D348</f>
        <v>1770</v>
      </c>
    </row>
    <row r="349" customFormat="false" ht="12.75" hidden="false" customHeight="true" outlineLevel="0" collapsed="false">
      <c r="A349" s="449" t="n">
        <v>34817</v>
      </c>
      <c r="B349" s="450" t="s">
        <v>15524</v>
      </c>
      <c r="C349" s="450" t="n">
        <v>2011</v>
      </c>
      <c r="D349" s="451" t="n">
        <v>40645</v>
      </c>
      <c r="E349" s="452" t="s">
        <v>15525</v>
      </c>
      <c r="F349" s="378" t="s">
        <v>1243</v>
      </c>
      <c r="G349" s="452" t="s">
        <v>1174</v>
      </c>
      <c r="H349" s="378" t="s">
        <v>12073</v>
      </c>
      <c r="I349" s="451" t="n">
        <v>43081</v>
      </c>
      <c r="J349" s="452" t="n">
        <v>12</v>
      </c>
      <c r="K349" s="615" t="s">
        <v>47</v>
      </c>
      <c r="L349" s="450" t="s">
        <v>60</v>
      </c>
      <c r="M349" s="455" t="n">
        <f aca="false">I349-D349</f>
        <v>2436</v>
      </c>
    </row>
    <row r="350" customFormat="false" ht="12.75" hidden="false" customHeight="true" outlineLevel="0" collapsed="false">
      <c r="A350" s="456" t="n">
        <v>34917</v>
      </c>
      <c r="B350" s="458" t="s">
        <v>15526</v>
      </c>
      <c r="C350" s="458" t="n">
        <v>2009</v>
      </c>
      <c r="D350" s="459" t="n">
        <v>40164</v>
      </c>
      <c r="E350" s="460" t="s">
        <v>15527</v>
      </c>
      <c r="F350" s="380" t="s">
        <v>1243</v>
      </c>
      <c r="G350" s="460" t="s">
        <v>1174</v>
      </c>
      <c r="H350" s="380" t="s">
        <v>223</v>
      </c>
      <c r="I350" s="459" t="n">
        <v>43081</v>
      </c>
      <c r="J350" s="460" t="n">
        <v>12</v>
      </c>
      <c r="K350" s="615" t="s">
        <v>47</v>
      </c>
      <c r="L350" s="458" t="s">
        <v>60</v>
      </c>
      <c r="M350" s="463" t="n">
        <f aca="false">I350-D350</f>
        <v>2917</v>
      </c>
    </row>
    <row r="351" customFormat="false" ht="12.75" hidden="false" customHeight="true" outlineLevel="0" collapsed="false">
      <c r="A351" s="449" t="n">
        <v>35017</v>
      </c>
      <c r="B351" s="450" t="s">
        <v>15528</v>
      </c>
      <c r="C351" s="450" t="n">
        <v>2013</v>
      </c>
      <c r="D351" s="451" t="n">
        <v>41445</v>
      </c>
      <c r="E351" s="452" t="s">
        <v>15529</v>
      </c>
      <c r="F351" s="378" t="s">
        <v>1243</v>
      </c>
      <c r="G351" s="452" t="s">
        <v>1174</v>
      </c>
      <c r="H351" s="378" t="s">
        <v>2677</v>
      </c>
      <c r="I351" s="451" t="n">
        <v>43081</v>
      </c>
      <c r="J351" s="452" t="n">
        <v>12</v>
      </c>
      <c r="K351" s="615" t="s">
        <v>47</v>
      </c>
      <c r="L351" s="450" t="s">
        <v>60</v>
      </c>
      <c r="M351" s="455" t="n">
        <f aca="false">I351-D351</f>
        <v>1636</v>
      </c>
    </row>
    <row r="352" customFormat="false" ht="12.75" hidden="false" customHeight="true" outlineLevel="0" collapsed="false">
      <c r="A352" s="456" t="n">
        <v>35117</v>
      </c>
      <c r="B352" s="458" t="s">
        <v>15530</v>
      </c>
      <c r="C352" s="458" t="n">
        <v>2013</v>
      </c>
      <c r="D352" s="459" t="n">
        <v>41354</v>
      </c>
      <c r="E352" s="460" t="s">
        <v>15531</v>
      </c>
      <c r="F352" s="380" t="s">
        <v>1243</v>
      </c>
      <c r="G352" s="460" t="s">
        <v>1174</v>
      </c>
      <c r="H352" s="380" t="s">
        <v>13796</v>
      </c>
      <c r="I352" s="459" t="n">
        <v>43081</v>
      </c>
      <c r="J352" s="460" t="n">
        <v>12</v>
      </c>
      <c r="K352" s="615" t="s">
        <v>47</v>
      </c>
      <c r="L352" s="458" t="s">
        <v>60</v>
      </c>
      <c r="M352" s="463" t="n">
        <f aca="false">I352-D352</f>
        <v>1727</v>
      </c>
    </row>
    <row r="353" customFormat="false" ht="12.75" hidden="false" customHeight="true" outlineLevel="0" collapsed="false">
      <c r="A353" s="449" t="n">
        <v>35217</v>
      </c>
      <c r="B353" s="450" t="s">
        <v>15532</v>
      </c>
      <c r="C353" s="450" t="n">
        <v>2009</v>
      </c>
      <c r="D353" s="451" t="n">
        <v>40095</v>
      </c>
      <c r="E353" s="452" t="s">
        <v>15533</v>
      </c>
      <c r="F353" s="378" t="s">
        <v>1243</v>
      </c>
      <c r="G353" s="452" t="s">
        <v>1174</v>
      </c>
      <c r="H353" s="378" t="s">
        <v>223</v>
      </c>
      <c r="I353" s="451" t="n">
        <v>43083</v>
      </c>
      <c r="J353" s="452" t="n">
        <v>12</v>
      </c>
      <c r="K353" s="615" t="s">
        <v>47</v>
      </c>
      <c r="L353" s="450" t="s">
        <v>60</v>
      </c>
      <c r="M353" s="455" t="n">
        <f aca="false">I353-D353</f>
        <v>2988</v>
      </c>
    </row>
    <row r="354" customFormat="false" ht="12.75" hidden="false" customHeight="true" outlineLevel="0" collapsed="false">
      <c r="A354" s="456" t="n">
        <v>35317</v>
      </c>
      <c r="B354" s="458" t="s">
        <v>15534</v>
      </c>
      <c r="C354" s="458" t="n">
        <v>2012</v>
      </c>
      <c r="D354" s="459" t="n">
        <v>41257</v>
      </c>
      <c r="E354" s="460" t="s">
        <v>15535</v>
      </c>
      <c r="F354" s="380" t="s">
        <v>1243</v>
      </c>
      <c r="G354" s="460" t="s">
        <v>1174</v>
      </c>
      <c r="H354" s="380" t="s">
        <v>14826</v>
      </c>
      <c r="I354" s="459" t="n">
        <v>43083</v>
      </c>
      <c r="J354" s="460" t="n">
        <v>12</v>
      </c>
      <c r="K354" s="615" t="s">
        <v>47</v>
      </c>
      <c r="L354" s="458" t="s">
        <v>60</v>
      </c>
      <c r="M354" s="463" t="n">
        <f aca="false">I354-D354</f>
        <v>1826</v>
      </c>
    </row>
    <row r="355" customFormat="false" ht="12.75" hidden="false" customHeight="true" outlineLevel="0" collapsed="false">
      <c r="A355" s="449" t="n">
        <v>35417</v>
      </c>
      <c r="B355" s="450" t="s">
        <v>15536</v>
      </c>
      <c r="C355" s="450" t="n">
        <v>2012</v>
      </c>
      <c r="D355" s="451" t="n">
        <v>40998</v>
      </c>
      <c r="E355" s="452" t="s">
        <v>15537</v>
      </c>
      <c r="F355" s="378" t="s">
        <v>1243</v>
      </c>
      <c r="G355" s="452" t="s">
        <v>1174</v>
      </c>
      <c r="H355" s="378" t="s">
        <v>12073</v>
      </c>
      <c r="I355" s="451" t="n">
        <v>43083</v>
      </c>
      <c r="J355" s="452" t="n">
        <v>12</v>
      </c>
      <c r="K355" s="615" t="s">
        <v>47</v>
      </c>
      <c r="L355" s="450" t="s">
        <v>60</v>
      </c>
      <c r="M355" s="455" t="n">
        <f aca="false">I355-D355</f>
        <v>2085</v>
      </c>
    </row>
    <row r="356" customFormat="false" ht="12.75" hidden="false" customHeight="true" outlineLevel="0" collapsed="false">
      <c r="A356" s="456" t="n">
        <v>35517</v>
      </c>
      <c r="B356" s="458" t="s">
        <v>15538</v>
      </c>
      <c r="C356" s="458" t="n">
        <v>2011</v>
      </c>
      <c r="D356" s="459" t="n">
        <v>40757</v>
      </c>
      <c r="E356" s="460" t="s">
        <v>15539</v>
      </c>
      <c r="F356" s="380" t="s">
        <v>1243</v>
      </c>
      <c r="G356" s="460" t="s">
        <v>1174</v>
      </c>
      <c r="H356" s="380" t="s">
        <v>2296</v>
      </c>
      <c r="I356" s="459" t="n">
        <v>43083</v>
      </c>
      <c r="J356" s="460" t="n">
        <v>12</v>
      </c>
      <c r="K356" s="615" t="s">
        <v>47</v>
      </c>
      <c r="L356" s="458" t="s">
        <v>60</v>
      </c>
      <c r="M356" s="463" t="n">
        <f aca="false">I356-D356</f>
        <v>2326</v>
      </c>
    </row>
    <row r="357" customFormat="false" ht="12.75" hidden="false" customHeight="true" outlineLevel="0" collapsed="false">
      <c r="A357" s="449" t="n">
        <v>35617</v>
      </c>
      <c r="B357" s="450" t="s">
        <v>15540</v>
      </c>
      <c r="C357" s="450" t="n">
        <v>2012</v>
      </c>
      <c r="D357" s="451" t="n">
        <v>41271</v>
      </c>
      <c r="E357" s="452" t="s">
        <v>15541</v>
      </c>
      <c r="F357" s="378" t="s">
        <v>1357</v>
      </c>
      <c r="G357" s="452" t="s">
        <v>1174</v>
      </c>
      <c r="H357" s="378" t="s">
        <v>471</v>
      </c>
      <c r="I357" s="451" t="n">
        <v>43083</v>
      </c>
      <c r="J357" s="452" t="n">
        <v>12</v>
      </c>
      <c r="K357" s="616" t="s">
        <v>42</v>
      </c>
      <c r="L357" s="450" t="s">
        <v>60</v>
      </c>
      <c r="M357" s="455" t="n">
        <f aca="false">I357-D357</f>
        <v>1812</v>
      </c>
    </row>
    <row r="358" customFormat="false" ht="12.75" hidden="false" customHeight="true" outlineLevel="0" collapsed="false">
      <c r="A358" s="456" t="n">
        <v>35717</v>
      </c>
      <c r="B358" s="458" t="s">
        <v>15542</v>
      </c>
      <c r="C358" s="458" t="n">
        <v>2011</v>
      </c>
      <c r="D358" s="459" t="n">
        <v>40757</v>
      </c>
      <c r="E358" s="460" t="s">
        <v>15543</v>
      </c>
      <c r="F358" s="380" t="s">
        <v>1243</v>
      </c>
      <c r="G358" s="460" t="s">
        <v>1174</v>
      </c>
      <c r="H358" s="380" t="s">
        <v>354</v>
      </c>
      <c r="I358" s="459" t="n">
        <v>43083</v>
      </c>
      <c r="J358" s="460" t="n">
        <v>12</v>
      </c>
      <c r="K358" s="615" t="s">
        <v>47</v>
      </c>
      <c r="L358" s="458" t="s">
        <v>60</v>
      </c>
      <c r="M358" s="463" t="n">
        <f aca="false">I358-D358</f>
        <v>2326</v>
      </c>
    </row>
    <row r="359" customFormat="false" ht="12.75" hidden="false" customHeight="true" outlineLevel="0" collapsed="false">
      <c r="A359" s="449" t="n">
        <v>35817</v>
      </c>
      <c r="B359" s="450" t="s">
        <v>15544</v>
      </c>
      <c r="C359" s="450" t="n">
        <v>2011</v>
      </c>
      <c r="D359" s="451" t="n">
        <v>40721</v>
      </c>
      <c r="E359" s="452" t="s">
        <v>15545</v>
      </c>
      <c r="F359" s="378" t="s">
        <v>1243</v>
      </c>
      <c r="G359" s="452" t="s">
        <v>1174</v>
      </c>
      <c r="H359" s="378" t="s">
        <v>13816</v>
      </c>
      <c r="I359" s="451" t="n">
        <v>43084</v>
      </c>
      <c r="J359" s="452" t="n">
        <v>12</v>
      </c>
      <c r="K359" s="615" t="s">
        <v>47</v>
      </c>
      <c r="L359" s="450" t="s">
        <v>60</v>
      </c>
      <c r="M359" s="455" t="n">
        <f aca="false">I359-D359</f>
        <v>2363</v>
      </c>
    </row>
    <row r="360" customFormat="false" ht="12.75" hidden="false" customHeight="true" outlineLevel="0" collapsed="false">
      <c r="A360" s="456" t="n">
        <v>35917</v>
      </c>
      <c r="B360" s="458" t="s">
        <v>15546</v>
      </c>
      <c r="C360" s="458" t="n">
        <v>2015</v>
      </c>
      <c r="D360" s="459" t="n">
        <v>42062</v>
      </c>
      <c r="E360" s="460" t="s">
        <v>15547</v>
      </c>
      <c r="F360" s="380" t="s">
        <v>699</v>
      </c>
      <c r="G360" s="460" t="s">
        <v>1174</v>
      </c>
      <c r="H360" s="380" t="s">
        <v>15548</v>
      </c>
      <c r="I360" s="459" t="n">
        <v>43084</v>
      </c>
      <c r="J360" s="460" t="n">
        <v>12</v>
      </c>
      <c r="K360" s="616" t="s">
        <v>42</v>
      </c>
      <c r="L360" s="458" t="s">
        <v>60</v>
      </c>
      <c r="M360" s="463" t="n">
        <f aca="false">I360-D360</f>
        <v>1022</v>
      </c>
    </row>
    <row r="361" customFormat="false" ht="12.75" hidden="false" customHeight="true" outlineLevel="0" collapsed="false">
      <c r="A361" s="449" t="n">
        <v>36017</v>
      </c>
      <c r="B361" s="450" t="s">
        <v>15549</v>
      </c>
      <c r="C361" s="450" t="n">
        <v>2014</v>
      </c>
      <c r="D361" s="451" t="n">
        <v>41919</v>
      </c>
      <c r="E361" s="452" t="s">
        <v>15550</v>
      </c>
      <c r="F361" s="378" t="s">
        <v>1357</v>
      </c>
      <c r="G361" s="452" t="s">
        <v>1174</v>
      </c>
      <c r="H361" s="378" t="s">
        <v>267</v>
      </c>
      <c r="I361" s="451" t="n">
        <v>43084</v>
      </c>
      <c r="J361" s="452" t="n">
        <v>12</v>
      </c>
      <c r="K361" s="616" t="s">
        <v>42</v>
      </c>
      <c r="L361" s="450" t="s">
        <v>60</v>
      </c>
      <c r="M361" s="455" t="n">
        <f aca="false">I361-D361</f>
        <v>1165</v>
      </c>
    </row>
    <row r="362" customFormat="false" ht="12.75" hidden="false" customHeight="true" outlineLevel="0" collapsed="false">
      <c r="A362" s="456" t="n">
        <v>36117</v>
      </c>
      <c r="B362" s="458" t="s">
        <v>15551</v>
      </c>
      <c r="C362" s="458" t="n">
        <v>2015</v>
      </c>
      <c r="D362" s="459" t="n">
        <v>42080</v>
      </c>
      <c r="E362" s="460" t="s">
        <v>15552</v>
      </c>
      <c r="F362" s="380" t="s">
        <v>138</v>
      </c>
      <c r="G362" s="460" t="s">
        <v>8</v>
      </c>
      <c r="H362" s="380" t="s">
        <v>192</v>
      </c>
      <c r="I362" s="459" t="n">
        <v>43084</v>
      </c>
      <c r="J362" s="460" t="n">
        <v>12</v>
      </c>
      <c r="K362" s="615" t="s">
        <v>47</v>
      </c>
      <c r="L362" s="458" t="s">
        <v>61</v>
      </c>
      <c r="M362" s="463" t="n">
        <f aca="false">I362-D362</f>
        <v>1004</v>
      </c>
    </row>
    <row r="363" customFormat="false" ht="12.75" hidden="false" customHeight="true" outlineLevel="0" collapsed="false">
      <c r="A363" s="449" t="n">
        <v>36217</v>
      </c>
      <c r="B363" s="450" t="s">
        <v>15553</v>
      </c>
      <c r="C363" s="450" t="n">
        <v>2014</v>
      </c>
      <c r="D363" s="451" t="n">
        <v>41806</v>
      </c>
      <c r="E363" s="452" t="s">
        <v>15554</v>
      </c>
      <c r="F363" s="378" t="s">
        <v>1357</v>
      </c>
      <c r="G363" s="452" t="s">
        <v>1174</v>
      </c>
      <c r="H363" s="378" t="s">
        <v>5230</v>
      </c>
      <c r="I363" s="451" t="n">
        <v>43084</v>
      </c>
      <c r="J363" s="452" t="n">
        <v>12</v>
      </c>
      <c r="K363" s="616" t="s">
        <v>42</v>
      </c>
      <c r="L363" s="450" t="s">
        <v>60</v>
      </c>
      <c r="M363" s="455" t="n">
        <f aca="false">I363-D363</f>
        <v>1278</v>
      </c>
    </row>
    <row r="364" customFormat="false" ht="12.75" hidden="false" customHeight="true" outlineLevel="0" collapsed="false">
      <c r="A364" s="456" t="n">
        <v>36317</v>
      </c>
      <c r="B364" s="458" t="s">
        <v>15555</v>
      </c>
      <c r="C364" s="458" t="n">
        <v>2014</v>
      </c>
      <c r="D364" s="459" t="n">
        <v>41717</v>
      </c>
      <c r="E364" s="460" t="s">
        <v>15556</v>
      </c>
      <c r="F364" s="380" t="s">
        <v>1357</v>
      </c>
      <c r="G364" s="460" t="s">
        <v>1174</v>
      </c>
      <c r="H364" s="380" t="s">
        <v>2677</v>
      </c>
      <c r="I364" s="459" t="n">
        <v>43084</v>
      </c>
      <c r="J364" s="460" t="n">
        <v>12</v>
      </c>
      <c r="K364" s="616" t="s">
        <v>42</v>
      </c>
      <c r="L364" s="458" t="s">
        <v>60</v>
      </c>
      <c r="M364" s="463" t="n">
        <f aca="false">I364-D364</f>
        <v>1367</v>
      </c>
    </row>
    <row r="365" customFormat="false" ht="12.75" hidden="false" customHeight="true" outlineLevel="0" collapsed="false">
      <c r="A365" s="449" t="n">
        <v>36417</v>
      </c>
      <c r="B365" s="450" t="s">
        <v>15557</v>
      </c>
      <c r="C365" s="450" t="n">
        <v>2016</v>
      </c>
      <c r="D365" s="451" t="n">
        <v>42685</v>
      </c>
      <c r="E365" s="452" t="s">
        <v>15558</v>
      </c>
      <c r="F365" s="378" t="s">
        <v>211</v>
      </c>
      <c r="G365" s="452" t="s">
        <v>1174</v>
      </c>
      <c r="H365" s="378" t="s">
        <v>2677</v>
      </c>
      <c r="I365" s="451" t="n">
        <v>43088</v>
      </c>
      <c r="J365" s="452" t="n">
        <v>12</v>
      </c>
      <c r="K365" s="616" t="s">
        <v>42</v>
      </c>
      <c r="L365" s="450" t="s">
        <v>58</v>
      </c>
      <c r="M365" s="455" t="n">
        <f aca="false">I365-D365</f>
        <v>403</v>
      </c>
    </row>
    <row r="366" customFormat="false" ht="12.75" hidden="false" customHeight="true" outlineLevel="0" collapsed="false">
      <c r="A366" s="456" t="n">
        <v>36517</v>
      </c>
      <c r="B366" s="458" t="s">
        <v>15559</v>
      </c>
      <c r="C366" s="458" t="n">
        <v>2012</v>
      </c>
      <c r="D366" s="459" t="n">
        <v>41200</v>
      </c>
      <c r="E366" s="460" t="s">
        <v>15560</v>
      </c>
      <c r="F366" s="380" t="s">
        <v>211</v>
      </c>
      <c r="G366" s="460" t="s">
        <v>1174</v>
      </c>
      <c r="H366" s="380" t="s">
        <v>267</v>
      </c>
      <c r="I366" s="459" t="n">
        <v>43088</v>
      </c>
      <c r="J366" s="460" t="n">
        <v>12</v>
      </c>
      <c r="K366" s="616" t="s">
        <v>42</v>
      </c>
      <c r="L366" s="458" t="s">
        <v>58</v>
      </c>
      <c r="M366" s="463" t="n">
        <f aca="false">I366-D366</f>
        <v>1888</v>
      </c>
    </row>
    <row r="367" customFormat="false" ht="12.75" hidden="false" customHeight="true" outlineLevel="0" collapsed="false">
      <c r="A367" s="449" t="n">
        <v>36617</v>
      </c>
      <c r="B367" s="450" t="s">
        <v>15561</v>
      </c>
      <c r="C367" s="450" t="n">
        <v>2014</v>
      </c>
      <c r="D367" s="451" t="n">
        <v>41864</v>
      </c>
      <c r="E367" s="452" t="s">
        <v>15562</v>
      </c>
      <c r="F367" s="378" t="s">
        <v>211</v>
      </c>
      <c r="G367" s="452" t="s">
        <v>1174</v>
      </c>
      <c r="H367" s="378" t="s">
        <v>1059</v>
      </c>
      <c r="I367" s="451" t="n">
        <v>43088</v>
      </c>
      <c r="J367" s="452" t="n">
        <v>12</v>
      </c>
      <c r="K367" s="616" t="s">
        <v>42</v>
      </c>
      <c r="L367" s="450" t="s">
        <v>58</v>
      </c>
      <c r="M367" s="455" t="n">
        <f aca="false">I367-D367</f>
        <v>1224</v>
      </c>
    </row>
    <row r="368" customFormat="false" ht="12.75" hidden="false" customHeight="true" outlineLevel="0" collapsed="false">
      <c r="A368" s="456" t="n">
        <v>36717</v>
      </c>
      <c r="B368" s="458" t="s">
        <v>15563</v>
      </c>
      <c r="C368" s="458" t="n">
        <v>2011</v>
      </c>
      <c r="D368" s="459" t="n">
        <v>41043</v>
      </c>
      <c r="E368" s="460" t="s">
        <v>15564</v>
      </c>
      <c r="F368" s="380" t="s">
        <v>9490</v>
      </c>
      <c r="G368" s="460" t="s">
        <v>1174</v>
      </c>
      <c r="H368" s="380" t="s">
        <v>3493</v>
      </c>
      <c r="I368" s="459" t="n">
        <v>43089</v>
      </c>
      <c r="J368" s="460" t="n">
        <v>12</v>
      </c>
      <c r="K368" s="613" t="s">
        <v>50</v>
      </c>
      <c r="L368" s="458" t="s">
        <v>57</v>
      </c>
      <c r="M368" s="463" t="n">
        <f aca="false">I368-D368</f>
        <v>2046</v>
      </c>
    </row>
    <row r="369" customFormat="false" ht="12.75" hidden="false" customHeight="true" outlineLevel="0" collapsed="false">
      <c r="A369" s="449" t="n">
        <v>36817</v>
      </c>
      <c r="B369" s="450" t="s">
        <v>15565</v>
      </c>
      <c r="C369" s="450" t="n">
        <v>2013</v>
      </c>
      <c r="D369" s="451" t="n">
        <v>41599</v>
      </c>
      <c r="E369" s="452" t="s">
        <v>15566</v>
      </c>
      <c r="F369" s="378" t="s">
        <v>168</v>
      </c>
      <c r="G369" s="452" t="s">
        <v>441</v>
      </c>
      <c r="H369" s="378" t="s">
        <v>471</v>
      </c>
      <c r="I369" s="451" t="n">
        <v>43089</v>
      </c>
      <c r="J369" s="452" t="n">
        <v>12</v>
      </c>
      <c r="K369" s="616" t="s">
        <v>42</v>
      </c>
      <c r="L369" s="450" t="s">
        <v>60</v>
      </c>
      <c r="M369" s="455" t="n">
        <f aca="false">I369-D369</f>
        <v>1490</v>
      </c>
    </row>
    <row r="370" customFormat="false" ht="12.75" hidden="false" customHeight="true" outlineLevel="0" collapsed="false">
      <c r="A370" s="456" t="n">
        <v>36917</v>
      </c>
      <c r="B370" s="458" t="s">
        <v>15567</v>
      </c>
      <c r="C370" s="458" t="n">
        <v>2013</v>
      </c>
      <c r="D370" s="459" t="n">
        <v>41304</v>
      </c>
      <c r="E370" s="460" t="s">
        <v>15568</v>
      </c>
      <c r="F370" s="380" t="s">
        <v>4956</v>
      </c>
      <c r="G370" s="460" t="s">
        <v>1174</v>
      </c>
      <c r="H370" s="380" t="s">
        <v>3240</v>
      </c>
      <c r="I370" s="459" t="n">
        <v>43090</v>
      </c>
      <c r="J370" s="460" t="n">
        <v>12</v>
      </c>
      <c r="K370" s="615" t="s">
        <v>47</v>
      </c>
      <c r="L370" s="458" t="s">
        <v>58</v>
      </c>
      <c r="M370" s="463" t="n">
        <f aca="false">I370-D370</f>
        <v>1786</v>
      </c>
    </row>
    <row r="371" customFormat="false" ht="12.75" hidden="false" customHeight="true" outlineLevel="0" collapsed="false">
      <c r="A371" s="449" t="n">
        <v>37017</v>
      </c>
      <c r="B371" s="450" t="s">
        <v>15569</v>
      </c>
      <c r="C371" s="450" t="n">
        <v>2015</v>
      </c>
      <c r="D371" s="451" t="n">
        <v>42355</v>
      </c>
      <c r="E371" s="452" t="s">
        <v>15570</v>
      </c>
      <c r="F371" s="378" t="s">
        <v>1097</v>
      </c>
      <c r="G371" s="452" t="s">
        <v>1174</v>
      </c>
      <c r="H371" s="378" t="s">
        <v>350</v>
      </c>
      <c r="I371" s="451" t="n">
        <v>43090</v>
      </c>
      <c r="J371" s="452" t="n">
        <v>12</v>
      </c>
      <c r="K371" s="616" t="s">
        <v>42</v>
      </c>
      <c r="L371" s="450" t="s">
        <v>60</v>
      </c>
      <c r="M371" s="455" t="n">
        <f aca="false">I371-D371</f>
        <v>735</v>
      </c>
    </row>
    <row r="372" customFormat="false" ht="12.75" hidden="false" customHeight="true" outlineLevel="0" collapsed="false">
      <c r="A372" s="456" t="n">
        <v>37117</v>
      </c>
      <c r="B372" s="458" t="s">
        <v>15571</v>
      </c>
      <c r="C372" s="458" t="n">
        <v>2013</v>
      </c>
      <c r="D372" s="459" t="n">
        <v>41626</v>
      </c>
      <c r="E372" s="460" t="s">
        <v>15572</v>
      </c>
      <c r="F372" s="380" t="s">
        <v>1243</v>
      </c>
      <c r="G372" s="460" t="s">
        <v>1174</v>
      </c>
      <c r="H372" s="380" t="s">
        <v>706</v>
      </c>
      <c r="I372" s="459" t="n">
        <v>43090</v>
      </c>
      <c r="J372" s="460" t="n">
        <v>12</v>
      </c>
      <c r="K372" s="615" t="s">
        <v>47</v>
      </c>
      <c r="L372" s="458" t="s">
        <v>60</v>
      </c>
      <c r="M372" s="463" t="n">
        <f aca="false">I372-D372</f>
        <v>1464</v>
      </c>
    </row>
    <row r="373" customFormat="false" ht="12.75" hidden="false" customHeight="true" outlineLevel="0" collapsed="false">
      <c r="A373" s="449" t="n">
        <v>37217</v>
      </c>
      <c r="B373" s="450" t="s">
        <v>15573</v>
      </c>
      <c r="C373" s="450" t="n">
        <v>2012</v>
      </c>
      <c r="D373" s="451" t="n">
        <v>40982</v>
      </c>
      <c r="E373" s="452" t="s">
        <v>15574</v>
      </c>
      <c r="F373" s="378" t="s">
        <v>4675</v>
      </c>
      <c r="G373" s="452" t="s">
        <v>144</v>
      </c>
      <c r="H373" s="378" t="s">
        <v>10110</v>
      </c>
      <c r="I373" s="451" t="n">
        <v>43090</v>
      </c>
      <c r="J373" s="452" t="n">
        <v>12</v>
      </c>
      <c r="K373" s="615" t="s">
        <v>47</v>
      </c>
      <c r="L373" s="450" t="s">
        <v>60</v>
      </c>
      <c r="M373" s="455" t="n">
        <f aca="false">I373-D373</f>
        <v>2108</v>
      </c>
    </row>
    <row r="374" customFormat="false" ht="12.75" hidden="false" customHeight="true" outlineLevel="0" collapsed="false">
      <c r="A374" s="456" t="n">
        <v>37317</v>
      </c>
      <c r="B374" s="458" t="s">
        <v>15575</v>
      </c>
      <c r="C374" s="458" t="n">
        <v>2012</v>
      </c>
      <c r="D374" s="459" t="n">
        <v>41061</v>
      </c>
      <c r="E374" s="460" t="s">
        <v>15576</v>
      </c>
      <c r="F374" s="380" t="s">
        <v>4675</v>
      </c>
      <c r="G374" s="460" t="s">
        <v>144</v>
      </c>
      <c r="H374" s="380" t="s">
        <v>10110</v>
      </c>
      <c r="I374" s="459" t="n">
        <v>43090</v>
      </c>
      <c r="J374" s="460" t="n">
        <v>12</v>
      </c>
      <c r="K374" s="615" t="s">
        <v>47</v>
      </c>
      <c r="L374" s="458" t="s">
        <v>60</v>
      </c>
      <c r="M374" s="463" t="n">
        <f aca="false">I374-D374</f>
        <v>2029</v>
      </c>
    </row>
    <row r="375" customFormat="false" ht="12.75" hidden="false" customHeight="true" outlineLevel="0" collapsed="false">
      <c r="A375" s="449" t="n">
        <v>37417</v>
      </c>
      <c r="B375" s="450" t="s">
        <v>15577</v>
      </c>
      <c r="C375" s="450" t="n">
        <v>2012</v>
      </c>
      <c r="D375" s="451" t="n">
        <v>40956</v>
      </c>
      <c r="E375" s="452" t="s">
        <v>15578</v>
      </c>
      <c r="F375" s="378" t="s">
        <v>4675</v>
      </c>
      <c r="G375" s="452" t="s">
        <v>144</v>
      </c>
      <c r="H375" s="378" t="s">
        <v>10110</v>
      </c>
      <c r="I375" s="451" t="n">
        <v>43090</v>
      </c>
      <c r="J375" s="452" t="n">
        <v>12</v>
      </c>
      <c r="K375" s="615" t="s">
        <v>47</v>
      </c>
      <c r="L375" s="450" t="s">
        <v>60</v>
      </c>
      <c r="M375" s="455" t="n">
        <f aca="false">I375-D375</f>
        <v>2134</v>
      </c>
    </row>
    <row r="376" customFormat="false" ht="12.75" hidden="false" customHeight="true" outlineLevel="0" collapsed="false">
      <c r="A376" s="456" t="n">
        <v>37517</v>
      </c>
      <c r="B376" s="458" t="s">
        <v>15579</v>
      </c>
      <c r="C376" s="458" t="n">
        <v>2009</v>
      </c>
      <c r="D376" s="459" t="n">
        <v>39955</v>
      </c>
      <c r="E376" s="460" t="s">
        <v>15580</v>
      </c>
      <c r="F376" s="380" t="s">
        <v>10856</v>
      </c>
      <c r="G376" s="460" t="s">
        <v>441</v>
      </c>
      <c r="H376" s="380" t="s">
        <v>513</v>
      </c>
      <c r="I376" s="459" t="n">
        <v>43090</v>
      </c>
      <c r="J376" s="460" t="n">
        <v>12</v>
      </c>
      <c r="K376" s="616" t="s">
        <v>42</v>
      </c>
      <c r="L376" s="458" t="s">
        <v>60</v>
      </c>
      <c r="M376" s="463" t="n">
        <f aca="false">I376-D376</f>
        <v>3135</v>
      </c>
    </row>
    <row r="377" customFormat="false" ht="12.75" hidden="false" customHeight="true" outlineLevel="0" collapsed="false">
      <c r="A377" s="449" t="n">
        <v>37617</v>
      </c>
      <c r="B377" s="450" t="s">
        <v>15581</v>
      </c>
      <c r="C377" s="450" t="n">
        <v>2009</v>
      </c>
      <c r="D377" s="451" t="n">
        <v>39954</v>
      </c>
      <c r="E377" s="452" t="s">
        <v>15582</v>
      </c>
      <c r="F377" s="378" t="s">
        <v>10856</v>
      </c>
      <c r="G377" s="452" t="s">
        <v>441</v>
      </c>
      <c r="H377" s="378" t="s">
        <v>513</v>
      </c>
      <c r="I377" s="451" t="n">
        <v>43090</v>
      </c>
      <c r="J377" s="452" t="n">
        <v>12</v>
      </c>
      <c r="K377" s="616" t="s">
        <v>42</v>
      </c>
      <c r="L377" s="450" t="s">
        <v>60</v>
      </c>
      <c r="M377" s="455" t="n">
        <f aca="false">I377-D377</f>
        <v>3136</v>
      </c>
    </row>
    <row r="378" customFormat="false" ht="12.75" hidden="false" customHeight="true" outlineLevel="0" collapsed="false">
      <c r="A378" s="456" t="n">
        <v>37717</v>
      </c>
      <c r="B378" s="458" t="s">
        <v>15583</v>
      </c>
      <c r="C378" s="458" t="n">
        <v>2010</v>
      </c>
      <c r="D378" s="459" t="n">
        <v>40387</v>
      </c>
      <c r="E378" s="460" t="s">
        <v>15584</v>
      </c>
      <c r="F378" s="380" t="s">
        <v>569</v>
      </c>
      <c r="G378" s="460" t="s">
        <v>441</v>
      </c>
      <c r="H378" s="380" t="s">
        <v>223</v>
      </c>
      <c r="I378" s="459" t="n">
        <v>43090</v>
      </c>
      <c r="J378" s="460" t="n">
        <v>12</v>
      </c>
      <c r="K378" s="615" t="s">
        <v>47</v>
      </c>
      <c r="L378" s="458" t="s">
        <v>58</v>
      </c>
      <c r="M378" s="463" t="n">
        <f aca="false">I378-D378</f>
        <v>2703</v>
      </c>
    </row>
    <row r="379" customFormat="false" ht="12.75" hidden="false" customHeight="true" outlineLevel="0" collapsed="false">
      <c r="A379" s="449" t="n">
        <v>37817</v>
      </c>
      <c r="B379" s="450" t="s">
        <v>15585</v>
      </c>
      <c r="C379" s="450" t="n">
        <v>2010</v>
      </c>
      <c r="D379" s="451" t="n">
        <v>40288</v>
      </c>
      <c r="E379" s="452" t="s">
        <v>15586</v>
      </c>
      <c r="F379" s="378" t="s">
        <v>5241</v>
      </c>
      <c r="G379" s="452" t="s">
        <v>441</v>
      </c>
      <c r="H379" s="378" t="s">
        <v>223</v>
      </c>
      <c r="I379" s="451" t="n">
        <v>43090</v>
      </c>
      <c r="J379" s="452" t="n">
        <v>12</v>
      </c>
      <c r="K379" s="615" t="s">
        <v>47</v>
      </c>
      <c r="L379" s="450" t="s">
        <v>60</v>
      </c>
      <c r="M379" s="455" t="n">
        <f aca="false">I379-D379</f>
        <v>2802</v>
      </c>
    </row>
    <row r="380" customFormat="false" ht="12.75" hidden="false" customHeight="true" outlineLevel="0" collapsed="false">
      <c r="A380" s="456" t="n">
        <v>37917</v>
      </c>
      <c r="B380" s="458" t="s">
        <v>15587</v>
      </c>
      <c r="C380" s="458" t="n">
        <v>2017</v>
      </c>
      <c r="D380" s="459" t="n">
        <v>42779</v>
      </c>
      <c r="E380" s="460" t="s">
        <v>15588</v>
      </c>
      <c r="F380" s="380" t="s">
        <v>211</v>
      </c>
      <c r="G380" s="460" t="s">
        <v>1174</v>
      </c>
      <c r="H380" s="380" t="s">
        <v>350</v>
      </c>
      <c r="I380" s="459" t="n">
        <v>43091</v>
      </c>
      <c r="J380" s="460" t="n">
        <v>12</v>
      </c>
      <c r="K380" s="616" t="s">
        <v>42</v>
      </c>
      <c r="L380" s="458" t="s">
        <v>58</v>
      </c>
      <c r="M380" s="463" t="n">
        <f aca="false">I380-D380</f>
        <v>312</v>
      </c>
    </row>
    <row r="381" customFormat="false" ht="12.75" hidden="false" customHeight="true" outlineLevel="0" collapsed="false">
      <c r="A381" s="449" t="n">
        <v>38017</v>
      </c>
      <c r="B381" s="450" t="s">
        <v>15589</v>
      </c>
      <c r="C381" s="450" t="n">
        <v>2011</v>
      </c>
      <c r="D381" s="451" t="n">
        <v>40737</v>
      </c>
      <c r="E381" s="452" t="s">
        <v>15590</v>
      </c>
      <c r="F381" s="378" t="s">
        <v>211</v>
      </c>
      <c r="G381" s="452" t="s">
        <v>1174</v>
      </c>
      <c r="H381" s="378" t="s">
        <v>1567</v>
      </c>
      <c r="I381" s="451" t="n">
        <v>43091</v>
      </c>
      <c r="J381" s="452" t="n">
        <v>12</v>
      </c>
      <c r="K381" s="616" t="s">
        <v>42</v>
      </c>
      <c r="L381" s="450" t="s">
        <v>58</v>
      </c>
      <c r="M381" s="455" t="n">
        <f aca="false">I381-D381</f>
        <v>2354</v>
      </c>
    </row>
    <row r="382" customFormat="false" ht="12.75" hidden="false" customHeight="true" outlineLevel="0" collapsed="false">
      <c r="A382" s="456" t="n">
        <v>38117</v>
      </c>
      <c r="B382" s="458" t="s">
        <v>15591</v>
      </c>
      <c r="C382" s="458" t="n">
        <v>2013</v>
      </c>
      <c r="D382" s="459" t="n">
        <v>41557</v>
      </c>
      <c r="E382" s="460" t="s">
        <v>15592</v>
      </c>
      <c r="F382" s="380" t="s">
        <v>902</v>
      </c>
      <c r="G382" s="460" t="s">
        <v>441</v>
      </c>
      <c r="H382" s="380" t="s">
        <v>6674</v>
      </c>
      <c r="I382" s="459" t="n">
        <v>43091</v>
      </c>
      <c r="J382" s="460" t="n">
        <v>12</v>
      </c>
      <c r="K382" s="616" t="s">
        <v>42</v>
      </c>
      <c r="L382" s="458" t="s">
        <v>58</v>
      </c>
      <c r="M382" s="463" t="n">
        <f aca="false">I382-D382</f>
        <v>1534</v>
      </c>
    </row>
    <row r="383" customFormat="false" ht="12.75" hidden="false" customHeight="true" outlineLevel="0" collapsed="false">
      <c r="A383" s="449" t="n">
        <v>38217</v>
      </c>
      <c r="B383" s="450" t="s">
        <v>15593</v>
      </c>
      <c r="C383" s="450" t="n">
        <v>2017</v>
      </c>
      <c r="D383" s="451" t="n">
        <v>42797</v>
      </c>
      <c r="E383" s="452" t="s">
        <v>15594</v>
      </c>
      <c r="F383" s="378" t="s">
        <v>211</v>
      </c>
      <c r="G383" s="452" t="s">
        <v>1174</v>
      </c>
      <c r="H383" s="378" t="s">
        <v>223</v>
      </c>
      <c r="I383" s="451" t="n">
        <v>43091</v>
      </c>
      <c r="J383" s="452" t="n">
        <v>12</v>
      </c>
      <c r="K383" s="616" t="s">
        <v>42</v>
      </c>
      <c r="L383" s="450" t="s">
        <v>58</v>
      </c>
      <c r="M383" s="455" t="n">
        <f aca="false">I383-D383</f>
        <v>294</v>
      </c>
    </row>
    <row r="384" customFormat="false" ht="12.75" hidden="false" customHeight="true" outlineLevel="0" collapsed="false">
      <c r="A384" s="456" t="n">
        <v>38317</v>
      </c>
      <c r="B384" s="458" t="s">
        <v>15595</v>
      </c>
      <c r="C384" s="458" t="n">
        <v>2011</v>
      </c>
      <c r="D384" s="459" t="n">
        <v>40807</v>
      </c>
      <c r="E384" s="460" t="s">
        <v>15596</v>
      </c>
      <c r="F384" s="380" t="s">
        <v>699</v>
      </c>
      <c r="G384" s="460" t="s">
        <v>1174</v>
      </c>
      <c r="H384" s="380" t="s">
        <v>706</v>
      </c>
      <c r="I384" s="459" t="n">
        <v>43091</v>
      </c>
      <c r="J384" s="460" t="n">
        <v>12</v>
      </c>
      <c r="K384" s="616" t="s">
        <v>42</v>
      </c>
      <c r="L384" s="458" t="s">
        <v>60</v>
      </c>
      <c r="M384" s="463" t="n">
        <f aca="false">I384-D384</f>
        <v>2284</v>
      </c>
    </row>
    <row r="385" customFormat="false" ht="12.75" hidden="false" customHeight="true" outlineLevel="0" collapsed="false">
      <c r="A385" s="449" t="n">
        <v>38417</v>
      </c>
      <c r="B385" s="450" t="s">
        <v>15597</v>
      </c>
      <c r="C385" s="450" t="n">
        <v>2012</v>
      </c>
      <c r="D385" s="451" t="n">
        <v>41190</v>
      </c>
      <c r="E385" s="452" t="s">
        <v>15598</v>
      </c>
      <c r="F385" s="378" t="s">
        <v>699</v>
      </c>
      <c r="G385" s="452" t="s">
        <v>1174</v>
      </c>
      <c r="H385" s="378" t="s">
        <v>5907</v>
      </c>
      <c r="I385" s="451" t="n">
        <v>43091</v>
      </c>
      <c r="J385" s="452" t="n">
        <v>12</v>
      </c>
      <c r="K385" s="616" t="s">
        <v>42</v>
      </c>
      <c r="L385" s="450" t="s">
        <v>60</v>
      </c>
      <c r="M385" s="455" t="n">
        <f aca="false">I385-D385</f>
        <v>1901</v>
      </c>
    </row>
    <row r="386" customFormat="false" ht="12.75" hidden="false" customHeight="true" outlineLevel="0" collapsed="false">
      <c r="A386" s="456" t="n">
        <v>38517</v>
      </c>
      <c r="B386" s="458" t="s">
        <v>15599</v>
      </c>
      <c r="C386" s="458" t="n">
        <v>2017</v>
      </c>
      <c r="D386" s="459" t="n">
        <v>42782</v>
      </c>
      <c r="E386" s="460" t="s">
        <v>15600</v>
      </c>
      <c r="F386" s="380" t="s">
        <v>449</v>
      </c>
      <c r="G386" s="460" t="s">
        <v>1174</v>
      </c>
      <c r="H386" s="380" t="s">
        <v>5263</v>
      </c>
      <c r="I386" s="459" t="n">
        <v>43091</v>
      </c>
      <c r="J386" s="460" t="n">
        <v>12</v>
      </c>
      <c r="K386" s="615" t="s">
        <v>47</v>
      </c>
      <c r="L386" s="458" t="s">
        <v>58</v>
      </c>
      <c r="M386" s="463" t="n">
        <f aca="false">I386-D386</f>
        <v>309</v>
      </c>
    </row>
    <row r="387" customFormat="false" ht="12.75" hidden="false" customHeight="true" outlineLevel="0" collapsed="false">
      <c r="A387" s="449" t="n">
        <v>38617</v>
      </c>
      <c r="B387" s="450" t="s">
        <v>15601</v>
      </c>
      <c r="C387" s="450" t="n">
        <v>2012</v>
      </c>
      <c r="D387" s="451" t="n">
        <v>41180</v>
      </c>
      <c r="E387" s="452" t="s">
        <v>15602</v>
      </c>
      <c r="F387" s="378" t="s">
        <v>15147</v>
      </c>
      <c r="G387" s="452" t="s">
        <v>144</v>
      </c>
      <c r="H387" s="378" t="s">
        <v>10110</v>
      </c>
      <c r="I387" s="451" t="n">
        <v>43091</v>
      </c>
      <c r="J387" s="452" t="n">
        <v>12</v>
      </c>
      <c r="K387" s="616" t="s">
        <v>42</v>
      </c>
      <c r="L387" s="450" t="s">
        <v>60</v>
      </c>
      <c r="M387" s="455" t="n">
        <f aca="false">I387-D387</f>
        <v>1911</v>
      </c>
    </row>
    <row r="388" customFormat="false" ht="12.75" hidden="false" customHeight="true" outlineLevel="0" collapsed="false">
      <c r="A388" s="456" t="n">
        <v>38717</v>
      </c>
      <c r="B388" s="458" t="s">
        <v>15603</v>
      </c>
      <c r="C388" s="458" t="n">
        <v>2014</v>
      </c>
      <c r="D388" s="459" t="n">
        <v>41968</v>
      </c>
      <c r="E388" s="460" t="s">
        <v>15604</v>
      </c>
      <c r="F388" s="380" t="s">
        <v>15147</v>
      </c>
      <c r="G388" s="460" t="s">
        <v>144</v>
      </c>
      <c r="H388" s="380" t="s">
        <v>10110</v>
      </c>
      <c r="I388" s="459" t="n">
        <v>43091</v>
      </c>
      <c r="J388" s="460" t="n">
        <v>12</v>
      </c>
      <c r="K388" s="616" t="s">
        <v>42</v>
      </c>
      <c r="L388" s="458" t="s">
        <v>60</v>
      </c>
      <c r="M388" s="463" t="n">
        <f aca="false">I388-D388</f>
        <v>1123</v>
      </c>
    </row>
    <row r="389" customFormat="false" ht="12.75" hidden="false" customHeight="true" outlineLevel="0" collapsed="false">
      <c r="A389" s="449" t="n">
        <v>38817</v>
      </c>
      <c r="B389" s="450" t="s">
        <v>15605</v>
      </c>
      <c r="C389" s="450" t="n">
        <v>2012</v>
      </c>
      <c r="D389" s="451" t="n">
        <v>41051</v>
      </c>
      <c r="E389" s="452" t="s">
        <v>15606</v>
      </c>
      <c r="F389" s="378" t="s">
        <v>211</v>
      </c>
      <c r="G389" s="452" t="s">
        <v>1174</v>
      </c>
      <c r="H389" s="378" t="s">
        <v>1072</v>
      </c>
      <c r="I389" s="451" t="n">
        <v>43095</v>
      </c>
      <c r="J389" s="452" t="n">
        <v>12</v>
      </c>
      <c r="K389" s="616" t="s">
        <v>42</v>
      </c>
      <c r="L389" s="450" t="s">
        <v>58</v>
      </c>
      <c r="M389" s="455" t="n">
        <f aca="false">I389-D389</f>
        <v>2044</v>
      </c>
    </row>
    <row r="390" customFormat="false" ht="12.75" hidden="false" customHeight="true" outlineLevel="0" collapsed="false">
      <c r="A390" s="456" t="n">
        <v>38917</v>
      </c>
      <c r="B390" s="458" t="s">
        <v>15607</v>
      </c>
      <c r="C390" s="458" t="n">
        <v>2014</v>
      </c>
      <c r="D390" s="459" t="n">
        <v>41696</v>
      </c>
      <c r="E390" s="460" t="s">
        <v>15608</v>
      </c>
      <c r="F390" s="380" t="s">
        <v>689</v>
      </c>
      <c r="G390" s="460" t="s">
        <v>441</v>
      </c>
      <c r="H390" s="380" t="s">
        <v>184</v>
      </c>
      <c r="I390" s="459" t="n">
        <v>43095</v>
      </c>
      <c r="J390" s="460" t="n">
        <v>12</v>
      </c>
      <c r="K390" s="615" t="s">
        <v>47</v>
      </c>
      <c r="L390" s="458" t="s">
        <v>60</v>
      </c>
      <c r="M390" s="463" t="n">
        <f aca="false">I390-D390</f>
        <v>1399</v>
      </c>
    </row>
    <row r="391" customFormat="false" ht="12.75" hidden="false" customHeight="true" outlineLevel="0" collapsed="false">
      <c r="A391" s="449" t="n">
        <v>39017</v>
      </c>
      <c r="B391" s="450" t="s">
        <v>15609</v>
      </c>
      <c r="C391" s="450" t="n">
        <v>2015</v>
      </c>
      <c r="D391" s="451" t="n">
        <v>42081</v>
      </c>
      <c r="E391" s="452" t="s">
        <v>15610</v>
      </c>
      <c r="F391" s="537" t="s">
        <v>15611</v>
      </c>
      <c r="G391" s="452" t="s">
        <v>125</v>
      </c>
      <c r="H391" s="378" t="s">
        <v>10663</v>
      </c>
      <c r="I391" s="451" t="n">
        <v>43096</v>
      </c>
      <c r="J391" s="452" t="n">
        <v>12</v>
      </c>
      <c r="K391" s="614" t="s">
        <v>45</v>
      </c>
      <c r="L391" s="450" t="s">
        <v>61</v>
      </c>
      <c r="M391" s="455" t="n">
        <f aca="false">I391-D391</f>
        <v>1015</v>
      </c>
    </row>
    <row r="392" customFormat="false" ht="12.75" hidden="false" customHeight="true" outlineLevel="0" collapsed="false">
      <c r="A392" s="456" t="n">
        <v>39117</v>
      </c>
      <c r="B392" s="458" t="s">
        <v>15612</v>
      </c>
      <c r="C392" s="458" t="n">
        <v>2013</v>
      </c>
      <c r="D392" s="459" t="n">
        <v>41628</v>
      </c>
      <c r="E392" s="460" t="s">
        <v>15613</v>
      </c>
      <c r="F392" s="380" t="s">
        <v>15614</v>
      </c>
      <c r="G392" s="460" t="s">
        <v>115</v>
      </c>
      <c r="H392" s="380" t="s">
        <v>134</v>
      </c>
      <c r="I392" s="459" t="n">
        <v>43096</v>
      </c>
      <c r="J392" s="460" t="n">
        <v>12</v>
      </c>
      <c r="K392" s="616" t="s">
        <v>42</v>
      </c>
      <c r="L392" s="458" t="s">
        <v>58</v>
      </c>
      <c r="M392" s="463" t="n">
        <f aca="false">I392-D392</f>
        <v>1468</v>
      </c>
    </row>
    <row r="393" customFormat="false" ht="12.75" hidden="false" customHeight="true" outlineLevel="0" collapsed="false">
      <c r="A393" s="449" t="n">
        <v>39217</v>
      </c>
      <c r="B393" s="450" t="s">
        <v>15615</v>
      </c>
      <c r="C393" s="450" t="n">
        <v>2011</v>
      </c>
      <c r="D393" s="451" t="n">
        <v>40870</v>
      </c>
      <c r="E393" s="452" t="s">
        <v>15616</v>
      </c>
      <c r="F393" s="378" t="s">
        <v>1527</v>
      </c>
      <c r="G393" s="452" t="s">
        <v>441</v>
      </c>
      <c r="H393" s="378" t="s">
        <v>1305</v>
      </c>
      <c r="I393" s="451" t="n">
        <v>43096</v>
      </c>
      <c r="J393" s="452" t="n">
        <v>12</v>
      </c>
      <c r="K393" s="616" t="s">
        <v>42</v>
      </c>
      <c r="L393" s="450" t="s">
        <v>58</v>
      </c>
      <c r="M393" s="455" t="n">
        <f aca="false">I393-D393</f>
        <v>2226</v>
      </c>
    </row>
    <row r="394" customFormat="false" ht="12.75" hidden="false" customHeight="true" outlineLevel="0" collapsed="false">
      <c r="A394" s="456" t="n">
        <v>39317</v>
      </c>
      <c r="B394" s="458" t="s">
        <v>15617</v>
      </c>
      <c r="C394" s="458" t="n">
        <v>2011</v>
      </c>
      <c r="D394" s="459" t="n">
        <v>40856</v>
      </c>
      <c r="E394" s="460" t="s">
        <v>15618</v>
      </c>
      <c r="F394" s="380" t="s">
        <v>1527</v>
      </c>
      <c r="G394" s="460" t="s">
        <v>441</v>
      </c>
      <c r="H394" s="380" t="s">
        <v>1305</v>
      </c>
      <c r="I394" s="459" t="n">
        <v>43096</v>
      </c>
      <c r="J394" s="460" t="n">
        <v>12</v>
      </c>
      <c r="K394" s="616" t="s">
        <v>42</v>
      </c>
      <c r="L394" s="458" t="s">
        <v>58</v>
      </c>
      <c r="M394" s="463" t="n">
        <f aca="false">I394-D394</f>
        <v>2240</v>
      </c>
    </row>
    <row r="395" customFormat="false" ht="12.75" hidden="false" customHeight="true" outlineLevel="0" collapsed="false">
      <c r="A395" s="449" t="n">
        <v>39417</v>
      </c>
      <c r="B395" s="450" t="s">
        <v>15619</v>
      </c>
      <c r="C395" s="450" t="n">
        <v>2016</v>
      </c>
      <c r="D395" s="451" t="n">
        <v>42447</v>
      </c>
      <c r="E395" s="452" t="s">
        <v>15620</v>
      </c>
      <c r="F395" s="378" t="s">
        <v>15621</v>
      </c>
      <c r="G395" s="452" t="s">
        <v>125</v>
      </c>
      <c r="H395" s="378" t="s">
        <v>14544</v>
      </c>
      <c r="I395" s="451" t="n">
        <v>43097</v>
      </c>
      <c r="J395" s="452" t="n">
        <v>12</v>
      </c>
      <c r="K395" s="613" t="s">
        <v>50</v>
      </c>
      <c r="L395" s="450" t="s">
        <v>61</v>
      </c>
      <c r="M395" s="455" t="n">
        <f aca="false">I395-D395</f>
        <v>650</v>
      </c>
    </row>
    <row r="396" customFormat="false" ht="12.75" hidden="false" customHeight="true" outlineLevel="0" collapsed="false">
      <c r="A396" s="456" t="n">
        <v>39517</v>
      </c>
      <c r="B396" s="458" t="s">
        <v>15622</v>
      </c>
      <c r="C396" s="458" t="n">
        <v>2017</v>
      </c>
      <c r="D396" s="459" t="n">
        <v>42775</v>
      </c>
      <c r="E396" s="460" t="s">
        <v>15623</v>
      </c>
      <c r="F396" s="536" t="s">
        <v>15624</v>
      </c>
      <c r="G396" s="460" t="s">
        <v>125</v>
      </c>
      <c r="H396" s="380" t="s">
        <v>13256</v>
      </c>
      <c r="I396" s="459" t="n">
        <v>43097</v>
      </c>
      <c r="J396" s="460" t="n">
        <v>12</v>
      </c>
      <c r="K396" s="613" t="s">
        <v>50</v>
      </c>
      <c r="L396" s="458" t="s">
        <v>61</v>
      </c>
      <c r="M396" s="463" t="n">
        <f aca="false">I396-D396</f>
        <v>322</v>
      </c>
    </row>
    <row r="397" customFormat="false" ht="12.75" hidden="false" customHeight="true" outlineLevel="0" collapsed="false">
      <c r="A397" s="449" t="n">
        <v>39617</v>
      </c>
      <c r="B397" s="450" t="s">
        <v>15625</v>
      </c>
      <c r="C397" s="450" t="n">
        <v>2011</v>
      </c>
      <c r="D397" s="451" t="n">
        <v>40907</v>
      </c>
      <c r="E397" s="452" t="s">
        <v>15626</v>
      </c>
      <c r="F397" s="378" t="s">
        <v>3924</v>
      </c>
      <c r="G397" s="452" t="s">
        <v>441</v>
      </c>
      <c r="H397" s="378" t="s">
        <v>706</v>
      </c>
      <c r="I397" s="451" t="n">
        <v>43097</v>
      </c>
      <c r="J397" s="452" t="n">
        <v>12</v>
      </c>
      <c r="K397" s="616" t="s">
        <v>42</v>
      </c>
      <c r="L397" s="450" t="s">
        <v>58</v>
      </c>
      <c r="M397" s="455" t="n">
        <f aca="false">I397-D397</f>
        <v>2190</v>
      </c>
    </row>
    <row r="398" customFormat="false" ht="12.75" hidden="false" customHeight="true" outlineLevel="0" collapsed="false">
      <c r="A398" s="456" t="n">
        <v>39717</v>
      </c>
      <c r="B398" s="458" t="s">
        <v>15627</v>
      </c>
      <c r="C398" s="458" t="n">
        <v>2012</v>
      </c>
      <c r="D398" s="459" t="n">
        <v>41143</v>
      </c>
      <c r="E398" s="460" t="s">
        <v>15628</v>
      </c>
      <c r="F398" s="380" t="s">
        <v>699</v>
      </c>
      <c r="G398" s="460" t="s">
        <v>441</v>
      </c>
      <c r="H398" s="380" t="s">
        <v>3727</v>
      </c>
      <c r="I398" s="459" t="n">
        <v>43097</v>
      </c>
      <c r="J398" s="460" t="n">
        <v>12</v>
      </c>
      <c r="K398" s="616" t="s">
        <v>42</v>
      </c>
      <c r="L398" s="458" t="s">
        <v>60</v>
      </c>
      <c r="M398" s="463" t="n">
        <f aca="false">I398-D398</f>
        <v>1954</v>
      </c>
    </row>
    <row r="399" customFormat="false" ht="12.75" hidden="false" customHeight="true" outlineLevel="0" collapsed="false">
      <c r="A399" s="449" t="n">
        <v>39817</v>
      </c>
      <c r="B399" s="450" t="s">
        <v>15629</v>
      </c>
      <c r="C399" s="450" t="n">
        <v>2016</v>
      </c>
      <c r="D399" s="451" t="n">
        <v>42692</v>
      </c>
      <c r="E399" s="452" t="s">
        <v>15630</v>
      </c>
      <c r="F399" s="378" t="s">
        <v>15631</v>
      </c>
      <c r="G399" s="452" t="s">
        <v>130</v>
      </c>
      <c r="H399" s="378" t="s">
        <v>980</v>
      </c>
      <c r="I399" s="451" t="n">
        <v>43097</v>
      </c>
      <c r="J399" s="452" t="n">
        <v>12</v>
      </c>
      <c r="K399" s="613" t="s">
        <v>50</v>
      </c>
      <c r="L399" s="450" t="s">
        <v>61</v>
      </c>
      <c r="M399" s="455" t="n">
        <f aca="false">I399-D399</f>
        <v>405</v>
      </c>
    </row>
    <row r="400" customFormat="false" ht="12.75" hidden="false" customHeight="true" outlineLevel="0" collapsed="false">
      <c r="A400" s="456" t="n">
        <v>39917</v>
      </c>
      <c r="B400" s="458" t="s">
        <v>15632</v>
      </c>
      <c r="C400" s="458" t="n">
        <v>2017</v>
      </c>
      <c r="D400" s="459" t="n">
        <v>42775</v>
      </c>
      <c r="E400" s="460" t="s">
        <v>15633</v>
      </c>
      <c r="F400" s="380" t="s">
        <v>6315</v>
      </c>
      <c r="G400" s="460" t="s">
        <v>130</v>
      </c>
      <c r="H400" s="380" t="s">
        <v>15634</v>
      </c>
      <c r="I400" s="459" t="n">
        <v>43097</v>
      </c>
      <c r="J400" s="460" t="n">
        <v>12</v>
      </c>
      <c r="K400" s="613" t="s">
        <v>50</v>
      </c>
      <c r="L400" s="458" t="s">
        <v>61</v>
      </c>
      <c r="M400" s="463" t="n">
        <f aca="false">I400-D400</f>
        <v>322</v>
      </c>
    </row>
    <row r="401" customFormat="false" ht="12.75" hidden="false" customHeight="true" outlineLevel="0" collapsed="false">
      <c r="A401" s="449" t="n">
        <v>40017</v>
      </c>
      <c r="B401" s="450" t="s">
        <v>15635</v>
      </c>
      <c r="C401" s="450" t="n">
        <v>2011</v>
      </c>
      <c r="D401" s="451" t="n">
        <v>40827</v>
      </c>
      <c r="E401" s="452" t="s">
        <v>15636</v>
      </c>
      <c r="F401" s="378" t="s">
        <v>1080</v>
      </c>
      <c r="G401" s="452" t="s">
        <v>441</v>
      </c>
      <c r="H401" s="378" t="s">
        <v>1305</v>
      </c>
      <c r="I401" s="451" t="n">
        <v>43098</v>
      </c>
      <c r="J401" s="452" t="n">
        <v>12</v>
      </c>
      <c r="K401" s="616" t="s">
        <v>42</v>
      </c>
      <c r="L401" s="450" t="s">
        <v>58</v>
      </c>
      <c r="M401" s="455" t="n">
        <f aca="false">I401-D401</f>
        <v>2271</v>
      </c>
    </row>
    <row r="402" customFormat="false" ht="12.75" hidden="false" customHeight="true" outlineLevel="0" collapsed="false">
      <c r="A402" s="456" t="n">
        <v>40117</v>
      </c>
      <c r="B402" s="458" t="s">
        <v>15637</v>
      </c>
      <c r="C402" s="458" t="n">
        <v>2010</v>
      </c>
      <c r="D402" s="459" t="n">
        <v>40303</v>
      </c>
      <c r="E402" s="460" t="s">
        <v>15638</v>
      </c>
      <c r="F402" s="380" t="s">
        <v>1080</v>
      </c>
      <c r="G402" s="460" t="s">
        <v>441</v>
      </c>
      <c r="H402" s="380" t="s">
        <v>13816</v>
      </c>
      <c r="I402" s="459" t="n">
        <v>43098</v>
      </c>
      <c r="J402" s="460" t="n">
        <v>12</v>
      </c>
      <c r="K402" s="615" t="s">
        <v>47</v>
      </c>
      <c r="L402" s="458" t="s">
        <v>60</v>
      </c>
      <c r="M402" s="463" t="n">
        <f aca="false">I402-D402</f>
        <v>2795</v>
      </c>
    </row>
    <row r="403" customFormat="false" ht="12.75" hidden="false" customHeight="true" outlineLevel="0" collapsed="false">
      <c r="A403" s="449" t="n">
        <v>40217</v>
      </c>
      <c r="B403" s="450" t="s">
        <v>15639</v>
      </c>
      <c r="C403" s="450" t="n">
        <v>2010</v>
      </c>
      <c r="D403" s="451" t="n">
        <v>40245</v>
      </c>
      <c r="E403" s="452" t="s">
        <v>15640</v>
      </c>
      <c r="F403" s="378" t="s">
        <v>1080</v>
      </c>
      <c r="G403" s="452" t="s">
        <v>441</v>
      </c>
      <c r="H403" s="378" t="s">
        <v>6570</v>
      </c>
      <c r="I403" s="451" t="n">
        <v>43098</v>
      </c>
      <c r="J403" s="452" t="n">
        <v>12</v>
      </c>
      <c r="K403" s="616" t="s">
        <v>42</v>
      </c>
      <c r="L403" s="450" t="s">
        <v>58</v>
      </c>
      <c r="M403" s="455" t="n">
        <f aca="false">I403-D403</f>
        <v>2853</v>
      </c>
    </row>
    <row r="404" customFormat="false" ht="12.75" hidden="false" customHeight="true" outlineLevel="0" collapsed="false">
      <c r="A404" s="456" t="n">
        <v>40317</v>
      </c>
      <c r="B404" s="458" t="s">
        <v>15641</v>
      </c>
      <c r="C404" s="458" t="n">
        <v>2017</v>
      </c>
      <c r="D404" s="459" t="n">
        <v>43031</v>
      </c>
      <c r="E404" s="460" t="s">
        <v>15642</v>
      </c>
      <c r="F404" s="380" t="s">
        <v>15643</v>
      </c>
      <c r="G404" s="460" t="s">
        <v>130</v>
      </c>
      <c r="H404" s="380" t="s">
        <v>149</v>
      </c>
      <c r="I404" s="459" t="n">
        <v>43098</v>
      </c>
      <c r="J404" s="460" t="n">
        <v>12</v>
      </c>
      <c r="K404" s="613" t="s">
        <v>2407</v>
      </c>
      <c r="L404" s="458" t="s">
        <v>61</v>
      </c>
      <c r="M404" s="463" t="n">
        <f aca="false">I404-D404</f>
        <v>67</v>
      </c>
    </row>
    <row r="405" customFormat="false" ht="12.75" hidden="false" customHeight="true" outlineLevel="0" collapsed="false">
      <c r="A405" s="449" t="n">
        <v>40417</v>
      </c>
      <c r="B405" s="450" t="s">
        <v>15644</v>
      </c>
      <c r="C405" s="450" t="n">
        <v>2016</v>
      </c>
      <c r="D405" s="451" t="n">
        <v>42717</v>
      </c>
      <c r="E405" s="452" t="s">
        <v>15645</v>
      </c>
      <c r="F405" s="378" t="s">
        <v>9105</v>
      </c>
      <c r="G405" s="452" t="s">
        <v>130</v>
      </c>
      <c r="H405" s="378" t="s">
        <v>15144</v>
      </c>
      <c r="I405" s="451" t="n">
        <v>43098</v>
      </c>
      <c r="J405" s="452" t="n">
        <v>12</v>
      </c>
      <c r="K405" s="613" t="s">
        <v>50</v>
      </c>
      <c r="L405" s="450" t="s">
        <v>61</v>
      </c>
      <c r="M405" s="455" t="n">
        <f aca="false">I405-D405</f>
        <v>381</v>
      </c>
    </row>
    <row r="406" customFormat="false" ht="12.75" hidden="false" customHeight="true" outlineLevel="0" collapsed="false">
      <c r="A406" s="456" t="n">
        <v>40517</v>
      </c>
      <c r="B406" s="458" t="s">
        <v>15646</v>
      </c>
      <c r="C406" s="458" t="n">
        <v>2017</v>
      </c>
      <c r="D406" s="459" t="n">
        <v>42859</v>
      </c>
      <c r="E406" s="460" t="s">
        <v>15647</v>
      </c>
      <c r="F406" s="536" t="s">
        <v>3207</v>
      </c>
      <c r="G406" s="460" t="s">
        <v>130</v>
      </c>
      <c r="H406" s="380" t="s">
        <v>9458</v>
      </c>
      <c r="I406" s="459" t="n">
        <v>43098</v>
      </c>
      <c r="J406" s="460" t="n">
        <v>12</v>
      </c>
      <c r="K406" s="613" t="s">
        <v>2407</v>
      </c>
      <c r="L406" s="458" t="s">
        <v>61</v>
      </c>
      <c r="M406" s="463" t="n">
        <f aca="false">I406-D406</f>
        <v>239</v>
      </c>
    </row>
  </sheetData>
  <autoFilter ref="A1:L406"/>
  <mergeCells count="76">
    <mergeCell ref="O2:P2"/>
    <mergeCell ref="O14:S15"/>
    <mergeCell ref="O16:S16"/>
    <mergeCell ref="O17:S17"/>
    <mergeCell ref="O18:S18"/>
    <mergeCell ref="O19:S19"/>
    <mergeCell ref="O20:S20"/>
    <mergeCell ref="O21:S21"/>
    <mergeCell ref="O22:S22"/>
    <mergeCell ref="O23:S23"/>
    <mergeCell ref="O24:S24"/>
    <mergeCell ref="O26:S27"/>
    <mergeCell ref="P28:R28"/>
    <mergeCell ref="P29:R29"/>
    <mergeCell ref="P30:R30"/>
    <mergeCell ref="P31:R31"/>
    <mergeCell ref="P32:R32"/>
    <mergeCell ref="P33:R33"/>
    <mergeCell ref="P34:R34"/>
    <mergeCell ref="P35:R35"/>
    <mergeCell ref="P36:R36"/>
    <mergeCell ref="P37:R37"/>
    <mergeCell ref="P38:R38"/>
    <mergeCell ref="P39:R39"/>
    <mergeCell ref="P40:R40"/>
    <mergeCell ref="P41:R41"/>
    <mergeCell ref="P42:R42"/>
    <mergeCell ref="O44:S45"/>
    <mergeCell ref="P46:R46"/>
    <mergeCell ref="P47:R47"/>
    <mergeCell ref="P48:R48"/>
    <mergeCell ref="P49:R49"/>
    <mergeCell ref="P50:R50"/>
    <mergeCell ref="P51:R51"/>
    <mergeCell ref="P52:R52"/>
    <mergeCell ref="P53:R53"/>
    <mergeCell ref="P54:R54"/>
    <mergeCell ref="P55:R55"/>
    <mergeCell ref="P56:R56"/>
    <mergeCell ref="P57:R57"/>
    <mergeCell ref="P58:R58"/>
    <mergeCell ref="P59:R59"/>
    <mergeCell ref="O61:T62"/>
    <mergeCell ref="O63:R63"/>
    <mergeCell ref="O64:R64"/>
    <mergeCell ref="O65:R65"/>
    <mergeCell ref="O66:R66"/>
    <mergeCell ref="O67:R67"/>
    <mergeCell ref="O68:R68"/>
    <mergeCell ref="O69:R69"/>
    <mergeCell ref="O70:R70"/>
    <mergeCell ref="O71:R71"/>
    <mergeCell ref="O72:R72"/>
    <mergeCell ref="O73:R73"/>
    <mergeCell ref="O74:R74"/>
    <mergeCell ref="O75:R75"/>
    <mergeCell ref="O76:R76"/>
    <mergeCell ref="O78:T79"/>
    <mergeCell ref="O80:R80"/>
    <mergeCell ref="O81:R81"/>
    <mergeCell ref="O82:R82"/>
    <mergeCell ref="O83:R83"/>
    <mergeCell ref="O84:R84"/>
    <mergeCell ref="O85:R85"/>
    <mergeCell ref="O87:R88"/>
    <mergeCell ref="P89:R89"/>
    <mergeCell ref="P90:R90"/>
    <mergeCell ref="P91:R91"/>
    <mergeCell ref="P92:R92"/>
    <mergeCell ref="P93:R93"/>
    <mergeCell ref="P94:R94"/>
    <mergeCell ref="P95:R95"/>
    <mergeCell ref="P96:R96"/>
    <mergeCell ref="P97:R97"/>
    <mergeCell ref="P98:R98"/>
    <mergeCell ref="P99:R99"/>
  </mergeCells>
  <printOptions headings="false" gridLines="false" gridLinesSet="true" horizontalCentered="false" verticalCentered="false"/>
  <pageMargins left="0.511805555555556" right="0.511805555555556" top="0.7875" bottom="0.78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27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D1" activeCellId="0" sqref="D1"/>
    </sheetView>
  </sheetViews>
  <sheetFormatPr defaultColWidth="14.2890625" defaultRowHeight="12.75" customHeight="false" zeroHeight="false" outlineLevelRow="0" outlineLevelCol="0"/>
  <cols>
    <col collapsed="false" customWidth="true" hidden="false" outlineLevel="0" max="1" min="1" style="0" width="17.29"/>
    <col collapsed="false" customWidth="true" hidden="false" outlineLevel="0" max="2" min="2" style="0" width="24.71"/>
    <col collapsed="false" customWidth="true" hidden="false" outlineLevel="0" max="3" min="3" style="0" width="23.29"/>
    <col collapsed="false" customWidth="true" hidden="false" outlineLevel="0" max="4" min="4" style="0" width="37.71"/>
    <col collapsed="false" customWidth="true" hidden="false" outlineLevel="0" max="5" min="5" style="0" width="39"/>
    <col collapsed="false" customWidth="true" hidden="false" outlineLevel="0" max="6" min="6" style="0" width="47.85"/>
    <col collapsed="false" customWidth="true" hidden="false" outlineLevel="0" max="7" min="7" style="0" width="27.71"/>
    <col collapsed="false" customWidth="true" hidden="false" outlineLevel="0" max="8" min="8" style="0" width="24.14"/>
    <col collapsed="false" customWidth="true" hidden="false" outlineLevel="0" max="9" min="9" style="0" width="33.29"/>
    <col collapsed="false" customWidth="true" hidden="false" outlineLevel="0" max="10" min="10" style="0" width="24.14"/>
    <col collapsed="false" customWidth="true" hidden="false" outlineLevel="0" max="11" min="11" style="0" width="63.42"/>
    <col collapsed="false" customWidth="true" hidden="false" outlineLevel="0" max="12" min="12" style="0" width="82.14"/>
    <col collapsed="false" customWidth="true" hidden="false" outlineLevel="0" max="13" min="13" style="0" width="45.29"/>
    <col collapsed="false" customWidth="true" hidden="false" outlineLevel="0" max="14" min="14" style="0" width="7.71"/>
    <col collapsed="false" customWidth="true" hidden="false" outlineLevel="0" max="15" min="15" style="0" width="27.14"/>
    <col collapsed="false" customWidth="true" hidden="false" outlineLevel="0" max="16" min="16" style="0" width="9.85"/>
    <col collapsed="false" customWidth="true" hidden="false" outlineLevel="0" max="17" min="17" style="0" width="3.42"/>
    <col collapsed="false" customWidth="true" hidden="false" outlineLevel="0" max="18" min="18" style="0" width="39"/>
    <col collapsed="false" customWidth="true" hidden="false" outlineLevel="0" max="19" min="19" style="0" width="62.85"/>
    <col collapsed="false" customWidth="true" hidden="false" outlineLevel="0" max="20" min="20" style="0" width="13.71"/>
    <col collapsed="false" customWidth="true" hidden="false" outlineLevel="0" max="26" min="21" style="0" width="8.71"/>
  </cols>
  <sheetData>
    <row r="1" customFormat="false" ht="12.75" hidden="false" customHeight="true" outlineLevel="0" collapsed="false">
      <c r="A1" s="582" t="s">
        <v>92</v>
      </c>
      <c r="B1" s="583" t="s">
        <v>93</v>
      </c>
      <c r="C1" s="583" t="s">
        <v>89</v>
      </c>
      <c r="D1" s="584" t="s">
        <v>94</v>
      </c>
      <c r="E1" s="585" t="s">
        <v>95</v>
      </c>
      <c r="F1" s="276" t="s">
        <v>96</v>
      </c>
      <c r="G1" s="585" t="s">
        <v>97</v>
      </c>
      <c r="H1" s="276" t="s">
        <v>98</v>
      </c>
      <c r="I1" s="584" t="s">
        <v>99</v>
      </c>
      <c r="J1" s="585" t="s">
        <v>100</v>
      </c>
      <c r="K1" s="586" t="s">
        <v>101</v>
      </c>
      <c r="L1" s="586" t="s">
        <v>102</v>
      </c>
      <c r="M1" s="279" t="s">
        <v>103</v>
      </c>
      <c r="N1" s="4"/>
      <c r="O1" s="4"/>
      <c r="P1" s="4"/>
      <c r="Q1" s="4"/>
      <c r="R1" s="4"/>
      <c r="S1" s="4"/>
    </row>
    <row r="2" customFormat="false" ht="12.75" hidden="false" customHeight="true" outlineLevel="0" collapsed="false">
      <c r="A2" s="449" t="n">
        <v>116</v>
      </c>
      <c r="B2" s="450" t="s">
        <v>15648</v>
      </c>
      <c r="C2" s="450" t="n">
        <v>2010</v>
      </c>
      <c r="D2" s="451" t="n">
        <v>40541</v>
      </c>
      <c r="E2" s="450" t="s">
        <v>15649</v>
      </c>
      <c r="F2" s="450" t="s">
        <v>15650</v>
      </c>
      <c r="G2" s="450" t="s">
        <v>441</v>
      </c>
      <c r="H2" s="450" t="s">
        <v>2677</v>
      </c>
      <c r="I2" s="451" t="n">
        <v>42376</v>
      </c>
      <c r="J2" s="452" t="n">
        <v>1</v>
      </c>
      <c r="K2" s="619" t="s">
        <v>42</v>
      </c>
      <c r="L2" s="450" t="s">
        <v>58</v>
      </c>
      <c r="M2" s="455" t="n">
        <f aca="false">I2-D2</f>
        <v>1835</v>
      </c>
      <c r="N2" s="4"/>
      <c r="O2" s="280" t="s">
        <v>15651</v>
      </c>
      <c r="P2" s="280"/>
      <c r="Q2" s="146"/>
      <c r="R2" s="146"/>
      <c r="S2" s="146"/>
    </row>
    <row r="3" customFormat="false" ht="15" hidden="false" customHeight="true" outlineLevel="0" collapsed="false">
      <c r="A3" s="456" t="n">
        <v>216</v>
      </c>
      <c r="B3" s="458" t="s">
        <v>15652</v>
      </c>
      <c r="C3" s="458" t="n">
        <v>2010</v>
      </c>
      <c r="D3" s="459" t="n">
        <v>40491</v>
      </c>
      <c r="E3" s="458" t="s">
        <v>15653</v>
      </c>
      <c r="F3" s="458" t="s">
        <v>3844</v>
      </c>
      <c r="G3" s="458" t="s">
        <v>1174</v>
      </c>
      <c r="H3" s="458" t="s">
        <v>706</v>
      </c>
      <c r="I3" s="459" t="n">
        <v>42395</v>
      </c>
      <c r="J3" s="460" t="n">
        <v>1</v>
      </c>
      <c r="K3" s="620" t="s">
        <v>47</v>
      </c>
      <c r="L3" s="458" t="s">
        <v>58</v>
      </c>
      <c r="M3" s="463" t="n">
        <f aca="false">I3-D3</f>
        <v>1904</v>
      </c>
      <c r="N3" s="4"/>
      <c r="O3" s="281" t="s">
        <v>1182</v>
      </c>
      <c r="P3" s="281" t="n">
        <f aca="false">COUNTIF($G$2:$G$478,"PT")</f>
        <v>1</v>
      </c>
      <c r="Q3" s="146"/>
      <c r="R3" s="146"/>
      <c r="S3" s="146"/>
    </row>
    <row r="4" customFormat="false" ht="15" hidden="false" customHeight="true" outlineLevel="0" collapsed="false">
      <c r="A4" s="449" t="n">
        <v>316</v>
      </c>
      <c r="B4" s="450" t="s">
        <v>15654</v>
      </c>
      <c r="C4" s="450" t="n">
        <v>2010</v>
      </c>
      <c r="D4" s="451" t="n">
        <v>40542</v>
      </c>
      <c r="E4" s="450" t="s">
        <v>15655</v>
      </c>
      <c r="F4" s="450" t="s">
        <v>1254</v>
      </c>
      <c r="G4" s="450" t="s">
        <v>1174</v>
      </c>
      <c r="H4" s="450" t="s">
        <v>223</v>
      </c>
      <c r="I4" s="451" t="n">
        <v>42396</v>
      </c>
      <c r="J4" s="452" t="n">
        <v>1</v>
      </c>
      <c r="K4" s="620" t="s">
        <v>47</v>
      </c>
      <c r="L4" s="450" t="s">
        <v>60</v>
      </c>
      <c r="M4" s="455" t="n">
        <f aca="false">I4-D4</f>
        <v>1854</v>
      </c>
      <c r="N4" s="4"/>
      <c r="O4" s="282" t="s">
        <v>1188</v>
      </c>
      <c r="P4" s="282" t="n">
        <f aca="false">COUNTIF($G$2:$G$478,"PTN")</f>
        <v>1</v>
      </c>
      <c r="Q4" s="153"/>
      <c r="R4" s="153"/>
      <c r="S4" s="153"/>
    </row>
    <row r="5" customFormat="false" ht="15" hidden="false" customHeight="true" outlineLevel="0" collapsed="false">
      <c r="A5" s="456" t="n">
        <v>416</v>
      </c>
      <c r="B5" s="458" t="s">
        <v>15656</v>
      </c>
      <c r="C5" s="458" t="n">
        <v>2013</v>
      </c>
      <c r="D5" s="459" t="n">
        <v>41330</v>
      </c>
      <c r="E5" s="458" t="s">
        <v>15657</v>
      </c>
      <c r="F5" s="458" t="s">
        <v>3844</v>
      </c>
      <c r="G5" s="458" t="s">
        <v>1174</v>
      </c>
      <c r="H5" s="458" t="s">
        <v>11658</v>
      </c>
      <c r="I5" s="459" t="n">
        <v>42397</v>
      </c>
      <c r="J5" s="460" t="n">
        <v>1</v>
      </c>
      <c r="K5" s="620" t="s">
        <v>47</v>
      </c>
      <c r="L5" s="458" t="s">
        <v>58</v>
      </c>
      <c r="M5" s="463" t="n">
        <f aca="false">I5-D5</f>
        <v>1067</v>
      </c>
      <c r="N5" s="4"/>
      <c r="O5" s="283" t="s">
        <v>1192</v>
      </c>
      <c r="P5" s="283" t="n">
        <f aca="false">COUNTIF($G$2:$G$478,"PTE")</f>
        <v>160</v>
      </c>
      <c r="Q5" s="153"/>
      <c r="R5" s="153"/>
      <c r="S5" s="153"/>
    </row>
    <row r="6" customFormat="false" ht="15.75" hidden="false" customHeight="true" outlineLevel="0" collapsed="false">
      <c r="A6" s="449" t="n">
        <v>516</v>
      </c>
      <c r="B6" s="450" t="s">
        <v>15658</v>
      </c>
      <c r="C6" s="450" t="n">
        <v>2010</v>
      </c>
      <c r="D6" s="451" t="n">
        <v>40491</v>
      </c>
      <c r="E6" s="450" t="s">
        <v>15659</v>
      </c>
      <c r="F6" s="450" t="s">
        <v>15660</v>
      </c>
      <c r="G6" s="450" t="s">
        <v>115</v>
      </c>
      <c r="H6" s="450" t="s">
        <v>1791</v>
      </c>
      <c r="I6" s="451" t="n">
        <v>42397</v>
      </c>
      <c r="J6" s="452" t="n">
        <v>1</v>
      </c>
      <c r="K6" s="620" t="s">
        <v>47</v>
      </c>
      <c r="L6" s="450" t="s">
        <v>58</v>
      </c>
      <c r="M6" s="455" t="n">
        <f aca="false">I6-D6</f>
        <v>1906</v>
      </c>
      <c r="N6" s="621"/>
      <c r="O6" s="282" t="s">
        <v>8</v>
      </c>
      <c r="P6" s="282" t="n">
        <f aca="false">COUNTIF($G$2:$G$478,"Pré-Mistura")</f>
        <v>1</v>
      </c>
      <c r="Q6" s="153"/>
      <c r="R6" s="153"/>
      <c r="S6" s="153"/>
    </row>
    <row r="7" customFormat="false" ht="12.75" hidden="false" customHeight="true" outlineLevel="0" collapsed="false">
      <c r="A7" s="456" t="n">
        <v>616</v>
      </c>
      <c r="B7" s="458" t="s">
        <v>15661</v>
      </c>
      <c r="C7" s="458" t="n">
        <v>2013</v>
      </c>
      <c r="D7" s="459" t="n">
        <v>41366</v>
      </c>
      <c r="E7" s="458" t="s">
        <v>15662</v>
      </c>
      <c r="F7" s="458" t="s">
        <v>15663</v>
      </c>
      <c r="G7" s="458" t="s">
        <v>1174</v>
      </c>
      <c r="H7" s="458" t="s">
        <v>192</v>
      </c>
      <c r="I7" s="459" t="n">
        <v>42398</v>
      </c>
      <c r="J7" s="460" t="n">
        <v>1</v>
      </c>
      <c r="K7" s="620" t="s">
        <v>47</v>
      </c>
      <c r="L7" s="458" t="s">
        <v>58</v>
      </c>
      <c r="M7" s="463" t="n">
        <f aca="false">I7-D7</f>
        <v>1032</v>
      </c>
      <c r="N7" s="4"/>
      <c r="O7" s="283" t="s">
        <v>110</v>
      </c>
      <c r="P7" s="283" t="n">
        <f aca="false">COUNTIF($G$2:$G$478,"PF")</f>
        <v>19</v>
      </c>
      <c r="Q7" s="153"/>
      <c r="R7" s="153"/>
      <c r="S7" s="153"/>
    </row>
    <row r="8" customFormat="false" ht="12.75" hidden="false" customHeight="true" outlineLevel="0" collapsed="false">
      <c r="A8" s="449" t="n">
        <v>716</v>
      </c>
      <c r="B8" s="450" t="s">
        <v>15664</v>
      </c>
      <c r="C8" s="450" t="n">
        <v>2013</v>
      </c>
      <c r="D8" s="451" t="n">
        <v>41596</v>
      </c>
      <c r="E8" s="450" t="s">
        <v>15665</v>
      </c>
      <c r="F8" s="450" t="s">
        <v>15663</v>
      </c>
      <c r="G8" s="450" t="s">
        <v>1174</v>
      </c>
      <c r="H8" s="450" t="s">
        <v>706</v>
      </c>
      <c r="I8" s="451" t="n">
        <v>42398</v>
      </c>
      <c r="J8" s="452" t="n">
        <v>1</v>
      </c>
      <c r="K8" s="620" t="s">
        <v>47</v>
      </c>
      <c r="L8" s="450" t="s">
        <v>58</v>
      </c>
      <c r="M8" s="455" t="n">
        <f aca="false">I8-D8</f>
        <v>802</v>
      </c>
      <c r="N8" s="4"/>
      <c r="O8" s="282" t="s">
        <v>115</v>
      </c>
      <c r="P8" s="282" t="n">
        <f aca="false">COUNTIF($G$2:$G$478,"PFN")</f>
        <v>10</v>
      </c>
      <c r="Q8" s="153"/>
      <c r="R8" s="153"/>
      <c r="S8" s="153"/>
    </row>
    <row r="9" customFormat="false" ht="12.75" hidden="false" customHeight="true" outlineLevel="0" collapsed="false">
      <c r="A9" s="456" t="n">
        <v>816</v>
      </c>
      <c r="B9" s="458" t="s">
        <v>15666</v>
      </c>
      <c r="C9" s="458" t="n">
        <v>2009</v>
      </c>
      <c r="D9" s="459" t="n">
        <v>40060</v>
      </c>
      <c r="E9" s="458" t="s">
        <v>15667</v>
      </c>
      <c r="F9" s="458" t="s">
        <v>705</v>
      </c>
      <c r="G9" s="458" t="s">
        <v>441</v>
      </c>
      <c r="H9" s="458" t="s">
        <v>350</v>
      </c>
      <c r="I9" s="459" t="n">
        <v>42405</v>
      </c>
      <c r="J9" s="460" t="n">
        <v>2</v>
      </c>
      <c r="K9" s="622" t="s">
        <v>45</v>
      </c>
      <c r="L9" s="458" t="s">
        <v>60</v>
      </c>
      <c r="M9" s="463" t="n">
        <f aca="false">I9-D9</f>
        <v>2345</v>
      </c>
      <c r="N9" s="4"/>
      <c r="O9" s="283" t="s">
        <v>120</v>
      </c>
      <c r="P9" s="283" t="n">
        <f aca="false">COUNTIF($G$2:$G$478,"PF/PTE")</f>
        <v>46</v>
      </c>
      <c r="Q9" s="153"/>
      <c r="R9" s="153"/>
      <c r="S9" s="153"/>
    </row>
    <row r="10" customFormat="false" ht="12.75" hidden="false" customHeight="true" outlineLevel="0" collapsed="false">
      <c r="A10" s="449" t="n">
        <v>916</v>
      </c>
      <c r="B10" s="450" t="s">
        <v>15668</v>
      </c>
      <c r="C10" s="450" t="n">
        <v>2014</v>
      </c>
      <c r="D10" s="451" t="n">
        <v>41978</v>
      </c>
      <c r="E10" s="450" t="s">
        <v>15669</v>
      </c>
      <c r="F10" s="450" t="s">
        <v>15670</v>
      </c>
      <c r="G10" s="450" t="s">
        <v>125</v>
      </c>
      <c r="H10" s="450" t="s">
        <v>373</v>
      </c>
      <c r="I10" s="451" t="n">
        <v>42405</v>
      </c>
      <c r="J10" s="452" t="n">
        <v>2</v>
      </c>
      <c r="K10" s="623" t="s">
        <v>50</v>
      </c>
      <c r="L10" s="450" t="s">
        <v>61</v>
      </c>
      <c r="M10" s="455" t="n">
        <f aca="false">I10-D10</f>
        <v>427</v>
      </c>
      <c r="N10" s="621"/>
      <c r="O10" s="282" t="s">
        <v>125</v>
      </c>
      <c r="P10" s="282" t="n">
        <f aca="false">COUNTIF($G$2:$G$478,"Bio")</f>
        <v>15</v>
      </c>
      <c r="Q10" s="153"/>
      <c r="R10" s="153"/>
      <c r="S10" s="153"/>
    </row>
    <row r="11" customFormat="false" ht="12.75" hidden="false" customHeight="true" outlineLevel="0" collapsed="false">
      <c r="A11" s="456" t="n">
        <v>1016</v>
      </c>
      <c r="B11" s="458" t="s">
        <v>15671</v>
      </c>
      <c r="C11" s="458" t="n">
        <v>2014</v>
      </c>
      <c r="D11" s="459" t="n">
        <v>41978</v>
      </c>
      <c r="E11" s="458" t="s">
        <v>15672</v>
      </c>
      <c r="F11" s="458" t="s">
        <v>15670</v>
      </c>
      <c r="G11" s="458" t="s">
        <v>125</v>
      </c>
      <c r="H11" s="458" t="s">
        <v>1042</v>
      </c>
      <c r="I11" s="459" t="n">
        <v>42410</v>
      </c>
      <c r="J11" s="460" t="n">
        <v>2</v>
      </c>
      <c r="K11" s="623" t="s">
        <v>50</v>
      </c>
      <c r="L11" s="458" t="s">
        <v>61</v>
      </c>
      <c r="M11" s="463" t="n">
        <f aca="false">I11-D11</f>
        <v>432</v>
      </c>
      <c r="N11" s="4"/>
      <c r="O11" s="284" t="s">
        <v>130</v>
      </c>
      <c r="P11" s="284" t="n">
        <f aca="false">COUNTIF($G$2:$G$478,"Bio/Org")</f>
        <v>24</v>
      </c>
      <c r="Q11" s="153"/>
      <c r="R11" s="153"/>
      <c r="S11" s="153"/>
    </row>
    <row r="12" customFormat="false" ht="12.75" hidden="false" customHeight="true" outlineLevel="0" collapsed="false">
      <c r="A12" s="449" t="n">
        <v>1116</v>
      </c>
      <c r="B12" s="450" t="s">
        <v>15673</v>
      </c>
      <c r="C12" s="450" t="n">
        <v>2012</v>
      </c>
      <c r="D12" s="451" t="n">
        <v>41059</v>
      </c>
      <c r="E12" s="450" t="s">
        <v>15674</v>
      </c>
      <c r="F12" s="450" t="s">
        <v>15675</v>
      </c>
      <c r="G12" s="450" t="s">
        <v>144</v>
      </c>
      <c r="H12" s="450" t="s">
        <v>373</v>
      </c>
      <c r="I12" s="451" t="n">
        <v>42412</v>
      </c>
      <c r="J12" s="452" t="n">
        <v>2</v>
      </c>
      <c r="K12" s="622" t="s">
        <v>45</v>
      </c>
      <c r="L12" s="450" t="s">
        <v>58</v>
      </c>
      <c r="M12" s="455" t="n">
        <f aca="false">I12-D12</f>
        <v>1353</v>
      </c>
      <c r="N12" s="4"/>
      <c r="O12" s="285" t="s">
        <v>140</v>
      </c>
      <c r="P12" s="286" t="n">
        <f aca="false">SUM(P3:P11)</f>
        <v>277</v>
      </c>
      <c r="Q12" s="153"/>
      <c r="R12" s="153"/>
      <c r="S12" s="153"/>
    </row>
    <row r="13" customFormat="false" ht="12.75" hidden="false" customHeight="true" outlineLevel="0" collapsed="false">
      <c r="A13" s="456" t="n">
        <v>1216</v>
      </c>
      <c r="B13" s="458" t="s">
        <v>15676</v>
      </c>
      <c r="C13" s="458" t="n">
        <v>2011</v>
      </c>
      <c r="D13" s="459" t="n">
        <v>40703</v>
      </c>
      <c r="E13" s="458" t="s">
        <v>15677</v>
      </c>
      <c r="F13" s="458" t="s">
        <v>15092</v>
      </c>
      <c r="G13" s="458" t="s">
        <v>441</v>
      </c>
      <c r="H13" s="458" t="s">
        <v>12073</v>
      </c>
      <c r="I13" s="459" t="n">
        <v>42419</v>
      </c>
      <c r="J13" s="460" t="n">
        <v>2</v>
      </c>
      <c r="K13" s="619" t="s">
        <v>42</v>
      </c>
      <c r="L13" s="458" t="s">
        <v>60</v>
      </c>
      <c r="M13" s="463" t="n">
        <f aca="false">I13-D13</f>
        <v>1716</v>
      </c>
      <c r="N13" s="4"/>
      <c r="O13" s="153"/>
      <c r="P13" s="153"/>
      <c r="Q13" s="153"/>
      <c r="R13" s="287"/>
      <c r="S13" s="287"/>
    </row>
    <row r="14" customFormat="false" ht="14.25" hidden="false" customHeight="true" outlineLevel="0" collapsed="false">
      <c r="A14" s="449" t="n">
        <v>1316</v>
      </c>
      <c r="B14" s="450" t="s">
        <v>15678</v>
      </c>
      <c r="C14" s="450" t="n">
        <v>2013</v>
      </c>
      <c r="D14" s="451" t="n">
        <v>41605</v>
      </c>
      <c r="E14" s="450" t="s">
        <v>15679</v>
      </c>
      <c r="F14" s="624" t="s">
        <v>6303</v>
      </c>
      <c r="G14" s="450" t="s">
        <v>130</v>
      </c>
      <c r="H14" s="450" t="s">
        <v>15680</v>
      </c>
      <c r="I14" s="451" t="n">
        <v>42422</v>
      </c>
      <c r="J14" s="452" t="n">
        <v>2</v>
      </c>
      <c r="K14" s="623" t="s">
        <v>50</v>
      </c>
      <c r="L14" s="450" t="s">
        <v>61</v>
      </c>
      <c r="M14" s="455" t="n">
        <f aca="false">I14-D14</f>
        <v>817</v>
      </c>
      <c r="N14" s="4"/>
      <c r="O14" s="411" t="s">
        <v>151</v>
      </c>
      <c r="P14" s="411"/>
      <c r="Q14" s="411"/>
      <c r="R14" s="411"/>
      <c r="S14" s="411"/>
    </row>
    <row r="15" customFormat="false" ht="15" hidden="false" customHeight="true" outlineLevel="0" collapsed="false">
      <c r="A15" s="456" t="n">
        <v>1416</v>
      </c>
      <c r="B15" s="458" t="s">
        <v>15681</v>
      </c>
      <c r="C15" s="458" t="n">
        <v>2013</v>
      </c>
      <c r="D15" s="459" t="n">
        <v>41605</v>
      </c>
      <c r="E15" s="458" t="s">
        <v>15682</v>
      </c>
      <c r="F15" s="625" t="s">
        <v>6303</v>
      </c>
      <c r="G15" s="458" t="s">
        <v>130</v>
      </c>
      <c r="H15" s="458" t="s">
        <v>15680</v>
      </c>
      <c r="I15" s="459" t="n">
        <v>42422</v>
      </c>
      <c r="J15" s="460" t="n">
        <v>2</v>
      </c>
      <c r="K15" s="623" t="s">
        <v>50</v>
      </c>
      <c r="L15" s="458" t="s">
        <v>61</v>
      </c>
      <c r="M15" s="463" t="n">
        <f aca="false">I15-D15</f>
        <v>817</v>
      </c>
      <c r="N15" s="4"/>
      <c r="O15" s="411"/>
      <c r="P15" s="411"/>
      <c r="Q15" s="411"/>
      <c r="R15" s="411"/>
      <c r="S15" s="411"/>
    </row>
    <row r="16" customFormat="false" ht="14.25" hidden="false" customHeight="true" outlineLevel="0" collapsed="false">
      <c r="A16" s="449" t="n">
        <v>1516</v>
      </c>
      <c r="B16" s="450" t="s">
        <v>15683</v>
      </c>
      <c r="C16" s="450" t="n">
        <v>2014</v>
      </c>
      <c r="D16" s="451" t="n">
        <v>41898</v>
      </c>
      <c r="E16" s="450" t="s">
        <v>15684</v>
      </c>
      <c r="F16" s="624" t="s">
        <v>288</v>
      </c>
      <c r="G16" s="450" t="s">
        <v>130</v>
      </c>
      <c r="H16" s="450" t="s">
        <v>15685</v>
      </c>
      <c r="I16" s="451" t="n">
        <v>42425</v>
      </c>
      <c r="J16" s="452" t="n">
        <v>2</v>
      </c>
      <c r="K16" s="623" t="s">
        <v>2407</v>
      </c>
      <c r="L16" s="450" t="s">
        <v>61</v>
      </c>
      <c r="M16" s="455" t="n">
        <f aca="false">I16-D16</f>
        <v>527</v>
      </c>
      <c r="N16" s="4"/>
      <c r="O16" s="412" t="s">
        <v>2194</v>
      </c>
      <c r="P16" s="412"/>
      <c r="Q16" s="412"/>
      <c r="R16" s="412"/>
      <c r="S16" s="412"/>
    </row>
    <row r="17" customFormat="false" ht="13.5" hidden="false" customHeight="true" outlineLevel="0" collapsed="false">
      <c r="A17" s="456" t="n">
        <v>1616</v>
      </c>
      <c r="B17" s="458" t="s">
        <v>15686</v>
      </c>
      <c r="C17" s="458" t="n">
        <v>2009</v>
      </c>
      <c r="D17" s="459" t="n">
        <v>40039</v>
      </c>
      <c r="E17" s="458" t="s">
        <v>15687</v>
      </c>
      <c r="F17" s="458" t="s">
        <v>915</v>
      </c>
      <c r="G17" s="458" t="s">
        <v>1188</v>
      </c>
      <c r="H17" s="458" t="s">
        <v>134</v>
      </c>
      <c r="I17" s="459" t="n">
        <v>42432</v>
      </c>
      <c r="J17" s="460" t="n">
        <v>3</v>
      </c>
      <c r="K17" s="620" t="s">
        <v>47</v>
      </c>
      <c r="L17" s="458" t="s">
        <v>60</v>
      </c>
      <c r="M17" s="463" t="n">
        <f aca="false">I17-D17</f>
        <v>2393</v>
      </c>
      <c r="N17" s="4"/>
      <c r="O17" s="413" t="s">
        <v>2198</v>
      </c>
      <c r="P17" s="413"/>
      <c r="Q17" s="413"/>
      <c r="R17" s="413"/>
      <c r="S17" s="413"/>
    </row>
    <row r="18" customFormat="false" ht="13.5" hidden="false" customHeight="true" outlineLevel="0" collapsed="false">
      <c r="A18" s="449" t="n">
        <v>1716</v>
      </c>
      <c r="B18" s="450" t="s">
        <v>15688</v>
      </c>
      <c r="C18" s="450" t="n">
        <v>2010</v>
      </c>
      <c r="D18" s="451" t="n">
        <v>40505</v>
      </c>
      <c r="E18" s="450" t="s">
        <v>15689</v>
      </c>
      <c r="F18" s="450" t="s">
        <v>449</v>
      </c>
      <c r="G18" s="450" t="s">
        <v>1174</v>
      </c>
      <c r="H18" s="450" t="s">
        <v>706</v>
      </c>
      <c r="I18" s="451" t="n">
        <v>42436</v>
      </c>
      <c r="J18" s="452" t="n">
        <v>3</v>
      </c>
      <c r="K18" s="620" t="s">
        <v>47</v>
      </c>
      <c r="L18" s="450" t="s">
        <v>58</v>
      </c>
      <c r="M18" s="455" t="n">
        <f aca="false">I18-D18</f>
        <v>1931</v>
      </c>
      <c r="N18" s="4"/>
      <c r="O18" s="414" t="s">
        <v>2203</v>
      </c>
      <c r="P18" s="414"/>
      <c r="Q18" s="414"/>
      <c r="R18" s="414"/>
      <c r="S18" s="414"/>
    </row>
    <row r="19" customFormat="false" ht="13.5" hidden="false" customHeight="true" outlineLevel="0" collapsed="false">
      <c r="A19" s="456" t="n">
        <v>1816</v>
      </c>
      <c r="B19" s="458" t="s">
        <v>15690</v>
      </c>
      <c r="C19" s="458" t="n">
        <v>2009</v>
      </c>
      <c r="D19" s="459" t="n">
        <v>40086</v>
      </c>
      <c r="E19" s="458" t="s">
        <v>15691</v>
      </c>
      <c r="F19" s="458" t="s">
        <v>1511</v>
      </c>
      <c r="G19" s="458" t="s">
        <v>1174</v>
      </c>
      <c r="H19" s="458" t="s">
        <v>2654</v>
      </c>
      <c r="I19" s="459" t="n">
        <v>42436</v>
      </c>
      <c r="J19" s="460" t="n">
        <v>3</v>
      </c>
      <c r="K19" s="620" t="s">
        <v>47</v>
      </c>
      <c r="L19" s="458" t="s">
        <v>58</v>
      </c>
      <c r="M19" s="463" t="n">
        <f aca="false">I19-D19</f>
        <v>2350</v>
      </c>
      <c r="N19" s="4"/>
      <c r="O19" s="413" t="s">
        <v>2207</v>
      </c>
      <c r="P19" s="413"/>
      <c r="Q19" s="413"/>
      <c r="R19" s="413"/>
      <c r="S19" s="413"/>
    </row>
    <row r="20" customFormat="false" ht="13.5" hidden="false" customHeight="true" outlineLevel="0" collapsed="false">
      <c r="A20" s="449" t="n">
        <v>1916</v>
      </c>
      <c r="B20" s="450" t="s">
        <v>15692</v>
      </c>
      <c r="C20" s="450" t="n">
        <v>2014</v>
      </c>
      <c r="D20" s="451" t="n">
        <v>41995</v>
      </c>
      <c r="E20" s="450" t="s">
        <v>15693</v>
      </c>
      <c r="F20" s="450" t="s">
        <v>180</v>
      </c>
      <c r="G20" s="450" t="s">
        <v>1174</v>
      </c>
      <c r="H20" s="450" t="s">
        <v>350</v>
      </c>
      <c r="I20" s="451" t="n">
        <v>42437</v>
      </c>
      <c r="J20" s="452" t="n">
        <v>3</v>
      </c>
      <c r="K20" s="620" t="s">
        <v>47</v>
      </c>
      <c r="L20" s="450" t="s">
        <v>58</v>
      </c>
      <c r="M20" s="455" t="n">
        <f aca="false">I20-D20</f>
        <v>442</v>
      </c>
      <c r="N20" s="4"/>
      <c r="O20" s="414" t="s">
        <v>2211</v>
      </c>
      <c r="P20" s="414"/>
      <c r="Q20" s="414"/>
      <c r="R20" s="414"/>
      <c r="S20" s="414"/>
    </row>
    <row r="21" customFormat="false" ht="13.5" hidden="false" customHeight="true" outlineLevel="0" collapsed="false">
      <c r="A21" s="456" t="n">
        <v>2016</v>
      </c>
      <c r="B21" s="458" t="s">
        <v>15694</v>
      </c>
      <c r="C21" s="458" t="n">
        <v>2013</v>
      </c>
      <c r="D21" s="459" t="n">
        <v>41333</v>
      </c>
      <c r="E21" s="458" t="s">
        <v>15695</v>
      </c>
      <c r="F21" s="458" t="s">
        <v>15696</v>
      </c>
      <c r="G21" s="458" t="s">
        <v>1174</v>
      </c>
      <c r="H21" s="458" t="s">
        <v>354</v>
      </c>
      <c r="I21" s="459" t="n">
        <v>42437</v>
      </c>
      <c r="J21" s="460" t="n">
        <v>3</v>
      </c>
      <c r="K21" s="622" t="s">
        <v>45</v>
      </c>
      <c r="L21" s="458" t="s">
        <v>58</v>
      </c>
      <c r="M21" s="463" t="n">
        <f aca="false">I21-D21</f>
        <v>1104</v>
      </c>
      <c r="N21" s="4"/>
      <c r="O21" s="413" t="s">
        <v>2215</v>
      </c>
      <c r="P21" s="413"/>
      <c r="Q21" s="413"/>
      <c r="R21" s="413"/>
      <c r="S21" s="413"/>
    </row>
    <row r="22" customFormat="false" ht="13.5" hidden="false" customHeight="true" outlineLevel="0" collapsed="false">
      <c r="A22" s="449" t="n">
        <v>2116</v>
      </c>
      <c r="B22" s="450" t="s">
        <v>15697</v>
      </c>
      <c r="C22" s="450" t="n">
        <v>2014</v>
      </c>
      <c r="D22" s="451" t="n">
        <v>41954</v>
      </c>
      <c r="E22" s="450" t="s">
        <v>15698</v>
      </c>
      <c r="F22" s="450" t="s">
        <v>15696</v>
      </c>
      <c r="G22" s="450" t="s">
        <v>1174</v>
      </c>
      <c r="H22" s="450" t="s">
        <v>267</v>
      </c>
      <c r="I22" s="451" t="n">
        <v>42438</v>
      </c>
      <c r="J22" s="452" t="n">
        <v>3</v>
      </c>
      <c r="K22" s="622" t="s">
        <v>45</v>
      </c>
      <c r="L22" s="450" t="s">
        <v>58</v>
      </c>
      <c r="M22" s="455" t="n">
        <f aca="false">I22-D22</f>
        <v>484</v>
      </c>
      <c r="N22" s="4"/>
      <c r="O22" s="414" t="s">
        <v>2220</v>
      </c>
      <c r="P22" s="414"/>
      <c r="Q22" s="414"/>
      <c r="R22" s="414"/>
      <c r="S22" s="414"/>
    </row>
    <row r="23" customFormat="false" ht="12.75" hidden="false" customHeight="true" outlineLevel="0" collapsed="false">
      <c r="A23" s="456" t="n">
        <v>2216</v>
      </c>
      <c r="B23" s="458" t="s">
        <v>15699</v>
      </c>
      <c r="C23" s="458" t="n">
        <v>2015</v>
      </c>
      <c r="D23" s="459" t="n">
        <v>42023</v>
      </c>
      <c r="E23" s="458" t="s">
        <v>15700</v>
      </c>
      <c r="F23" s="458" t="s">
        <v>1097</v>
      </c>
      <c r="G23" s="458" t="s">
        <v>1174</v>
      </c>
      <c r="H23" s="458" t="s">
        <v>706</v>
      </c>
      <c r="I23" s="459" t="n">
        <v>42438</v>
      </c>
      <c r="J23" s="460" t="n">
        <v>3</v>
      </c>
      <c r="K23" s="619" t="s">
        <v>42</v>
      </c>
      <c r="L23" s="458" t="s">
        <v>60</v>
      </c>
      <c r="M23" s="463" t="n">
        <f aca="false">I23-D23</f>
        <v>415</v>
      </c>
      <c r="N23" s="4"/>
      <c r="O23" s="413" t="s">
        <v>2225</v>
      </c>
      <c r="P23" s="413"/>
      <c r="Q23" s="413"/>
      <c r="R23" s="413"/>
      <c r="S23" s="413"/>
    </row>
    <row r="24" customFormat="false" ht="12.75" hidden="false" customHeight="true" outlineLevel="0" collapsed="false">
      <c r="A24" s="449" t="n">
        <v>2316</v>
      </c>
      <c r="B24" s="450" t="s">
        <v>15701</v>
      </c>
      <c r="C24" s="450" t="n">
        <v>2015</v>
      </c>
      <c r="D24" s="451" t="n">
        <v>42041</v>
      </c>
      <c r="E24" s="450" t="s">
        <v>15702</v>
      </c>
      <c r="F24" s="450" t="s">
        <v>1097</v>
      </c>
      <c r="G24" s="450" t="s">
        <v>1174</v>
      </c>
      <c r="H24" s="450" t="s">
        <v>706</v>
      </c>
      <c r="I24" s="451" t="n">
        <v>42438</v>
      </c>
      <c r="J24" s="452" t="n">
        <v>3</v>
      </c>
      <c r="K24" s="619" t="s">
        <v>42</v>
      </c>
      <c r="L24" s="450" t="s">
        <v>60</v>
      </c>
      <c r="M24" s="455" t="n">
        <f aca="false">I24-D24</f>
        <v>397</v>
      </c>
      <c r="N24" s="4"/>
      <c r="O24" s="415" t="s">
        <v>2229</v>
      </c>
      <c r="P24" s="415"/>
      <c r="Q24" s="415"/>
      <c r="R24" s="415"/>
      <c r="S24" s="415"/>
    </row>
    <row r="25" customFormat="false" ht="12.75" hidden="false" customHeight="true" outlineLevel="0" collapsed="false">
      <c r="A25" s="456" t="n">
        <v>2416</v>
      </c>
      <c r="B25" s="458" t="s">
        <v>15703</v>
      </c>
      <c r="C25" s="458" t="n">
        <v>2015</v>
      </c>
      <c r="D25" s="459" t="n">
        <v>42044</v>
      </c>
      <c r="E25" s="458" t="s">
        <v>15704</v>
      </c>
      <c r="F25" s="458" t="s">
        <v>1097</v>
      </c>
      <c r="G25" s="458" t="s">
        <v>1174</v>
      </c>
      <c r="H25" s="458" t="s">
        <v>706</v>
      </c>
      <c r="I25" s="459" t="n">
        <v>42438</v>
      </c>
      <c r="J25" s="460" t="n">
        <v>3</v>
      </c>
      <c r="K25" s="619" t="s">
        <v>42</v>
      </c>
      <c r="L25" s="458" t="s">
        <v>60</v>
      </c>
      <c r="M25" s="463" t="n">
        <f aca="false">I25-D25</f>
        <v>394</v>
      </c>
      <c r="N25" s="4"/>
      <c r="O25" s="153"/>
      <c r="P25" s="153"/>
      <c r="Q25" s="153"/>
      <c r="R25" s="153"/>
      <c r="S25" s="153"/>
    </row>
    <row r="26" customFormat="false" ht="13.5" hidden="false" customHeight="true" outlineLevel="0" collapsed="false">
      <c r="A26" s="449" t="n">
        <v>2516</v>
      </c>
      <c r="B26" s="450" t="s">
        <v>15705</v>
      </c>
      <c r="C26" s="450" t="n">
        <v>2014</v>
      </c>
      <c r="D26" s="451" t="n">
        <v>41914</v>
      </c>
      <c r="E26" s="450" t="s">
        <v>15706</v>
      </c>
      <c r="F26" s="450" t="s">
        <v>180</v>
      </c>
      <c r="G26" s="450" t="s">
        <v>1174</v>
      </c>
      <c r="H26" s="450" t="s">
        <v>706</v>
      </c>
      <c r="I26" s="451" t="n">
        <v>42438</v>
      </c>
      <c r="J26" s="452" t="n">
        <v>3</v>
      </c>
      <c r="K26" s="620" t="s">
        <v>47</v>
      </c>
      <c r="L26" s="450" t="s">
        <v>58</v>
      </c>
      <c r="M26" s="455" t="n">
        <f aca="false">I26-D26</f>
        <v>524</v>
      </c>
      <c r="N26" s="4"/>
      <c r="O26" s="326" t="s">
        <v>185</v>
      </c>
      <c r="P26" s="326"/>
      <c r="Q26" s="326"/>
      <c r="R26" s="326"/>
      <c r="S26" s="326"/>
    </row>
    <row r="27" customFormat="false" ht="13.5" hidden="false" customHeight="true" outlineLevel="0" collapsed="false">
      <c r="A27" s="456" t="n">
        <v>2616</v>
      </c>
      <c r="B27" s="458" t="s">
        <v>15707</v>
      </c>
      <c r="C27" s="458" t="n">
        <v>2010</v>
      </c>
      <c r="D27" s="459" t="n">
        <v>40500</v>
      </c>
      <c r="E27" s="458" t="s">
        <v>15708</v>
      </c>
      <c r="F27" s="458" t="s">
        <v>379</v>
      </c>
      <c r="G27" s="458" t="s">
        <v>1174</v>
      </c>
      <c r="H27" s="458" t="s">
        <v>1305</v>
      </c>
      <c r="I27" s="459" t="n">
        <v>42438</v>
      </c>
      <c r="J27" s="460" t="n">
        <v>3</v>
      </c>
      <c r="K27" s="622" t="s">
        <v>45</v>
      </c>
      <c r="L27" s="458" t="s">
        <v>60</v>
      </c>
      <c r="M27" s="463" t="n">
        <f aca="false">I27-D27</f>
        <v>1938</v>
      </c>
      <c r="N27" s="4"/>
      <c r="O27" s="326"/>
      <c r="P27" s="326"/>
      <c r="Q27" s="326"/>
      <c r="R27" s="326"/>
      <c r="S27" s="326"/>
    </row>
    <row r="28" customFormat="false" ht="15" hidden="false" customHeight="true" outlineLevel="0" collapsed="false">
      <c r="A28" s="449" t="n">
        <v>2716</v>
      </c>
      <c r="B28" s="450" t="s">
        <v>15709</v>
      </c>
      <c r="C28" s="450" t="n">
        <v>2010</v>
      </c>
      <c r="D28" s="451" t="n">
        <v>40347</v>
      </c>
      <c r="E28" s="450" t="s">
        <v>15710</v>
      </c>
      <c r="F28" s="450" t="s">
        <v>1727</v>
      </c>
      <c r="G28" s="450" t="s">
        <v>1174</v>
      </c>
      <c r="H28" s="450" t="s">
        <v>1434</v>
      </c>
      <c r="I28" s="451" t="n">
        <v>42443</v>
      </c>
      <c r="J28" s="452" t="n">
        <v>3</v>
      </c>
      <c r="K28" s="622" t="s">
        <v>45</v>
      </c>
      <c r="L28" s="450" t="s">
        <v>58</v>
      </c>
      <c r="M28" s="455" t="n">
        <f aca="false">I28-D28</f>
        <v>2096</v>
      </c>
      <c r="N28" s="4"/>
      <c r="O28" s="309" t="s">
        <v>39</v>
      </c>
      <c r="P28" s="416" t="s">
        <v>40</v>
      </c>
      <c r="Q28" s="416"/>
      <c r="R28" s="416"/>
      <c r="S28" s="313" t="s">
        <v>41</v>
      </c>
    </row>
    <row r="29" customFormat="false" ht="13.5" hidden="false" customHeight="true" outlineLevel="0" collapsed="false">
      <c r="A29" s="456" t="n">
        <v>2816</v>
      </c>
      <c r="B29" s="458" t="s">
        <v>15711</v>
      </c>
      <c r="C29" s="458" t="n">
        <v>2009</v>
      </c>
      <c r="D29" s="459" t="n">
        <v>40147</v>
      </c>
      <c r="E29" s="458" t="s">
        <v>15712</v>
      </c>
      <c r="F29" s="458" t="s">
        <v>1727</v>
      </c>
      <c r="G29" s="458" t="s">
        <v>1174</v>
      </c>
      <c r="H29" s="458" t="s">
        <v>223</v>
      </c>
      <c r="I29" s="459" t="n">
        <v>42443</v>
      </c>
      <c r="J29" s="460" t="n">
        <v>3</v>
      </c>
      <c r="K29" s="622" t="s">
        <v>45</v>
      </c>
      <c r="L29" s="458" t="s">
        <v>58</v>
      </c>
      <c r="M29" s="463" t="n">
        <f aca="false">I29-D29</f>
        <v>2296</v>
      </c>
      <c r="N29" s="4"/>
      <c r="O29" s="283" t="n">
        <v>2004</v>
      </c>
      <c r="P29" s="283" t="n">
        <f aca="false">COUNTIF($C$2:$C$505,"2004")</f>
        <v>0</v>
      </c>
      <c r="Q29" s="283"/>
      <c r="R29" s="283"/>
      <c r="S29" s="315" t="n">
        <f aca="false">P29/P42</f>
        <v>0</v>
      </c>
    </row>
    <row r="30" customFormat="false" ht="13.5" hidden="false" customHeight="true" outlineLevel="0" collapsed="false">
      <c r="A30" s="449" t="n">
        <v>2916</v>
      </c>
      <c r="B30" s="450" t="s">
        <v>15713</v>
      </c>
      <c r="C30" s="450" t="n">
        <v>2010</v>
      </c>
      <c r="D30" s="451" t="n">
        <v>40340</v>
      </c>
      <c r="E30" s="450" t="s">
        <v>15714</v>
      </c>
      <c r="F30" s="450" t="s">
        <v>180</v>
      </c>
      <c r="G30" s="450" t="s">
        <v>1174</v>
      </c>
      <c r="H30" s="450" t="s">
        <v>706</v>
      </c>
      <c r="I30" s="451" t="n">
        <v>42444</v>
      </c>
      <c r="J30" s="452" t="n">
        <v>3</v>
      </c>
      <c r="K30" s="620" t="s">
        <v>47</v>
      </c>
      <c r="L30" s="450" t="s">
        <v>58</v>
      </c>
      <c r="M30" s="455" t="n">
        <f aca="false">I30-D30</f>
        <v>2104</v>
      </c>
      <c r="N30" s="4"/>
      <c r="O30" s="282" t="n">
        <v>2005</v>
      </c>
      <c r="P30" s="282" t="n">
        <f aca="false">COUNTIF($C$2:$C$505,"2005")</f>
        <v>0</v>
      </c>
      <c r="Q30" s="282"/>
      <c r="R30" s="282"/>
      <c r="S30" s="316" t="n">
        <f aca="false">P30/P42</f>
        <v>0</v>
      </c>
    </row>
    <row r="31" customFormat="false" ht="13.5" hidden="false" customHeight="true" outlineLevel="0" collapsed="false">
      <c r="A31" s="456" t="n">
        <v>3016</v>
      </c>
      <c r="B31" s="458" t="s">
        <v>15715</v>
      </c>
      <c r="C31" s="458" t="n">
        <v>2010</v>
      </c>
      <c r="D31" s="459" t="n">
        <v>40190</v>
      </c>
      <c r="E31" s="458" t="s">
        <v>15716</v>
      </c>
      <c r="F31" s="458" t="s">
        <v>14177</v>
      </c>
      <c r="G31" s="458" t="s">
        <v>1174</v>
      </c>
      <c r="H31" s="458" t="s">
        <v>1305</v>
      </c>
      <c r="I31" s="459" t="n">
        <v>42445</v>
      </c>
      <c r="J31" s="460" t="n">
        <v>3</v>
      </c>
      <c r="K31" s="620" t="s">
        <v>47</v>
      </c>
      <c r="L31" s="458" t="s">
        <v>60</v>
      </c>
      <c r="M31" s="463" t="n">
        <f aca="false">I31-D31</f>
        <v>2255</v>
      </c>
      <c r="N31" s="4"/>
      <c r="O31" s="283" t="n">
        <v>2006</v>
      </c>
      <c r="P31" s="283" t="n">
        <f aca="false">COUNTIF($C$2:$C$505,"2006")</f>
        <v>0</v>
      </c>
      <c r="Q31" s="283"/>
      <c r="R31" s="283"/>
      <c r="S31" s="315" t="n">
        <f aca="false">P31/P42</f>
        <v>0</v>
      </c>
    </row>
    <row r="32" customFormat="false" ht="13.5" hidden="false" customHeight="true" outlineLevel="0" collapsed="false">
      <c r="A32" s="449" t="n">
        <v>3116</v>
      </c>
      <c r="B32" s="450" t="s">
        <v>15717</v>
      </c>
      <c r="C32" s="450" t="n">
        <v>2010</v>
      </c>
      <c r="D32" s="451" t="n">
        <v>40301</v>
      </c>
      <c r="E32" s="450" t="s">
        <v>15718</v>
      </c>
      <c r="F32" s="450" t="s">
        <v>915</v>
      </c>
      <c r="G32" s="450" t="s">
        <v>115</v>
      </c>
      <c r="H32" s="450" t="s">
        <v>134</v>
      </c>
      <c r="I32" s="451" t="n">
        <v>42445</v>
      </c>
      <c r="J32" s="452" t="n">
        <v>3</v>
      </c>
      <c r="K32" s="620" t="s">
        <v>47</v>
      </c>
      <c r="L32" s="450" t="s">
        <v>60</v>
      </c>
      <c r="M32" s="455" t="n">
        <f aca="false">I32-D32</f>
        <v>2144</v>
      </c>
      <c r="N32" s="4"/>
      <c r="O32" s="282" t="n">
        <v>2007</v>
      </c>
      <c r="P32" s="282" t="n">
        <f aca="false">COUNTIF($C$2:$C$505,"2007")</f>
        <v>1</v>
      </c>
      <c r="Q32" s="282"/>
      <c r="R32" s="282"/>
      <c r="S32" s="316" t="n">
        <f aca="false">(P32/P42)</f>
        <v>0.0036101083032491</v>
      </c>
    </row>
    <row r="33" customFormat="false" ht="13.5" hidden="false" customHeight="true" outlineLevel="0" collapsed="false">
      <c r="A33" s="456" t="n">
        <v>3216</v>
      </c>
      <c r="B33" s="458" t="s">
        <v>15719</v>
      </c>
      <c r="C33" s="458" t="n">
        <v>2015</v>
      </c>
      <c r="D33" s="459" t="n">
        <v>42045</v>
      </c>
      <c r="E33" s="458" t="s">
        <v>15720</v>
      </c>
      <c r="F33" s="458" t="s">
        <v>1097</v>
      </c>
      <c r="G33" s="458" t="s">
        <v>1174</v>
      </c>
      <c r="H33" s="458" t="s">
        <v>706</v>
      </c>
      <c r="I33" s="459" t="n">
        <v>42445</v>
      </c>
      <c r="J33" s="460" t="n">
        <v>3</v>
      </c>
      <c r="K33" s="619" t="s">
        <v>42</v>
      </c>
      <c r="L33" s="458" t="s">
        <v>60</v>
      </c>
      <c r="M33" s="463" t="n">
        <f aca="false">I33-D33</f>
        <v>400</v>
      </c>
      <c r="N33" s="4"/>
      <c r="O33" s="283" t="n">
        <v>2008</v>
      </c>
      <c r="P33" s="283" t="n">
        <f aca="false">COUNTIF($C$2:$C$505,"2008")</f>
        <v>4</v>
      </c>
      <c r="Q33" s="283"/>
      <c r="R33" s="283"/>
      <c r="S33" s="315" t="n">
        <f aca="false">(P33/P42)</f>
        <v>0.0144404332129964</v>
      </c>
    </row>
    <row r="34" customFormat="false" ht="12.75" hidden="false" customHeight="true" outlineLevel="0" collapsed="false">
      <c r="A34" s="449" t="n">
        <v>3316</v>
      </c>
      <c r="B34" s="450" t="s">
        <v>15721</v>
      </c>
      <c r="C34" s="450" t="n">
        <v>2015</v>
      </c>
      <c r="D34" s="451" t="n">
        <v>42046</v>
      </c>
      <c r="E34" s="450" t="s">
        <v>15722</v>
      </c>
      <c r="F34" s="450" t="s">
        <v>1097</v>
      </c>
      <c r="G34" s="450" t="s">
        <v>1174</v>
      </c>
      <c r="H34" s="450" t="s">
        <v>706</v>
      </c>
      <c r="I34" s="451" t="n">
        <v>42445</v>
      </c>
      <c r="J34" s="452" t="n">
        <v>3</v>
      </c>
      <c r="K34" s="619" t="s">
        <v>42</v>
      </c>
      <c r="L34" s="450" t="s">
        <v>60</v>
      </c>
      <c r="M34" s="455" t="n">
        <f aca="false">I34-D34</f>
        <v>399</v>
      </c>
      <c r="N34" s="4"/>
      <c r="O34" s="282" t="n">
        <v>2009</v>
      </c>
      <c r="P34" s="282" t="n">
        <f aca="false">COUNTIF($C$2:$C$505,"2009")</f>
        <v>15</v>
      </c>
      <c r="Q34" s="282"/>
      <c r="R34" s="282"/>
      <c r="S34" s="316" t="n">
        <f aca="false">(P34/P42)</f>
        <v>0.0541516245487365</v>
      </c>
    </row>
    <row r="35" customFormat="false" ht="13.5" hidden="false" customHeight="true" outlineLevel="0" collapsed="false">
      <c r="A35" s="456" t="n">
        <v>3416</v>
      </c>
      <c r="B35" s="458" t="s">
        <v>15723</v>
      </c>
      <c r="C35" s="458" t="n">
        <v>2010</v>
      </c>
      <c r="D35" s="459" t="n">
        <v>40434</v>
      </c>
      <c r="E35" s="458" t="s">
        <v>15724</v>
      </c>
      <c r="F35" s="458" t="s">
        <v>699</v>
      </c>
      <c r="G35" s="458" t="s">
        <v>441</v>
      </c>
      <c r="H35" s="458" t="s">
        <v>192</v>
      </c>
      <c r="I35" s="459" t="n">
        <v>42457</v>
      </c>
      <c r="J35" s="460" t="n">
        <v>3</v>
      </c>
      <c r="K35" s="619" t="s">
        <v>42</v>
      </c>
      <c r="L35" s="458" t="s">
        <v>60</v>
      </c>
      <c r="M35" s="463" t="n">
        <f aca="false">I35-D35</f>
        <v>2023</v>
      </c>
      <c r="N35" s="4"/>
      <c r="O35" s="283" t="n">
        <v>2010</v>
      </c>
      <c r="P35" s="283" t="n">
        <f aca="false">COUNTIF($C$2:$C$505,"2010")</f>
        <v>46</v>
      </c>
      <c r="Q35" s="283"/>
      <c r="R35" s="283"/>
      <c r="S35" s="315" t="n">
        <f aca="false">(P35/P42)</f>
        <v>0.166064981949458</v>
      </c>
    </row>
    <row r="36" customFormat="false" ht="14.25" hidden="false" customHeight="true" outlineLevel="0" collapsed="false">
      <c r="A36" s="449" t="n">
        <v>3516</v>
      </c>
      <c r="B36" s="450" t="s">
        <v>15725</v>
      </c>
      <c r="C36" s="450" t="n">
        <v>2011</v>
      </c>
      <c r="D36" s="451" t="n">
        <v>40652</v>
      </c>
      <c r="E36" s="450" t="s">
        <v>15726</v>
      </c>
      <c r="F36" s="450" t="s">
        <v>15696</v>
      </c>
      <c r="G36" s="450" t="s">
        <v>441</v>
      </c>
      <c r="H36" s="450" t="s">
        <v>706</v>
      </c>
      <c r="I36" s="451" t="n">
        <v>42458</v>
      </c>
      <c r="J36" s="452" t="n">
        <v>3</v>
      </c>
      <c r="K36" s="619" t="s">
        <v>42</v>
      </c>
      <c r="L36" s="450" t="s">
        <v>58</v>
      </c>
      <c r="M36" s="455" t="n">
        <f aca="false">I36-D36</f>
        <v>1806</v>
      </c>
      <c r="N36" s="4"/>
      <c r="O36" s="282" t="n">
        <v>2011</v>
      </c>
      <c r="P36" s="282" t="n">
        <f aca="false">COUNTIF($C$2:$C$505,"2011")</f>
        <v>35</v>
      </c>
      <c r="Q36" s="282"/>
      <c r="R36" s="282"/>
      <c r="S36" s="316" t="n">
        <f aca="false">(P36/P42)</f>
        <v>0.126353790613718</v>
      </c>
    </row>
    <row r="37" customFormat="false" ht="13.5" hidden="false" customHeight="true" outlineLevel="0" collapsed="false">
      <c r="A37" s="456" t="n">
        <v>3616</v>
      </c>
      <c r="B37" s="458" t="s">
        <v>15727</v>
      </c>
      <c r="C37" s="458" t="n">
        <v>2012</v>
      </c>
      <c r="D37" s="459" t="n">
        <v>41002</v>
      </c>
      <c r="E37" s="458" t="s">
        <v>15728</v>
      </c>
      <c r="F37" s="458" t="s">
        <v>9676</v>
      </c>
      <c r="G37" s="458" t="s">
        <v>115</v>
      </c>
      <c r="H37" s="458" t="s">
        <v>119</v>
      </c>
      <c r="I37" s="459" t="n">
        <v>42459</v>
      </c>
      <c r="J37" s="460" t="n">
        <v>3</v>
      </c>
      <c r="K37" s="619" t="s">
        <v>42</v>
      </c>
      <c r="L37" s="458" t="s">
        <v>58</v>
      </c>
      <c r="M37" s="463" t="n">
        <f aca="false">I37-D37</f>
        <v>1457</v>
      </c>
      <c r="N37" s="4"/>
      <c r="O37" s="283" t="n">
        <v>2012</v>
      </c>
      <c r="P37" s="283" t="n">
        <f aca="false">COUNTIF($C$2:$C$505,"2012")</f>
        <v>28</v>
      </c>
      <c r="Q37" s="283"/>
      <c r="R37" s="283"/>
      <c r="S37" s="315" t="n">
        <f aca="false">(P37/P42)</f>
        <v>0.101083032490975</v>
      </c>
    </row>
    <row r="38" customFormat="false" ht="13.5" hidden="false" customHeight="true" outlineLevel="0" collapsed="false">
      <c r="A38" s="449" t="n">
        <v>3716</v>
      </c>
      <c r="B38" s="450" t="s">
        <v>15729</v>
      </c>
      <c r="C38" s="450" t="n">
        <v>2015</v>
      </c>
      <c r="D38" s="451" t="n">
        <v>42278</v>
      </c>
      <c r="E38" s="450" t="s">
        <v>15730</v>
      </c>
      <c r="F38" s="624" t="s">
        <v>6303</v>
      </c>
      <c r="G38" s="450" t="s">
        <v>130</v>
      </c>
      <c r="H38" s="450" t="s">
        <v>980</v>
      </c>
      <c r="I38" s="451" t="n">
        <v>42459</v>
      </c>
      <c r="J38" s="452" t="n">
        <v>3</v>
      </c>
      <c r="K38" s="623" t="s">
        <v>50</v>
      </c>
      <c r="L38" s="450" t="s">
        <v>61</v>
      </c>
      <c r="M38" s="455" t="n">
        <f aca="false">I38-D38</f>
        <v>181</v>
      </c>
      <c r="N38" s="4"/>
      <c r="O38" s="282" t="n">
        <v>2013</v>
      </c>
      <c r="P38" s="282" t="n">
        <f aca="false">COUNTIF($C$2:$C$505,"2013")</f>
        <v>54</v>
      </c>
      <c r="Q38" s="282"/>
      <c r="R38" s="282"/>
      <c r="S38" s="316" t="n">
        <f aca="false">(P38/P42)</f>
        <v>0.194945848375451</v>
      </c>
    </row>
    <row r="39" customFormat="false" ht="14.25" hidden="false" customHeight="true" outlineLevel="0" collapsed="false">
      <c r="A39" s="456" t="n">
        <v>3816</v>
      </c>
      <c r="B39" s="458" t="s">
        <v>15731</v>
      </c>
      <c r="C39" s="458" t="n">
        <v>2015</v>
      </c>
      <c r="D39" s="459" t="n">
        <v>42095</v>
      </c>
      <c r="E39" s="458" t="s">
        <v>15732</v>
      </c>
      <c r="F39" s="625" t="s">
        <v>6315</v>
      </c>
      <c r="G39" s="458" t="s">
        <v>130</v>
      </c>
      <c r="H39" s="458" t="s">
        <v>980</v>
      </c>
      <c r="I39" s="459" t="n">
        <v>42459</v>
      </c>
      <c r="J39" s="460" t="n">
        <v>3</v>
      </c>
      <c r="K39" s="623" t="s">
        <v>50</v>
      </c>
      <c r="L39" s="458" t="s">
        <v>61</v>
      </c>
      <c r="M39" s="463" t="n">
        <f aca="false">I39-D39</f>
        <v>364</v>
      </c>
      <c r="N39" s="621"/>
      <c r="O39" s="283" t="n">
        <v>2014</v>
      </c>
      <c r="P39" s="283" t="n">
        <f aca="false">COUNTIF($C$2:$C$505,"2014")</f>
        <v>55</v>
      </c>
      <c r="Q39" s="283"/>
      <c r="R39" s="283"/>
      <c r="S39" s="315" t="n">
        <f aca="false">(P39/P42)</f>
        <v>0.1985559566787</v>
      </c>
    </row>
    <row r="40" customFormat="false" ht="14.25" hidden="false" customHeight="true" outlineLevel="0" collapsed="false">
      <c r="A40" s="449" t="n">
        <v>3916</v>
      </c>
      <c r="B40" s="450" t="s">
        <v>15733</v>
      </c>
      <c r="C40" s="450" t="n">
        <v>2010</v>
      </c>
      <c r="D40" s="451" t="n">
        <v>40511</v>
      </c>
      <c r="E40" s="450" t="s">
        <v>15734</v>
      </c>
      <c r="F40" s="450" t="s">
        <v>15735</v>
      </c>
      <c r="G40" s="450" t="s">
        <v>144</v>
      </c>
      <c r="H40" s="450" t="s">
        <v>119</v>
      </c>
      <c r="I40" s="451" t="n">
        <v>42459</v>
      </c>
      <c r="J40" s="452" t="n">
        <v>3</v>
      </c>
      <c r="K40" s="622" t="s">
        <v>45</v>
      </c>
      <c r="L40" s="450" t="s">
        <v>58</v>
      </c>
      <c r="M40" s="455" t="n">
        <f aca="false">I40-D40</f>
        <v>1948</v>
      </c>
      <c r="N40" s="4"/>
      <c r="O40" s="282" t="n">
        <v>2015</v>
      </c>
      <c r="P40" s="282" t="n">
        <f aca="false">COUNTIF($C$2:$C$505,"2015")</f>
        <v>34</v>
      </c>
      <c r="Q40" s="282"/>
      <c r="R40" s="282"/>
      <c r="S40" s="316" t="n">
        <f aca="false">(P40/P42)</f>
        <v>0.122743682310469</v>
      </c>
    </row>
    <row r="41" customFormat="false" ht="14.25" hidden="false" customHeight="true" outlineLevel="0" collapsed="false">
      <c r="A41" s="456" t="n">
        <v>4016</v>
      </c>
      <c r="B41" s="458" t="s">
        <v>15736</v>
      </c>
      <c r="C41" s="458" t="n">
        <v>2010</v>
      </c>
      <c r="D41" s="459" t="n">
        <v>40379</v>
      </c>
      <c r="E41" s="458" t="s">
        <v>15737</v>
      </c>
      <c r="F41" s="458" t="s">
        <v>699</v>
      </c>
      <c r="G41" s="458" t="s">
        <v>441</v>
      </c>
      <c r="H41" s="458" t="s">
        <v>6570</v>
      </c>
      <c r="I41" s="459" t="n">
        <v>42471</v>
      </c>
      <c r="J41" s="460" t="n">
        <v>4</v>
      </c>
      <c r="K41" s="619" t="s">
        <v>42</v>
      </c>
      <c r="L41" s="458" t="s">
        <v>60</v>
      </c>
      <c r="M41" s="463" t="n">
        <f aca="false">I41-D41</f>
        <v>2092</v>
      </c>
      <c r="N41" s="4"/>
      <c r="O41" s="283" t="n">
        <v>2016</v>
      </c>
      <c r="P41" s="283" t="n">
        <f aca="false">COUNTIF($C$2:$C$505,"2016")</f>
        <v>5</v>
      </c>
      <c r="Q41" s="283"/>
      <c r="R41" s="283"/>
      <c r="S41" s="315" t="n">
        <f aca="false">(P41/P42)</f>
        <v>0.0180505415162455</v>
      </c>
    </row>
    <row r="42" customFormat="false" ht="13.5" hidden="false" customHeight="true" outlineLevel="0" collapsed="false">
      <c r="A42" s="449" t="n">
        <v>4116</v>
      </c>
      <c r="B42" s="450" t="s">
        <v>15738</v>
      </c>
      <c r="C42" s="450" t="n">
        <v>2010</v>
      </c>
      <c r="D42" s="451" t="n">
        <v>40499</v>
      </c>
      <c r="E42" s="450" t="s">
        <v>15739</v>
      </c>
      <c r="F42" s="450" t="s">
        <v>14177</v>
      </c>
      <c r="G42" s="450" t="s">
        <v>441</v>
      </c>
      <c r="H42" s="450" t="s">
        <v>192</v>
      </c>
      <c r="I42" s="451" t="n">
        <v>42471</v>
      </c>
      <c r="J42" s="452" t="n">
        <v>4</v>
      </c>
      <c r="K42" s="620" t="s">
        <v>47</v>
      </c>
      <c r="L42" s="450" t="s">
        <v>60</v>
      </c>
      <c r="M42" s="455" t="n">
        <f aca="false">I42-D42</f>
        <v>1972</v>
      </c>
      <c r="N42" s="4"/>
      <c r="O42" s="323" t="s">
        <v>56</v>
      </c>
      <c r="P42" s="418" t="n">
        <f aca="false">SUM(P29:R41)</f>
        <v>277</v>
      </c>
      <c r="Q42" s="418"/>
      <c r="R42" s="418"/>
      <c r="S42" s="325" t="n">
        <f aca="false">SUM(S29:S41)</f>
        <v>1</v>
      </c>
    </row>
    <row r="43" customFormat="false" ht="13.5" hidden="false" customHeight="true" outlineLevel="0" collapsed="false">
      <c r="A43" s="456" t="n">
        <v>4216</v>
      </c>
      <c r="B43" s="458" t="s">
        <v>15740</v>
      </c>
      <c r="C43" s="458" t="n">
        <v>2007</v>
      </c>
      <c r="D43" s="459" t="n">
        <v>39307</v>
      </c>
      <c r="E43" s="458" t="s">
        <v>15741</v>
      </c>
      <c r="F43" s="458" t="s">
        <v>1827</v>
      </c>
      <c r="G43" s="458" t="s">
        <v>144</v>
      </c>
      <c r="H43" s="458" t="s">
        <v>1791</v>
      </c>
      <c r="I43" s="459" t="n">
        <v>42473</v>
      </c>
      <c r="J43" s="460" t="n">
        <v>4</v>
      </c>
      <c r="K43" s="619" t="s">
        <v>42</v>
      </c>
      <c r="L43" s="458" t="s">
        <v>60</v>
      </c>
      <c r="M43" s="463" t="n">
        <f aca="false">I43-D43</f>
        <v>3166</v>
      </c>
      <c r="N43" s="4"/>
      <c r="O43" s="153"/>
      <c r="P43" s="153"/>
      <c r="Q43" s="153"/>
      <c r="R43" s="153"/>
      <c r="S43" s="153"/>
    </row>
    <row r="44" customFormat="false" ht="12.75" hidden="false" customHeight="true" outlineLevel="0" collapsed="false">
      <c r="A44" s="449" t="n">
        <v>4316</v>
      </c>
      <c r="B44" s="450" t="s">
        <v>15742</v>
      </c>
      <c r="C44" s="450" t="n">
        <v>2011</v>
      </c>
      <c r="D44" s="451" t="n">
        <v>40745</v>
      </c>
      <c r="E44" s="450" t="s">
        <v>15743</v>
      </c>
      <c r="F44" s="450" t="s">
        <v>699</v>
      </c>
      <c r="G44" s="450" t="s">
        <v>144</v>
      </c>
      <c r="H44" s="450" t="s">
        <v>1109</v>
      </c>
      <c r="I44" s="451" t="n">
        <v>42473</v>
      </c>
      <c r="J44" s="452" t="n">
        <v>4</v>
      </c>
      <c r="K44" s="619" t="s">
        <v>42</v>
      </c>
      <c r="L44" s="450" t="s">
        <v>60</v>
      </c>
      <c r="M44" s="455" t="n">
        <f aca="false">I44-D44</f>
        <v>1728</v>
      </c>
      <c r="N44" s="4"/>
      <c r="O44" s="326" t="s">
        <v>272</v>
      </c>
      <c r="P44" s="326"/>
      <c r="Q44" s="326"/>
      <c r="R44" s="326"/>
      <c r="S44" s="326"/>
    </row>
    <row r="45" customFormat="false" ht="13.5" hidden="false" customHeight="true" outlineLevel="0" collapsed="false">
      <c r="A45" s="456" t="n">
        <v>4416</v>
      </c>
      <c r="B45" s="458" t="s">
        <v>15744</v>
      </c>
      <c r="C45" s="458" t="n">
        <v>2011</v>
      </c>
      <c r="D45" s="459" t="n">
        <v>40634</v>
      </c>
      <c r="E45" s="458" t="s">
        <v>15745</v>
      </c>
      <c r="F45" s="458" t="s">
        <v>915</v>
      </c>
      <c r="G45" s="458" t="s">
        <v>115</v>
      </c>
      <c r="H45" s="458" t="s">
        <v>134</v>
      </c>
      <c r="I45" s="459" t="n">
        <v>42473</v>
      </c>
      <c r="J45" s="460" t="n">
        <v>4</v>
      </c>
      <c r="K45" s="620" t="s">
        <v>47</v>
      </c>
      <c r="L45" s="458" t="s">
        <v>60</v>
      </c>
      <c r="M45" s="463" t="n">
        <f aca="false">I45-D45</f>
        <v>1839</v>
      </c>
      <c r="N45" s="4"/>
      <c r="O45" s="326"/>
      <c r="P45" s="326"/>
      <c r="Q45" s="326"/>
      <c r="R45" s="326"/>
      <c r="S45" s="326"/>
    </row>
    <row r="46" customFormat="false" ht="14.25" hidden="false" customHeight="true" outlineLevel="0" collapsed="false">
      <c r="A46" s="449" t="n">
        <v>4516</v>
      </c>
      <c r="B46" s="450" t="s">
        <v>15746</v>
      </c>
      <c r="C46" s="450" t="n">
        <v>2010</v>
      </c>
      <c r="D46" s="451" t="n">
        <v>40535</v>
      </c>
      <c r="E46" s="450" t="s">
        <v>15747</v>
      </c>
      <c r="F46" s="450" t="s">
        <v>668</v>
      </c>
      <c r="G46" s="450" t="s">
        <v>441</v>
      </c>
      <c r="H46" s="450" t="s">
        <v>1059</v>
      </c>
      <c r="I46" s="451" t="n">
        <v>42474</v>
      </c>
      <c r="J46" s="452" t="n">
        <v>4</v>
      </c>
      <c r="K46" s="619" t="s">
        <v>42</v>
      </c>
      <c r="L46" s="450" t="s">
        <v>58</v>
      </c>
      <c r="M46" s="455" t="n">
        <f aca="false">I46-D46</f>
        <v>1939</v>
      </c>
      <c r="N46" s="4"/>
      <c r="O46" s="309" t="s">
        <v>100</v>
      </c>
      <c r="P46" s="416" t="s">
        <v>40</v>
      </c>
      <c r="Q46" s="416"/>
      <c r="R46" s="416"/>
      <c r="S46" s="313" t="s">
        <v>41</v>
      </c>
    </row>
    <row r="47" customFormat="false" ht="13.5" hidden="false" customHeight="true" outlineLevel="0" collapsed="false">
      <c r="A47" s="456" t="n">
        <v>4616</v>
      </c>
      <c r="B47" s="458" t="s">
        <v>15748</v>
      </c>
      <c r="C47" s="458" t="n">
        <v>2009</v>
      </c>
      <c r="D47" s="459" t="n">
        <v>39990</v>
      </c>
      <c r="E47" s="458" t="s">
        <v>15749</v>
      </c>
      <c r="F47" s="458" t="s">
        <v>8232</v>
      </c>
      <c r="G47" s="458" t="s">
        <v>1174</v>
      </c>
      <c r="H47" s="458" t="s">
        <v>13006</v>
      </c>
      <c r="I47" s="459" t="n">
        <v>42474</v>
      </c>
      <c r="J47" s="460" t="n">
        <v>4</v>
      </c>
      <c r="K47" s="620" t="s">
        <v>47</v>
      </c>
      <c r="L47" s="458" t="s">
        <v>60</v>
      </c>
      <c r="M47" s="463" t="n">
        <f aca="false">I47-D47</f>
        <v>2484</v>
      </c>
      <c r="N47" s="4"/>
      <c r="O47" s="314" t="s">
        <v>63</v>
      </c>
      <c r="P47" s="283" t="n">
        <f aca="false">COUNTIF($J$2:$J$478,"1")</f>
        <v>7</v>
      </c>
      <c r="Q47" s="283"/>
      <c r="R47" s="283"/>
      <c r="S47" s="469" t="n">
        <f aca="false">(P47/P59)</f>
        <v>0.0252707581227437</v>
      </c>
    </row>
    <row r="48" customFormat="false" ht="15.75" hidden="false" customHeight="true" outlineLevel="0" collapsed="false">
      <c r="A48" s="449" t="n">
        <v>4716</v>
      </c>
      <c r="B48" s="450" t="s">
        <v>15750</v>
      </c>
      <c r="C48" s="450" t="n">
        <v>2014</v>
      </c>
      <c r="D48" s="451" t="n">
        <v>41954</v>
      </c>
      <c r="E48" s="450" t="s">
        <v>15751</v>
      </c>
      <c r="F48" s="624" t="s">
        <v>6315</v>
      </c>
      <c r="G48" s="450" t="s">
        <v>130</v>
      </c>
      <c r="H48" s="450" t="s">
        <v>15752</v>
      </c>
      <c r="I48" s="451" t="n">
        <v>42480</v>
      </c>
      <c r="J48" s="452" t="n">
        <v>4</v>
      </c>
      <c r="K48" s="623" t="s">
        <v>50</v>
      </c>
      <c r="L48" s="450" t="s">
        <v>61</v>
      </c>
      <c r="M48" s="455" t="n">
        <f aca="false">I48-D48</f>
        <v>526</v>
      </c>
      <c r="N48" s="621"/>
      <c r="O48" s="282" t="s">
        <v>64</v>
      </c>
      <c r="P48" s="282" t="n">
        <f aca="false">COUNTIF($J$2:$J$478,"2")</f>
        <v>8</v>
      </c>
      <c r="Q48" s="282"/>
      <c r="R48" s="282"/>
      <c r="S48" s="316" t="n">
        <f aca="false">(P48/P59)</f>
        <v>0.0288808664259928</v>
      </c>
    </row>
    <row r="49" customFormat="false" ht="13.5" hidden="false" customHeight="true" outlineLevel="0" collapsed="false">
      <c r="A49" s="456" t="n">
        <v>4816</v>
      </c>
      <c r="B49" s="458" t="s">
        <v>15753</v>
      </c>
      <c r="C49" s="458" t="n">
        <v>2014</v>
      </c>
      <c r="D49" s="459" t="n">
        <v>41978</v>
      </c>
      <c r="E49" s="458" t="s">
        <v>15754</v>
      </c>
      <c r="F49" s="625" t="s">
        <v>6361</v>
      </c>
      <c r="G49" s="458" t="s">
        <v>125</v>
      </c>
      <c r="H49" s="458" t="s">
        <v>980</v>
      </c>
      <c r="I49" s="459" t="n">
        <v>42480</v>
      </c>
      <c r="J49" s="460" t="n">
        <v>4</v>
      </c>
      <c r="K49" s="623" t="s">
        <v>50</v>
      </c>
      <c r="L49" s="458" t="s">
        <v>61</v>
      </c>
      <c r="M49" s="463" t="n">
        <f aca="false">I49-D49</f>
        <v>502</v>
      </c>
      <c r="N49" s="4"/>
      <c r="O49" s="283" t="s">
        <v>66</v>
      </c>
      <c r="P49" s="283" t="n">
        <f aca="false">COUNTIF($J$2:$J$478,"3")</f>
        <v>24</v>
      </c>
      <c r="Q49" s="283"/>
      <c r="R49" s="283"/>
      <c r="S49" s="315" t="n">
        <f aca="false">(P49/P59)</f>
        <v>0.0866425992779783</v>
      </c>
      <c r="T49" s="153"/>
    </row>
    <row r="50" customFormat="false" ht="14.25" hidden="false" customHeight="true" outlineLevel="0" collapsed="false">
      <c r="A50" s="449" t="n">
        <v>4916</v>
      </c>
      <c r="B50" s="450" t="s">
        <v>15755</v>
      </c>
      <c r="C50" s="450" t="n">
        <v>2011</v>
      </c>
      <c r="D50" s="451" t="n">
        <v>40903</v>
      </c>
      <c r="E50" s="450" t="s">
        <v>15756</v>
      </c>
      <c r="F50" s="450" t="s">
        <v>123</v>
      </c>
      <c r="G50" s="450" t="s">
        <v>144</v>
      </c>
      <c r="H50" s="450" t="s">
        <v>1791</v>
      </c>
      <c r="I50" s="451" t="n">
        <v>42480</v>
      </c>
      <c r="J50" s="452" t="n">
        <v>4</v>
      </c>
      <c r="K50" s="620" t="s">
        <v>47</v>
      </c>
      <c r="L50" s="450" t="s">
        <v>60</v>
      </c>
      <c r="M50" s="455" t="n">
        <f aca="false">I50-D50</f>
        <v>1577</v>
      </c>
      <c r="N50" s="4"/>
      <c r="O50" s="282" t="s">
        <v>67</v>
      </c>
      <c r="P50" s="282" t="n">
        <f aca="false">COUNTIF($J$2:$J$478,"4")</f>
        <v>14</v>
      </c>
      <c r="Q50" s="282"/>
      <c r="R50" s="282"/>
      <c r="S50" s="316" t="n">
        <f aca="false">(P50/P59)</f>
        <v>0.0505415162454874</v>
      </c>
      <c r="T50" s="153"/>
    </row>
    <row r="51" customFormat="false" ht="14.25" hidden="false" customHeight="true" outlineLevel="0" collapsed="false">
      <c r="A51" s="456" t="n">
        <v>5016</v>
      </c>
      <c r="B51" s="458" t="s">
        <v>15757</v>
      </c>
      <c r="C51" s="458" t="n">
        <v>2011</v>
      </c>
      <c r="D51" s="459" t="n">
        <v>40906</v>
      </c>
      <c r="E51" s="458" t="s">
        <v>15758</v>
      </c>
      <c r="F51" s="458" t="s">
        <v>172</v>
      </c>
      <c r="G51" s="458" t="s">
        <v>144</v>
      </c>
      <c r="H51" s="458" t="s">
        <v>10901</v>
      </c>
      <c r="I51" s="459" t="n">
        <v>42485</v>
      </c>
      <c r="J51" s="460" t="n">
        <v>4</v>
      </c>
      <c r="K51" s="619" t="s">
        <v>42</v>
      </c>
      <c r="L51" s="458" t="s">
        <v>58</v>
      </c>
      <c r="M51" s="463" t="n">
        <f aca="false">I51-D51</f>
        <v>1579</v>
      </c>
      <c r="N51" s="4"/>
      <c r="O51" s="283" t="s">
        <v>68</v>
      </c>
      <c r="P51" s="283" t="n">
        <f aca="false">COUNTIF($J$2:$J$478,"5")</f>
        <v>25</v>
      </c>
      <c r="Q51" s="283"/>
      <c r="R51" s="283"/>
      <c r="S51" s="315" t="n">
        <f aca="false">(P51/P59)</f>
        <v>0.0902527075812274</v>
      </c>
      <c r="T51" s="153"/>
    </row>
    <row r="52" customFormat="false" ht="13.5" hidden="false" customHeight="true" outlineLevel="0" collapsed="false">
      <c r="A52" s="449" t="n">
        <v>5116</v>
      </c>
      <c r="B52" s="450" t="s">
        <v>15759</v>
      </c>
      <c r="C52" s="450" t="n">
        <v>2012</v>
      </c>
      <c r="D52" s="451" t="n">
        <v>40917</v>
      </c>
      <c r="E52" s="450" t="s">
        <v>15760</v>
      </c>
      <c r="F52" s="450" t="s">
        <v>15761</v>
      </c>
      <c r="G52" s="450" t="s">
        <v>144</v>
      </c>
      <c r="H52" s="450" t="s">
        <v>10901</v>
      </c>
      <c r="I52" s="451" t="n">
        <v>42485</v>
      </c>
      <c r="J52" s="452" t="n">
        <v>4</v>
      </c>
      <c r="K52" s="619" t="s">
        <v>42</v>
      </c>
      <c r="L52" s="450" t="s">
        <v>58</v>
      </c>
      <c r="M52" s="455" t="n">
        <f aca="false">I52-D52</f>
        <v>1568</v>
      </c>
      <c r="N52" s="4"/>
      <c r="O52" s="282" t="s">
        <v>70</v>
      </c>
      <c r="P52" s="282" t="n">
        <f aca="false">COUNTIF($J$2:$J$478,"6")</f>
        <v>25</v>
      </c>
      <c r="Q52" s="282"/>
      <c r="R52" s="282"/>
      <c r="S52" s="316" t="n">
        <f aca="false">(P52/P59)</f>
        <v>0.0902527075812274</v>
      </c>
      <c r="T52" s="153"/>
    </row>
    <row r="53" customFormat="false" ht="13.5" hidden="false" customHeight="true" outlineLevel="0" collapsed="false">
      <c r="A53" s="456" t="n">
        <v>5216</v>
      </c>
      <c r="B53" s="458" t="s">
        <v>15762</v>
      </c>
      <c r="C53" s="458" t="n">
        <v>2009</v>
      </c>
      <c r="D53" s="459" t="n">
        <v>39951</v>
      </c>
      <c r="E53" s="458" t="s">
        <v>15763</v>
      </c>
      <c r="F53" s="458" t="s">
        <v>3924</v>
      </c>
      <c r="G53" s="458" t="s">
        <v>1174</v>
      </c>
      <c r="H53" s="458" t="s">
        <v>15764</v>
      </c>
      <c r="I53" s="459" t="n">
        <v>42488</v>
      </c>
      <c r="J53" s="460" t="n">
        <v>4</v>
      </c>
      <c r="K53" s="622" t="s">
        <v>45</v>
      </c>
      <c r="L53" s="458" t="s">
        <v>58</v>
      </c>
      <c r="M53" s="463" t="n">
        <f aca="false">I53-D53</f>
        <v>2537</v>
      </c>
      <c r="N53" s="4"/>
      <c r="O53" s="283" t="s">
        <v>72</v>
      </c>
      <c r="P53" s="283" t="n">
        <f aca="false">COUNTIF($J$2:$J$478,"7")</f>
        <v>3</v>
      </c>
      <c r="Q53" s="283"/>
      <c r="R53" s="283"/>
      <c r="S53" s="315" t="n">
        <f aca="false">(P53/P59)</f>
        <v>0.0108303249097473</v>
      </c>
      <c r="T53" s="153"/>
    </row>
    <row r="54" customFormat="false" ht="13.5" hidden="false" customHeight="true" outlineLevel="0" collapsed="false">
      <c r="A54" s="449" t="n">
        <v>5316</v>
      </c>
      <c r="B54" s="450" t="s">
        <v>15765</v>
      </c>
      <c r="C54" s="450" t="n">
        <v>2011</v>
      </c>
      <c r="D54" s="451" t="n">
        <v>40756</v>
      </c>
      <c r="E54" s="450" t="s">
        <v>15766</v>
      </c>
      <c r="F54" s="450" t="s">
        <v>566</v>
      </c>
      <c r="G54" s="450" t="s">
        <v>115</v>
      </c>
      <c r="H54" s="450" t="s">
        <v>2421</v>
      </c>
      <c r="I54" s="451" t="n">
        <v>42488</v>
      </c>
      <c r="J54" s="452" t="n">
        <v>4</v>
      </c>
      <c r="K54" s="623" t="s">
        <v>50</v>
      </c>
      <c r="L54" s="450" t="s">
        <v>60</v>
      </c>
      <c r="M54" s="455" t="n">
        <f aca="false">I54-D54</f>
        <v>1732</v>
      </c>
      <c r="N54" s="4"/>
      <c r="O54" s="282" t="s">
        <v>74</v>
      </c>
      <c r="P54" s="282" t="n">
        <f aca="false">COUNTIF($J$2:$J$478,"8")</f>
        <v>20</v>
      </c>
      <c r="Q54" s="282"/>
      <c r="R54" s="282"/>
      <c r="S54" s="316" t="n">
        <f aca="false">(P54/P59)</f>
        <v>0.072202166064982</v>
      </c>
      <c r="T54" s="153"/>
    </row>
    <row r="55" customFormat="false" ht="14.25" hidden="false" customHeight="true" outlineLevel="0" collapsed="false">
      <c r="A55" s="456" t="n">
        <v>5416</v>
      </c>
      <c r="B55" s="458" t="s">
        <v>15767</v>
      </c>
      <c r="C55" s="458" t="n">
        <v>2009</v>
      </c>
      <c r="D55" s="459" t="n">
        <v>40042</v>
      </c>
      <c r="E55" s="458" t="s">
        <v>15768</v>
      </c>
      <c r="F55" s="458" t="s">
        <v>1277</v>
      </c>
      <c r="G55" s="458" t="s">
        <v>441</v>
      </c>
      <c r="H55" s="458" t="s">
        <v>350</v>
      </c>
      <c r="I55" s="459" t="n">
        <v>42496</v>
      </c>
      <c r="J55" s="460" t="n">
        <v>5</v>
      </c>
      <c r="K55" s="622" t="s">
        <v>45</v>
      </c>
      <c r="L55" s="458" t="s">
        <v>58</v>
      </c>
      <c r="M55" s="463" t="n">
        <f aca="false">I55-D55</f>
        <v>2454</v>
      </c>
      <c r="N55" s="4"/>
      <c r="O55" s="283" t="s">
        <v>76</v>
      </c>
      <c r="P55" s="283" t="n">
        <f aca="false">COUNTIF($J$2:$J$478,"9")</f>
        <v>25</v>
      </c>
      <c r="Q55" s="283"/>
      <c r="R55" s="283"/>
      <c r="S55" s="315" t="n">
        <f aca="false">(P55/P59)</f>
        <v>0.0902527075812274</v>
      </c>
      <c r="T55" s="153"/>
    </row>
    <row r="56" customFormat="false" ht="14.25" hidden="false" customHeight="true" outlineLevel="0" collapsed="false">
      <c r="A56" s="449" t="n">
        <v>5516</v>
      </c>
      <c r="B56" s="450" t="s">
        <v>15769</v>
      </c>
      <c r="C56" s="450" t="n">
        <v>2010</v>
      </c>
      <c r="D56" s="451" t="n">
        <v>40535</v>
      </c>
      <c r="E56" s="450" t="s">
        <v>15770</v>
      </c>
      <c r="F56" s="450" t="s">
        <v>446</v>
      </c>
      <c r="G56" s="450" t="s">
        <v>1174</v>
      </c>
      <c r="H56" s="450" t="s">
        <v>184</v>
      </c>
      <c r="I56" s="451" t="n">
        <v>42496</v>
      </c>
      <c r="J56" s="452" t="n">
        <v>5</v>
      </c>
      <c r="K56" s="620" t="s">
        <v>47</v>
      </c>
      <c r="L56" s="450" t="s">
        <v>58</v>
      </c>
      <c r="M56" s="455" t="n">
        <f aca="false">I56-D56</f>
        <v>1961</v>
      </c>
      <c r="N56" s="4"/>
      <c r="O56" s="282" t="s">
        <v>78</v>
      </c>
      <c r="P56" s="282" t="n">
        <f aca="false">COUNTIF($J$2:$J$478,"10")</f>
        <v>32</v>
      </c>
      <c r="Q56" s="282"/>
      <c r="R56" s="282"/>
      <c r="S56" s="316" t="n">
        <f aca="false">(P56/P59)</f>
        <v>0.115523465703971</v>
      </c>
      <c r="T56" s="153"/>
    </row>
    <row r="57" customFormat="false" ht="14.25" hidden="false" customHeight="true" outlineLevel="0" collapsed="false">
      <c r="A57" s="456" t="n">
        <v>5616</v>
      </c>
      <c r="B57" s="458" t="s">
        <v>15771</v>
      </c>
      <c r="C57" s="458" t="n">
        <v>2013</v>
      </c>
      <c r="D57" s="459" t="n">
        <v>41572</v>
      </c>
      <c r="E57" s="458" t="s">
        <v>15772</v>
      </c>
      <c r="F57" s="458" t="s">
        <v>15092</v>
      </c>
      <c r="G57" s="458" t="s">
        <v>441</v>
      </c>
      <c r="H57" s="458" t="s">
        <v>310</v>
      </c>
      <c r="I57" s="459" t="n">
        <v>42496</v>
      </c>
      <c r="J57" s="460" t="n">
        <v>5</v>
      </c>
      <c r="K57" s="619" t="s">
        <v>42</v>
      </c>
      <c r="L57" s="458" t="s">
        <v>60</v>
      </c>
      <c r="M57" s="463" t="n">
        <f aca="false">I57-D57</f>
        <v>924</v>
      </c>
      <c r="N57" s="4"/>
      <c r="O57" s="283" t="s">
        <v>80</v>
      </c>
      <c r="P57" s="283" t="n">
        <f aca="false">COUNTIF($J$2:$J$478,"11")</f>
        <v>23</v>
      </c>
      <c r="Q57" s="283"/>
      <c r="R57" s="283"/>
      <c r="S57" s="315" t="n">
        <f aca="false">(P57/P59)</f>
        <v>0.0830324909747292</v>
      </c>
      <c r="T57" s="153"/>
    </row>
    <row r="58" customFormat="false" ht="14.25" hidden="false" customHeight="true" outlineLevel="0" collapsed="false">
      <c r="A58" s="449" t="n">
        <v>5716</v>
      </c>
      <c r="B58" s="450" t="s">
        <v>15773</v>
      </c>
      <c r="C58" s="450" t="n">
        <v>2014</v>
      </c>
      <c r="D58" s="451" t="n">
        <v>41704</v>
      </c>
      <c r="E58" s="450" t="s">
        <v>15774</v>
      </c>
      <c r="F58" s="450" t="s">
        <v>446</v>
      </c>
      <c r="G58" s="450" t="s">
        <v>1174</v>
      </c>
      <c r="H58" s="450" t="s">
        <v>223</v>
      </c>
      <c r="I58" s="451" t="n">
        <v>42499</v>
      </c>
      <c r="J58" s="452" t="n">
        <v>5</v>
      </c>
      <c r="K58" s="620" t="s">
        <v>47</v>
      </c>
      <c r="L58" s="450" t="s">
        <v>58</v>
      </c>
      <c r="M58" s="455" t="n">
        <f aca="false">I58-D58</f>
        <v>795</v>
      </c>
      <c r="N58" s="4"/>
      <c r="O58" s="336" t="s">
        <v>82</v>
      </c>
      <c r="P58" s="282" t="n">
        <f aca="false">COUNTIF($J$2:$J$478,"12")</f>
        <v>71</v>
      </c>
      <c r="Q58" s="282"/>
      <c r="R58" s="282"/>
      <c r="S58" s="470" t="n">
        <f aca="false">(P58/P59)</f>
        <v>0.256317689530686</v>
      </c>
      <c r="T58" s="153"/>
    </row>
    <row r="59" customFormat="false" ht="14.25" hidden="false" customHeight="true" outlineLevel="0" collapsed="false">
      <c r="A59" s="456" t="n">
        <v>5816</v>
      </c>
      <c r="B59" s="458" t="s">
        <v>15775</v>
      </c>
      <c r="C59" s="458" t="n">
        <v>2014</v>
      </c>
      <c r="D59" s="459" t="n">
        <v>41705</v>
      </c>
      <c r="E59" s="458" t="s">
        <v>15776</v>
      </c>
      <c r="F59" s="625" t="s">
        <v>12749</v>
      </c>
      <c r="G59" s="458" t="s">
        <v>125</v>
      </c>
      <c r="H59" s="458" t="s">
        <v>15777</v>
      </c>
      <c r="I59" s="459" t="n">
        <v>42500</v>
      </c>
      <c r="J59" s="460" t="n">
        <v>5</v>
      </c>
      <c r="K59" s="620" t="s">
        <v>47</v>
      </c>
      <c r="L59" s="458" t="s">
        <v>61</v>
      </c>
      <c r="M59" s="463" t="n">
        <f aca="false">I59-D59</f>
        <v>795</v>
      </c>
      <c r="N59" s="4"/>
      <c r="O59" s="323" t="s">
        <v>54</v>
      </c>
      <c r="P59" s="418" t="n">
        <f aca="false">SUM(P47:R58)</f>
        <v>277</v>
      </c>
      <c r="Q59" s="418"/>
      <c r="R59" s="418"/>
      <c r="S59" s="325" t="n">
        <f aca="false">SUM(S47:S58)</f>
        <v>1</v>
      </c>
      <c r="T59" s="153"/>
    </row>
    <row r="60" customFormat="false" ht="14.25" hidden="false" customHeight="true" outlineLevel="0" collapsed="false">
      <c r="A60" s="449" t="n">
        <v>5916</v>
      </c>
      <c r="B60" s="450" t="s">
        <v>15778</v>
      </c>
      <c r="C60" s="450" t="n">
        <v>2010</v>
      </c>
      <c r="D60" s="451" t="n">
        <v>40266</v>
      </c>
      <c r="E60" s="450" t="s">
        <v>15779</v>
      </c>
      <c r="F60" s="450" t="s">
        <v>15780</v>
      </c>
      <c r="G60" s="450" t="s">
        <v>144</v>
      </c>
      <c r="H60" s="450" t="s">
        <v>1791</v>
      </c>
      <c r="I60" s="451" t="n">
        <v>42500</v>
      </c>
      <c r="J60" s="452" t="n">
        <v>5</v>
      </c>
      <c r="K60" s="619" t="s">
        <v>42</v>
      </c>
      <c r="L60" s="450" t="s">
        <v>58</v>
      </c>
      <c r="M60" s="455" t="n">
        <f aca="false">I60-D60</f>
        <v>2234</v>
      </c>
      <c r="N60" s="4"/>
      <c r="O60" s="153"/>
      <c r="P60" s="153"/>
      <c r="Q60" s="153"/>
      <c r="R60" s="153"/>
      <c r="S60" s="153"/>
      <c r="T60" s="153"/>
    </row>
    <row r="61" customFormat="false" ht="15" hidden="false" customHeight="true" outlineLevel="0" collapsed="false">
      <c r="A61" s="456" t="n">
        <v>6016</v>
      </c>
      <c r="B61" s="458" t="s">
        <v>15781</v>
      </c>
      <c r="C61" s="458" t="n">
        <v>2010</v>
      </c>
      <c r="D61" s="459" t="n">
        <v>40479</v>
      </c>
      <c r="E61" s="458" t="s">
        <v>15782</v>
      </c>
      <c r="F61" s="458" t="s">
        <v>176</v>
      </c>
      <c r="G61" s="458" t="s">
        <v>1174</v>
      </c>
      <c r="H61" s="458" t="s">
        <v>310</v>
      </c>
      <c r="I61" s="459" t="n">
        <v>42501</v>
      </c>
      <c r="J61" s="460" t="n">
        <v>5</v>
      </c>
      <c r="K61" s="620" t="s">
        <v>47</v>
      </c>
      <c r="L61" s="458" t="s">
        <v>60</v>
      </c>
      <c r="M61" s="463" t="n">
        <f aca="false">I61-D61</f>
        <v>2022</v>
      </c>
      <c r="N61" s="4"/>
      <c r="O61" s="339" t="s">
        <v>335</v>
      </c>
      <c r="P61" s="339"/>
      <c r="Q61" s="339"/>
      <c r="R61" s="339"/>
      <c r="S61" s="339"/>
      <c r="T61" s="339"/>
    </row>
    <row r="62" customFormat="false" ht="14.25" hidden="false" customHeight="true" outlineLevel="0" collapsed="false">
      <c r="A62" s="449" t="n">
        <v>6116</v>
      </c>
      <c r="B62" s="450" t="s">
        <v>15783</v>
      </c>
      <c r="C62" s="450" t="n">
        <v>2010</v>
      </c>
      <c r="D62" s="451" t="n">
        <v>40486</v>
      </c>
      <c r="E62" s="450" t="s">
        <v>15784</v>
      </c>
      <c r="F62" s="450" t="s">
        <v>176</v>
      </c>
      <c r="G62" s="450" t="s">
        <v>1174</v>
      </c>
      <c r="H62" s="450" t="s">
        <v>12073</v>
      </c>
      <c r="I62" s="451" t="n">
        <v>42501</v>
      </c>
      <c r="J62" s="452" t="n">
        <v>5</v>
      </c>
      <c r="K62" s="620" t="s">
        <v>47</v>
      </c>
      <c r="L62" s="450" t="s">
        <v>60</v>
      </c>
      <c r="M62" s="455" t="n">
        <f aca="false">I62-D62</f>
        <v>2015</v>
      </c>
      <c r="N62" s="4"/>
      <c r="O62" s="339"/>
      <c r="P62" s="339"/>
      <c r="Q62" s="339"/>
      <c r="R62" s="339"/>
      <c r="S62" s="339"/>
      <c r="T62" s="339"/>
    </row>
    <row r="63" customFormat="false" ht="14.25" hidden="false" customHeight="true" outlineLevel="0" collapsed="false">
      <c r="A63" s="456" t="n">
        <v>6216</v>
      </c>
      <c r="B63" s="458" t="s">
        <v>15785</v>
      </c>
      <c r="C63" s="458" t="n">
        <v>2012</v>
      </c>
      <c r="D63" s="459" t="n">
        <v>41241</v>
      </c>
      <c r="E63" s="458" t="s">
        <v>15786</v>
      </c>
      <c r="F63" s="458" t="s">
        <v>176</v>
      </c>
      <c r="G63" s="458" t="s">
        <v>1174</v>
      </c>
      <c r="H63" s="458" t="s">
        <v>354</v>
      </c>
      <c r="I63" s="459" t="n">
        <v>42501</v>
      </c>
      <c r="J63" s="460" t="n">
        <v>5</v>
      </c>
      <c r="K63" s="620" t="s">
        <v>47</v>
      </c>
      <c r="L63" s="458" t="s">
        <v>60</v>
      </c>
      <c r="M63" s="463" t="n">
        <f aca="false">I63-D63</f>
        <v>1260</v>
      </c>
      <c r="N63" s="4"/>
      <c r="O63" s="626" t="s">
        <v>38</v>
      </c>
      <c r="P63" s="626"/>
      <c r="Q63" s="626"/>
      <c r="R63" s="626"/>
      <c r="S63" s="341" t="s">
        <v>343</v>
      </c>
      <c r="T63" s="342" t="s">
        <v>41</v>
      </c>
    </row>
    <row r="64" customFormat="false" ht="14.25" hidden="false" customHeight="true" outlineLevel="0" collapsed="false">
      <c r="A64" s="449" t="n">
        <v>6316</v>
      </c>
      <c r="B64" s="450" t="s">
        <v>15787</v>
      </c>
      <c r="C64" s="450" t="n">
        <v>2012</v>
      </c>
      <c r="D64" s="451" t="n">
        <v>40636</v>
      </c>
      <c r="E64" s="450" t="s">
        <v>15788</v>
      </c>
      <c r="F64" s="450" t="s">
        <v>176</v>
      </c>
      <c r="G64" s="450" t="s">
        <v>1174</v>
      </c>
      <c r="H64" s="450" t="s">
        <v>1501</v>
      </c>
      <c r="I64" s="451" t="n">
        <v>42501</v>
      </c>
      <c r="J64" s="452" t="n">
        <v>5</v>
      </c>
      <c r="K64" s="620" t="s">
        <v>47</v>
      </c>
      <c r="L64" s="450" t="s">
        <v>60</v>
      </c>
      <c r="M64" s="455" t="n">
        <f aca="false">I64-D64</f>
        <v>1865</v>
      </c>
      <c r="N64" s="4"/>
      <c r="O64" s="627" t="s">
        <v>42</v>
      </c>
      <c r="P64" s="627"/>
      <c r="Q64" s="627"/>
      <c r="R64" s="627"/>
      <c r="S64" s="471" t="n">
        <f aca="false">COUNTIF($K$2:$K$478,"I - Extremamente tóxico")</f>
        <v>105</v>
      </c>
      <c r="T64" s="472" t="n">
        <f aca="false">(S64/S76)</f>
        <v>0.379061371841155</v>
      </c>
    </row>
    <row r="65" customFormat="false" ht="15.75" hidden="false" customHeight="true" outlineLevel="0" collapsed="false">
      <c r="A65" s="456" t="n">
        <v>6416</v>
      </c>
      <c r="B65" s="458" t="s">
        <v>15789</v>
      </c>
      <c r="C65" s="458" t="n">
        <v>2012</v>
      </c>
      <c r="D65" s="459" t="n">
        <v>41236</v>
      </c>
      <c r="E65" s="458" t="s">
        <v>15790</v>
      </c>
      <c r="F65" s="458" t="s">
        <v>176</v>
      </c>
      <c r="G65" s="458" t="s">
        <v>1174</v>
      </c>
      <c r="H65" s="458" t="s">
        <v>15791</v>
      </c>
      <c r="I65" s="459" t="n">
        <v>42502</v>
      </c>
      <c r="J65" s="460" t="n">
        <v>5</v>
      </c>
      <c r="K65" s="620" t="s">
        <v>47</v>
      </c>
      <c r="L65" s="458" t="s">
        <v>60</v>
      </c>
      <c r="M65" s="463" t="n">
        <f aca="false">I65-D65</f>
        <v>1266</v>
      </c>
      <c r="N65" s="4"/>
      <c r="O65" s="627" t="s">
        <v>43</v>
      </c>
      <c r="P65" s="627"/>
      <c r="Q65" s="627"/>
      <c r="R65" s="627"/>
      <c r="S65" s="345" t="n">
        <f aca="false">COUNTIF($K$2:$K$478,"Categoria 1 - Produto Extremamente Tóxico")</f>
        <v>0</v>
      </c>
      <c r="T65" s="473" t="n">
        <f aca="false">(S65/S76)</f>
        <v>0</v>
      </c>
    </row>
    <row r="66" customFormat="false" ht="13.5" hidden="false" customHeight="true" outlineLevel="0" collapsed="false">
      <c r="A66" s="449" t="n">
        <v>6516</v>
      </c>
      <c r="B66" s="450" t="s">
        <v>15792</v>
      </c>
      <c r="C66" s="450" t="n">
        <v>2012</v>
      </c>
      <c r="D66" s="451" t="n">
        <v>41038</v>
      </c>
      <c r="E66" s="450" t="s">
        <v>15793</v>
      </c>
      <c r="F66" s="450" t="s">
        <v>176</v>
      </c>
      <c r="G66" s="450" t="s">
        <v>1174</v>
      </c>
      <c r="H66" s="450" t="s">
        <v>192</v>
      </c>
      <c r="I66" s="451" t="n">
        <v>42502</v>
      </c>
      <c r="J66" s="452" t="n">
        <v>5</v>
      </c>
      <c r="K66" s="620" t="s">
        <v>47</v>
      </c>
      <c r="L66" s="450" t="s">
        <v>60</v>
      </c>
      <c r="M66" s="455" t="n">
        <f aca="false">I66-D66</f>
        <v>1464</v>
      </c>
      <c r="N66" s="4"/>
      <c r="O66" s="627" t="s">
        <v>44</v>
      </c>
      <c r="P66" s="627"/>
      <c r="Q66" s="627"/>
      <c r="R66" s="627"/>
      <c r="S66" s="345" t="n">
        <f aca="false">COUNTIF($K$2:$K$478,"Categoria 2 - Produto Altamente Tóxico")</f>
        <v>0</v>
      </c>
      <c r="T66" s="473" t="n">
        <f aca="false">(S66/S76)</f>
        <v>0</v>
      </c>
    </row>
    <row r="67" customFormat="false" ht="14.25" hidden="false" customHeight="true" outlineLevel="0" collapsed="false">
      <c r="A67" s="456" t="n">
        <v>6616</v>
      </c>
      <c r="B67" s="458" t="s">
        <v>15794</v>
      </c>
      <c r="C67" s="458" t="n">
        <v>2013</v>
      </c>
      <c r="D67" s="459" t="n">
        <v>41554</v>
      </c>
      <c r="E67" s="458" t="s">
        <v>15795</v>
      </c>
      <c r="F67" s="458" t="s">
        <v>176</v>
      </c>
      <c r="G67" s="458" t="s">
        <v>1174</v>
      </c>
      <c r="H67" s="458" t="s">
        <v>2278</v>
      </c>
      <c r="I67" s="459" t="n">
        <v>42502</v>
      </c>
      <c r="J67" s="460" t="n">
        <v>5</v>
      </c>
      <c r="K67" s="620" t="s">
        <v>47</v>
      </c>
      <c r="L67" s="458" t="s">
        <v>60</v>
      </c>
      <c r="M67" s="463" t="n">
        <f aca="false">I67-D67</f>
        <v>948</v>
      </c>
      <c r="N67" s="4"/>
      <c r="O67" s="628" t="s">
        <v>45</v>
      </c>
      <c r="P67" s="628"/>
      <c r="Q67" s="628"/>
      <c r="R67" s="628"/>
      <c r="S67" s="349" t="n">
        <f aca="false">COUNTIF($K$2:$K$478,"II - Altamente tóxico")</f>
        <v>35</v>
      </c>
      <c r="T67" s="474" t="n">
        <f aca="false">(S67/S76)</f>
        <v>0.126353790613718</v>
      </c>
    </row>
    <row r="68" customFormat="false" ht="13.5" hidden="false" customHeight="true" outlineLevel="0" collapsed="false">
      <c r="A68" s="449" t="n">
        <v>6716</v>
      </c>
      <c r="B68" s="450" t="s">
        <v>15796</v>
      </c>
      <c r="C68" s="450" t="n">
        <v>2010</v>
      </c>
      <c r="D68" s="451" t="n">
        <v>40210</v>
      </c>
      <c r="E68" s="450" t="s">
        <v>15797</v>
      </c>
      <c r="F68" s="450" t="s">
        <v>2003</v>
      </c>
      <c r="G68" s="450" t="s">
        <v>1174</v>
      </c>
      <c r="H68" s="450" t="s">
        <v>2296</v>
      </c>
      <c r="I68" s="451" t="n">
        <v>42502</v>
      </c>
      <c r="J68" s="452" t="n">
        <v>5</v>
      </c>
      <c r="K68" s="620" t="s">
        <v>47</v>
      </c>
      <c r="L68" s="450" t="s">
        <v>60</v>
      </c>
      <c r="M68" s="455" t="n">
        <f aca="false">I68-D68</f>
        <v>2292</v>
      </c>
      <c r="N68" s="4"/>
      <c r="O68" s="349" t="s">
        <v>46</v>
      </c>
      <c r="P68" s="349"/>
      <c r="Q68" s="349"/>
      <c r="R68" s="349"/>
      <c r="S68" s="349" t="n">
        <f aca="false">COUNTIF($K$2:$K$478,"Categoria 3 - Produto Moderadamente Tóxico")</f>
        <v>0</v>
      </c>
      <c r="T68" s="474" t="n">
        <f aca="false">(S68/S76)</f>
        <v>0</v>
      </c>
    </row>
    <row r="69" customFormat="false" ht="13.5" hidden="false" customHeight="true" outlineLevel="0" collapsed="false">
      <c r="A69" s="456" t="n">
        <v>6816</v>
      </c>
      <c r="B69" s="458" t="s">
        <v>15798</v>
      </c>
      <c r="C69" s="458" t="n">
        <v>2012</v>
      </c>
      <c r="D69" s="459" t="n">
        <v>41019</v>
      </c>
      <c r="E69" s="458" t="s">
        <v>15799</v>
      </c>
      <c r="F69" s="458" t="s">
        <v>207</v>
      </c>
      <c r="G69" s="458" t="s">
        <v>1174</v>
      </c>
      <c r="H69" s="458" t="s">
        <v>12073</v>
      </c>
      <c r="I69" s="459" t="n">
        <v>42502</v>
      </c>
      <c r="J69" s="460" t="n">
        <v>5</v>
      </c>
      <c r="K69" s="619" t="s">
        <v>42</v>
      </c>
      <c r="L69" s="458" t="s">
        <v>58</v>
      </c>
      <c r="M69" s="463" t="n">
        <f aca="false">I69-D69</f>
        <v>1483</v>
      </c>
      <c r="N69" s="4"/>
      <c r="O69" s="351" t="s">
        <v>47</v>
      </c>
      <c r="P69" s="351"/>
      <c r="Q69" s="351"/>
      <c r="R69" s="351"/>
      <c r="S69" s="351" t="n">
        <f aca="false">COUNTIF($K$2:$K$478,"III - Medianamente tóxico")</f>
        <v>89</v>
      </c>
      <c r="T69" s="475" t="n">
        <f aca="false">(S69/S76)</f>
        <v>0.32129963898917</v>
      </c>
    </row>
    <row r="70" customFormat="false" ht="13.5" hidden="false" customHeight="true" outlineLevel="0" collapsed="false">
      <c r="A70" s="449" t="n">
        <v>6916</v>
      </c>
      <c r="B70" s="450" t="s">
        <v>15800</v>
      </c>
      <c r="C70" s="450" t="n">
        <v>2011</v>
      </c>
      <c r="D70" s="451" t="n">
        <v>40709</v>
      </c>
      <c r="E70" s="450" t="s">
        <v>15801</v>
      </c>
      <c r="F70" s="450" t="s">
        <v>15802</v>
      </c>
      <c r="G70" s="450" t="s">
        <v>1174</v>
      </c>
      <c r="H70" s="450" t="s">
        <v>354</v>
      </c>
      <c r="I70" s="451" t="n">
        <v>42502</v>
      </c>
      <c r="J70" s="452" t="n">
        <v>5</v>
      </c>
      <c r="K70" s="619" t="s">
        <v>42</v>
      </c>
      <c r="L70" s="450" t="s">
        <v>60</v>
      </c>
      <c r="M70" s="455" t="n">
        <f aca="false">I70-D70</f>
        <v>1793</v>
      </c>
      <c r="N70" s="4"/>
      <c r="O70" s="351" t="s">
        <v>48</v>
      </c>
      <c r="P70" s="351"/>
      <c r="Q70" s="351"/>
      <c r="R70" s="351"/>
      <c r="S70" s="351" t="n">
        <f aca="false">COUNTIF($K$2:$K$478,"Categoria 4 - Produto Pouco Tóxico")</f>
        <v>0</v>
      </c>
      <c r="T70" s="475" t="n">
        <f aca="false">(S70/S76)</f>
        <v>0</v>
      </c>
    </row>
    <row r="71" customFormat="false" ht="13.5" hidden="false" customHeight="true" outlineLevel="0" collapsed="false">
      <c r="A71" s="456" t="n">
        <v>7016</v>
      </c>
      <c r="B71" s="458" t="s">
        <v>15803</v>
      </c>
      <c r="C71" s="458" t="n">
        <v>2010</v>
      </c>
      <c r="D71" s="459" t="n">
        <v>40532</v>
      </c>
      <c r="E71" s="458" t="s">
        <v>15804</v>
      </c>
      <c r="F71" s="458" t="s">
        <v>333</v>
      </c>
      <c r="G71" s="458" t="s">
        <v>1174</v>
      </c>
      <c r="H71" s="458" t="s">
        <v>4431</v>
      </c>
      <c r="I71" s="459" t="n">
        <v>42503</v>
      </c>
      <c r="J71" s="460" t="n">
        <v>5</v>
      </c>
      <c r="K71" s="620" t="s">
        <v>47</v>
      </c>
      <c r="L71" s="458" t="s">
        <v>60</v>
      </c>
      <c r="M71" s="463" t="n">
        <f aca="false">I71-D71</f>
        <v>1971</v>
      </c>
      <c r="N71" s="4"/>
      <c r="O71" s="351" t="s">
        <v>49</v>
      </c>
      <c r="P71" s="351"/>
      <c r="Q71" s="351"/>
      <c r="R71" s="351"/>
      <c r="S71" s="351" t="n">
        <f aca="false">COUNTIF($K$2:$K$478,"Categoria 5 - Produto Improvável de Causar Dano Agudo")</f>
        <v>0</v>
      </c>
      <c r="T71" s="475" t="n">
        <f aca="false">(S71/S76)</f>
        <v>0</v>
      </c>
    </row>
    <row r="72" customFormat="false" ht="13.5" hidden="false" customHeight="true" outlineLevel="0" collapsed="false">
      <c r="A72" s="449" t="n">
        <v>7116</v>
      </c>
      <c r="B72" s="450" t="s">
        <v>15805</v>
      </c>
      <c r="C72" s="450" t="n">
        <v>2011</v>
      </c>
      <c r="D72" s="451" t="n">
        <v>40809</v>
      </c>
      <c r="E72" s="450" t="s">
        <v>15806</v>
      </c>
      <c r="F72" s="450" t="s">
        <v>566</v>
      </c>
      <c r="G72" s="450" t="s">
        <v>115</v>
      </c>
      <c r="H72" s="450" t="s">
        <v>119</v>
      </c>
      <c r="I72" s="451" t="n">
        <v>42503</v>
      </c>
      <c r="J72" s="452" t="n">
        <v>5</v>
      </c>
      <c r="K72" s="619" t="s">
        <v>42</v>
      </c>
      <c r="L72" s="450" t="s">
        <v>60</v>
      </c>
      <c r="M72" s="455" t="n">
        <f aca="false">I72-D72</f>
        <v>1694</v>
      </c>
      <c r="N72" s="4"/>
      <c r="O72" s="353" t="s">
        <v>50</v>
      </c>
      <c r="P72" s="353"/>
      <c r="Q72" s="353"/>
      <c r="R72" s="353"/>
      <c r="S72" s="353" t="n">
        <f aca="false">COUNTIF($K$2:$K$478,"IV - Pouco tóxico")</f>
        <v>44</v>
      </c>
      <c r="T72" s="476" t="n">
        <f aca="false">(S72/S76)</f>
        <v>0.15884476534296</v>
      </c>
    </row>
    <row r="73" customFormat="false" ht="13.5" hidden="false" customHeight="true" outlineLevel="0" collapsed="false">
      <c r="A73" s="456" t="n">
        <v>7216</v>
      </c>
      <c r="B73" s="458" t="s">
        <v>15807</v>
      </c>
      <c r="C73" s="458" t="n">
        <v>2014</v>
      </c>
      <c r="D73" s="459" t="n">
        <v>41886</v>
      </c>
      <c r="E73" s="458" t="s">
        <v>15808</v>
      </c>
      <c r="F73" s="458" t="s">
        <v>180</v>
      </c>
      <c r="G73" s="458" t="s">
        <v>1174</v>
      </c>
      <c r="H73" s="458" t="s">
        <v>192</v>
      </c>
      <c r="I73" s="459" t="n">
        <v>42506</v>
      </c>
      <c r="J73" s="460" t="n">
        <v>5</v>
      </c>
      <c r="K73" s="620" t="s">
        <v>47</v>
      </c>
      <c r="L73" s="458" t="s">
        <v>58</v>
      </c>
      <c r="M73" s="463" t="n">
        <f aca="false">I73-D73</f>
        <v>620</v>
      </c>
      <c r="N73" s="4"/>
      <c r="O73" s="353" t="s">
        <v>51</v>
      </c>
      <c r="P73" s="353"/>
      <c r="Q73" s="353"/>
      <c r="R73" s="353"/>
      <c r="S73" s="353" t="n">
        <f aca="false">COUNTIF($K$2:$K$478,"Não classificado - Produto não classificado")</f>
        <v>0</v>
      </c>
      <c r="T73" s="476" t="n">
        <f aca="false">(S73/S76)</f>
        <v>0</v>
      </c>
    </row>
    <row r="74" customFormat="false" ht="13.5" hidden="false" customHeight="true" outlineLevel="0" collapsed="false">
      <c r="A74" s="449" t="n">
        <v>7316</v>
      </c>
      <c r="B74" s="450" t="s">
        <v>15809</v>
      </c>
      <c r="C74" s="450" t="n">
        <v>2010</v>
      </c>
      <c r="D74" s="451" t="n">
        <v>40448</v>
      </c>
      <c r="E74" s="450" t="s">
        <v>15810</v>
      </c>
      <c r="F74" s="450" t="s">
        <v>699</v>
      </c>
      <c r="G74" s="450" t="s">
        <v>441</v>
      </c>
      <c r="H74" s="450" t="s">
        <v>192</v>
      </c>
      <c r="I74" s="451" t="n">
        <v>42513</v>
      </c>
      <c r="J74" s="452" t="n">
        <v>5</v>
      </c>
      <c r="K74" s="620" t="s">
        <v>47</v>
      </c>
      <c r="L74" s="450" t="s">
        <v>60</v>
      </c>
      <c r="M74" s="455" t="n">
        <f aca="false">I74-D74</f>
        <v>2065</v>
      </c>
      <c r="N74" s="4"/>
      <c r="O74" s="353" t="s">
        <v>2407</v>
      </c>
      <c r="P74" s="353"/>
      <c r="Q74" s="353"/>
      <c r="R74" s="353"/>
      <c r="S74" s="353" t="n">
        <f aca="false">COUNTIF($K$2:$K$478,"Não determinada devido à natureza do produto (Inimigos naturais)")</f>
        <v>4</v>
      </c>
      <c r="T74" s="476" t="n">
        <f aca="false">(S74/S76)</f>
        <v>0.0144404332129964</v>
      </c>
    </row>
    <row r="75" customFormat="false" ht="12.75" hidden="false" customHeight="true" outlineLevel="0" collapsed="false">
      <c r="A75" s="456" t="n">
        <v>7416</v>
      </c>
      <c r="B75" s="458" t="s">
        <v>15811</v>
      </c>
      <c r="C75" s="458" t="n">
        <v>2014</v>
      </c>
      <c r="D75" s="459" t="n">
        <v>41821</v>
      </c>
      <c r="E75" s="458" t="s">
        <v>15812</v>
      </c>
      <c r="F75" s="458" t="s">
        <v>699</v>
      </c>
      <c r="G75" s="458" t="s">
        <v>1174</v>
      </c>
      <c r="H75" s="458" t="s">
        <v>706</v>
      </c>
      <c r="I75" s="459" t="n">
        <v>42513</v>
      </c>
      <c r="J75" s="460" t="n">
        <v>5</v>
      </c>
      <c r="K75" s="619" t="s">
        <v>42</v>
      </c>
      <c r="L75" s="458" t="s">
        <v>60</v>
      </c>
      <c r="M75" s="463" t="n">
        <f aca="false">I75-D75</f>
        <v>692</v>
      </c>
      <c r="N75" s="4"/>
      <c r="O75" s="478" t="s">
        <v>53</v>
      </c>
      <c r="P75" s="478"/>
      <c r="Q75" s="478"/>
      <c r="R75" s="478"/>
      <c r="S75" s="478" t="n">
        <f aca="false">COUNTIF($K$2:$K$478,"O perfil toxicológico foi considerado equivalente ao produto técnico de referência")</f>
        <v>0</v>
      </c>
      <c r="T75" s="479" t="n">
        <f aca="false">(S75/S76)</f>
        <v>0</v>
      </c>
    </row>
    <row r="76" customFormat="false" ht="13.5" hidden="false" customHeight="true" outlineLevel="0" collapsed="false">
      <c r="A76" s="449" t="n">
        <v>7516</v>
      </c>
      <c r="B76" s="450" t="s">
        <v>15813</v>
      </c>
      <c r="C76" s="450" t="n">
        <v>2014</v>
      </c>
      <c r="D76" s="451" t="n">
        <v>41978</v>
      </c>
      <c r="E76" s="450" t="s">
        <v>15814</v>
      </c>
      <c r="F76" s="450" t="s">
        <v>15670</v>
      </c>
      <c r="G76" s="450" t="s">
        <v>125</v>
      </c>
      <c r="H76" s="450" t="s">
        <v>14408</v>
      </c>
      <c r="I76" s="451" t="n">
        <v>42514</v>
      </c>
      <c r="J76" s="452" t="n">
        <v>5</v>
      </c>
      <c r="K76" s="620" t="s">
        <v>47</v>
      </c>
      <c r="L76" s="450" t="s">
        <v>61</v>
      </c>
      <c r="M76" s="455" t="n">
        <f aca="false">I76-D76</f>
        <v>536</v>
      </c>
      <c r="N76" s="4"/>
      <c r="O76" s="419" t="s">
        <v>54</v>
      </c>
      <c r="P76" s="419"/>
      <c r="Q76" s="419"/>
      <c r="R76" s="419"/>
      <c r="S76" s="363" t="n">
        <f aca="false">SUM(S64:S75)</f>
        <v>277</v>
      </c>
      <c r="T76" s="364" t="n">
        <f aca="false">(S76/S76)</f>
        <v>1</v>
      </c>
    </row>
    <row r="77" customFormat="false" ht="14.25" hidden="false" customHeight="true" outlineLevel="0" collapsed="false">
      <c r="A77" s="456" t="n">
        <v>7616</v>
      </c>
      <c r="B77" s="458" t="s">
        <v>15815</v>
      </c>
      <c r="C77" s="458" t="n">
        <v>2015</v>
      </c>
      <c r="D77" s="459" t="n">
        <v>42037</v>
      </c>
      <c r="E77" s="458" t="s">
        <v>15816</v>
      </c>
      <c r="F77" s="458" t="s">
        <v>446</v>
      </c>
      <c r="G77" s="458" t="s">
        <v>1174</v>
      </c>
      <c r="H77" s="458" t="s">
        <v>192</v>
      </c>
      <c r="I77" s="459" t="n">
        <v>42514</v>
      </c>
      <c r="J77" s="460" t="n">
        <v>5</v>
      </c>
      <c r="K77" s="620" t="s">
        <v>47</v>
      </c>
      <c r="L77" s="458" t="s">
        <v>58</v>
      </c>
      <c r="M77" s="463" t="n">
        <f aca="false">I77-D77</f>
        <v>477</v>
      </c>
      <c r="N77" s="4"/>
      <c r="O77" s="153"/>
      <c r="P77" s="153"/>
      <c r="Q77" s="153"/>
      <c r="R77" s="153"/>
      <c r="S77" s="153"/>
      <c r="T77" s="153"/>
    </row>
    <row r="78" customFormat="false" ht="15" hidden="false" customHeight="true" outlineLevel="0" collapsed="false">
      <c r="A78" s="449" t="n">
        <v>7716</v>
      </c>
      <c r="B78" s="450" t="s">
        <v>15817</v>
      </c>
      <c r="C78" s="450" t="n">
        <v>2014</v>
      </c>
      <c r="D78" s="451" t="n">
        <v>41954</v>
      </c>
      <c r="E78" s="450" t="s">
        <v>15818</v>
      </c>
      <c r="F78" s="624" t="s">
        <v>6303</v>
      </c>
      <c r="G78" s="450" t="s">
        <v>130</v>
      </c>
      <c r="H78" s="450" t="s">
        <v>15752</v>
      </c>
      <c r="I78" s="451" t="n">
        <v>42521</v>
      </c>
      <c r="J78" s="452" t="n">
        <v>5</v>
      </c>
      <c r="K78" s="623" t="s">
        <v>50</v>
      </c>
      <c r="L78" s="450" t="s">
        <v>61</v>
      </c>
      <c r="M78" s="455" t="n">
        <f aca="false">I78-D78</f>
        <v>567</v>
      </c>
      <c r="N78" s="4"/>
      <c r="O78" s="339" t="s">
        <v>102</v>
      </c>
      <c r="P78" s="339"/>
      <c r="Q78" s="339"/>
      <c r="R78" s="339"/>
      <c r="S78" s="339"/>
      <c r="T78" s="339"/>
    </row>
    <row r="79" customFormat="false" ht="13.5" hidden="false" customHeight="true" outlineLevel="0" collapsed="false">
      <c r="A79" s="456" t="n">
        <v>7816</v>
      </c>
      <c r="B79" s="458" t="s">
        <v>15819</v>
      </c>
      <c r="C79" s="458" t="n">
        <v>2014</v>
      </c>
      <c r="D79" s="459" t="n">
        <v>41887</v>
      </c>
      <c r="E79" s="458" t="s">
        <v>15820</v>
      </c>
      <c r="F79" s="625" t="s">
        <v>6315</v>
      </c>
      <c r="G79" s="458" t="s">
        <v>130</v>
      </c>
      <c r="H79" s="458" t="s">
        <v>15680</v>
      </c>
      <c r="I79" s="459" t="n">
        <v>42521</v>
      </c>
      <c r="J79" s="460" t="n">
        <v>5</v>
      </c>
      <c r="K79" s="623" t="s">
        <v>50</v>
      </c>
      <c r="L79" s="458" t="s">
        <v>61</v>
      </c>
      <c r="M79" s="463" t="n">
        <f aca="false">I79-D79</f>
        <v>634</v>
      </c>
      <c r="N79" s="4"/>
      <c r="O79" s="339"/>
      <c r="P79" s="339"/>
      <c r="Q79" s="339"/>
      <c r="R79" s="339"/>
      <c r="S79" s="339"/>
      <c r="T79" s="339"/>
    </row>
    <row r="80" customFormat="false" ht="14.25" hidden="false" customHeight="true" outlineLevel="0" collapsed="false">
      <c r="A80" s="449" t="n">
        <v>7916</v>
      </c>
      <c r="B80" s="450" t="s">
        <v>15821</v>
      </c>
      <c r="C80" s="450" t="n">
        <v>2013</v>
      </c>
      <c r="D80" s="451" t="n">
        <v>41625</v>
      </c>
      <c r="E80" s="450" t="s">
        <v>15822</v>
      </c>
      <c r="F80" s="624" t="s">
        <v>6303</v>
      </c>
      <c r="G80" s="450" t="s">
        <v>130</v>
      </c>
      <c r="H80" s="450" t="s">
        <v>15823</v>
      </c>
      <c r="I80" s="451" t="n">
        <v>42523</v>
      </c>
      <c r="J80" s="452" t="n">
        <v>6</v>
      </c>
      <c r="K80" s="623" t="s">
        <v>50</v>
      </c>
      <c r="L80" s="450" t="s">
        <v>61</v>
      </c>
      <c r="M80" s="455" t="n">
        <f aca="false">I80-D80</f>
        <v>898</v>
      </c>
      <c r="N80" s="4"/>
      <c r="O80" s="626" t="s">
        <v>38</v>
      </c>
      <c r="P80" s="626"/>
      <c r="Q80" s="626"/>
      <c r="R80" s="626"/>
      <c r="S80" s="374" t="s">
        <v>343</v>
      </c>
      <c r="T80" s="375" t="s">
        <v>41</v>
      </c>
    </row>
    <row r="81" customFormat="false" ht="14.25" hidden="false" customHeight="true" outlineLevel="0" collapsed="false">
      <c r="A81" s="456" t="n">
        <v>8016</v>
      </c>
      <c r="B81" s="458" t="s">
        <v>15824</v>
      </c>
      <c r="C81" s="458" t="n">
        <v>2015</v>
      </c>
      <c r="D81" s="459" t="n">
        <v>42146</v>
      </c>
      <c r="E81" s="458" t="s">
        <v>15825</v>
      </c>
      <c r="F81" s="458" t="s">
        <v>15670</v>
      </c>
      <c r="G81" s="458" t="s">
        <v>125</v>
      </c>
      <c r="H81" s="458" t="s">
        <v>15826</v>
      </c>
      <c r="I81" s="459" t="n">
        <v>42523</v>
      </c>
      <c r="J81" s="460" t="n">
        <v>6</v>
      </c>
      <c r="K81" s="623" t="s">
        <v>50</v>
      </c>
      <c r="L81" s="458" t="s">
        <v>61</v>
      </c>
      <c r="M81" s="463" t="n">
        <f aca="false">I81-D81</f>
        <v>377</v>
      </c>
      <c r="N81" s="4"/>
      <c r="O81" s="629" t="s">
        <v>57</v>
      </c>
      <c r="P81" s="629"/>
      <c r="Q81" s="629"/>
      <c r="R81" s="629"/>
      <c r="S81" s="536" t="n">
        <f aca="false">COUNTIF($L$2:$L$478,"I - Produto altamente perigoso ao meio ambiente")</f>
        <v>14</v>
      </c>
      <c r="T81" s="377" t="n">
        <f aca="false">(S81/S85)</f>
        <v>0.0505415162454874</v>
      </c>
    </row>
    <row r="82" customFormat="false" ht="15" hidden="false" customHeight="true" outlineLevel="0" collapsed="false">
      <c r="A82" s="449" t="n">
        <v>8116</v>
      </c>
      <c r="B82" s="450" t="s">
        <v>15827</v>
      </c>
      <c r="C82" s="450" t="n">
        <v>2010</v>
      </c>
      <c r="D82" s="451" t="n">
        <v>40210</v>
      </c>
      <c r="E82" s="450" t="s">
        <v>15828</v>
      </c>
      <c r="F82" s="450" t="s">
        <v>2003</v>
      </c>
      <c r="G82" s="450" t="s">
        <v>1174</v>
      </c>
      <c r="H82" s="450" t="s">
        <v>354</v>
      </c>
      <c r="I82" s="451" t="n">
        <v>42529</v>
      </c>
      <c r="J82" s="452" t="n">
        <v>6</v>
      </c>
      <c r="K82" s="619" t="s">
        <v>42</v>
      </c>
      <c r="L82" s="450" t="s">
        <v>58</v>
      </c>
      <c r="M82" s="455" t="n">
        <f aca="false">I82-D82</f>
        <v>2319</v>
      </c>
      <c r="N82" s="4"/>
      <c r="O82" s="378" t="s">
        <v>58</v>
      </c>
      <c r="P82" s="378"/>
      <c r="Q82" s="378"/>
      <c r="R82" s="378"/>
      <c r="S82" s="537" t="n">
        <f aca="false">COUNTIF($L$2:$L$478,"II - Produto muito perigoso ao meio ambiente")</f>
        <v>122</v>
      </c>
      <c r="T82" s="379" t="n">
        <f aca="false">(S82/S85)</f>
        <v>0.44043321299639</v>
      </c>
    </row>
    <row r="83" customFormat="false" ht="13.5" hidden="false" customHeight="true" outlineLevel="0" collapsed="false">
      <c r="A83" s="456" t="n">
        <v>8216</v>
      </c>
      <c r="B83" s="458" t="s">
        <v>15829</v>
      </c>
      <c r="C83" s="458" t="n">
        <v>2011</v>
      </c>
      <c r="D83" s="459" t="n">
        <v>40676</v>
      </c>
      <c r="E83" s="458" t="s">
        <v>15830</v>
      </c>
      <c r="F83" s="458" t="s">
        <v>211</v>
      </c>
      <c r="G83" s="458" t="s">
        <v>441</v>
      </c>
      <c r="H83" s="458" t="s">
        <v>15831</v>
      </c>
      <c r="I83" s="459" t="n">
        <v>42529</v>
      </c>
      <c r="J83" s="460" t="n">
        <v>6</v>
      </c>
      <c r="K83" s="619" t="s">
        <v>42</v>
      </c>
      <c r="L83" s="458" t="s">
        <v>58</v>
      </c>
      <c r="M83" s="463" t="n">
        <f aca="false">I83-D83</f>
        <v>1853</v>
      </c>
      <c r="N83" s="4"/>
      <c r="O83" s="380" t="s">
        <v>60</v>
      </c>
      <c r="P83" s="380"/>
      <c r="Q83" s="380"/>
      <c r="R83" s="380"/>
      <c r="S83" s="536" t="n">
        <f aca="false">COUNTIF($L$2:$L$478,"III - Produto perigoso ao meio ambiente")</f>
        <v>102</v>
      </c>
      <c r="T83" s="377" t="n">
        <f aca="false">(S83/S85)</f>
        <v>0.368231046931408</v>
      </c>
    </row>
    <row r="84" customFormat="false" ht="13.5" hidden="false" customHeight="true" outlineLevel="0" collapsed="false">
      <c r="A84" s="449" t="n">
        <v>8316</v>
      </c>
      <c r="B84" s="450" t="s">
        <v>15832</v>
      </c>
      <c r="C84" s="450" t="n">
        <v>2011</v>
      </c>
      <c r="D84" s="451" t="n">
        <v>40904</v>
      </c>
      <c r="E84" s="450" t="s">
        <v>15833</v>
      </c>
      <c r="F84" s="450" t="s">
        <v>699</v>
      </c>
      <c r="G84" s="450" t="s">
        <v>441</v>
      </c>
      <c r="H84" s="450" t="s">
        <v>354</v>
      </c>
      <c r="I84" s="451" t="n">
        <v>42530</v>
      </c>
      <c r="J84" s="452" t="n">
        <v>6</v>
      </c>
      <c r="K84" s="619" t="s">
        <v>42</v>
      </c>
      <c r="L84" s="450" t="s">
        <v>60</v>
      </c>
      <c r="M84" s="455" t="n">
        <f aca="false">I84-D84</f>
        <v>1626</v>
      </c>
      <c r="N84" s="4"/>
      <c r="O84" s="378" t="s">
        <v>61</v>
      </c>
      <c r="P84" s="378"/>
      <c r="Q84" s="378"/>
      <c r="R84" s="378"/>
      <c r="S84" s="537" t="n">
        <f aca="false">COUNTIF($L$2:$L$478,"IV - Produto pouco perigoso ao meio ambiente")</f>
        <v>39</v>
      </c>
      <c r="T84" s="379" t="n">
        <f aca="false">(S84/S85)</f>
        <v>0.140794223826715</v>
      </c>
    </row>
    <row r="85" customFormat="false" ht="13.5" hidden="false" customHeight="true" outlineLevel="0" collapsed="false">
      <c r="A85" s="456" t="n">
        <v>8416</v>
      </c>
      <c r="B85" s="458" t="s">
        <v>15834</v>
      </c>
      <c r="C85" s="458" t="n">
        <v>2013</v>
      </c>
      <c r="D85" s="459" t="n">
        <v>41339</v>
      </c>
      <c r="E85" s="458" t="s">
        <v>15835</v>
      </c>
      <c r="F85" s="625" t="s">
        <v>6303</v>
      </c>
      <c r="G85" s="458" t="s">
        <v>130</v>
      </c>
      <c r="H85" s="458" t="s">
        <v>15836</v>
      </c>
      <c r="I85" s="459" t="n">
        <v>42530</v>
      </c>
      <c r="J85" s="460" t="n">
        <v>6</v>
      </c>
      <c r="K85" s="623" t="s">
        <v>50</v>
      </c>
      <c r="L85" s="458" t="s">
        <v>61</v>
      </c>
      <c r="M85" s="463" t="n">
        <f aca="false">I85-D85</f>
        <v>1191</v>
      </c>
      <c r="N85" s="4"/>
      <c r="O85" s="419" t="s">
        <v>54</v>
      </c>
      <c r="P85" s="419"/>
      <c r="Q85" s="419"/>
      <c r="R85" s="419"/>
      <c r="S85" s="363" t="n">
        <f aca="false">SUM(S81:S84)</f>
        <v>277</v>
      </c>
      <c r="T85" s="364" t="n">
        <f aca="false">(S85/S85)</f>
        <v>1</v>
      </c>
    </row>
    <row r="86" customFormat="false" ht="13.5" hidden="false" customHeight="true" outlineLevel="0" collapsed="false">
      <c r="A86" s="449" t="n">
        <v>8516</v>
      </c>
      <c r="B86" s="450" t="s">
        <v>15837</v>
      </c>
      <c r="C86" s="450" t="n">
        <v>2015</v>
      </c>
      <c r="D86" s="451" t="n">
        <v>42209</v>
      </c>
      <c r="E86" s="450" t="s">
        <v>15838</v>
      </c>
      <c r="F86" s="624" t="s">
        <v>288</v>
      </c>
      <c r="G86" s="450" t="s">
        <v>130</v>
      </c>
      <c r="H86" s="450" t="s">
        <v>15839</v>
      </c>
      <c r="I86" s="451" t="n">
        <v>42530</v>
      </c>
      <c r="J86" s="452" t="n">
        <v>6</v>
      </c>
      <c r="K86" s="623" t="s">
        <v>2407</v>
      </c>
      <c r="L86" s="450" t="s">
        <v>61</v>
      </c>
      <c r="M86" s="455" t="n">
        <f aca="false">I86-D86</f>
        <v>321</v>
      </c>
      <c r="N86" s="4"/>
      <c r="O86" s="153"/>
      <c r="P86" s="153"/>
      <c r="Q86" s="153"/>
      <c r="R86" s="153"/>
      <c r="S86" s="153"/>
      <c r="T86" s="153"/>
    </row>
    <row r="87" customFormat="false" ht="15" hidden="false" customHeight="true" outlineLevel="0" collapsed="false">
      <c r="A87" s="456" t="n">
        <v>8616</v>
      </c>
      <c r="B87" s="458" t="s">
        <v>15840</v>
      </c>
      <c r="C87" s="458" t="n">
        <v>2013</v>
      </c>
      <c r="D87" s="459" t="n">
        <v>41303</v>
      </c>
      <c r="E87" s="458" t="s">
        <v>15841</v>
      </c>
      <c r="F87" s="458" t="s">
        <v>346</v>
      </c>
      <c r="G87" s="458" t="s">
        <v>1174</v>
      </c>
      <c r="H87" s="458" t="s">
        <v>350</v>
      </c>
      <c r="I87" s="459" t="n">
        <v>42530</v>
      </c>
      <c r="J87" s="460" t="n">
        <v>6</v>
      </c>
      <c r="K87" s="620" t="s">
        <v>47</v>
      </c>
      <c r="L87" s="458" t="s">
        <v>58</v>
      </c>
      <c r="M87" s="463" t="n">
        <f aca="false">I87-D87</f>
        <v>1227</v>
      </c>
      <c r="N87" s="4"/>
      <c r="O87" s="421" t="s">
        <v>425</v>
      </c>
      <c r="P87" s="421"/>
      <c r="Q87" s="421"/>
      <c r="R87" s="421"/>
      <c r="S87" s="153"/>
      <c r="T87" s="153"/>
    </row>
    <row r="88" customFormat="false" ht="14.25" hidden="false" customHeight="true" outlineLevel="0" collapsed="false">
      <c r="A88" s="449" t="n">
        <v>8716</v>
      </c>
      <c r="B88" s="450" t="s">
        <v>15842</v>
      </c>
      <c r="C88" s="450" t="n">
        <v>2014</v>
      </c>
      <c r="D88" s="451" t="n">
        <v>41851</v>
      </c>
      <c r="E88" s="450" t="s">
        <v>15843</v>
      </c>
      <c r="F88" s="450" t="s">
        <v>509</v>
      </c>
      <c r="G88" s="450" t="s">
        <v>1174</v>
      </c>
      <c r="H88" s="450" t="s">
        <v>223</v>
      </c>
      <c r="I88" s="451" t="n">
        <v>42531</v>
      </c>
      <c r="J88" s="452" t="n">
        <v>6</v>
      </c>
      <c r="K88" s="622" t="s">
        <v>45</v>
      </c>
      <c r="L88" s="450" t="s">
        <v>58</v>
      </c>
      <c r="M88" s="455" t="n">
        <f aca="false">I88-D88</f>
        <v>680</v>
      </c>
      <c r="N88" s="4"/>
      <c r="O88" s="421"/>
      <c r="P88" s="421"/>
      <c r="Q88" s="421"/>
      <c r="R88" s="421"/>
      <c r="S88" s="153"/>
      <c r="T88" s="153"/>
    </row>
    <row r="89" customFormat="false" ht="13.5" hidden="false" customHeight="true" outlineLevel="0" collapsed="false">
      <c r="A89" s="456" t="n">
        <v>8816</v>
      </c>
      <c r="B89" s="458" t="s">
        <v>15844</v>
      </c>
      <c r="C89" s="458" t="n">
        <v>2012</v>
      </c>
      <c r="D89" s="459" t="n">
        <v>41271</v>
      </c>
      <c r="E89" s="458" t="s">
        <v>15845</v>
      </c>
      <c r="F89" s="458" t="s">
        <v>346</v>
      </c>
      <c r="G89" s="458" t="s">
        <v>1174</v>
      </c>
      <c r="H89" s="458" t="s">
        <v>223</v>
      </c>
      <c r="I89" s="459" t="n">
        <v>42535</v>
      </c>
      <c r="J89" s="460" t="n">
        <v>6</v>
      </c>
      <c r="K89" s="620" t="s">
        <v>47</v>
      </c>
      <c r="L89" s="458" t="s">
        <v>58</v>
      </c>
      <c r="M89" s="463" t="n">
        <f aca="false">I89-D89</f>
        <v>1264</v>
      </c>
      <c r="N89" s="4"/>
      <c r="O89" s="390" t="s">
        <v>69</v>
      </c>
      <c r="P89" s="422" t="s">
        <v>433</v>
      </c>
      <c r="Q89" s="422"/>
      <c r="R89" s="422"/>
      <c r="S89" s="153"/>
      <c r="T89" s="153"/>
    </row>
    <row r="90" customFormat="false" ht="13.5" hidden="false" customHeight="true" outlineLevel="0" collapsed="false">
      <c r="A90" s="449" t="n">
        <v>8916</v>
      </c>
      <c r="B90" s="450" t="s">
        <v>15846</v>
      </c>
      <c r="C90" s="450" t="n">
        <v>2013</v>
      </c>
      <c r="D90" s="451" t="n">
        <v>41394</v>
      </c>
      <c r="E90" s="450" t="s">
        <v>15847</v>
      </c>
      <c r="F90" s="450" t="s">
        <v>346</v>
      </c>
      <c r="G90" s="450" t="s">
        <v>1174</v>
      </c>
      <c r="H90" s="450" t="s">
        <v>3339</v>
      </c>
      <c r="I90" s="451" t="n">
        <v>42535</v>
      </c>
      <c r="J90" s="452" t="n">
        <v>6</v>
      </c>
      <c r="K90" s="620" t="s">
        <v>47</v>
      </c>
      <c r="L90" s="450" t="s">
        <v>58</v>
      </c>
      <c r="M90" s="455" t="n">
        <f aca="false">I90-D90</f>
        <v>1141</v>
      </c>
      <c r="N90" s="4"/>
      <c r="O90" s="394" t="s">
        <v>1474</v>
      </c>
      <c r="P90" s="481" t="n">
        <f aca="false">AVERAGEIF(G2:G478,"PT",M2:M478)</f>
        <v>3108</v>
      </c>
      <c r="Q90" s="481"/>
      <c r="R90" s="481"/>
      <c r="S90" s="153"/>
      <c r="T90" s="153"/>
    </row>
    <row r="91" customFormat="false" ht="15" hidden="false" customHeight="true" outlineLevel="0" collapsed="false">
      <c r="A91" s="456" t="n">
        <v>9016</v>
      </c>
      <c r="B91" s="458" t="s">
        <v>15848</v>
      </c>
      <c r="C91" s="458" t="n">
        <v>2011</v>
      </c>
      <c r="D91" s="459" t="n">
        <v>40659</v>
      </c>
      <c r="E91" s="458" t="s">
        <v>15849</v>
      </c>
      <c r="F91" s="458" t="s">
        <v>379</v>
      </c>
      <c r="G91" s="458" t="s">
        <v>1174</v>
      </c>
      <c r="H91" s="458" t="s">
        <v>1266</v>
      </c>
      <c r="I91" s="459" t="n">
        <v>42535</v>
      </c>
      <c r="J91" s="460" t="n">
        <v>6</v>
      </c>
      <c r="K91" s="622" t="s">
        <v>45</v>
      </c>
      <c r="L91" s="458" t="s">
        <v>60</v>
      </c>
      <c r="M91" s="463" t="n">
        <f aca="false">I91-D91</f>
        <v>1876</v>
      </c>
      <c r="N91" s="4"/>
      <c r="O91" s="396" t="s">
        <v>1188</v>
      </c>
      <c r="P91" s="482" t="n">
        <f aca="false">AVERAGEIF(G2:G479,"PTN",M2:M479)</f>
        <v>2393</v>
      </c>
      <c r="Q91" s="482"/>
      <c r="R91" s="482"/>
      <c r="S91" s="153"/>
      <c r="T91" s="153"/>
    </row>
    <row r="92" customFormat="false" ht="13.5" hidden="false" customHeight="true" outlineLevel="0" collapsed="false">
      <c r="A92" s="449" t="n">
        <v>9116</v>
      </c>
      <c r="B92" s="450" t="s">
        <v>15850</v>
      </c>
      <c r="C92" s="450" t="n">
        <v>2015</v>
      </c>
      <c r="D92" s="451" t="n">
        <v>42128</v>
      </c>
      <c r="E92" s="450" t="s">
        <v>15851</v>
      </c>
      <c r="F92" s="450" t="s">
        <v>509</v>
      </c>
      <c r="G92" s="450" t="s">
        <v>1174</v>
      </c>
      <c r="H92" s="450" t="s">
        <v>1501</v>
      </c>
      <c r="I92" s="451" t="n">
        <v>42550</v>
      </c>
      <c r="J92" s="452" t="n">
        <v>6</v>
      </c>
      <c r="K92" s="622" t="s">
        <v>45</v>
      </c>
      <c r="L92" s="450" t="s">
        <v>58</v>
      </c>
      <c r="M92" s="455" t="n">
        <f aca="false">I92-D92</f>
        <v>422</v>
      </c>
      <c r="N92" s="4"/>
      <c r="O92" s="394" t="s">
        <v>1174</v>
      </c>
      <c r="P92" s="481" t="n">
        <f aca="false">AVERAGEIF(G2:G478,"PTE",M2:M478)</f>
        <v>1369.55625</v>
      </c>
      <c r="Q92" s="481"/>
      <c r="R92" s="481"/>
      <c r="S92" s="153"/>
      <c r="T92" s="153"/>
    </row>
    <row r="93" customFormat="false" ht="13.5" hidden="false" customHeight="true" outlineLevel="0" collapsed="false">
      <c r="A93" s="456" t="n">
        <v>9216</v>
      </c>
      <c r="B93" s="458" t="s">
        <v>15852</v>
      </c>
      <c r="C93" s="458" t="n">
        <v>2011</v>
      </c>
      <c r="D93" s="459" t="n">
        <v>40827</v>
      </c>
      <c r="E93" s="458" t="s">
        <v>15853</v>
      </c>
      <c r="F93" s="458" t="s">
        <v>509</v>
      </c>
      <c r="G93" s="458" t="s">
        <v>1174</v>
      </c>
      <c r="H93" s="458" t="s">
        <v>2677</v>
      </c>
      <c r="I93" s="459" t="n">
        <v>42550</v>
      </c>
      <c r="J93" s="460" t="n">
        <v>6</v>
      </c>
      <c r="K93" s="622" t="s">
        <v>45</v>
      </c>
      <c r="L93" s="458" t="s">
        <v>58</v>
      </c>
      <c r="M93" s="463" t="n">
        <f aca="false">I93-D93</f>
        <v>1723</v>
      </c>
      <c r="N93" s="4"/>
      <c r="O93" s="396" t="s">
        <v>8</v>
      </c>
      <c r="P93" s="482" t="n">
        <f aca="false">AVERAGEIF(G2:G478,"Pré-Mistura",M2:M478)</f>
        <v>1692</v>
      </c>
      <c r="Q93" s="482"/>
      <c r="R93" s="482"/>
      <c r="S93" s="153"/>
      <c r="T93" s="153"/>
    </row>
    <row r="94" customFormat="false" ht="12.75" hidden="false" customHeight="true" outlineLevel="0" collapsed="false">
      <c r="A94" s="449" t="n">
        <v>9316</v>
      </c>
      <c r="B94" s="450" t="s">
        <v>15854</v>
      </c>
      <c r="C94" s="450" t="n">
        <v>2012</v>
      </c>
      <c r="D94" s="451" t="n">
        <v>41120</v>
      </c>
      <c r="E94" s="450" t="s">
        <v>15855</v>
      </c>
      <c r="F94" s="450" t="s">
        <v>238</v>
      </c>
      <c r="G94" s="450" t="s">
        <v>1174</v>
      </c>
      <c r="H94" s="450" t="s">
        <v>354</v>
      </c>
      <c r="I94" s="451" t="n">
        <v>42550</v>
      </c>
      <c r="J94" s="452" t="n">
        <v>6</v>
      </c>
      <c r="K94" s="620" t="s">
        <v>47</v>
      </c>
      <c r="L94" s="450" t="s">
        <v>58</v>
      </c>
      <c r="M94" s="455" t="n">
        <f aca="false">I94-D94</f>
        <v>1430</v>
      </c>
      <c r="N94" s="4"/>
      <c r="O94" s="394" t="s">
        <v>144</v>
      </c>
      <c r="P94" s="481" t="n">
        <f aca="false">AVERAGEIF(G2:G478,"PF",M2:M478)</f>
        <v>1505.10526315789</v>
      </c>
      <c r="Q94" s="481"/>
      <c r="R94" s="481"/>
      <c r="S94" s="153"/>
      <c r="T94" s="153"/>
    </row>
    <row r="95" customFormat="false" ht="12.75" hidden="false" customHeight="true" outlineLevel="0" collapsed="false">
      <c r="A95" s="456" t="n">
        <v>9416</v>
      </c>
      <c r="B95" s="458" t="s">
        <v>15856</v>
      </c>
      <c r="C95" s="458" t="n">
        <v>2010</v>
      </c>
      <c r="D95" s="459" t="n">
        <v>40519</v>
      </c>
      <c r="E95" s="458" t="s">
        <v>15857</v>
      </c>
      <c r="F95" s="458" t="s">
        <v>238</v>
      </c>
      <c r="G95" s="458" t="s">
        <v>1174</v>
      </c>
      <c r="H95" s="458" t="s">
        <v>223</v>
      </c>
      <c r="I95" s="459" t="n">
        <v>42550</v>
      </c>
      <c r="J95" s="460" t="n">
        <v>6</v>
      </c>
      <c r="K95" s="622" t="s">
        <v>45</v>
      </c>
      <c r="L95" s="458" t="s">
        <v>58</v>
      </c>
      <c r="M95" s="463" t="n">
        <f aca="false">I95-D95</f>
        <v>2031</v>
      </c>
      <c r="N95" s="4"/>
      <c r="O95" s="396" t="s">
        <v>115</v>
      </c>
      <c r="P95" s="482" t="n">
        <f aca="false">AVERAGEIF(G2:G478,"PFN",M2:M478)</f>
        <v>1786.1</v>
      </c>
      <c r="Q95" s="482"/>
      <c r="R95" s="482"/>
      <c r="S95" s="153"/>
      <c r="T95" s="153"/>
    </row>
    <row r="96" customFormat="false" ht="12.75" hidden="false" customHeight="true" outlineLevel="0" collapsed="false">
      <c r="A96" s="449" t="n">
        <v>9516</v>
      </c>
      <c r="B96" s="450" t="s">
        <v>15858</v>
      </c>
      <c r="C96" s="450" t="n">
        <v>2014</v>
      </c>
      <c r="D96" s="451" t="n">
        <v>41712</v>
      </c>
      <c r="E96" s="450" t="s">
        <v>15859</v>
      </c>
      <c r="F96" s="450" t="s">
        <v>238</v>
      </c>
      <c r="G96" s="450" t="s">
        <v>1174</v>
      </c>
      <c r="H96" s="450" t="s">
        <v>6755</v>
      </c>
      <c r="I96" s="451" t="n">
        <v>42550</v>
      </c>
      <c r="J96" s="452" t="n">
        <v>6</v>
      </c>
      <c r="K96" s="620" t="s">
        <v>47</v>
      </c>
      <c r="L96" s="450" t="s">
        <v>58</v>
      </c>
      <c r="M96" s="455" t="n">
        <f aca="false">I96-D96</f>
        <v>838</v>
      </c>
      <c r="N96" s="4"/>
      <c r="O96" s="394" t="s">
        <v>441</v>
      </c>
      <c r="P96" s="481" t="n">
        <f aca="false">AVERAGEIF(G2:G478,"PF/PTE",M2:M478)</f>
        <v>1775.63043478261</v>
      </c>
      <c r="Q96" s="481"/>
      <c r="R96" s="481"/>
      <c r="S96" s="153"/>
      <c r="T96" s="153"/>
    </row>
    <row r="97" customFormat="false" ht="12.75" hidden="false" customHeight="true" outlineLevel="0" collapsed="false">
      <c r="A97" s="456" t="n">
        <v>9616</v>
      </c>
      <c r="B97" s="458" t="s">
        <v>15860</v>
      </c>
      <c r="C97" s="458" t="n">
        <v>2013</v>
      </c>
      <c r="D97" s="459" t="n">
        <v>41430</v>
      </c>
      <c r="E97" s="458" t="s">
        <v>15861</v>
      </c>
      <c r="F97" s="458" t="s">
        <v>238</v>
      </c>
      <c r="G97" s="458" t="s">
        <v>1174</v>
      </c>
      <c r="H97" s="458" t="s">
        <v>2677</v>
      </c>
      <c r="I97" s="459" t="n">
        <v>42550</v>
      </c>
      <c r="J97" s="460" t="n">
        <v>6</v>
      </c>
      <c r="K97" s="620" t="s">
        <v>47</v>
      </c>
      <c r="L97" s="458" t="s">
        <v>58</v>
      </c>
      <c r="M97" s="463" t="n">
        <f aca="false">I97-D97</f>
        <v>1120</v>
      </c>
      <c r="N97" s="4"/>
      <c r="O97" s="396" t="s">
        <v>125</v>
      </c>
      <c r="P97" s="482" t="n">
        <f aca="false">AVERAGEIF(G2:G478,"Bio",M2:M478)</f>
        <v>689.666666666667</v>
      </c>
      <c r="Q97" s="482"/>
      <c r="R97" s="482"/>
    </row>
    <row r="98" customFormat="false" ht="12.75" hidden="false" customHeight="true" outlineLevel="0" collapsed="false">
      <c r="A98" s="449" t="n">
        <v>9716</v>
      </c>
      <c r="B98" s="450" t="s">
        <v>15862</v>
      </c>
      <c r="C98" s="450" t="n">
        <v>2012</v>
      </c>
      <c r="D98" s="451" t="n">
        <v>41116</v>
      </c>
      <c r="E98" s="450" t="s">
        <v>15863</v>
      </c>
      <c r="F98" s="450" t="s">
        <v>238</v>
      </c>
      <c r="G98" s="450" t="s">
        <v>1174</v>
      </c>
      <c r="H98" s="450" t="s">
        <v>15864</v>
      </c>
      <c r="I98" s="451" t="n">
        <v>42551</v>
      </c>
      <c r="J98" s="452" t="n">
        <v>6</v>
      </c>
      <c r="K98" s="620" t="s">
        <v>47</v>
      </c>
      <c r="L98" s="450" t="s">
        <v>58</v>
      </c>
      <c r="M98" s="455" t="n">
        <f aca="false">I98-D98</f>
        <v>1435</v>
      </c>
      <c r="N98" s="4"/>
      <c r="O98" s="394" t="s">
        <v>130</v>
      </c>
      <c r="P98" s="481" t="n">
        <f aca="false">AVERAGEIF(G2:G478,"Bio/Org",M2:M478)</f>
        <v>517.541666666667</v>
      </c>
      <c r="Q98" s="481"/>
      <c r="R98" s="481"/>
    </row>
    <row r="99" customFormat="false" ht="12.75" hidden="false" customHeight="true" outlineLevel="0" collapsed="false">
      <c r="A99" s="456" t="n">
        <v>9816</v>
      </c>
      <c r="B99" s="458" t="s">
        <v>15865</v>
      </c>
      <c r="C99" s="458" t="n">
        <v>2012</v>
      </c>
      <c r="D99" s="459" t="n">
        <v>41151</v>
      </c>
      <c r="E99" s="458" t="s">
        <v>15866</v>
      </c>
      <c r="F99" s="458" t="s">
        <v>238</v>
      </c>
      <c r="G99" s="458" t="s">
        <v>1174</v>
      </c>
      <c r="H99" s="458" t="s">
        <v>12073</v>
      </c>
      <c r="I99" s="459" t="n">
        <v>42551</v>
      </c>
      <c r="J99" s="460" t="n">
        <v>6</v>
      </c>
      <c r="K99" s="620" t="s">
        <v>47</v>
      </c>
      <c r="L99" s="458" t="s">
        <v>58</v>
      </c>
      <c r="M99" s="463" t="n">
        <f aca="false">I99-D99</f>
        <v>1400</v>
      </c>
      <c r="N99" s="4"/>
      <c r="O99" s="398" t="s">
        <v>86</v>
      </c>
      <c r="P99" s="399" t="n">
        <f aca="false">AVERAGE(M2:M496)</f>
        <v>1361.82310469314</v>
      </c>
      <c r="Q99" s="399"/>
      <c r="R99" s="399"/>
    </row>
    <row r="100" customFormat="false" ht="12.75" hidden="false" customHeight="true" outlineLevel="0" collapsed="false">
      <c r="A100" s="449" t="n">
        <v>9916</v>
      </c>
      <c r="B100" s="450" t="s">
        <v>15867</v>
      </c>
      <c r="C100" s="450" t="n">
        <v>2012</v>
      </c>
      <c r="D100" s="451" t="n">
        <v>41186</v>
      </c>
      <c r="E100" s="450" t="s">
        <v>15868</v>
      </c>
      <c r="F100" s="450" t="s">
        <v>15092</v>
      </c>
      <c r="G100" s="450" t="s">
        <v>441</v>
      </c>
      <c r="H100" s="450" t="s">
        <v>3727</v>
      </c>
      <c r="I100" s="451" t="n">
        <v>42551</v>
      </c>
      <c r="J100" s="452" t="n">
        <v>6</v>
      </c>
      <c r="K100" s="619" t="s">
        <v>42</v>
      </c>
      <c r="L100" s="450" t="s">
        <v>60</v>
      </c>
      <c r="M100" s="455" t="n">
        <f aca="false">I100-D100</f>
        <v>1365</v>
      </c>
      <c r="N100" s="4"/>
      <c r="O100" s="4"/>
      <c r="P100" s="4"/>
      <c r="Q100" s="4"/>
      <c r="R100" s="4"/>
    </row>
    <row r="101" customFormat="false" ht="12.75" hidden="false" customHeight="true" outlineLevel="0" collapsed="false">
      <c r="A101" s="456" t="n">
        <v>10016</v>
      </c>
      <c r="B101" s="458" t="s">
        <v>15869</v>
      </c>
      <c r="C101" s="458" t="n">
        <v>2015</v>
      </c>
      <c r="D101" s="459" t="n">
        <v>42030</v>
      </c>
      <c r="E101" s="458" t="s">
        <v>15870</v>
      </c>
      <c r="F101" s="458" t="s">
        <v>668</v>
      </c>
      <c r="G101" s="458" t="s">
        <v>1174</v>
      </c>
      <c r="H101" s="458" t="s">
        <v>706</v>
      </c>
      <c r="I101" s="459" t="n">
        <v>42551</v>
      </c>
      <c r="J101" s="460" t="n">
        <v>6</v>
      </c>
      <c r="K101" s="619" t="s">
        <v>42</v>
      </c>
      <c r="L101" s="458" t="s">
        <v>58</v>
      </c>
      <c r="M101" s="463" t="n">
        <f aca="false">I101-D101</f>
        <v>521</v>
      </c>
      <c r="N101" s="4"/>
      <c r="O101" s="4"/>
      <c r="P101" s="4"/>
      <c r="Q101" s="4"/>
      <c r="R101" s="4"/>
    </row>
    <row r="102" customFormat="false" ht="12.75" hidden="false" customHeight="true" outlineLevel="0" collapsed="false">
      <c r="A102" s="449" t="n">
        <v>10116</v>
      </c>
      <c r="B102" s="450" t="s">
        <v>15871</v>
      </c>
      <c r="C102" s="450" t="n">
        <v>2010</v>
      </c>
      <c r="D102" s="451" t="n">
        <v>40297</v>
      </c>
      <c r="E102" s="450" t="s">
        <v>15872</v>
      </c>
      <c r="F102" s="450" t="s">
        <v>1097</v>
      </c>
      <c r="G102" s="450" t="s">
        <v>1174</v>
      </c>
      <c r="H102" s="450" t="s">
        <v>706</v>
      </c>
      <c r="I102" s="451" t="n">
        <v>42551</v>
      </c>
      <c r="J102" s="452" t="n">
        <v>6</v>
      </c>
      <c r="K102" s="619" t="s">
        <v>42</v>
      </c>
      <c r="L102" s="450" t="s">
        <v>60</v>
      </c>
      <c r="M102" s="455" t="n">
        <f aca="false">I102-D102</f>
        <v>2254</v>
      </c>
      <c r="N102" s="4"/>
      <c r="O102" s="4"/>
      <c r="P102" s="4"/>
      <c r="Q102" s="4"/>
      <c r="R102" s="4"/>
    </row>
    <row r="103" customFormat="false" ht="12.75" hidden="false" customHeight="true" outlineLevel="0" collapsed="false">
      <c r="A103" s="456" t="n">
        <v>10216</v>
      </c>
      <c r="B103" s="458" t="s">
        <v>15873</v>
      </c>
      <c r="C103" s="458" t="n">
        <v>2009</v>
      </c>
      <c r="D103" s="459" t="n">
        <v>40029</v>
      </c>
      <c r="E103" s="458" t="s">
        <v>15874</v>
      </c>
      <c r="F103" s="458" t="s">
        <v>699</v>
      </c>
      <c r="G103" s="458" t="s">
        <v>1174</v>
      </c>
      <c r="H103" s="458" t="s">
        <v>354</v>
      </c>
      <c r="I103" s="459" t="n">
        <v>42533</v>
      </c>
      <c r="J103" s="460" t="n">
        <v>6</v>
      </c>
      <c r="K103" s="619" t="s">
        <v>42</v>
      </c>
      <c r="L103" s="458" t="s">
        <v>60</v>
      </c>
      <c r="M103" s="463" t="n">
        <f aca="false">I103-D103</f>
        <v>2504</v>
      </c>
      <c r="N103" s="4"/>
      <c r="O103" s="4"/>
      <c r="P103" s="4"/>
      <c r="Q103" s="4"/>
      <c r="R103" s="4"/>
    </row>
    <row r="104" customFormat="false" ht="12.75" hidden="false" customHeight="true" outlineLevel="0" collapsed="false">
      <c r="A104" s="449" t="n">
        <v>10316</v>
      </c>
      <c r="B104" s="450" t="s">
        <v>15875</v>
      </c>
      <c r="C104" s="450" t="n">
        <v>2009</v>
      </c>
      <c r="D104" s="451" t="n">
        <v>40029</v>
      </c>
      <c r="E104" s="450" t="s">
        <v>15876</v>
      </c>
      <c r="F104" s="450" t="s">
        <v>699</v>
      </c>
      <c r="G104" s="450" t="s">
        <v>1174</v>
      </c>
      <c r="H104" s="450" t="s">
        <v>2296</v>
      </c>
      <c r="I104" s="451" t="n">
        <v>42533</v>
      </c>
      <c r="J104" s="452" t="n">
        <v>6</v>
      </c>
      <c r="K104" s="619" t="s">
        <v>42</v>
      </c>
      <c r="L104" s="450" t="s">
        <v>60</v>
      </c>
      <c r="M104" s="455" t="n">
        <f aca="false">I104-D104</f>
        <v>2504</v>
      </c>
      <c r="N104" s="4"/>
      <c r="O104" s="4"/>
      <c r="P104" s="4"/>
      <c r="Q104" s="4"/>
      <c r="R104" s="4"/>
    </row>
    <row r="105" customFormat="false" ht="12.75" hidden="false" customHeight="true" outlineLevel="0" collapsed="false">
      <c r="A105" s="456" t="n">
        <v>10416</v>
      </c>
      <c r="B105" s="458" t="s">
        <v>15877</v>
      </c>
      <c r="C105" s="458" t="n">
        <v>2014</v>
      </c>
      <c r="D105" s="459" t="n">
        <v>41934</v>
      </c>
      <c r="E105" s="458" t="s">
        <v>15878</v>
      </c>
      <c r="F105" s="458" t="s">
        <v>15879</v>
      </c>
      <c r="G105" s="458" t="s">
        <v>144</v>
      </c>
      <c r="H105" s="458" t="s">
        <v>12073</v>
      </c>
      <c r="I105" s="459" t="n">
        <v>42578</v>
      </c>
      <c r="J105" s="460" t="n">
        <v>7</v>
      </c>
      <c r="K105" s="620" t="s">
        <v>47</v>
      </c>
      <c r="L105" s="458" t="s">
        <v>60</v>
      </c>
      <c r="M105" s="463" t="n">
        <f aca="false">I105-D105</f>
        <v>644</v>
      </c>
      <c r="N105" s="4"/>
      <c r="O105" s="4"/>
      <c r="P105" s="4"/>
      <c r="Q105" s="4"/>
      <c r="R105" s="4"/>
    </row>
    <row r="106" customFormat="false" ht="12.75" hidden="false" customHeight="true" outlineLevel="0" collapsed="false">
      <c r="A106" s="449" t="n">
        <v>10516</v>
      </c>
      <c r="B106" s="450" t="s">
        <v>15880</v>
      </c>
      <c r="C106" s="450" t="n">
        <v>2010</v>
      </c>
      <c r="D106" s="451" t="n">
        <v>40186</v>
      </c>
      <c r="E106" s="450" t="s">
        <v>15881</v>
      </c>
      <c r="F106" s="450" t="s">
        <v>699</v>
      </c>
      <c r="G106" s="450" t="s">
        <v>1174</v>
      </c>
      <c r="H106" s="450" t="s">
        <v>310</v>
      </c>
      <c r="I106" s="451" t="n">
        <v>42580</v>
      </c>
      <c r="J106" s="452" t="n">
        <v>7</v>
      </c>
      <c r="K106" s="619" t="s">
        <v>42</v>
      </c>
      <c r="L106" s="450" t="s">
        <v>60</v>
      </c>
      <c r="M106" s="455" t="n">
        <f aca="false">I106-D106</f>
        <v>2394</v>
      </c>
      <c r="N106" s="4"/>
      <c r="O106" s="4"/>
      <c r="P106" s="4"/>
      <c r="Q106" s="4"/>
      <c r="R106" s="4"/>
    </row>
    <row r="107" customFormat="false" ht="12.75" hidden="false" customHeight="true" outlineLevel="0" collapsed="false">
      <c r="A107" s="456" t="n">
        <v>10616</v>
      </c>
      <c r="B107" s="458" t="s">
        <v>15882</v>
      </c>
      <c r="C107" s="458" t="n">
        <v>2013</v>
      </c>
      <c r="D107" s="459" t="n">
        <v>41619</v>
      </c>
      <c r="E107" s="458" t="s">
        <v>15883</v>
      </c>
      <c r="F107" s="458" t="s">
        <v>1609</v>
      </c>
      <c r="G107" s="458" t="s">
        <v>441</v>
      </c>
      <c r="H107" s="458" t="s">
        <v>12073</v>
      </c>
      <c r="I107" s="459" t="n">
        <v>42578</v>
      </c>
      <c r="J107" s="460" t="n">
        <v>7</v>
      </c>
      <c r="K107" s="619" t="s">
        <v>42</v>
      </c>
      <c r="L107" s="458" t="s">
        <v>57</v>
      </c>
      <c r="M107" s="463" t="n">
        <f aca="false">I107-D107</f>
        <v>959</v>
      </c>
      <c r="N107" s="4"/>
      <c r="O107" s="4"/>
      <c r="P107" s="4"/>
      <c r="Q107" s="4"/>
      <c r="R107" s="4"/>
    </row>
    <row r="108" customFormat="false" ht="12.75" hidden="false" customHeight="true" outlineLevel="0" collapsed="false">
      <c r="A108" s="449" t="n">
        <v>10716</v>
      </c>
      <c r="B108" s="450" t="s">
        <v>15884</v>
      </c>
      <c r="C108" s="450" t="n">
        <v>2013</v>
      </c>
      <c r="D108" s="451" t="n">
        <v>41632</v>
      </c>
      <c r="E108" s="450" t="s">
        <v>15885</v>
      </c>
      <c r="F108" s="450" t="s">
        <v>1511</v>
      </c>
      <c r="G108" s="450" t="s">
        <v>441</v>
      </c>
      <c r="H108" s="450" t="s">
        <v>350</v>
      </c>
      <c r="I108" s="451" t="n">
        <v>42583</v>
      </c>
      <c r="J108" s="452" t="n">
        <v>8</v>
      </c>
      <c r="K108" s="620" t="s">
        <v>47</v>
      </c>
      <c r="L108" s="450" t="s">
        <v>58</v>
      </c>
      <c r="M108" s="455" t="n">
        <f aca="false">I108-D108</f>
        <v>951</v>
      </c>
      <c r="N108" s="4"/>
      <c r="O108" s="4"/>
      <c r="P108" s="4"/>
      <c r="Q108" s="4"/>
      <c r="R108" s="4"/>
    </row>
    <row r="109" customFormat="false" ht="12.75" hidden="false" customHeight="true" outlineLevel="0" collapsed="false">
      <c r="A109" s="456" t="n">
        <v>10816</v>
      </c>
      <c r="B109" s="458" t="s">
        <v>15886</v>
      </c>
      <c r="C109" s="458" t="n">
        <v>2014</v>
      </c>
      <c r="D109" s="459" t="n">
        <v>41726</v>
      </c>
      <c r="E109" s="458" t="s">
        <v>15887</v>
      </c>
      <c r="F109" s="458" t="s">
        <v>1277</v>
      </c>
      <c r="G109" s="458" t="s">
        <v>441</v>
      </c>
      <c r="H109" s="458" t="s">
        <v>12073</v>
      </c>
      <c r="I109" s="459" t="n">
        <v>42591</v>
      </c>
      <c r="J109" s="460" t="n">
        <v>8</v>
      </c>
      <c r="K109" s="620" t="s">
        <v>47</v>
      </c>
      <c r="L109" s="458" t="s">
        <v>58</v>
      </c>
      <c r="M109" s="463" t="n">
        <f aca="false">I109-D109</f>
        <v>865</v>
      </c>
      <c r="N109" s="4"/>
      <c r="O109" s="4"/>
      <c r="P109" s="4"/>
      <c r="Q109" s="4"/>
      <c r="R109" s="4"/>
    </row>
    <row r="110" customFormat="false" ht="12.75" hidden="false" customHeight="true" outlineLevel="0" collapsed="false">
      <c r="A110" s="449" t="n">
        <v>10916</v>
      </c>
      <c r="B110" s="450" t="s">
        <v>15888</v>
      </c>
      <c r="C110" s="450" t="n">
        <v>2013</v>
      </c>
      <c r="D110" s="451" t="n">
        <v>41397</v>
      </c>
      <c r="E110" s="450" t="s">
        <v>15889</v>
      </c>
      <c r="F110" s="450" t="s">
        <v>477</v>
      </c>
      <c r="G110" s="450" t="s">
        <v>1174</v>
      </c>
      <c r="H110" s="450" t="s">
        <v>2296</v>
      </c>
      <c r="I110" s="451" t="n">
        <v>42600</v>
      </c>
      <c r="J110" s="452" t="n">
        <v>8</v>
      </c>
      <c r="K110" s="620" t="s">
        <v>47</v>
      </c>
      <c r="L110" s="450" t="s">
        <v>58</v>
      </c>
      <c r="M110" s="455" t="n">
        <f aca="false">I110-D110</f>
        <v>1203</v>
      </c>
      <c r="N110" s="4"/>
      <c r="O110" s="4"/>
      <c r="P110" s="4"/>
      <c r="Q110" s="4"/>
      <c r="R110" s="4"/>
    </row>
    <row r="111" customFormat="false" ht="12.75" hidden="false" customHeight="true" outlineLevel="0" collapsed="false">
      <c r="A111" s="456" t="n">
        <v>11016</v>
      </c>
      <c r="B111" s="458" t="s">
        <v>15890</v>
      </c>
      <c r="C111" s="458" t="n">
        <v>2013</v>
      </c>
      <c r="D111" s="459" t="n">
        <v>41576</v>
      </c>
      <c r="E111" s="458" t="s">
        <v>15891</v>
      </c>
      <c r="F111" s="458" t="s">
        <v>477</v>
      </c>
      <c r="G111" s="458" t="s">
        <v>1174</v>
      </c>
      <c r="H111" s="458" t="s">
        <v>267</v>
      </c>
      <c r="I111" s="459" t="n">
        <v>42600</v>
      </c>
      <c r="J111" s="460" t="n">
        <v>8</v>
      </c>
      <c r="K111" s="620" t="s">
        <v>47</v>
      </c>
      <c r="L111" s="458" t="s">
        <v>58</v>
      </c>
      <c r="M111" s="463" t="n">
        <f aca="false">I111-D111</f>
        <v>1024</v>
      </c>
      <c r="N111" s="4"/>
      <c r="O111" s="4"/>
      <c r="P111" s="4"/>
      <c r="Q111" s="4"/>
      <c r="R111" s="4"/>
    </row>
    <row r="112" customFormat="false" ht="12.75" hidden="false" customHeight="true" outlineLevel="0" collapsed="false">
      <c r="A112" s="449" t="n">
        <v>11116</v>
      </c>
      <c r="B112" s="450" t="s">
        <v>15892</v>
      </c>
      <c r="C112" s="450" t="n">
        <v>2010</v>
      </c>
      <c r="D112" s="451" t="n">
        <v>40539</v>
      </c>
      <c r="E112" s="450" t="s">
        <v>15893</v>
      </c>
      <c r="F112" s="450" t="s">
        <v>15894</v>
      </c>
      <c r="G112" s="450" t="s">
        <v>1174</v>
      </c>
      <c r="H112" s="450" t="s">
        <v>223</v>
      </c>
      <c r="I112" s="451" t="n">
        <v>42598</v>
      </c>
      <c r="J112" s="452" t="n">
        <v>8</v>
      </c>
      <c r="K112" s="620" t="s">
        <v>47</v>
      </c>
      <c r="L112" s="450" t="s">
        <v>60</v>
      </c>
      <c r="M112" s="455" t="n">
        <f aca="false">I112-D112</f>
        <v>2059</v>
      </c>
      <c r="N112" s="4"/>
      <c r="O112" s="4"/>
      <c r="P112" s="4"/>
      <c r="Q112" s="4"/>
      <c r="R112" s="4"/>
    </row>
    <row r="113" customFormat="false" ht="12.75" hidden="false" customHeight="true" outlineLevel="0" collapsed="false">
      <c r="A113" s="456" t="n">
        <v>11216</v>
      </c>
      <c r="B113" s="458" t="s">
        <v>15895</v>
      </c>
      <c r="C113" s="458" t="n">
        <v>2011</v>
      </c>
      <c r="D113" s="459" t="n">
        <v>40904</v>
      </c>
      <c r="E113" s="458" t="s">
        <v>15896</v>
      </c>
      <c r="F113" s="458" t="s">
        <v>15780</v>
      </c>
      <c r="G113" s="458" t="s">
        <v>144</v>
      </c>
      <c r="H113" s="458" t="s">
        <v>1791</v>
      </c>
      <c r="I113" s="459" t="n">
        <v>42607</v>
      </c>
      <c r="J113" s="460" t="n">
        <v>8</v>
      </c>
      <c r="K113" s="619" t="s">
        <v>42</v>
      </c>
      <c r="L113" s="458" t="s">
        <v>58</v>
      </c>
      <c r="M113" s="463" t="n">
        <f aca="false">I113-D113</f>
        <v>1703</v>
      </c>
    </row>
    <row r="114" customFormat="false" ht="12.75" hidden="false" customHeight="true" outlineLevel="0" collapsed="false">
      <c r="A114" s="449" t="n">
        <v>11316</v>
      </c>
      <c r="B114" s="450" t="s">
        <v>15897</v>
      </c>
      <c r="C114" s="450" t="n">
        <v>2010</v>
      </c>
      <c r="D114" s="451" t="n">
        <v>40501</v>
      </c>
      <c r="E114" s="450" t="s">
        <v>15898</v>
      </c>
      <c r="F114" s="450" t="s">
        <v>1156</v>
      </c>
      <c r="G114" s="450" t="s">
        <v>1174</v>
      </c>
      <c r="H114" s="450" t="s">
        <v>12073</v>
      </c>
      <c r="I114" s="451" t="n">
        <v>42607</v>
      </c>
      <c r="J114" s="452" t="n">
        <v>8</v>
      </c>
      <c r="K114" s="622" t="s">
        <v>45</v>
      </c>
      <c r="L114" s="450" t="s">
        <v>57</v>
      </c>
      <c r="M114" s="455" t="n">
        <f aca="false">I114-D114</f>
        <v>2106</v>
      </c>
    </row>
    <row r="115" customFormat="false" ht="12.75" hidden="false" customHeight="true" outlineLevel="0" collapsed="false">
      <c r="A115" s="456" t="n">
        <v>11416</v>
      </c>
      <c r="B115" s="458" t="s">
        <v>15899</v>
      </c>
      <c r="C115" s="458" t="n">
        <v>2011</v>
      </c>
      <c r="D115" s="459" t="n">
        <v>40708</v>
      </c>
      <c r="E115" s="458" t="s">
        <v>15900</v>
      </c>
      <c r="F115" s="458" t="s">
        <v>1156</v>
      </c>
      <c r="G115" s="458" t="s">
        <v>1174</v>
      </c>
      <c r="H115" s="458" t="s">
        <v>12073</v>
      </c>
      <c r="I115" s="459" t="n">
        <v>42622</v>
      </c>
      <c r="J115" s="460" t="n">
        <v>8</v>
      </c>
      <c r="K115" s="622" t="s">
        <v>45</v>
      </c>
      <c r="L115" s="458" t="s">
        <v>57</v>
      </c>
      <c r="M115" s="463" t="n">
        <f aca="false">I115-D115</f>
        <v>1914</v>
      </c>
    </row>
    <row r="116" customFormat="false" ht="12.75" hidden="false" customHeight="true" outlineLevel="0" collapsed="false">
      <c r="A116" s="449" t="n">
        <v>11516</v>
      </c>
      <c r="B116" s="450" t="s">
        <v>15901</v>
      </c>
      <c r="C116" s="450" t="n">
        <v>2012</v>
      </c>
      <c r="D116" s="451" t="n">
        <v>41057</v>
      </c>
      <c r="E116" s="450" t="s">
        <v>15902</v>
      </c>
      <c r="F116" s="450" t="s">
        <v>15437</v>
      </c>
      <c r="G116" s="450" t="s">
        <v>144</v>
      </c>
      <c r="H116" s="450" t="s">
        <v>1109</v>
      </c>
      <c r="I116" s="451" t="n">
        <v>42607</v>
      </c>
      <c r="J116" s="452" t="n">
        <v>8</v>
      </c>
      <c r="K116" s="620" t="s">
        <v>47</v>
      </c>
      <c r="L116" s="450" t="s">
        <v>58</v>
      </c>
      <c r="M116" s="455" t="n">
        <f aca="false">I116-D116</f>
        <v>1550</v>
      </c>
    </row>
    <row r="117" customFormat="false" ht="12.75" hidden="false" customHeight="true" outlineLevel="0" collapsed="false">
      <c r="A117" s="456" t="n">
        <v>11616</v>
      </c>
      <c r="B117" s="458" t="s">
        <v>15903</v>
      </c>
      <c r="C117" s="458" t="n">
        <v>2012</v>
      </c>
      <c r="D117" s="459" t="n">
        <v>41120</v>
      </c>
      <c r="E117" s="458" t="s">
        <v>15904</v>
      </c>
      <c r="F117" s="458" t="s">
        <v>1156</v>
      </c>
      <c r="G117" s="458" t="s">
        <v>1174</v>
      </c>
      <c r="H117" s="458" t="s">
        <v>15864</v>
      </c>
      <c r="I117" s="459" t="n">
        <v>42607</v>
      </c>
      <c r="J117" s="460" t="n">
        <v>8</v>
      </c>
      <c r="K117" s="622" t="s">
        <v>45</v>
      </c>
      <c r="L117" s="458" t="s">
        <v>57</v>
      </c>
      <c r="M117" s="463" t="n">
        <f aca="false">I117-D117</f>
        <v>1487</v>
      </c>
    </row>
    <row r="118" customFormat="false" ht="12.75" hidden="false" customHeight="true" outlineLevel="0" collapsed="false">
      <c r="A118" s="449" t="n">
        <v>11716</v>
      </c>
      <c r="B118" s="450" t="s">
        <v>15905</v>
      </c>
      <c r="C118" s="450" t="n">
        <v>2013</v>
      </c>
      <c r="D118" s="451" t="n">
        <v>41515</v>
      </c>
      <c r="E118" s="450" t="s">
        <v>15906</v>
      </c>
      <c r="F118" s="450" t="s">
        <v>1156</v>
      </c>
      <c r="G118" s="450" t="s">
        <v>1174</v>
      </c>
      <c r="H118" s="450" t="s">
        <v>13796</v>
      </c>
      <c r="I118" s="451" t="n">
        <v>42607</v>
      </c>
      <c r="J118" s="452" t="n">
        <v>8</v>
      </c>
      <c r="K118" s="622" t="s">
        <v>45</v>
      </c>
      <c r="L118" s="450" t="s">
        <v>57</v>
      </c>
      <c r="M118" s="455" t="n">
        <f aca="false">I118-D118</f>
        <v>1092</v>
      </c>
    </row>
    <row r="119" customFormat="false" ht="12.75" hidden="false" customHeight="true" outlineLevel="0" collapsed="false">
      <c r="A119" s="456" t="n">
        <v>11816</v>
      </c>
      <c r="B119" s="458" t="s">
        <v>15907</v>
      </c>
      <c r="C119" s="458" t="n">
        <v>2014</v>
      </c>
      <c r="D119" s="459" t="n">
        <v>41885</v>
      </c>
      <c r="E119" s="458" t="s">
        <v>15908</v>
      </c>
      <c r="F119" s="458" t="s">
        <v>509</v>
      </c>
      <c r="G119" s="458" t="s">
        <v>1174</v>
      </c>
      <c r="H119" s="458" t="s">
        <v>6674</v>
      </c>
      <c r="I119" s="459" t="n">
        <v>42607</v>
      </c>
      <c r="J119" s="460" t="n">
        <v>8</v>
      </c>
      <c r="K119" s="622" t="s">
        <v>45</v>
      </c>
      <c r="L119" s="458" t="s">
        <v>58</v>
      </c>
      <c r="M119" s="463" t="n">
        <f aca="false">I119-D119</f>
        <v>722</v>
      </c>
    </row>
    <row r="120" customFormat="false" ht="12.75" hidden="false" customHeight="true" outlineLevel="0" collapsed="false">
      <c r="A120" s="449" t="n">
        <v>11916</v>
      </c>
      <c r="B120" s="450" t="s">
        <v>15909</v>
      </c>
      <c r="C120" s="450" t="n">
        <v>2013</v>
      </c>
      <c r="D120" s="451" t="n">
        <v>41635</v>
      </c>
      <c r="E120" s="450" t="s">
        <v>15910</v>
      </c>
      <c r="F120" s="450" t="s">
        <v>15780</v>
      </c>
      <c r="G120" s="450" t="s">
        <v>144</v>
      </c>
      <c r="H120" s="450" t="s">
        <v>1791</v>
      </c>
      <c r="I120" s="451" t="n">
        <v>42607</v>
      </c>
      <c r="J120" s="452" t="n">
        <v>8</v>
      </c>
      <c r="K120" s="619" t="s">
        <v>42</v>
      </c>
      <c r="L120" s="450" t="s">
        <v>58</v>
      </c>
      <c r="M120" s="455" t="n">
        <f aca="false">I120-D120</f>
        <v>972</v>
      </c>
    </row>
    <row r="121" customFormat="false" ht="12.75" hidden="false" customHeight="true" outlineLevel="0" collapsed="false">
      <c r="A121" s="456" t="n">
        <v>12016</v>
      </c>
      <c r="B121" s="458" t="s">
        <v>15911</v>
      </c>
      <c r="C121" s="458" t="n">
        <v>2014</v>
      </c>
      <c r="D121" s="459" t="n">
        <v>41873</v>
      </c>
      <c r="E121" s="458" t="s">
        <v>15912</v>
      </c>
      <c r="F121" s="625" t="s">
        <v>10768</v>
      </c>
      <c r="G121" s="458" t="s">
        <v>125</v>
      </c>
      <c r="H121" s="458" t="s">
        <v>980</v>
      </c>
      <c r="I121" s="459" t="n">
        <v>42608</v>
      </c>
      <c r="J121" s="460" t="n">
        <v>8</v>
      </c>
      <c r="K121" s="620" t="s">
        <v>47</v>
      </c>
      <c r="L121" s="458" t="s">
        <v>61</v>
      </c>
      <c r="M121" s="463" t="n">
        <f aca="false">I121-D121</f>
        <v>735</v>
      </c>
    </row>
    <row r="122" customFormat="false" ht="12.75" hidden="false" customHeight="true" outlineLevel="0" collapsed="false">
      <c r="A122" s="449" t="n">
        <v>12116</v>
      </c>
      <c r="B122" s="450" t="s">
        <v>15913</v>
      </c>
      <c r="C122" s="450" t="n">
        <v>2014</v>
      </c>
      <c r="D122" s="451" t="n">
        <v>41667</v>
      </c>
      <c r="E122" s="450" t="s">
        <v>15914</v>
      </c>
      <c r="F122" s="450" t="s">
        <v>1156</v>
      </c>
      <c r="G122" s="450" t="s">
        <v>1174</v>
      </c>
      <c r="H122" s="450" t="s">
        <v>706</v>
      </c>
      <c r="I122" s="451" t="n">
        <v>42608</v>
      </c>
      <c r="J122" s="452" t="n">
        <v>8</v>
      </c>
      <c r="K122" s="622" t="s">
        <v>45</v>
      </c>
      <c r="L122" s="450" t="s">
        <v>57</v>
      </c>
      <c r="M122" s="455" t="n">
        <f aca="false">I122-D122</f>
        <v>941</v>
      </c>
    </row>
    <row r="123" customFormat="false" ht="12.75" hidden="false" customHeight="true" outlineLevel="0" collapsed="false">
      <c r="A123" s="456" t="n">
        <v>12216</v>
      </c>
      <c r="B123" s="458" t="s">
        <v>15915</v>
      </c>
      <c r="C123" s="458" t="n">
        <v>2014</v>
      </c>
      <c r="D123" s="459" t="n">
        <v>41764</v>
      </c>
      <c r="E123" s="458" t="s">
        <v>15916</v>
      </c>
      <c r="F123" s="625" t="s">
        <v>6303</v>
      </c>
      <c r="G123" s="458" t="s">
        <v>130</v>
      </c>
      <c r="H123" s="458" t="s">
        <v>15917</v>
      </c>
      <c r="I123" s="459" t="n">
        <v>42611</v>
      </c>
      <c r="J123" s="460" t="n">
        <v>8</v>
      </c>
      <c r="K123" s="623" t="s">
        <v>50</v>
      </c>
      <c r="L123" s="458" t="s">
        <v>61</v>
      </c>
      <c r="M123" s="463" t="n">
        <f aca="false">I123-D123</f>
        <v>847</v>
      </c>
    </row>
    <row r="124" customFormat="false" ht="12.75" hidden="false" customHeight="true" outlineLevel="0" collapsed="false">
      <c r="A124" s="449" t="n">
        <v>12316</v>
      </c>
      <c r="B124" s="450" t="s">
        <v>15918</v>
      </c>
      <c r="C124" s="450" t="n">
        <v>2015</v>
      </c>
      <c r="D124" s="451" t="n">
        <v>42223</v>
      </c>
      <c r="E124" s="450" t="s">
        <v>15919</v>
      </c>
      <c r="F124" s="624" t="s">
        <v>9773</v>
      </c>
      <c r="G124" s="450" t="s">
        <v>130</v>
      </c>
      <c r="H124" s="450" t="s">
        <v>10653</v>
      </c>
      <c r="I124" s="451" t="n">
        <v>42612</v>
      </c>
      <c r="J124" s="452" t="n">
        <v>8</v>
      </c>
      <c r="K124" s="623" t="s">
        <v>2407</v>
      </c>
      <c r="L124" s="450" t="s">
        <v>61</v>
      </c>
      <c r="M124" s="455" t="n">
        <f aca="false">I124-D124</f>
        <v>389</v>
      </c>
    </row>
    <row r="125" customFormat="false" ht="12.75" hidden="false" customHeight="true" outlineLevel="0" collapsed="false">
      <c r="A125" s="456" t="n">
        <v>12416</v>
      </c>
      <c r="B125" s="458" t="s">
        <v>15920</v>
      </c>
      <c r="C125" s="458" t="n">
        <v>2014</v>
      </c>
      <c r="D125" s="459" t="n">
        <v>41927</v>
      </c>
      <c r="E125" s="458" t="s">
        <v>15921</v>
      </c>
      <c r="F125" s="625" t="s">
        <v>6303</v>
      </c>
      <c r="G125" s="458" t="s">
        <v>130</v>
      </c>
      <c r="H125" s="458" t="s">
        <v>15922</v>
      </c>
      <c r="I125" s="459" t="n">
        <v>42612</v>
      </c>
      <c r="J125" s="460" t="n">
        <v>8</v>
      </c>
      <c r="K125" s="623" t="s">
        <v>50</v>
      </c>
      <c r="L125" s="458" t="s">
        <v>61</v>
      </c>
      <c r="M125" s="463" t="n">
        <f aca="false">I125-D125</f>
        <v>685</v>
      </c>
    </row>
    <row r="126" customFormat="false" ht="12.75" hidden="false" customHeight="true" outlineLevel="0" collapsed="false">
      <c r="A126" s="449" t="n">
        <v>12516</v>
      </c>
      <c r="B126" s="450" t="s">
        <v>15923</v>
      </c>
      <c r="C126" s="450" t="n">
        <v>2015</v>
      </c>
      <c r="D126" s="451" t="n">
        <v>42356</v>
      </c>
      <c r="E126" s="450" t="s">
        <v>15924</v>
      </c>
      <c r="F126" s="624" t="s">
        <v>6315</v>
      </c>
      <c r="G126" s="450" t="s">
        <v>130</v>
      </c>
      <c r="H126" s="450" t="s">
        <v>10913</v>
      </c>
      <c r="I126" s="451" t="n">
        <v>42612</v>
      </c>
      <c r="J126" s="452" t="n">
        <v>8</v>
      </c>
      <c r="K126" s="623" t="s">
        <v>50</v>
      </c>
      <c r="L126" s="450" t="s">
        <v>61</v>
      </c>
      <c r="M126" s="455" t="n">
        <f aca="false">I126-D126</f>
        <v>256</v>
      </c>
    </row>
    <row r="127" customFormat="false" ht="12.75" hidden="false" customHeight="true" outlineLevel="0" collapsed="false">
      <c r="A127" s="456" t="n">
        <v>12616</v>
      </c>
      <c r="B127" s="458" t="s">
        <v>15925</v>
      </c>
      <c r="C127" s="458" t="n">
        <v>2015</v>
      </c>
      <c r="D127" s="459" t="n">
        <v>42181</v>
      </c>
      <c r="E127" s="458" t="s">
        <v>15926</v>
      </c>
      <c r="F127" s="625" t="s">
        <v>10875</v>
      </c>
      <c r="G127" s="458" t="s">
        <v>130</v>
      </c>
      <c r="H127" s="458" t="s">
        <v>15917</v>
      </c>
      <c r="I127" s="459" t="n">
        <v>42612</v>
      </c>
      <c r="J127" s="460" t="n">
        <v>8</v>
      </c>
      <c r="K127" s="623" t="s">
        <v>50</v>
      </c>
      <c r="L127" s="458" t="s">
        <v>61</v>
      </c>
      <c r="M127" s="463" t="n">
        <f aca="false">I127-D127</f>
        <v>431</v>
      </c>
    </row>
    <row r="128" customFormat="false" ht="12.75" hidden="false" customHeight="true" outlineLevel="0" collapsed="false">
      <c r="A128" s="449" t="n">
        <v>12716</v>
      </c>
      <c r="B128" s="450" t="s">
        <v>15927</v>
      </c>
      <c r="C128" s="450" t="n">
        <v>2011</v>
      </c>
      <c r="D128" s="451" t="n">
        <v>40876</v>
      </c>
      <c r="E128" s="450" t="s">
        <v>15928</v>
      </c>
      <c r="F128" s="450" t="s">
        <v>15437</v>
      </c>
      <c r="G128" s="450" t="s">
        <v>144</v>
      </c>
      <c r="H128" s="450" t="s">
        <v>1109</v>
      </c>
      <c r="I128" s="451" t="n">
        <v>42615</v>
      </c>
      <c r="J128" s="452" t="n">
        <v>9</v>
      </c>
      <c r="K128" s="619" t="s">
        <v>42</v>
      </c>
      <c r="L128" s="450" t="s">
        <v>58</v>
      </c>
      <c r="M128" s="455" t="n">
        <f aca="false">I128-D128</f>
        <v>1739</v>
      </c>
    </row>
    <row r="129" customFormat="false" ht="12.75" hidden="false" customHeight="true" outlineLevel="0" collapsed="false">
      <c r="A129" s="456" t="n">
        <v>12816</v>
      </c>
      <c r="B129" s="458" t="s">
        <v>15929</v>
      </c>
      <c r="C129" s="458" t="n">
        <v>2015</v>
      </c>
      <c r="D129" s="459" t="n">
        <v>42356</v>
      </c>
      <c r="E129" s="458" t="s">
        <v>15930</v>
      </c>
      <c r="F129" s="625" t="s">
        <v>6303</v>
      </c>
      <c r="G129" s="458" t="s">
        <v>130</v>
      </c>
      <c r="H129" s="458" t="s">
        <v>10913</v>
      </c>
      <c r="I129" s="459" t="n">
        <v>42615</v>
      </c>
      <c r="J129" s="460" t="n">
        <v>9</v>
      </c>
      <c r="K129" s="623" t="s">
        <v>50</v>
      </c>
      <c r="L129" s="458" t="s">
        <v>61</v>
      </c>
      <c r="M129" s="463" t="n">
        <f aca="false">I129-D129</f>
        <v>259</v>
      </c>
    </row>
    <row r="130" customFormat="false" ht="12.75" hidden="false" customHeight="true" outlineLevel="0" collapsed="false">
      <c r="A130" s="449" t="n">
        <v>12916</v>
      </c>
      <c r="B130" s="450" t="s">
        <v>15931</v>
      </c>
      <c r="C130" s="450" t="n">
        <v>2014</v>
      </c>
      <c r="D130" s="451" t="n">
        <v>41858</v>
      </c>
      <c r="E130" s="450" t="s">
        <v>15932</v>
      </c>
      <c r="F130" s="450" t="s">
        <v>9275</v>
      </c>
      <c r="G130" s="450" t="s">
        <v>144</v>
      </c>
      <c r="H130" s="450" t="s">
        <v>373</v>
      </c>
      <c r="I130" s="451" t="n">
        <v>42619</v>
      </c>
      <c r="J130" s="452" t="n">
        <v>9</v>
      </c>
      <c r="K130" s="620" t="s">
        <v>47</v>
      </c>
      <c r="L130" s="450" t="s">
        <v>58</v>
      </c>
      <c r="M130" s="455" t="n">
        <f aca="false">I130-D130</f>
        <v>761</v>
      </c>
    </row>
    <row r="131" customFormat="false" ht="12.75" hidden="false" customHeight="true" outlineLevel="0" collapsed="false">
      <c r="A131" s="456" t="n">
        <v>13016</v>
      </c>
      <c r="B131" s="458" t="s">
        <v>15933</v>
      </c>
      <c r="C131" s="458" t="n">
        <v>2010</v>
      </c>
      <c r="D131" s="459" t="n">
        <v>40206</v>
      </c>
      <c r="E131" s="458" t="s">
        <v>15934</v>
      </c>
      <c r="F131" s="458" t="s">
        <v>699</v>
      </c>
      <c r="G131" s="458" t="s">
        <v>1174</v>
      </c>
      <c r="H131" s="458" t="s">
        <v>1059</v>
      </c>
      <c r="I131" s="459" t="n">
        <v>42619</v>
      </c>
      <c r="J131" s="460" t="n">
        <v>9</v>
      </c>
      <c r="K131" s="619" t="s">
        <v>42</v>
      </c>
      <c r="L131" s="458" t="s">
        <v>60</v>
      </c>
      <c r="M131" s="463" t="n">
        <f aca="false">I131-D131</f>
        <v>2413</v>
      </c>
    </row>
    <row r="132" customFormat="false" ht="12.75" hidden="false" customHeight="true" outlineLevel="0" collapsed="false">
      <c r="A132" s="449" t="n">
        <v>13116</v>
      </c>
      <c r="B132" s="450" t="s">
        <v>15935</v>
      </c>
      <c r="C132" s="450" t="n">
        <v>2010</v>
      </c>
      <c r="D132" s="451" t="n">
        <v>40437</v>
      </c>
      <c r="E132" s="450" t="s">
        <v>15936</v>
      </c>
      <c r="F132" s="450" t="s">
        <v>699</v>
      </c>
      <c r="G132" s="450" t="s">
        <v>1174</v>
      </c>
      <c r="H132" s="450" t="s">
        <v>15937</v>
      </c>
      <c r="I132" s="451" t="n">
        <v>42646</v>
      </c>
      <c r="J132" s="452" t="n">
        <v>10</v>
      </c>
      <c r="K132" s="619" t="s">
        <v>42</v>
      </c>
      <c r="L132" s="450" t="s">
        <v>60</v>
      </c>
      <c r="M132" s="455" t="n">
        <f aca="false">I132-D132</f>
        <v>2209</v>
      </c>
    </row>
    <row r="133" customFormat="false" ht="12.75" hidden="false" customHeight="true" outlineLevel="0" collapsed="false">
      <c r="A133" s="456" t="n">
        <v>13216</v>
      </c>
      <c r="B133" s="458" t="s">
        <v>15938</v>
      </c>
      <c r="C133" s="458" t="n">
        <v>2011</v>
      </c>
      <c r="D133" s="459" t="n">
        <v>40582</v>
      </c>
      <c r="E133" s="458" t="s">
        <v>15939</v>
      </c>
      <c r="F133" s="458" t="s">
        <v>699</v>
      </c>
      <c r="G133" s="458" t="s">
        <v>1174</v>
      </c>
      <c r="H133" s="458" t="s">
        <v>15940</v>
      </c>
      <c r="I133" s="459" t="n">
        <v>42646</v>
      </c>
      <c r="J133" s="460" t="n">
        <v>10</v>
      </c>
      <c r="K133" s="619" t="s">
        <v>42</v>
      </c>
      <c r="L133" s="458" t="s">
        <v>60</v>
      </c>
      <c r="M133" s="463" t="n">
        <f aca="false">I133-D133</f>
        <v>2064</v>
      </c>
    </row>
    <row r="134" customFormat="false" ht="12.75" hidden="false" customHeight="true" outlineLevel="0" collapsed="false">
      <c r="A134" s="449" t="n">
        <v>13316</v>
      </c>
      <c r="B134" s="450" t="s">
        <v>15941</v>
      </c>
      <c r="C134" s="450" t="n">
        <v>2012</v>
      </c>
      <c r="D134" s="451" t="n">
        <v>41044</v>
      </c>
      <c r="E134" s="450" t="s">
        <v>15942</v>
      </c>
      <c r="F134" s="450" t="s">
        <v>699</v>
      </c>
      <c r="G134" s="450" t="s">
        <v>1174</v>
      </c>
      <c r="H134" s="450" t="s">
        <v>6570</v>
      </c>
      <c r="I134" s="451" t="n">
        <v>42619</v>
      </c>
      <c r="J134" s="452" t="n">
        <v>9</v>
      </c>
      <c r="K134" s="619" t="s">
        <v>42</v>
      </c>
      <c r="L134" s="450" t="s">
        <v>60</v>
      </c>
      <c r="M134" s="455" t="n">
        <f aca="false">I134-D134</f>
        <v>1575</v>
      </c>
    </row>
    <row r="135" customFormat="false" ht="12.75" hidden="false" customHeight="true" outlineLevel="0" collapsed="false">
      <c r="A135" s="456" t="n">
        <v>13416</v>
      </c>
      <c r="B135" s="458" t="s">
        <v>15943</v>
      </c>
      <c r="C135" s="458" t="n">
        <v>2010</v>
      </c>
      <c r="D135" s="459" t="n">
        <v>40457</v>
      </c>
      <c r="E135" s="458" t="s">
        <v>15944</v>
      </c>
      <c r="F135" s="458" t="s">
        <v>15945</v>
      </c>
      <c r="G135" s="458" t="s">
        <v>1174</v>
      </c>
      <c r="H135" s="458" t="s">
        <v>223</v>
      </c>
      <c r="I135" s="459" t="n">
        <v>42622</v>
      </c>
      <c r="J135" s="460" t="n">
        <v>9</v>
      </c>
      <c r="K135" s="622" t="s">
        <v>45</v>
      </c>
      <c r="L135" s="458" t="s">
        <v>58</v>
      </c>
      <c r="M135" s="463" t="n">
        <f aca="false">I135-D135</f>
        <v>2165</v>
      </c>
    </row>
    <row r="136" customFormat="false" ht="12.75" hidden="false" customHeight="true" outlineLevel="0" collapsed="false">
      <c r="A136" s="449" t="n">
        <v>13516</v>
      </c>
      <c r="B136" s="450" t="s">
        <v>15946</v>
      </c>
      <c r="C136" s="450" t="n">
        <v>2010</v>
      </c>
      <c r="D136" s="451" t="n">
        <v>40259</v>
      </c>
      <c r="E136" s="450" t="s">
        <v>15947</v>
      </c>
      <c r="F136" s="450" t="s">
        <v>15948</v>
      </c>
      <c r="G136" s="450" t="s">
        <v>441</v>
      </c>
      <c r="H136" s="450" t="s">
        <v>350</v>
      </c>
      <c r="I136" s="451" t="n">
        <v>42622</v>
      </c>
      <c r="J136" s="452" t="n">
        <v>9</v>
      </c>
      <c r="K136" s="619" t="s">
        <v>42</v>
      </c>
      <c r="L136" s="450" t="s">
        <v>58</v>
      </c>
      <c r="M136" s="455" t="n">
        <f aca="false">I136-D136</f>
        <v>2363</v>
      </c>
    </row>
    <row r="137" customFormat="false" ht="12.75" hidden="false" customHeight="true" outlineLevel="0" collapsed="false">
      <c r="A137" s="456" t="n">
        <v>13616</v>
      </c>
      <c r="B137" s="458" t="s">
        <v>15949</v>
      </c>
      <c r="C137" s="458" t="n">
        <v>2009</v>
      </c>
      <c r="D137" s="459" t="n">
        <v>39925</v>
      </c>
      <c r="E137" s="458" t="s">
        <v>15950</v>
      </c>
      <c r="F137" s="458" t="s">
        <v>15951</v>
      </c>
      <c r="G137" s="458" t="s">
        <v>115</v>
      </c>
      <c r="H137" s="458" t="s">
        <v>1791</v>
      </c>
      <c r="I137" s="459" t="n">
        <v>42622</v>
      </c>
      <c r="J137" s="460" t="n">
        <v>9</v>
      </c>
      <c r="K137" s="620" t="s">
        <v>47</v>
      </c>
      <c r="L137" s="458" t="s">
        <v>58</v>
      </c>
      <c r="M137" s="463" t="n">
        <f aca="false">I137-D137</f>
        <v>2697</v>
      </c>
    </row>
    <row r="138" customFormat="false" ht="12.75" hidden="false" customHeight="true" outlineLevel="0" collapsed="false">
      <c r="A138" s="449" t="n">
        <v>13716</v>
      </c>
      <c r="B138" s="450" t="s">
        <v>15952</v>
      </c>
      <c r="C138" s="450" t="n">
        <v>2011</v>
      </c>
      <c r="D138" s="451" t="n">
        <v>40578</v>
      </c>
      <c r="E138" s="450" t="s">
        <v>15953</v>
      </c>
      <c r="F138" s="450" t="s">
        <v>668</v>
      </c>
      <c r="G138" s="450" t="s">
        <v>441</v>
      </c>
      <c r="H138" s="450" t="s">
        <v>3339</v>
      </c>
      <c r="I138" s="451" t="n">
        <v>42622</v>
      </c>
      <c r="J138" s="452" t="n">
        <v>9</v>
      </c>
      <c r="K138" s="619" t="s">
        <v>42</v>
      </c>
      <c r="L138" s="450" t="s">
        <v>58</v>
      </c>
      <c r="M138" s="455" t="n">
        <f aca="false">I138-D138</f>
        <v>2044</v>
      </c>
    </row>
    <row r="139" customFormat="false" ht="12.75" hidden="false" customHeight="true" outlineLevel="0" collapsed="false">
      <c r="A139" s="456" t="n">
        <v>13816</v>
      </c>
      <c r="B139" s="458" t="s">
        <v>15954</v>
      </c>
      <c r="C139" s="458" t="n">
        <v>2012</v>
      </c>
      <c r="D139" s="459" t="n">
        <v>41271</v>
      </c>
      <c r="E139" s="458" t="s">
        <v>15955</v>
      </c>
      <c r="F139" s="458" t="s">
        <v>699</v>
      </c>
      <c r="G139" s="458" t="s">
        <v>1174</v>
      </c>
      <c r="H139" s="458" t="s">
        <v>10901</v>
      </c>
      <c r="I139" s="459" t="n">
        <v>42622</v>
      </c>
      <c r="J139" s="460" t="n">
        <v>9</v>
      </c>
      <c r="K139" s="619" t="s">
        <v>42</v>
      </c>
      <c r="L139" s="458" t="s">
        <v>60</v>
      </c>
      <c r="M139" s="463" t="n">
        <f aca="false">I139-D139</f>
        <v>1351</v>
      </c>
    </row>
    <row r="140" customFormat="false" ht="12.75" hidden="false" customHeight="true" outlineLevel="0" collapsed="false">
      <c r="A140" s="449" t="n">
        <v>13916</v>
      </c>
      <c r="B140" s="450" t="s">
        <v>15956</v>
      </c>
      <c r="C140" s="450" t="n">
        <v>2013</v>
      </c>
      <c r="D140" s="451" t="n">
        <v>41361</v>
      </c>
      <c r="E140" s="450" t="s">
        <v>15957</v>
      </c>
      <c r="F140" s="450" t="s">
        <v>1156</v>
      </c>
      <c r="G140" s="450" t="s">
        <v>1174</v>
      </c>
      <c r="H140" s="450" t="s">
        <v>354</v>
      </c>
      <c r="I140" s="451" t="n">
        <v>42622</v>
      </c>
      <c r="J140" s="452" t="n">
        <v>9</v>
      </c>
      <c r="K140" s="622" t="s">
        <v>45</v>
      </c>
      <c r="L140" s="450" t="s">
        <v>57</v>
      </c>
      <c r="M140" s="455" t="n">
        <f aca="false">I140-D140</f>
        <v>1261</v>
      </c>
    </row>
    <row r="141" customFormat="false" ht="12.75" hidden="false" customHeight="true" outlineLevel="0" collapsed="false">
      <c r="A141" s="456" t="n">
        <v>14016</v>
      </c>
      <c r="B141" s="458" t="s">
        <v>15958</v>
      </c>
      <c r="C141" s="458" t="n">
        <v>2013</v>
      </c>
      <c r="D141" s="459" t="n">
        <v>41361</v>
      </c>
      <c r="E141" s="458" t="s">
        <v>15959</v>
      </c>
      <c r="F141" s="458" t="s">
        <v>1156</v>
      </c>
      <c r="G141" s="458" t="s">
        <v>1174</v>
      </c>
      <c r="H141" s="458" t="s">
        <v>2296</v>
      </c>
      <c r="I141" s="459" t="n">
        <v>42622</v>
      </c>
      <c r="J141" s="460" t="n">
        <v>9</v>
      </c>
      <c r="K141" s="622" t="s">
        <v>45</v>
      </c>
      <c r="L141" s="458" t="s">
        <v>57</v>
      </c>
      <c r="M141" s="463" t="n">
        <f aca="false">I141-D141</f>
        <v>1261</v>
      </c>
    </row>
    <row r="142" customFormat="false" ht="12.75" hidden="false" customHeight="true" outlineLevel="0" collapsed="false">
      <c r="A142" s="449" t="n">
        <v>14116</v>
      </c>
      <c r="B142" s="450" t="s">
        <v>15960</v>
      </c>
      <c r="C142" s="450" t="n">
        <v>2013</v>
      </c>
      <c r="D142" s="451" t="n">
        <v>41390</v>
      </c>
      <c r="E142" s="450" t="s">
        <v>15961</v>
      </c>
      <c r="F142" s="450" t="s">
        <v>3865</v>
      </c>
      <c r="G142" s="450" t="s">
        <v>1174</v>
      </c>
      <c r="H142" s="450" t="s">
        <v>354</v>
      </c>
      <c r="I142" s="451" t="n">
        <v>42625</v>
      </c>
      <c r="J142" s="452" t="n">
        <v>9</v>
      </c>
      <c r="K142" s="623" t="s">
        <v>50</v>
      </c>
      <c r="L142" s="450" t="s">
        <v>60</v>
      </c>
      <c r="M142" s="455" t="n">
        <f aca="false">I142-D142</f>
        <v>1235</v>
      </c>
    </row>
    <row r="143" customFormat="false" ht="12.75" hidden="false" customHeight="true" outlineLevel="0" collapsed="false">
      <c r="A143" s="456" t="n">
        <v>14216</v>
      </c>
      <c r="B143" s="458" t="s">
        <v>15962</v>
      </c>
      <c r="C143" s="458" t="n">
        <v>2013</v>
      </c>
      <c r="D143" s="459" t="n">
        <v>41564</v>
      </c>
      <c r="E143" s="458" t="s">
        <v>15963</v>
      </c>
      <c r="F143" s="458" t="s">
        <v>3865</v>
      </c>
      <c r="G143" s="458" t="s">
        <v>1174</v>
      </c>
      <c r="H143" s="458" t="s">
        <v>13796</v>
      </c>
      <c r="I143" s="459" t="n">
        <v>42625</v>
      </c>
      <c r="J143" s="460" t="n">
        <v>9</v>
      </c>
      <c r="K143" s="623" t="s">
        <v>50</v>
      </c>
      <c r="L143" s="458" t="s">
        <v>60</v>
      </c>
      <c r="M143" s="463" t="n">
        <f aca="false">I143-D143</f>
        <v>1061</v>
      </c>
    </row>
    <row r="144" customFormat="false" ht="12.75" hidden="false" customHeight="true" outlineLevel="0" collapsed="false">
      <c r="A144" s="449" t="n">
        <v>14316</v>
      </c>
      <c r="B144" s="450" t="s">
        <v>15964</v>
      </c>
      <c r="C144" s="450" t="n">
        <v>2013</v>
      </c>
      <c r="D144" s="451" t="n">
        <v>41320</v>
      </c>
      <c r="E144" s="450" t="s">
        <v>15965</v>
      </c>
      <c r="F144" s="450" t="s">
        <v>3865</v>
      </c>
      <c r="G144" s="450" t="s">
        <v>1174</v>
      </c>
      <c r="H144" s="450" t="s">
        <v>15864</v>
      </c>
      <c r="I144" s="451" t="n">
        <v>42625</v>
      </c>
      <c r="J144" s="452" t="n">
        <v>9</v>
      </c>
      <c r="K144" s="623" t="s">
        <v>50</v>
      </c>
      <c r="L144" s="450" t="s">
        <v>60</v>
      </c>
      <c r="M144" s="455" t="n">
        <f aca="false">I144-D144</f>
        <v>1305</v>
      </c>
    </row>
    <row r="145" customFormat="false" ht="12.75" hidden="false" customHeight="true" outlineLevel="0" collapsed="false">
      <c r="A145" s="456" t="n">
        <v>14416</v>
      </c>
      <c r="B145" s="458" t="s">
        <v>15966</v>
      </c>
      <c r="C145" s="458" t="n">
        <v>2014</v>
      </c>
      <c r="D145" s="459" t="n">
        <v>41991</v>
      </c>
      <c r="E145" s="458" t="s">
        <v>15967</v>
      </c>
      <c r="F145" s="458" t="s">
        <v>477</v>
      </c>
      <c r="G145" s="458" t="s">
        <v>1174</v>
      </c>
      <c r="H145" s="458" t="s">
        <v>12073</v>
      </c>
      <c r="I145" s="459" t="n">
        <v>42626</v>
      </c>
      <c r="J145" s="460" t="n">
        <v>9</v>
      </c>
      <c r="K145" s="620" t="s">
        <v>47</v>
      </c>
      <c r="L145" s="458" t="s">
        <v>58</v>
      </c>
      <c r="M145" s="463" t="n">
        <f aca="false">I145-D145</f>
        <v>635</v>
      </c>
    </row>
    <row r="146" customFormat="false" ht="12.75" hidden="false" customHeight="true" outlineLevel="0" collapsed="false">
      <c r="A146" s="449" t="n">
        <v>14516</v>
      </c>
      <c r="B146" s="450" t="s">
        <v>15968</v>
      </c>
      <c r="C146" s="450" t="n">
        <v>2014</v>
      </c>
      <c r="D146" s="451" t="n">
        <v>41905</v>
      </c>
      <c r="E146" s="450" t="s">
        <v>15969</v>
      </c>
      <c r="F146" s="450" t="s">
        <v>699</v>
      </c>
      <c r="G146" s="450" t="s">
        <v>1174</v>
      </c>
      <c r="H146" s="450" t="s">
        <v>1266</v>
      </c>
      <c r="I146" s="451" t="n">
        <v>42626</v>
      </c>
      <c r="J146" s="452" t="n">
        <v>9</v>
      </c>
      <c r="K146" s="619" t="s">
        <v>42</v>
      </c>
      <c r="L146" s="450" t="s">
        <v>60</v>
      </c>
      <c r="M146" s="455" t="n">
        <f aca="false">I146-D146</f>
        <v>721</v>
      </c>
    </row>
    <row r="147" customFormat="false" ht="12.75" hidden="false" customHeight="true" outlineLevel="0" collapsed="false">
      <c r="A147" s="456" t="n">
        <v>14616</v>
      </c>
      <c r="B147" s="458" t="s">
        <v>15970</v>
      </c>
      <c r="C147" s="458" t="n">
        <v>2014</v>
      </c>
      <c r="D147" s="459" t="n">
        <v>41891</v>
      </c>
      <c r="E147" s="458" t="s">
        <v>15971</v>
      </c>
      <c r="F147" s="458" t="s">
        <v>699</v>
      </c>
      <c r="G147" s="458" t="s">
        <v>1174</v>
      </c>
      <c r="H147" s="458" t="s">
        <v>706</v>
      </c>
      <c r="I147" s="459" t="n">
        <v>42633</v>
      </c>
      <c r="J147" s="460" t="n">
        <v>9</v>
      </c>
      <c r="K147" s="619" t="s">
        <v>42</v>
      </c>
      <c r="L147" s="458" t="s">
        <v>60</v>
      </c>
      <c r="M147" s="463" t="n">
        <f aca="false">I147-D147</f>
        <v>742</v>
      </c>
    </row>
    <row r="148" customFormat="false" ht="12.75" hidden="false" customHeight="true" outlineLevel="0" collapsed="false">
      <c r="A148" s="449" t="n">
        <v>14716</v>
      </c>
      <c r="B148" s="450" t="s">
        <v>15972</v>
      </c>
      <c r="C148" s="450" t="n">
        <v>2015</v>
      </c>
      <c r="D148" s="451" t="n">
        <v>42353</v>
      </c>
      <c r="E148" s="450" t="s">
        <v>15973</v>
      </c>
      <c r="F148" s="450" t="s">
        <v>902</v>
      </c>
      <c r="G148" s="450" t="s">
        <v>1174</v>
      </c>
      <c r="H148" s="450" t="s">
        <v>263</v>
      </c>
      <c r="I148" s="451" t="n">
        <v>42627</v>
      </c>
      <c r="J148" s="452" t="n">
        <v>9</v>
      </c>
      <c r="K148" s="620" t="s">
        <v>47</v>
      </c>
      <c r="L148" s="450" t="s">
        <v>58</v>
      </c>
      <c r="M148" s="455" t="n">
        <f aca="false">I148-D148</f>
        <v>274</v>
      </c>
    </row>
    <row r="149" customFormat="false" ht="12.75" hidden="false" customHeight="true" outlineLevel="0" collapsed="false">
      <c r="A149" s="456" t="n">
        <v>14816</v>
      </c>
      <c r="B149" s="458" t="s">
        <v>15974</v>
      </c>
      <c r="C149" s="458" t="n">
        <v>2014</v>
      </c>
      <c r="D149" s="459" t="n">
        <v>41977</v>
      </c>
      <c r="E149" s="458" t="s">
        <v>15975</v>
      </c>
      <c r="F149" s="458" t="s">
        <v>668</v>
      </c>
      <c r="G149" s="458" t="s">
        <v>441</v>
      </c>
      <c r="H149" s="458" t="s">
        <v>3339</v>
      </c>
      <c r="I149" s="459" t="n">
        <v>42627</v>
      </c>
      <c r="J149" s="460" t="n">
        <v>9</v>
      </c>
      <c r="K149" s="619" t="s">
        <v>42</v>
      </c>
      <c r="L149" s="458" t="s">
        <v>58</v>
      </c>
      <c r="M149" s="463" t="n">
        <f aca="false">I149-D149</f>
        <v>650</v>
      </c>
    </row>
    <row r="150" customFormat="false" ht="12.75" hidden="false" customHeight="true" outlineLevel="0" collapsed="false">
      <c r="A150" s="449" t="n">
        <v>14916</v>
      </c>
      <c r="B150" s="450" t="s">
        <v>15976</v>
      </c>
      <c r="C150" s="450" t="n">
        <v>2008</v>
      </c>
      <c r="D150" s="451" t="n">
        <v>39742</v>
      </c>
      <c r="E150" s="450" t="s">
        <v>15977</v>
      </c>
      <c r="F150" s="450" t="s">
        <v>3656</v>
      </c>
      <c r="G150" s="450" t="s">
        <v>441</v>
      </c>
      <c r="H150" s="450" t="s">
        <v>267</v>
      </c>
      <c r="I150" s="451" t="n">
        <v>42632</v>
      </c>
      <c r="J150" s="452" t="n">
        <v>9</v>
      </c>
      <c r="K150" s="623" t="s">
        <v>50</v>
      </c>
      <c r="L150" s="450" t="s">
        <v>60</v>
      </c>
      <c r="M150" s="455" t="n">
        <f aca="false">I150-D150</f>
        <v>2890</v>
      </c>
    </row>
    <row r="151" customFormat="false" ht="12.75" hidden="false" customHeight="true" outlineLevel="0" collapsed="false">
      <c r="A151" s="456" t="n">
        <v>15016</v>
      </c>
      <c r="B151" s="458" t="s">
        <v>15978</v>
      </c>
      <c r="C151" s="458" t="n">
        <v>2011</v>
      </c>
      <c r="D151" s="459" t="n">
        <v>40737</v>
      </c>
      <c r="E151" s="458" t="s">
        <v>15979</v>
      </c>
      <c r="F151" s="458" t="s">
        <v>379</v>
      </c>
      <c r="G151" s="458" t="s">
        <v>441</v>
      </c>
      <c r="H151" s="458" t="s">
        <v>1305</v>
      </c>
      <c r="I151" s="459" t="n">
        <v>42632</v>
      </c>
      <c r="J151" s="460" t="n">
        <v>9</v>
      </c>
      <c r="K151" s="623" t="s">
        <v>50</v>
      </c>
      <c r="L151" s="458" t="s">
        <v>58</v>
      </c>
      <c r="M151" s="463" t="n">
        <f aca="false">I151-D151</f>
        <v>1895</v>
      </c>
    </row>
    <row r="152" customFormat="false" ht="12.75" hidden="false" customHeight="true" outlineLevel="0" collapsed="false">
      <c r="A152" s="449" t="n">
        <v>15116</v>
      </c>
      <c r="B152" s="450" t="s">
        <v>15980</v>
      </c>
      <c r="C152" s="450" t="n">
        <v>2015</v>
      </c>
      <c r="D152" s="451" t="n">
        <v>42368</v>
      </c>
      <c r="E152" s="450" t="s">
        <v>14069</v>
      </c>
      <c r="F152" s="624" t="s">
        <v>10840</v>
      </c>
      <c r="G152" s="450" t="s">
        <v>130</v>
      </c>
      <c r="H152" s="450" t="s">
        <v>15917</v>
      </c>
      <c r="I152" s="451" t="n">
        <v>42639</v>
      </c>
      <c r="J152" s="452" t="n">
        <v>9</v>
      </c>
      <c r="K152" s="623" t="s">
        <v>50</v>
      </c>
      <c r="L152" s="450" t="s">
        <v>61</v>
      </c>
      <c r="M152" s="455" t="n">
        <f aca="false">I152-D152</f>
        <v>271</v>
      </c>
    </row>
    <row r="153" customFormat="false" ht="12.75" hidden="false" customHeight="true" outlineLevel="0" collapsed="false">
      <c r="A153" s="456" t="n">
        <v>15216</v>
      </c>
      <c r="B153" s="458" t="s">
        <v>15981</v>
      </c>
      <c r="C153" s="458" t="n">
        <v>2015</v>
      </c>
      <c r="D153" s="459" t="n">
        <v>42368</v>
      </c>
      <c r="E153" s="458" t="s">
        <v>14089</v>
      </c>
      <c r="F153" s="625" t="s">
        <v>14090</v>
      </c>
      <c r="G153" s="458" t="s">
        <v>130</v>
      </c>
      <c r="H153" s="458" t="s">
        <v>15917</v>
      </c>
      <c r="I153" s="459" t="n">
        <v>42632</v>
      </c>
      <c r="J153" s="460" t="n">
        <v>9</v>
      </c>
      <c r="K153" s="623" t="s">
        <v>50</v>
      </c>
      <c r="L153" s="458" t="s">
        <v>61</v>
      </c>
      <c r="M153" s="463" t="n">
        <f aca="false">I153-D153</f>
        <v>264</v>
      </c>
    </row>
    <row r="154" customFormat="false" ht="12.75" hidden="false" customHeight="true" outlineLevel="0" collapsed="false">
      <c r="A154" s="449" t="n">
        <v>15316</v>
      </c>
      <c r="B154" s="450" t="s">
        <v>15982</v>
      </c>
      <c r="C154" s="450" t="n">
        <v>2011</v>
      </c>
      <c r="D154" s="451" t="n">
        <v>40574</v>
      </c>
      <c r="E154" s="450" t="s">
        <v>15983</v>
      </c>
      <c r="F154" s="450" t="s">
        <v>14177</v>
      </c>
      <c r="G154" s="450" t="s">
        <v>441</v>
      </c>
      <c r="H154" s="450" t="s">
        <v>1567</v>
      </c>
      <c r="I154" s="451" t="n">
        <v>42639</v>
      </c>
      <c r="J154" s="452" t="n">
        <v>9</v>
      </c>
      <c r="K154" s="620" t="s">
        <v>47</v>
      </c>
      <c r="L154" s="450" t="s">
        <v>60</v>
      </c>
      <c r="M154" s="455" t="n">
        <f aca="false">I154-D154</f>
        <v>2065</v>
      </c>
    </row>
    <row r="155" customFormat="false" ht="12.75" hidden="false" customHeight="true" outlineLevel="0" collapsed="false">
      <c r="A155" s="456" t="n">
        <v>15416</v>
      </c>
      <c r="B155" s="458" t="s">
        <v>15984</v>
      </c>
      <c r="C155" s="458" t="n">
        <v>2013</v>
      </c>
      <c r="D155" s="459" t="n">
        <v>41306</v>
      </c>
      <c r="E155" s="458" t="s">
        <v>15985</v>
      </c>
      <c r="F155" s="458" t="s">
        <v>699</v>
      </c>
      <c r="G155" s="458" t="s">
        <v>1174</v>
      </c>
      <c r="H155" s="458" t="s">
        <v>310</v>
      </c>
      <c r="I155" s="459" t="n">
        <v>42647</v>
      </c>
      <c r="J155" s="460" t="n">
        <v>10</v>
      </c>
      <c r="K155" s="619" t="s">
        <v>42</v>
      </c>
      <c r="L155" s="458" t="s">
        <v>60</v>
      </c>
      <c r="M155" s="463" t="n">
        <f aca="false">I155-D155</f>
        <v>1341</v>
      </c>
    </row>
    <row r="156" customFormat="false" ht="12.75" hidden="false" customHeight="true" outlineLevel="0" collapsed="false">
      <c r="A156" s="449" t="n">
        <v>15516</v>
      </c>
      <c r="B156" s="450" t="s">
        <v>15986</v>
      </c>
      <c r="C156" s="450" t="n">
        <v>2010</v>
      </c>
      <c r="D156" s="451" t="n">
        <v>40410</v>
      </c>
      <c r="E156" s="450" t="s">
        <v>15987</v>
      </c>
      <c r="F156" s="450" t="s">
        <v>1156</v>
      </c>
      <c r="G156" s="450" t="s">
        <v>441</v>
      </c>
      <c r="H156" s="450" t="s">
        <v>2677</v>
      </c>
      <c r="I156" s="451" t="n">
        <v>42649</v>
      </c>
      <c r="J156" s="452" t="n">
        <v>10</v>
      </c>
      <c r="K156" s="619" t="s">
        <v>42</v>
      </c>
      <c r="L156" s="450" t="s">
        <v>58</v>
      </c>
      <c r="M156" s="455" t="n">
        <f aca="false">I156-D156</f>
        <v>2239</v>
      </c>
    </row>
    <row r="157" customFormat="false" ht="12.75" hidden="false" customHeight="true" outlineLevel="0" collapsed="false">
      <c r="A157" s="456" t="n">
        <v>15616</v>
      </c>
      <c r="B157" s="458" t="s">
        <v>15988</v>
      </c>
      <c r="C157" s="458" t="n">
        <v>2008</v>
      </c>
      <c r="D157" s="459" t="n">
        <v>39697</v>
      </c>
      <c r="E157" s="458" t="s">
        <v>15989</v>
      </c>
      <c r="F157" s="458" t="s">
        <v>823</v>
      </c>
      <c r="G157" s="458" t="s">
        <v>441</v>
      </c>
      <c r="H157" s="458" t="s">
        <v>267</v>
      </c>
      <c r="I157" s="459" t="n">
        <v>42649</v>
      </c>
      <c r="J157" s="460" t="n">
        <v>10</v>
      </c>
      <c r="K157" s="620" t="s">
        <v>47</v>
      </c>
      <c r="L157" s="458" t="s">
        <v>60</v>
      </c>
      <c r="M157" s="463" t="n">
        <f aca="false">I157-D157</f>
        <v>2952</v>
      </c>
    </row>
    <row r="158" customFormat="false" ht="12.75" hidden="false" customHeight="true" outlineLevel="0" collapsed="false">
      <c r="A158" s="449" t="n">
        <v>15716</v>
      </c>
      <c r="B158" s="450" t="s">
        <v>15990</v>
      </c>
      <c r="C158" s="450" t="n">
        <v>2010</v>
      </c>
      <c r="D158" s="451" t="n">
        <v>40353</v>
      </c>
      <c r="E158" s="450" t="s">
        <v>15991</v>
      </c>
      <c r="F158" s="450" t="s">
        <v>1527</v>
      </c>
      <c r="G158" s="450" t="s">
        <v>441</v>
      </c>
      <c r="H158" s="450" t="s">
        <v>15992</v>
      </c>
      <c r="I158" s="451" t="n">
        <v>42649</v>
      </c>
      <c r="J158" s="452" t="n">
        <v>10</v>
      </c>
      <c r="K158" s="619" t="s">
        <v>42</v>
      </c>
      <c r="L158" s="450" t="s">
        <v>58</v>
      </c>
      <c r="M158" s="455" t="n">
        <f aca="false">I158-D158</f>
        <v>2296</v>
      </c>
    </row>
    <row r="159" customFormat="false" ht="12.75" hidden="false" customHeight="true" outlineLevel="0" collapsed="false">
      <c r="A159" s="456" t="n">
        <v>15816</v>
      </c>
      <c r="B159" s="458" t="s">
        <v>15993</v>
      </c>
      <c r="C159" s="458" t="n">
        <v>2010</v>
      </c>
      <c r="D159" s="459" t="n">
        <v>40449</v>
      </c>
      <c r="E159" s="458" t="s">
        <v>15994</v>
      </c>
      <c r="F159" s="458" t="s">
        <v>14177</v>
      </c>
      <c r="G159" s="458" t="s">
        <v>441</v>
      </c>
      <c r="H159" s="458" t="s">
        <v>1305</v>
      </c>
      <c r="I159" s="459" t="n">
        <v>42649</v>
      </c>
      <c r="J159" s="460" t="n">
        <v>10</v>
      </c>
      <c r="K159" s="620" t="s">
        <v>47</v>
      </c>
      <c r="L159" s="458" t="s">
        <v>60</v>
      </c>
      <c r="M159" s="463" t="n">
        <f aca="false">I159-D159</f>
        <v>2200</v>
      </c>
    </row>
    <row r="160" customFormat="false" ht="12.75" hidden="false" customHeight="true" outlineLevel="0" collapsed="false">
      <c r="A160" s="449" t="n">
        <v>15916</v>
      </c>
      <c r="B160" s="450" t="s">
        <v>15995</v>
      </c>
      <c r="C160" s="450" t="n">
        <v>2012</v>
      </c>
      <c r="D160" s="451" t="n">
        <v>41124</v>
      </c>
      <c r="E160" s="450" t="s">
        <v>15996</v>
      </c>
      <c r="F160" s="450" t="s">
        <v>1609</v>
      </c>
      <c r="G160" s="450" t="s">
        <v>1174</v>
      </c>
      <c r="H160" s="450" t="s">
        <v>119</v>
      </c>
      <c r="I160" s="451" t="n">
        <v>42649</v>
      </c>
      <c r="J160" s="452" t="n">
        <v>10</v>
      </c>
      <c r="K160" s="620" t="s">
        <v>47</v>
      </c>
      <c r="L160" s="450" t="s">
        <v>57</v>
      </c>
      <c r="M160" s="455" t="n">
        <f aca="false">I160-D160</f>
        <v>1525</v>
      </c>
    </row>
    <row r="161" customFormat="false" ht="12.75" hidden="false" customHeight="true" outlineLevel="0" collapsed="false">
      <c r="A161" s="456" t="n">
        <v>16016</v>
      </c>
      <c r="B161" s="458" t="s">
        <v>15997</v>
      </c>
      <c r="C161" s="458" t="n">
        <v>2011</v>
      </c>
      <c r="D161" s="459" t="n">
        <v>40585</v>
      </c>
      <c r="E161" s="458" t="s">
        <v>15998</v>
      </c>
      <c r="F161" s="458" t="s">
        <v>823</v>
      </c>
      <c r="G161" s="458" t="s">
        <v>1174</v>
      </c>
      <c r="H161" s="458" t="s">
        <v>2654</v>
      </c>
      <c r="I161" s="459" t="n">
        <v>42649</v>
      </c>
      <c r="J161" s="460" t="n">
        <v>10</v>
      </c>
      <c r="K161" s="620" t="s">
        <v>47</v>
      </c>
      <c r="L161" s="458" t="s">
        <v>58</v>
      </c>
      <c r="M161" s="463" t="n">
        <f aca="false">I161-D161</f>
        <v>2064</v>
      </c>
    </row>
    <row r="162" customFormat="false" ht="12.75" hidden="false" customHeight="true" outlineLevel="0" collapsed="false">
      <c r="A162" s="449" t="n">
        <v>16116</v>
      </c>
      <c r="B162" s="450" t="s">
        <v>15999</v>
      </c>
      <c r="C162" s="450" t="n">
        <v>2013</v>
      </c>
      <c r="D162" s="451" t="n">
        <v>41396</v>
      </c>
      <c r="E162" s="450" t="s">
        <v>16000</v>
      </c>
      <c r="F162" s="450" t="s">
        <v>477</v>
      </c>
      <c r="G162" s="450" t="s">
        <v>1174</v>
      </c>
      <c r="H162" s="450" t="s">
        <v>354</v>
      </c>
      <c r="I162" s="451" t="n">
        <v>42653</v>
      </c>
      <c r="J162" s="452" t="n">
        <v>10</v>
      </c>
      <c r="K162" s="620" t="s">
        <v>47</v>
      </c>
      <c r="L162" s="450" t="s">
        <v>58</v>
      </c>
      <c r="M162" s="455" t="n">
        <f aca="false">I162-D162</f>
        <v>1257</v>
      </c>
    </row>
    <row r="163" customFormat="false" ht="12.75" hidden="false" customHeight="true" outlineLevel="0" collapsed="false">
      <c r="A163" s="456" t="n">
        <v>16216</v>
      </c>
      <c r="B163" s="458" t="s">
        <v>16001</v>
      </c>
      <c r="C163" s="458" t="n">
        <v>2013</v>
      </c>
      <c r="D163" s="459" t="n">
        <v>41506</v>
      </c>
      <c r="E163" s="458" t="s">
        <v>16002</v>
      </c>
      <c r="F163" s="458" t="s">
        <v>180</v>
      </c>
      <c r="G163" s="458" t="s">
        <v>1174</v>
      </c>
      <c r="H163" s="458" t="s">
        <v>184</v>
      </c>
      <c r="I163" s="459" t="n">
        <v>42653</v>
      </c>
      <c r="J163" s="460" t="n">
        <v>10</v>
      </c>
      <c r="K163" s="620" t="s">
        <v>47</v>
      </c>
      <c r="L163" s="458" t="s">
        <v>58</v>
      </c>
      <c r="M163" s="463" t="n">
        <f aca="false">I163-D163</f>
        <v>1147</v>
      </c>
    </row>
    <row r="164" customFormat="false" ht="12.75" hidden="false" customHeight="true" outlineLevel="0" collapsed="false">
      <c r="A164" s="449" t="n">
        <v>16316</v>
      </c>
      <c r="B164" s="450" t="s">
        <v>16003</v>
      </c>
      <c r="C164" s="450" t="n">
        <v>2013</v>
      </c>
      <c r="D164" s="451" t="n">
        <v>41564</v>
      </c>
      <c r="E164" s="450" t="s">
        <v>16004</v>
      </c>
      <c r="F164" s="450" t="s">
        <v>180</v>
      </c>
      <c r="G164" s="450" t="s">
        <v>1174</v>
      </c>
      <c r="H164" s="450" t="s">
        <v>513</v>
      </c>
      <c r="I164" s="451" t="n">
        <v>42653</v>
      </c>
      <c r="J164" s="452" t="n">
        <v>10</v>
      </c>
      <c r="K164" s="620" t="s">
        <v>47</v>
      </c>
      <c r="L164" s="450" t="s">
        <v>58</v>
      </c>
      <c r="M164" s="455" t="n">
        <f aca="false">I164-D164</f>
        <v>1089</v>
      </c>
    </row>
    <row r="165" customFormat="false" ht="12.75" hidden="false" customHeight="true" outlineLevel="0" collapsed="false">
      <c r="A165" s="456" t="n">
        <v>16416</v>
      </c>
      <c r="B165" s="458" t="s">
        <v>16005</v>
      </c>
      <c r="C165" s="458" t="n">
        <v>2013</v>
      </c>
      <c r="D165" s="459" t="n">
        <v>41634</v>
      </c>
      <c r="E165" s="458" t="s">
        <v>16006</v>
      </c>
      <c r="F165" s="458" t="s">
        <v>15780</v>
      </c>
      <c r="G165" s="458" t="s">
        <v>144</v>
      </c>
      <c r="H165" s="458" t="s">
        <v>1791</v>
      </c>
      <c r="I165" s="459" t="n">
        <v>42653</v>
      </c>
      <c r="J165" s="460" t="n">
        <v>10</v>
      </c>
      <c r="K165" s="619" t="s">
        <v>42</v>
      </c>
      <c r="L165" s="458" t="s">
        <v>58</v>
      </c>
      <c r="M165" s="463" t="n">
        <f aca="false">I165-D165</f>
        <v>1019</v>
      </c>
    </row>
    <row r="166" customFormat="false" ht="12.75" hidden="false" customHeight="true" outlineLevel="0" collapsed="false">
      <c r="A166" s="449" t="n">
        <v>16516</v>
      </c>
      <c r="B166" s="450" t="s">
        <v>16007</v>
      </c>
      <c r="C166" s="450" t="n">
        <v>2010</v>
      </c>
      <c r="D166" s="451" t="n">
        <v>40331</v>
      </c>
      <c r="E166" s="450" t="s">
        <v>16008</v>
      </c>
      <c r="F166" s="450" t="s">
        <v>14177</v>
      </c>
      <c r="G166" s="450" t="s">
        <v>441</v>
      </c>
      <c r="H166" s="450" t="s">
        <v>1305</v>
      </c>
      <c r="I166" s="451" t="n">
        <v>42654</v>
      </c>
      <c r="J166" s="452" t="n">
        <v>10</v>
      </c>
      <c r="K166" s="620" t="s">
        <v>47</v>
      </c>
      <c r="L166" s="450" t="s">
        <v>60</v>
      </c>
      <c r="M166" s="455" t="n">
        <f aca="false">I166-D166</f>
        <v>2323</v>
      </c>
    </row>
    <row r="167" customFormat="false" ht="12.75" hidden="false" customHeight="true" outlineLevel="0" collapsed="false">
      <c r="A167" s="456" t="n">
        <v>16616</v>
      </c>
      <c r="B167" s="458" t="s">
        <v>16009</v>
      </c>
      <c r="C167" s="458" t="n">
        <v>2012</v>
      </c>
      <c r="D167" s="459" t="n">
        <v>41141</v>
      </c>
      <c r="E167" s="458" t="s">
        <v>16010</v>
      </c>
      <c r="F167" s="458" t="s">
        <v>689</v>
      </c>
      <c r="G167" s="458" t="s">
        <v>1174</v>
      </c>
      <c r="H167" s="458" t="s">
        <v>192</v>
      </c>
      <c r="I167" s="459" t="n">
        <v>42654</v>
      </c>
      <c r="J167" s="460" t="n">
        <v>10</v>
      </c>
      <c r="K167" s="619" t="s">
        <v>42</v>
      </c>
      <c r="L167" s="458" t="s">
        <v>60</v>
      </c>
      <c r="M167" s="463" t="n">
        <f aca="false">I167-D167</f>
        <v>1513</v>
      </c>
    </row>
    <row r="168" customFormat="false" ht="12.75" hidden="false" customHeight="true" outlineLevel="0" collapsed="false">
      <c r="A168" s="449" t="n">
        <v>16716</v>
      </c>
      <c r="B168" s="450" t="s">
        <v>16011</v>
      </c>
      <c r="C168" s="450" t="n">
        <v>2013</v>
      </c>
      <c r="D168" s="451" t="n">
        <v>41486</v>
      </c>
      <c r="E168" s="450" t="s">
        <v>16012</v>
      </c>
      <c r="F168" s="450" t="s">
        <v>1609</v>
      </c>
      <c r="G168" s="450" t="s">
        <v>1174</v>
      </c>
      <c r="H168" s="450" t="s">
        <v>16013</v>
      </c>
      <c r="I168" s="451" t="n">
        <v>42654</v>
      </c>
      <c r="J168" s="452" t="n">
        <v>10</v>
      </c>
      <c r="K168" s="620" t="s">
        <v>47</v>
      </c>
      <c r="L168" s="450" t="s">
        <v>57</v>
      </c>
      <c r="M168" s="455" t="n">
        <f aca="false">I168-D168</f>
        <v>1168</v>
      </c>
    </row>
    <row r="169" customFormat="false" ht="12.75" hidden="false" customHeight="true" outlineLevel="0" collapsed="false">
      <c r="A169" s="456" t="n">
        <v>16816</v>
      </c>
      <c r="B169" s="458" t="s">
        <v>16014</v>
      </c>
      <c r="C169" s="458" t="n">
        <v>2013</v>
      </c>
      <c r="D169" s="459" t="n">
        <v>41618</v>
      </c>
      <c r="E169" s="458" t="s">
        <v>16015</v>
      </c>
      <c r="F169" s="458" t="s">
        <v>1609</v>
      </c>
      <c r="G169" s="458" t="s">
        <v>1174</v>
      </c>
      <c r="H169" s="458" t="s">
        <v>12073</v>
      </c>
      <c r="I169" s="459" t="n">
        <v>42654</v>
      </c>
      <c r="J169" s="460" t="n">
        <v>10</v>
      </c>
      <c r="K169" s="620" t="s">
        <v>47</v>
      </c>
      <c r="L169" s="458" t="s">
        <v>57</v>
      </c>
      <c r="M169" s="463" t="n">
        <f aca="false">I169-D169</f>
        <v>1036</v>
      </c>
    </row>
    <row r="170" customFormat="false" ht="12.75" hidden="false" customHeight="true" outlineLevel="0" collapsed="false">
      <c r="A170" s="449" t="n">
        <v>16916</v>
      </c>
      <c r="B170" s="450" t="s">
        <v>16016</v>
      </c>
      <c r="C170" s="450" t="n">
        <v>2015</v>
      </c>
      <c r="D170" s="451" t="n">
        <v>42293</v>
      </c>
      <c r="E170" s="450" t="s">
        <v>16017</v>
      </c>
      <c r="F170" s="624" t="s">
        <v>6303</v>
      </c>
      <c r="G170" s="450" t="s">
        <v>130</v>
      </c>
      <c r="H170" s="450" t="s">
        <v>6426</v>
      </c>
      <c r="I170" s="451" t="n">
        <v>42656</v>
      </c>
      <c r="J170" s="452" t="n">
        <v>10</v>
      </c>
      <c r="K170" s="623" t="s">
        <v>50</v>
      </c>
      <c r="L170" s="450" t="s">
        <v>61</v>
      </c>
      <c r="M170" s="455" t="n">
        <f aca="false">I170-D170</f>
        <v>363</v>
      </c>
    </row>
    <row r="171" customFormat="false" ht="12.75" hidden="false" customHeight="true" outlineLevel="0" collapsed="false">
      <c r="A171" s="456" t="n">
        <v>17016</v>
      </c>
      <c r="B171" s="458" t="s">
        <v>16018</v>
      </c>
      <c r="C171" s="458" t="n">
        <v>2015</v>
      </c>
      <c r="D171" s="459" t="n">
        <v>42320</v>
      </c>
      <c r="E171" s="458" t="s">
        <v>16019</v>
      </c>
      <c r="F171" s="625" t="s">
        <v>288</v>
      </c>
      <c r="G171" s="458" t="s">
        <v>130</v>
      </c>
      <c r="H171" s="458" t="s">
        <v>16020</v>
      </c>
      <c r="I171" s="459" t="n">
        <v>42660</v>
      </c>
      <c r="J171" s="460" t="n">
        <v>10</v>
      </c>
      <c r="K171" s="623" t="s">
        <v>2407</v>
      </c>
      <c r="L171" s="458" t="s">
        <v>61</v>
      </c>
      <c r="M171" s="463" t="n">
        <f aca="false">I171-D171</f>
        <v>340</v>
      </c>
    </row>
    <row r="172" customFormat="false" ht="12.75" hidden="false" customHeight="true" outlineLevel="0" collapsed="false">
      <c r="A172" s="449" t="n">
        <v>17116</v>
      </c>
      <c r="B172" s="450" t="s">
        <v>16021</v>
      </c>
      <c r="C172" s="450" t="n">
        <v>2014</v>
      </c>
      <c r="D172" s="451" t="n">
        <v>41808</v>
      </c>
      <c r="E172" s="450" t="s">
        <v>16022</v>
      </c>
      <c r="F172" s="450" t="s">
        <v>902</v>
      </c>
      <c r="G172" s="450" t="s">
        <v>1174</v>
      </c>
      <c r="H172" s="450" t="s">
        <v>2677</v>
      </c>
      <c r="I172" s="451" t="n">
        <v>42668</v>
      </c>
      <c r="J172" s="452" t="n">
        <v>10</v>
      </c>
      <c r="K172" s="620" t="s">
        <v>47</v>
      </c>
      <c r="L172" s="450" t="s">
        <v>58</v>
      </c>
      <c r="M172" s="455" t="n">
        <f aca="false">I172-D172</f>
        <v>860</v>
      </c>
    </row>
    <row r="173" customFormat="false" ht="12.75" hidden="false" customHeight="true" outlineLevel="0" collapsed="false">
      <c r="A173" s="456" t="n">
        <v>17216</v>
      </c>
      <c r="B173" s="458" t="s">
        <v>16023</v>
      </c>
      <c r="C173" s="458" t="n">
        <v>2014</v>
      </c>
      <c r="D173" s="459" t="n">
        <v>41696</v>
      </c>
      <c r="E173" s="458" t="s">
        <v>16024</v>
      </c>
      <c r="F173" s="458" t="s">
        <v>1609</v>
      </c>
      <c r="G173" s="458" t="s">
        <v>1174</v>
      </c>
      <c r="H173" s="458" t="s">
        <v>267</v>
      </c>
      <c r="I173" s="459" t="n">
        <v>42656</v>
      </c>
      <c r="J173" s="460" t="n">
        <v>10</v>
      </c>
      <c r="K173" s="620" t="s">
        <v>47</v>
      </c>
      <c r="L173" s="458" t="s">
        <v>57</v>
      </c>
      <c r="M173" s="463" t="n">
        <f aca="false">I173-D173</f>
        <v>960</v>
      </c>
    </row>
    <row r="174" customFormat="false" ht="12.75" hidden="false" customHeight="true" outlineLevel="0" collapsed="false">
      <c r="A174" s="449" t="n">
        <v>17316</v>
      </c>
      <c r="B174" s="450" t="s">
        <v>16025</v>
      </c>
      <c r="C174" s="450" t="n">
        <v>2014</v>
      </c>
      <c r="D174" s="451" t="n">
        <v>41684</v>
      </c>
      <c r="E174" s="450" t="s">
        <v>16026</v>
      </c>
      <c r="F174" s="450" t="s">
        <v>180</v>
      </c>
      <c r="G174" s="450" t="s">
        <v>1174</v>
      </c>
      <c r="H174" s="450" t="s">
        <v>1266</v>
      </c>
      <c r="I174" s="451" t="n">
        <v>42656</v>
      </c>
      <c r="J174" s="452" t="n">
        <v>10</v>
      </c>
      <c r="K174" s="620" t="s">
        <v>47</v>
      </c>
      <c r="L174" s="450" t="s">
        <v>58</v>
      </c>
      <c r="M174" s="455" t="n">
        <f aca="false">I174-D174</f>
        <v>972</v>
      </c>
    </row>
    <row r="175" customFormat="false" ht="12.75" hidden="false" customHeight="true" outlineLevel="0" collapsed="false">
      <c r="A175" s="456" t="n">
        <v>17416</v>
      </c>
      <c r="B175" s="458" t="s">
        <v>16027</v>
      </c>
      <c r="C175" s="458" t="n">
        <v>2013</v>
      </c>
      <c r="D175" s="459" t="n">
        <v>41508</v>
      </c>
      <c r="E175" s="458" t="s">
        <v>16028</v>
      </c>
      <c r="F175" s="458" t="s">
        <v>689</v>
      </c>
      <c r="G175" s="458" t="s">
        <v>1174</v>
      </c>
      <c r="H175" s="458" t="s">
        <v>2677</v>
      </c>
      <c r="I175" s="459" t="n">
        <v>42663</v>
      </c>
      <c r="J175" s="460" t="n">
        <v>10</v>
      </c>
      <c r="K175" s="619" t="s">
        <v>42</v>
      </c>
      <c r="L175" s="458" t="s">
        <v>60</v>
      </c>
      <c r="M175" s="463" t="n">
        <f aca="false">I175-D175</f>
        <v>1155</v>
      </c>
    </row>
    <row r="176" customFormat="false" ht="12.75" hidden="false" customHeight="true" outlineLevel="0" collapsed="false">
      <c r="A176" s="449" t="n">
        <v>17516</v>
      </c>
      <c r="B176" s="450" t="s">
        <v>16029</v>
      </c>
      <c r="C176" s="450" t="n">
        <v>2013</v>
      </c>
      <c r="D176" s="451" t="n">
        <v>41523</v>
      </c>
      <c r="E176" s="450" t="s">
        <v>16030</v>
      </c>
      <c r="F176" s="450" t="s">
        <v>689</v>
      </c>
      <c r="G176" s="450" t="s">
        <v>1174</v>
      </c>
      <c r="H176" s="450" t="s">
        <v>184</v>
      </c>
      <c r="I176" s="451" t="n">
        <v>42663</v>
      </c>
      <c r="J176" s="452" t="n">
        <v>10</v>
      </c>
      <c r="K176" s="619" t="s">
        <v>42</v>
      </c>
      <c r="L176" s="450" t="s">
        <v>60</v>
      </c>
      <c r="M176" s="455" t="n">
        <f aca="false">I176-D176</f>
        <v>1140</v>
      </c>
    </row>
    <row r="177" customFormat="false" ht="12.75" hidden="false" customHeight="true" outlineLevel="0" collapsed="false">
      <c r="A177" s="456" t="n">
        <v>17616</v>
      </c>
      <c r="B177" s="458" t="s">
        <v>16031</v>
      </c>
      <c r="C177" s="458" t="n">
        <v>2012</v>
      </c>
      <c r="D177" s="459" t="n">
        <v>41241</v>
      </c>
      <c r="E177" s="458" t="s">
        <v>16032</v>
      </c>
      <c r="F177" s="458" t="s">
        <v>689</v>
      </c>
      <c r="G177" s="458" t="s">
        <v>1174</v>
      </c>
      <c r="H177" s="458" t="s">
        <v>354</v>
      </c>
      <c r="I177" s="459" t="n">
        <v>42663</v>
      </c>
      <c r="J177" s="460" t="n">
        <v>10</v>
      </c>
      <c r="K177" s="619" t="s">
        <v>42</v>
      </c>
      <c r="L177" s="458" t="s">
        <v>60</v>
      </c>
      <c r="M177" s="463" t="n">
        <f aca="false">I177-D177</f>
        <v>1422</v>
      </c>
    </row>
    <row r="178" customFormat="false" ht="12.75" hidden="false" customHeight="true" outlineLevel="0" collapsed="false">
      <c r="A178" s="449" t="n">
        <v>17716</v>
      </c>
      <c r="B178" s="450" t="s">
        <v>16033</v>
      </c>
      <c r="C178" s="450" t="n">
        <v>2014</v>
      </c>
      <c r="D178" s="451" t="n">
        <v>41823</v>
      </c>
      <c r="E178" s="450" t="s">
        <v>16034</v>
      </c>
      <c r="F178" s="450" t="s">
        <v>689</v>
      </c>
      <c r="G178" s="450" t="s">
        <v>1174</v>
      </c>
      <c r="H178" s="450" t="s">
        <v>267</v>
      </c>
      <c r="I178" s="451" t="n">
        <v>42663</v>
      </c>
      <c r="J178" s="452" t="n">
        <v>10</v>
      </c>
      <c r="K178" s="619" t="s">
        <v>42</v>
      </c>
      <c r="L178" s="450" t="s">
        <v>60</v>
      </c>
      <c r="M178" s="455" t="n">
        <f aca="false">I178-D178</f>
        <v>840</v>
      </c>
    </row>
    <row r="179" customFormat="false" ht="12.75" hidden="false" customHeight="true" outlineLevel="0" collapsed="false">
      <c r="A179" s="456" t="n">
        <v>17816</v>
      </c>
      <c r="B179" s="458" t="s">
        <v>16035</v>
      </c>
      <c r="C179" s="458" t="n">
        <v>2011</v>
      </c>
      <c r="D179" s="459" t="n">
        <v>40583</v>
      </c>
      <c r="E179" s="458" t="s">
        <v>16036</v>
      </c>
      <c r="F179" s="458" t="s">
        <v>123</v>
      </c>
      <c r="G179" s="458" t="s">
        <v>144</v>
      </c>
      <c r="H179" s="458" t="s">
        <v>1791</v>
      </c>
      <c r="I179" s="459" t="n">
        <v>42668</v>
      </c>
      <c r="J179" s="460" t="n">
        <v>10</v>
      </c>
      <c r="K179" s="622" t="s">
        <v>45</v>
      </c>
      <c r="L179" s="458" t="s">
        <v>60</v>
      </c>
      <c r="M179" s="463" t="n">
        <f aca="false">I179-D179</f>
        <v>2085</v>
      </c>
    </row>
    <row r="180" customFormat="false" ht="12.75" hidden="false" customHeight="true" outlineLevel="0" collapsed="false">
      <c r="A180" s="449" t="n">
        <v>17916</v>
      </c>
      <c r="B180" s="450" t="s">
        <v>16037</v>
      </c>
      <c r="C180" s="450" t="n">
        <v>2014</v>
      </c>
      <c r="D180" s="451" t="n">
        <v>41894</v>
      </c>
      <c r="E180" s="450" t="s">
        <v>16038</v>
      </c>
      <c r="F180" s="450" t="s">
        <v>477</v>
      </c>
      <c r="G180" s="450" t="s">
        <v>1174</v>
      </c>
      <c r="H180" s="450" t="s">
        <v>1501</v>
      </c>
      <c r="I180" s="451" t="n">
        <v>42668</v>
      </c>
      <c r="J180" s="452" t="n">
        <v>10</v>
      </c>
      <c r="K180" s="622" t="s">
        <v>45</v>
      </c>
      <c r="L180" s="450" t="s">
        <v>58</v>
      </c>
      <c r="M180" s="455" t="n">
        <f aca="false">I180-D180</f>
        <v>774</v>
      </c>
    </row>
    <row r="181" customFormat="false" ht="12.75" hidden="false" customHeight="true" outlineLevel="0" collapsed="false">
      <c r="A181" s="456" t="n">
        <v>18016</v>
      </c>
      <c r="B181" s="458" t="s">
        <v>16039</v>
      </c>
      <c r="C181" s="458" t="n">
        <v>2011</v>
      </c>
      <c r="D181" s="459" t="n">
        <v>40702</v>
      </c>
      <c r="E181" s="458" t="s">
        <v>16040</v>
      </c>
      <c r="F181" s="458" t="s">
        <v>569</v>
      </c>
      <c r="G181" s="458" t="s">
        <v>1174</v>
      </c>
      <c r="H181" s="458" t="s">
        <v>1567</v>
      </c>
      <c r="I181" s="459" t="n">
        <v>42668</v>
      </c>
      <c r="J181" s="460" t="n">
        <v>10</v>
      </c>
      <c r="K181" s="620" t="s">
        <v>47</v>
      </c>
      <c r="L181" s="458" t="s">
        <v>58</v>
      </c>
      <c r="M181" s="463" t="n">
        <f aca="false">I181-D181</f>
        <v>1966</v>
      </c>
    </row>
    <row r="182" customFormat="false" ht="12.75" hidden="false" customHeight="true" outlineLevel="0" collapsed="false">
      <c r="A182" s="449" t="n">
        <v>18116</v>
      </c>
      <c r="B182" s="450" t="s">
        <v>16041</v>
      </c>
      <c r="C182" s="450" t="n">
        <v>2012</v>
      </c>
      <c r="D182" s="451" t="n">
        <v>41012</v>
      </c>
      <c r="E182" s="450" t="s">
        <v>16042</v>
      </c>
      <c r="F182" s="450" t="s">
        <v>823</v>
      </c>
      <c r="G182" s="450" t="s">
        <v>1174</v>
      </c>
      <c r="H182" s="450" t="s">
        <v>1567</v>
      </c>
      <c r="I182" s="451" t="n">
        <v>42668</v>
      </c>
      <c r="J182" s="452" t="n">
        <v>10</v>
      </c>
      <c r="K182" s="620" t="s">
        <v>47</v>
      </c>
      <c r="L182" s="450" t="s">
        <v>58</v>
      </c>
      <c r="M182" s="455" t="n">
        <f aca="false">I182-D182</f>
        <v>1656</v>
      </c>
    </row>
    <row r="183" customFormat="false" ht="12.75" hidden="false" customHeight="true" outlineLevel="0" collapsed="false">
      <c r="A183" s="456" t="n">
        <v>18216</v>
      </c>
      <c r="B183" s="458" t="s">
        <v>16043</v>
      </c>
      <c r="C183" s="458" t="n">
        <v>2012</v>
      </c>
      <c r="D183" s="459" t="n">
        <v>41219</v>
      </c>
      <c r="E183" s="458" t="s">
        <v>16044</v>
      </c>
      <c r="F183" s="458" t="s">
        <v>902</v>
      </c>
      <c r="G183" s="458" t="s">
        <v>1174</v>
      </c>
      <c r="H183" s="458" t="s">
        <v>1567</v>
      </c>
      <c r="I183" s="459" t="n">
        <v>42668</v>
      </c>
      <c r="J183" s="460" t="n">
        <v>10</v>
      </c>
      <c r="K183" s="620" t="s">
        <v>47</v>
      </c>
      <c r="L183" s="458" t="s">
        <v>58</v>
      </c>
      <c r="M183" s="463" t="n">
        <f aca="false">I183-D183</f>
        <v>1449</v>
      </c>
    </row>
    <row r="184" customFormat="false" ht="12.75" hidden="false" customHeight="true" outlineLevel="0" collapsed="false">
      <c r="A184" s="449" t="n">
        <v>18316</v>
      </c>
      <c r="B184" s="450" t="s">
        <v>16045</v>
      </c>
      <c r="C184" s="450" t="n">
        <v>2015</v>
      </c>
      <c r="D184" s="451" t="n">
        <v>42293</v>
      </c>
      <c r="E184" s="450" t="s">
        <v>16046</v>
      </c>
      <c r="F184" s="624" t="s">
        <v>6315</v>
      </c>
      <c r="G184" s="450" t="s">
        <v>130</v>
      </c>
      <c r="H184" s="450" t="s">
        <v>6426</v>
      </c>
      <c r="I184" s="451" t="n">
        <v>42669</v>
      </c>
      <c r="J184" s="452" t="n">
        <v>10</v>
      </c>
      <c r="K184" s="623" t="s">
        <v>50</v>
      </c>
      <c r="L184" s="450" t="s">
        <v>61</v>
      </c>
      <c r="M184" s="455" t="n">
        <f aca="false">I184-D184</f>
        <v>376</v>
      </c>
    </row>
    <row r="185" customFormat="false" ht="12.75" hidden="false" customHeight="true" outlineLevel="0" collapsed="false">
      <c r="A185" s="456" t="n">
        <v>18416</v>
      </c>
      <c r="B185" s="458" t="s">
        <v>16047</v>
      </c>
      <c r="C185" s="458" t="n">
        <v>2014</v>
      </c>
      <c r="D185" s="459" t="n">
        <v>41884</v>
      </c>
      <c r="E185" s="458" t="s">
        <v>16048</v>
      </c>
      <c r="F185" s="458" t="s">
        <v>16049</v>
      </c>
      <c r="G185" s="458" t="s">
        <v>441</v>
      </c>
      <c r="H185" s="458" t="s">
        <v>223</v>
      </c>
      <c r="I185" s="459" t="n">
        <v>42675</v>
      </c>
      <c r="J185" s="460" t="n">
        <v>11</v>
      </c>
      <c r="K185" s="620" t="s">
        <v>47</v>
      </c>
      <c r="L185" s="458" t="s">
        <v>60</v>
      </c>
      <c r="M185" s="463" t="n">
        <f aca="false">I185-D185</f>
        <v>791</v>
      </c>
    </row>
    <row r="186" customFormat="false" ht="12.75" hidden="false" customHeight="true" outlineLevel="0" collapsed="false">
      <c r="A186" s="449" t="n">
        <v>18516</v>
      </c>
      <c r="B186" s="450" t="s">
        <v>16050</v>
      </c>
      <c r="C186" s="450" t="n">
        <v>2013</v>
      </c>
      <c r="D186" s="451" t="n">
        <v>41324</v>
      </c>
      <c r="E186" s="450" t="s">
        <v>16051</v>
      </c>
      <c r="F186" s="450" t="s">
        <v>1500</v>
      </c>
      <c r="G186" s="450" t="s">
        <v>1174</v>
      </c>
      <c r="H186" s="450" t="s">
        <v>1567</v>
      </c>
      <c r="I186" s="451" t="n">
        <v>42675</v>
      </c>
      <c r="J186" s="452" t="n">
        <v>11</v>
      </c>
      <c r="K186" s="623" t="s">
        <v>50</v>
      </c>
      <c r="L186" s="450" t="s">
        <v>60</v>
      </c>
      <c r="M186" s="455" t="n">
        <f aca="false">I186-D186</f>
        <v>1351</v>
      </c>
    </row>
    <row r="187" customFormat="false" ht="12.75" hidden="false" customHeight="true" outlineLevel="0" collapsed="false">
      <c r="A187" s="456" t="n">
        <v>18616</v>
      </c>
      <c r="B187" s="458" t="s">
        <v>16052</v>
      </c>
      <c r="C187" s="458" t="n">
        <v>2014</v>
      </c>
      <c r="D187" s="459" t="n">
        <v>41978</v>
      </c>
      <c r="E187" s="458" t="s">
        <v>16053</v>
      </c>
      <c r="F187" s="458" t="s">
        <v>238</v>
      </c>
      <c r="G187" s="458" t="s">
        <v>1174</v>
      </c>
      <c r="H187" s="458" t="s">
        <v>373</v>
      </c>
      <c r="I187" s="459" t="n">
        <v>42677</v>
      </c>
      <c r="J187" s="460" t="n">
        <v>11</v>
      </c>
      <c r="K187" s="620" t="s">
        <v>47</v>
      </c>
      <c r="L187" s="458" t="s">
        <v>58</v>
      </c>
      <c r="M187" s="463" t="n">
        <f aca="false">I187-D187</f>
        <v>699</v>
      </c>
    </row>
    <row r="188" customFormat="false" ht="12.75" hidden="false" customHeight="true" outlineLevel="0" collapsed="false">
      <c r="A188" s="449" t="n">
        <v>18716</v>
      </c>
      <c r="B188" s="450" t="s">
        <v>16054</v>
      </c>
      <c r="C188" s="450" t="n">
        <v>2009</v>
      </c>
      <c r="D188" s="451" t="n">
        <v>39994</v>
      </c>
      <c r="E188" s="450" t="s">
        <v>16055</v>
      </c>
      <c r="F188" s="450" t="s">
        <v>3865</v>
      </c>
      <c r="G188" s="450" t="s">
        <v>1174</v>
      </c>
      <c r="H188" s="450" t="s">
        <v>373</v>
      </c>
      <c r="I188" s="451" t="n">
        <v>42677</v>
      </c>
      <c r="J188" s="452" t="n">
        <v>11</v>
      </c>
      <c r="K188" s="623" t="s">
        <v>50</v>
      </c>
      <c r="L188" s="450" t="s">
        <v>60</v>
      </c>
      <c r="M188" s="455" t="n">
        <f aca="false">I188-D188</f>
        <v>2683</v>
      </c>
    </row>
    <row r="189" customFormat="false" ht="12.75" hidden="false" customHeight="true" outlineLevel="0" collapsed="false">
      <c r="A189" s="456" t="n">
        <v>18816</v>
      </c>
      <c r="B189" s="458" t="s">
        <v>16056</v>
      </c>
      <c r="C189" s="458" t="n">
        <v>2013</v>
      </c>
      <c r="D189" s="459" t="n">
        <v>41320</v>
      </c>
      <c r="E189" s="458" t="s">
        <v>16057</v>
      </c>
      <c r="F189" s="458" t="s">
        <v>699</v>
      </c>
      <c r="G189" s="458" t="s">
        <v>1174</v>
      </c>
      <c r="H189" s="458" t="s">
        <v>4132</v>
      </c>
      <c r="I189" s="459" t="n">
        <v>42685</v>
      </c>
      <c r="J189" s="460" t="n">
        <v>11</v>
      </c>
      <c r="K189" s="619" t="s">
        <v>42</v>
      </c>
      <c r="L189" s="458" t="s">
        <v>60</v>
      </c>
      <c r="M189" s="463" t="n">
        <f aca="false">I189-D189</f>
        <v>1365</v>
      </c>
    </row>
    <row r="190" customFormat="false" ht="12.75" hidden="false" customHeight="true" outlineLevel="0" collapsed="false">
      <c r="A190" s="449" t="n">
        <v>18916</v>
      </c>
      <c r="B190" s="450" t="s">
        <v>16058</v>
      </c>
      <c r="C190" s="450" t="n">
        <v>2012</v>
      </c>
      <c r="D190" s="451" t="n">
        <v>40996</v>
      </c>
      <c r="E190" s="450" t="s">
        <v>16059</v>
      </c>
      <c r="F190" s="450" t="s">
        <v>1097</v>
      </c>
      <c r="G190" s="450" t="s">
        <v>8</v>
      </c>
      <c r="H190" s="450" t="s">
        <v>10901</v>
      </c>
      <c r="I190" s="451" t="n">
        <v>42688</v>
      </c>
      <c r="J190" s="452" t="n">
        <v>11</v>
      </c>
      <c r="K190" s="619" t="s">
        <v>42</v>
      </c>
      <c r="L190" s="450" t="s">
        <v>60</v>
      </c>
      <c r="M190" s="455" t="n">
        <f aca="false">I190-D190</f>
        <v>1692</v>
      </c>
    </row>
    <row r="191" customFormat="false" ht="12.75" hidden="false" customHeight="true" outlineLevel="0" collapsed="false">
      <c r="A191" s="456" t="n">
        <v>19016</v>
      </c>
      <c r="B191" s="458" t="s">
        <v>16060</v>
      </c>
      <c r="C191" s="458" t="n">
        <v>2015</v>
      </c>
      <c r="D191" s="459" t="n">
        <v>42244</v>
      </c>
      <c r="E191" s="458" t="s">
        <v>16061</v>
      </c>
      <c r="F191" s="458" t="s">
        <v>16062</v>
      </c>
      <c r="G191" s="458" t="s">
        <v>441</v>
      </c>
      <c r="H191" s="458" t="s">
        <v>267</v>
      </c>
      <c r="I191" s="459" t="n">
        <v>42692</v>
      </c>
      <c r="J191" s="460" t="n">
        <v>11</v>
      </c>
      <c r="K191" s="619" t="s">
        <v>42</v>
      </c>
      <c r="L191" s="458" t="s">
        <v>60</v>
      </c>
      <c r="M191" s="463" t="n">
        <f aca="false">I191-D191</f>
        <v>448</v>
      </c>
    </row>
    <row r="192" customFormat="false" ht="12.75" hidden="false" customHeight="true" outlineLevel="0" collapsed="false">
      <c r="A192" s="449" t="n">
        <v>19116</v>
      </c>
      <c r="B192" s="450" t="s">
        <v>16063</v>
      </c>
      <c r="C192" s="450" t="n">
        <v>2008</v>
      </c>
      <c r="D192" s="451" t="n">
        <v>39584</v>
      </c>
      <c r="E192" s="450" t="s">
        <v>16064</v>
      </c>
      <c r="F192" s="450" t="s">
        <v>128</v>
      </c>
      <c r="G192" s="450" t="s">
        <v>1474</v>
      </c>
      <c r="H192" s="450" t="s">
        <v>10901</v>
      </c>
      <c r="I192" s="451" t="n">
        <v>42692</v>
      </c>
      <c r="J192" s="452" t="n">
        <v>11</v>
      </c>
      <c r="K192" s="620" t="s">
        <v>47</v>
      </c>
      <c r="L192" s="450" t="s">
        <v>58</v>
      </c>
      <c r="M192" s="455" t="n">
        <f aca="false">I192-D192</f>
        <v>3108</v>
      </c>
    </row>
    <row r="193" customFormat="false" ht="12.75" hidden="false" customHeight="true" outlineLevel="0" collapsed="false">
      <c r="A193" s="456" t="n">
        <v>19216</v>
      </c>
      <c r="B193" s="458" t="s">
        <v>16065</v>
      </c>
      <c r="C193" s="458" t="n">
        <v>2013</v>
      </c>
      <c r="D193" s="459" t="n">
        <v>41635</v>
      </c>
      <c r="E193" s="458" t="s">
        <v>16066</v>
      </c>
      <c r="F193" s="458" t="s">
        <v>1316</v>
      </c>
      <c r="G193" s="458" t="s">
        <v>1174</v>
      </c>
      <c r="H193" s="458" t="s">
        <v>267</v>
      </c>
      <c r="I193" s="459" t="n">
        <v>42696</v>
      </c>
      <c r="J193" s="460" t="n">
        <v>11</v>
      </c>
      <c r="K193" s="619" t="s">
        <v>42</v>
      </c>
      <c r="L193" s="458" t="s">
        <v>58</v>
      </c>
      <c r="M193" s="463" t="n">
        <f aca="false">I193-D193</f>
        <v>1061</v>
      </c>
    </row>
    <row r="194" customFormat="false" ht="12.75" hidden="false" customHeight="true" outlineLevel="0" collapsed="false">
      <c r="A194" s="449" t="n">
        <v>19316</v>
      </c>
      <c r="B194" s="450" t="s">
        <v>16067</v>
      </c>
      <c r="C194" s="450" t="n">
        <v>2009</v>
      </c>
      <c r="D194" s="451" t="n">
        <v>40093</v>
      </c>
      <c r="E194" s="450" t="s">
        <v>16068</v>
      </c>
      <c r="F194" s="450" t="s">
        <v>699</v>
      </c>
      <c r="G194" s="450" t="s">
        <v>1174</v>
      </c>
      <c r="H194" s="450" t="s">
        <v>522</v>
      </c>
      <c r="I194" s="451" t="n">
        <v>42698</v>
      </c>
      <c r="J194" s="452" t="n">
        <v>11</v>
      </c>
      <c r="K194" s="619" t="s">
        <v>42</v>
      </c>
      <c r="L194" s="450" t="s">
        <v>60</v>
      </c>
      <c r="M194" s="455" t="n">
        <f aca="false">I194-D194</f>
        <v>2605</v>
      </c>
    </row>
    <row r="195" customFormat="false" ht="12.75" hidden="false" customHeight="true" outlineLevel="0" collapsed="false">
      <c r="A195" s="456" t="n">
        <v>19416</v>
      </c>
      <c r="B195" s="458" t="s">
        <v>16069</v>
      </c>
      <c r="C195" s="458" t="n">
        <v>2010</v>
      </c>
      <c r="D195" s="459" t="n">
        <v>40238</v>
      </c>
      <c r="E195" s="458" t="s">
        <v>16070</v>
      </c>
      <c r="F195" s="458" t="s">
        <v>16071</v>
      </c>
      <c r="G195" s="458" t="s">
        <v>1174</v>
      </c>
      <c r="H195" s="458" t="s">
        <v>1305</v>
      </c>
      <c r="I195" s="459" t="n">
        <v>42698</v>
      </c>
      <c r="J195" s="460" t="n">
        <v>11</v>
      </c>
      <c r="K195" s="620" t="s">
        <v>47</v>
      </c>
      <c r="L195" s="458" t="s">
        <v>58</v>
      </c>
      <c r="M195" s="463" t="n">
        <f aca="false">I195-D195</f>
        <v>2460</v>
      </c>
    </row>
    <row r="196" customFormat="false" ht="12.75" hidden="false" customHeight="true" outlineLevel="0" collapsed="false">
      <c r="A196" s="449" t="n">
        <v>19516</v>
      </c>
      <c r="B196" s="450" t="s">
        <v>16072</v>
      </c>
      <c r="C196" s="450" t="n">
        <v>2009</v>
      </c>
      <c r="D196" s="451" t="n">
        <v>40029</v>
      </c>
      <c r="E196" s="450" t="s">
        <v>16073</v>
      </c>
      <c r="F196" s="450" t="s">
        <v>699</v>
      </c>
      <c r="G196" s="450" t="s">
        <v>1174</v>
      </c>
      <c r="H196" s="450" t="s">
        <v>2283</v>
      </c>
      <c r="I196" s="451" t="n">
        <v>42699</v>
      </c>
      <c r="J196" s="452" t="n">
        <v>11</v>
      </c>
      <c r="K196" s="619" t="s">
        <v>42</v>
      </c>
      <c r="L196" s="450" t="s">
        <v>60</v>
      </c>
      <c r="M196" s="455" t="n">
        <f aca="false">I196-D196</f>
        <v>2670</v>
      </c>
    </row>
    <row r="197" customFormat="false" ht="12.75" hidden="false" customHeight="true" outlineLevel="0" collapsed="false">
      <c r="A197" s="456" t="n">
        <v>19616</v>
      </c>
      <c r="B197" s="458" t="s">
        <v>16074</v>
      </c>
      <c r="C197" s="458" t="n">
        <v>2010</v>
      </c>
      <c r="D197" s="459" t="n">
        <v>40402</v>
      </c>
      <c r="E197" s="458" t="s">
        <v>16075</v>
      </c>
      <c r="F197" s="458" t="s">
        <v>699</v>
      </c>
      <c r="G197" s="458" t="s">
        <v>1174</v>
      </c>
      <c r="H197" s="458" t="s">
        <v>2283</v>
      </c>
      <c r="I197" s="459" t="n">
        <v>42699</v>
      </c>
      <c r="J197" s="460" t="n">
        <v>11</v>
      </c>
      <c r="K197" s="619" t="s">
        <v>42</v>
      </c>
      <c r="L197" s="458" t="s">
        <v>60</v>
      </c>
      <c r="M197" s="463" t="n">
        <f aca="false">I197-D197</f>
        <v>2297</v>
      </c>
    </row>
    <row r="198" customFormat="false" ht="12.75" hidden="false" customHeight="true" outlineLevel="0" collapsed="false">
      <c r="A198" s="449" t="n">
        <v>19716</v>
      </c>
      <c r="B198" s="450" t="s">
        <v>16076</v>
      </c>
      <c r="C198" s="450" t="n">
        <v>2014</v>
      </c>
      <c r="D198" s="451" t="n">
        <v>41918</v>
      </c>
      <c r="E198" s="450" t="s">
        <v>16077</v>
      </c>
      <c r="F198" s="450" t="s">
        <v>15670</v>
      </c>
      <c r="G198" s="450" t="s">
        <v>125</v>
      </c>
      <c r="H198" s="450" t="s">
        <v>149</v>
      </c>
      <c r="I198" s="451" t="n">
        <v>42699</v>
      </c>
      <c r="J198" s="452" t="n">
        <v>11</v>
      </c>
      <c r="K198" s="623" t="s">
        <v>50</v>
      </c>
      <c r="L198" s="450" t="s">
        <v>61</v>
      </c>
      <c r="M198" s="455" t="n">
        <f aca="false">I198-D198</f>
        <v>781</v>
      </c>
    </row>
    <row r="199" customFormat="false" ht="12.75" hidden="false" customHeight="true" outlineLevel="0" collapsed="false">
      <c r="A199" s="456" t="n">
        <v>19816</v>
      </c>
      <c r="B199" s="458" t="s">
        <v>14877</v>
      </c>
      <c r="C199" s="458" t="n">
        <v>2011</v>
      </c>
      <c r="D199" s="459" t="n">
        <v>40841</v>
      </c>
      <c r="E199" s="458" t="s">
        <v>16078</v>
      </c>
      <c r="F199" s="458" t="s">
        <v>1527</v>
      </c>
      <c r="G199" s="458" t="s">
        <v>1174</v>
      </c>
      <c r="H199" s="458" t="s">
        <v>1305</v>
      </c>
      <c r="I199" s="459" t="n">
        <v>42702</v>
      </c>
      <c r="J199" s="460" t="n">
        <v>11</v>
      </c>
      <c r="K199" s="619" t="s">
        <v>42</v>
      </c>
      <c r="L199" s="458" t="s">
        <v>58</v>
      </c>
      <c r="M199" s="463" t="n">
        <f aca="false">I199-D199</f>
        <v>1861</v>
      </c>
    </row>
    <row r="200" customFormat="false" ht="12.75" hidden="false" customHeight="true" outlineLevel="0" collapsed="false">
      <c r="A200" s="449" t="n">
        <v>19916</v>
      </c>
      <c r="B200" s="450" t="s">
        <v>16079</v>
      </c>
      <c r="C200" s="450" t="n">
        <v>2015</v>
      </c>
      <c r="D200" s="451" t="n">
        <v>42094</v>
      </c>
      <c r="E200" s="450" t="s">
        <v>16080</v>
      </c>
      <c r="F200" s="450" t="s">
        <v>16081</v>
      </c>
      <c r="G200" s="450" t="s">
        <v>115</v>
      </c>
      <c r="H200" s="450" t="s">
        <v>1791</v>
      </c>
      <c r="I200" s="451" t="n">
        <v>42702</v>
      </c>
      <c r="J200" s="452" t="n">
        <v>11</v>
      </c>
      <c r="K200" s="620" t="s">
        <v>47</v>
      </c>
      <c r="L200" s="450" t="s">
        <v>58</v>
      </c>
      <c r="M200" s="455" t="n">
        <f aca="false">I200-D200</f>
        <v>608</v>
      </c>
    </row>
    <row r="201" customFormat="false" ht="12.75" hidden="false" customHeight="true" outlineLevel="0" collapsed="false">
      <c r="A201" s="456" t="n">
        <v>20016</v>
      </c>
      <c r="B201" s="458" t="s">
        <v>16082</v>
      </c>
      <c r="C201" s="458" t="n">
        <v>2010</v>
      </c>
      <c r="D201" s="459" t="n">
        <v>40301</v>
      </c>
      <c r="E201" s="458" t="s">
        <v>16083</v>
      </c>
      <c r="F201" s="458" t="s">
        <v>1916</v>
      </c>
      <c r="G201" s="458" t="s">
        <v>1174</v>
      </c>
      <c r="H201" s="458" t="s">
        <v>192</v>
      </c>
      <c r="I201" s="459" t="n">
        <v>42680</v>
      </c>
      <c r="J201" s="460" t="n">
        <v>11</v>
      </c>
      <c r="K201" s="620" t="s">
        <v>47</v>
      </c>
      <c r="L201" s="458" t="s">
        <v>58</v>
      </c>
      <c r="M201" s="463" t="n">
        <f aca="false">I201-D201</f>
        <v>2379</v>
      </c>
    </row>
    <row r="202" customFormat="false" ht="12.75" hidden="false" customHeight="true" outlineLevel="0" collapsed="false">
      <c r="A202" s="449" t="n">
        <v>20116</v>
      </c>
      <c r="B202" s="450" t="s">
        <v>16084</v>
      </c>
      <c r="C202" s="450" t="n">
        <v>2010</v>
      </c>
      <c r="D202" s="451" t="n">
        <v>40350</v>
      </c>
      <c r="E202" s="450" t="s">
        <v>16085</v>
      </c>
      <c r="F202" s="450" t="s">
        <v>15092</v>
      </c>
      <c r="G202" s="450" t="s">
        <v>1174</v>
      </c>
      <c r="H202" s="450" t="s">
        <v>4132</v>
      </c>
      <c r="I202" s="451" t="n">
        <v>42703</v>
      </c>
      <c r="J202" s="452" t="n">
        <v>11</v>
      </c>
      <c r="K202" s="619" t="s">
        <v>42</v>
      </c>
      <c r="L202" s="450" t="s">
        <v>58</v>
      </c>
      <c r="M202" s="455" t="n">
        <f aca="false">I202-D202</f>
        <v>2353</v>
      </c>
    </row>
    <row r="203" customFormat="false" ht="12.75" hidden="false" customHeight="true" outlineLevel="0" collapsed="false">
      <c r="A203" s="456" t="n">
        <v>20216</v>
      </c>
      <c r="B203" s="458" t="s">
        <v>16086</v>
      </c>
      <c r="C203" s="458" t="n">
        <v>2010</v>
      </c>
      <c r="D203" s="459" t="n">
        <v>40520</v>
      </c>
      <c r="E203" s="458" t="s">
        <v>16087</v>
      </c>
      <c r="F203" s="458" t="s">
        <v>15092</v>
      </c>
      <c r="G203" s="458" t="s">
        <v>1174</v>
      </c>
      <c r="H203" s="458" t="s">
        <v>1059</v>
      </c>
      <c r="I203" s="459" t="n">
        <v>42703</v>
      </c>
      <c r="J203" s="460" t="n">
        <v>11</v>
      </c>
      <c r="K203" s="619" t="s">
        <v>42</v>
      </c>
      <c r="L203" s="458" t="s">
        <v>58</v>
      </c>
      <c r="M203" s="463" t="n">
        <f aca="false">I203-D203</f>
        <v>2183</v>
      </c>
    </row>
    <row r="204" customFormat="false" ht="12.75" hidden="false" customHeight="true" outlineLevel="0" collapsed="false">
      <c r="A204" s="449" t="n">
        <v>20316</v>
      </c>
      <c r="B204" s="450" t="s">
        <v>16088</v>
      </c>
      <c r="C204" s="450" t="n">
        <v>2012</v>
      </c>
      <c r="D204" s="451" t="n">
        <v>41204</v>
      </c>
      <c r="E204" s="450" t="s">
        <v>16089</v>
      </c>
      <c r="F204" s="450" t="s">
        <v>15092</v>
      </c>
      <c r="G204" s="450" t="s">
        <v>1174</v>
      </c>
      <c r="H204" s="450" t="s">
        <v>2744</v>
      </c>
      <c r="I204" s="451" t="n">
        <v>42703</v>
      </c>
      <c r="J204" s="452" t="n">
        <v>11</v>
      </c>
      <c r="K204" s="619" t="s">
        <v>42</v>
      </c>
      <c r="L204" s="450" t="s">
        <v>58</v>
      </c>
      <c r="M204" s="455" t="n">
        <f aca="false">I204-D204</f>
        <v>1499</v>
      </c>
    </row>
    <row r="205" customFormat="false" ht="12.75" hidden="false" customHeight="true" outlineLevel="0" collapsed="false">
      <c r="A205" s="456" t="n">
        <v>20416</v>
      </c>
      <c r="B205" s="458" t="s">
        <v>16090</v>
      </c>
      <c r="C205" s="458" t="n">
        <v>2013</v>
      </c>
      <c r="D205" s="459" t="n">
        <v>41408</v>
      </c>
      <c r="E205" s="458" t="s">
        <v>16091</v>
      </c>
      <c r="F205" s="458" t="s">
        <v>14799</v>
      </c>
      <c r="G205" s="458" t="s">
        <v>1174</v>
      </c>
      <c r="H205" s="458" t="s">
        <v>310</v>
      </c>
      <c r="I205" s="459" t="n">
        <v>42703</v>
      </c>
      <c r="J205" s="460" t="n">
        <v>11</v>
      </c>
      <c r="K205" s="619" t="s">
        <v>42</v>
      </c>
      <c r="L205" s="458" t="s">
        <v>58</v>
      </c>
      <c r="M205" s="463" t="n">
        <f aca="false">I205-D205</f>
        <v>1295</v>
      </c>
    </row>
    <row r="206" customFormat="false" ht="12.75" hidden="false" customHeight="true" outlineLevel="0" collapsed="false">
      <c r="A206" s="449" t="n">
        <v>20516</v>
      </c>
      <c r="B206" s="450" t="s">
        <v>16092</v>
      </c>
      <c r="C206" s="450" t="n">
        <v>2014</v>
      </c>
      <c r="D206" s="451" t="n">
        <v>41689</v>
      </c>
      <c r="E206" s="450" t="s">
        <v>16093</v>
      </c>
      <c r="F206" s="450" t="s">
        <v>1916</v>
      </c>
      <c r="G206" s="450" t="s">
        <v>1174</v>
      </c>
      <c r="H206" s="450" t="s">
        <v>184</v>
      </c>
      <c r="I206" s="451" t="n">
        <v>42704</v>
      </c>
      <c r="J206" s="452" t="n">
        <v>11</v>
      </c>
      <c r="K206" s="620" t="s">
        <v>47</v>
      </c>
      <c r="L206" s="450" t="s">
        <v>58</v>
      </c>
      <c r="M206" s="455" t="n">
        <f aca="false">I206-D206</f>
        <v>1015</v>
      </c>
    </row>
    <row r="207" customFormat="false" ht="12.75" hidden="false" customHeight="true" outlineLevel="0" collapsed="false">
      <c r="A207" s="456" t="n">
        <v>20616</v>
      </c>
      <c r="B207" s="458" t="s">
        <v>16094</v>
      </c>
      <c r="C207" s="458" t="n">
        <v>2013</v>
      </c>
      <c r="D207" s="459" t="n">
        <v>41283</v>
      </c>
      <c r="E207" s="458" t="s">
        <v>16095</v>
      </c>
      <c r="F207" s="458" t="s">
        <v>14799</v>
      </c>
      <c r="G207" s="458" t="s">
        <v>1174</v>
      </c>
      <c r="H207" s="458" t="s">
        <v>1266</v>
      </c>
      <c r="I207" s="459" t="n">
        <v>42704</v>
      </c>
      <c r="J207" s="460" t="n">
        <v>11</v>
      </c>
      <c r="K207" s="619" t="s">
        <v>42</v>
      </c>
      <c r="L207" s="458" t="s">
        <v>58</v>
      </c>
      <c r="M207" s="463" t="n">
        <f aca="false">I207-D207</f>
        <v>1421</v>
      </c>
    </row>
    <row r="208" customFormat="false" ht="12.75" hidden="false" customHeight="true" outlineLevel="0" collapsed="false">
      <c r="A208" s="449" t="n">
        <v>20716</v>
      </c>
      <c r="B208" s="450" t="s">
        <v>16096</v>
      </c>
      <c r="C208" s="450" t="n">
        <v>2011</v>
      </c>
      <c r="D208" s="451" t="n">
        <v>40695</v>
      </c>
      <c r="E208" s="450" t="s">
        <v>16097</v>
      </c>
      <c r="F208" s="450" t="s">
        <v>1916</v>
      </c>
      <c r="G208" s="450" t="s">
        <v>441</v>
      </c>
      <c r="H208" s="450" t="s">
        <v>1567</v>
      </c>
      <c r="I208" s="451" t="n">
        <v>42705</v>
      </c>
      <c r="J208" s="452" t="n">
        <v>12</v>
      </c>
      <c r="K208" s="619" t="s">
        <v>42</v>
      </c>
      <c r="L208" s="450" t="s">
        <v>58</v>
      </c>
      <c r="M208" s="455" t="n">
        <f aca="false">I208-D208</f>
        <v>2010</v>
      </c>
    </row>
    <row r="209" customFormat="false" ht="12.75" hidden="false" customHeight="true" outlineLevel="0" collapsed="false">
      <c r="A209" s="456" t="n">
        <v>20816</v>
      </c>
      <c r="B209" s="458" t="s">
        <v>16098</v>
      </c>
      <c r="C209" s="458" t="n">
        <v>2010</v>
      </c>
      <c r="D209" s="459" t="n">
        <v>40500</v>
      </c>
      <c r="E209" s="458" t="s">
        <v>16099</v>
      </c>
      <c r="F209" s="458" t="s">
        <v>1097</v>
      </c>
      <c r="G209" s="458" t="s">
        <v>441</v>
      </c>
      <c r="H209" s="458" t="s">
        <v>706</v>
      </c>
      <c r="I209" s="459" t="n">
        <v>42706</v>
      </c>
      <c r="J209" s="460" t="n">
        <v>12</v>
      </c>
      <c r="K209" s="619" t="s">
        <v>42</v>
      </c>
      <c r="L209" s="458" t="s">
        <v>60</v>
      </c>
      <c r="M209" s="463" t="n">
        <f aca="false">I209-D209</f>
        <v>2206</v>
      </c>
    </row>
    <row r="210" customFormat="false" ht="12.75" hidden="false" customHeight="true" outlineLevel="0" collapsed="false">
      <c r="A210" s="449" t="n">
        <v>20916</v>
      </c>
      <c r="B210" s="450" t="s">
        <v>16100</v>
      </c>
      <c r="C210" s="450" t="n">
        <v>2014</v>
      </c>
      <c r="D210" s="451" t="n">
        <v>41995</v>
      </c>
      <c r="E210" s="450" t="s">
        <v>16101</v>
      </c>
      <c r="F210" s="450" t="s">
        <v>1097</v>
      </c>
      <c r="G210" s="450" t="s">
        <v>441</v>
      </c>
      <c r="H210" s="450" t="s">
        <v>350</v>
      </c>
      <c r="I210" s="451" t="n">
        <v>42706</v>
      </c>
      <c r="J210" s="452" t="n">
        <v>12</v>
      </c>
      <c r="K210" s="619" t="s">
        <v>42</v>
      </c>
      <c r="L210" s="450" t="s">
        <v>60</v>
      </c>
      <c r="M210" s="455" t="n">
        <f aca="false">I210-D210</f>
        <v>711</v>
      </c>
    </row>
    <row r="211" customFormat="false" ht="12.75" hidden="false" customHeight="true" outlineLevel="0" collapsed="false">
      <c r="A211" s="456" t="n">
        <v>21016</v>
      </c>
      <c r="B211" s="458" t="s">
        <v>16102</v>
      </c>
      <c r="C211" s="458" t="n">
        <v>2011</v>
      </c>
      <c r="D211" s="459" t="n">
        <v>40652</v>
      </c>
      <c r="E211" s="458" t="s">
        <v>16103</v>
      </c>
      <c r="F211" s="458" t="s">
        <v>16104</v>
      </c>
      <c r="G211" s="458" t="s">
        <v>115</v>
      </c>
      <c r="H211" s="458" t="s">
        <v>134</v>
      </c>
      <c r="I211" s="459" t="n">
        <v>42706</v>
      </c>
      <c r="J211" s="460" t="n">
        <v>12</v>
      </c>
      <c r="K211" s="620" t="s">
        <v>47</v>
      </c>
      <c r="L211" s="458" t="s">
        <v>58</v>
      </c>
      <c r="M211" s="463" t="n">
        <f aca="false">I211-D211</f>
        <v>2054</v>
      </c>
    </row>
    <row r="212" customFormat="false" ht="12.75" hidden="false" customHeight="true" outlineLevel="0" collapsed="false">
      <c r="A212" s="449" t="n">
        <v>21116</v>
      </c>
      <c r="B212" s="450" t="s">
        <v>16105</v>
      </c>
      <c r="C212" s="450" t="n">
        <v>2013</v>
      </c>
      <c r="D212" s="451" t="n">
        <v>41534</v>
      </c>
      <c r="E212" s="450" t="s">
        <v>16106</v>
      </c>
      <c r="F212" s="450" t="s">
        <v>16107</v>
      </c>
      <c r="G212" s="450" t="s">
        <v>144</v>
      </c>
      <c r="H212" s="450" t="s">
        <v>373</v>
      </c>
      <c r="I212" s="451" t="n">
        <v>42710</v>
      </c>
      <c r="J212" s="452" t="n">
        <v>12</v>
      </c>
      <c r="K212" s="619" t="s">
        <v>42</v>
      </c>
      <c r="L212" s="450" t="s">
        <v>57</v>
      </c>
      <c r="M212" s="455" t="n">
        <f aca="false">I212-D212</f>
        <v>1176</v>
      </c>
    </row>
    <row r="213" customFormat="false" ht="12.75" hidden="false" customHeight="true" outlineLevel="0" collapsed="false">
      <c r="A213" s="456" t="n">
        <v>21216</v>
      </c>
      <c r="B213" s="458" t="s">
        <v>16108</v>
      </c>
      <c r="C213" s="458" t="n">
        <v>2011</v>
      </c>
      <c r="D213" s="459" t="n">
        <v>40694</v>
      </c>
      <c r="E213" s="458" t="s">
        <v>16109</v>
      </c>
      <c r="F213" s="458" t="s">
        <v>1097</v>
      </c>
      <c r="G213" s="458" t="s">
        <v>441</v>
      </c>
      <c r="H213" s="458" t="s">
        <v>706</v>
      </c>
      <c r="I213" s="459" t="n">
        <v>42710</v>
      </c>
      <c r="J213" s="460" t="n">
        <v>12</v>
      </c>
      <c r="K213" s="619" t="s">
        <v>42</v>
      </c>
      <c r="L213" s="458" t="s">
        <v>60</v>
      </c>
      <c r="M213" s="463" t="n">
        <f aca="false">I213-D213</f>
        <v>2016</v>
      </c>
    </row>
    <row r="214" customFormat="false" ht="12.75" hidden="false" customHeight="true" outlineLevel="0" collapsed="false">
      <c r="A214" s="449" t="n">
        <v>21316</v>
      </c>
      <c r="B214" s="450" t="s">
        <v>16110</v>
      </c>
      <c r="C214" s="450" t="n">
        <v>2011</v>
      </c>
      <c r="D214" s="451" t="n">
        <v>40700</v>
      </c>
      <c r="E214" s="450" t="s">
        <v>16111</v>
      </c>
      <c r="F214" s="450" t="s">
        <v>1097</v>
      </c>
      <c r="G214" s="450" t="s">
        <v>441</v>
      </c>
      <c r="H214" s="450" t="s">
        <v>706</v>
      </c>
      <c r="I214" s="451" t="n">
        <v>42710</v>
      </c>
      <c r="J214" s="452" t="n">
        <v>12</v>
      </c>
      <c r="K214" s="619" t="s">
        <v>42</v>
      </c>
      <c r="L214" s="450" t="s">
        <v>60</v>
      </c>
      <c r="M214" s="455" t="n">
        <f aca="false">I214-D214</f>
        <v>2010</v>
      </c>
    </row>
    <row r="215" customFormat="false" ht="12.75" hidden="false" customHeight="true" outlineLevel="0" collapsed="false">
      <c r="A215" s="456" t="n">
        <v>21416</v>
      </c>
      <c r="B215" s="458" t="s">
        <v>16112</v>
      </c>
      <c r="C215" s="458" t="n">
        <v>2013</v>
      </c>
      <c r="D215" s="459" t="n">
        <v>41548</v>
      </c>
      <c r="E215" s="458" t="s">
        <v>16113</v>
      </c>
      <c r="F215" s="458" t="s">
        <v>10085</v>
      </c>
      <c r="G215" s="458" t="s">
        <v>144</v>
      </c>
      <c r="H215" s="458" t="s">
        <v>14761</v>
      </c>
      <c r="I215" s="459" t="n">
        <v>42710</v>
      </c>
      <c r="J215" s="460" t="n">
        <v>12</v>
      </c>
      <c r="K215" s="619" t="s">
        <v>42</v>
      </c>
      <c r="L215" s="458" t="s">
        <v>58</v>
      </c>
      <c r="M215" s="463" t="n">
        <f aca="false">I215-D215</f>
        <v>1162</v>
      </c>
    </row>
    <row r="216" customFormat="false" ht="12.75" hidden="false" customHeight="true" outlineLevel="0" collapsed="false">
      <c r="A216" s="449" t="n">
        <v>21516</v>
      </c>
      <c r="B216" s="450" t="s">
        <v>16114</v>
      </c>
      <c r="C216" s="450" t="n">
        <v>2013</v>
      </c>
      <c r="D216" s="451" t="n">
        <v>41498</v>
      </c>
      <c r="E216" s="450" t="s">
        <v>16115</v>
      </c>
      <c r="F216" s="450" t="s">
        <v>15092</v>
      </c>
      <c r="G216" s="450" t="s">
        <v>441</v>
      </c>
      <c r="H216" s="450" t="s">
        <v>706</v>
      </c>
      <c r="I216" s="451" t="n">
        <v>42710</v>
      </c>
      <c r="J216" s="452" t="n">
        <v>12</v>
      </c>
      <c r="K216" s="619" t="s">
        <v>42</v>
      </c>
      <c r="L216" s="450" t="s">
        <v>58</v>
      </c>
      <c r="M216" s="455" t="n">
        <f aca="false">I216-D216</f>
        <v>1212</v>
      </c>
    </row>
    <row r="217" customFormat="false" ht="12.75" hidden="false" customHeight="true" outlineLevel="0" collapsed="false">
      <c r="A217" s="456" t="n">
        <v>21616</v>
      </c>
      <c r="B217" s="458" t="s">
        <v>16116</v>
      </c>
      <c r="C217" s="458" t="n">
        <v>2010</v>
      </c>
      <c r="D217" s="459" t="n">
        <v>40470</v>
      </c>
      <c r="E217" s="458" t="s">
        <v>16117</v>
      </c>
      <c r="F217" s="458" t="s">
        <v>16118</v>
      </c>
      <c r="G217" s="458" t="s">
        <v>441</v>
      </c>
      <c r="H217" s="458" t="s">
        <v>1305</v>
      </c>
      <c r="I217" s="459" t="n">
        <v>42723</v>
      </c>
      <c r="J217" s="460" t="n">
        <v>12</v>
      </c>
      <c r="K217" s="619" t="s">
        <v>42</v>
      </c>
      <c r="L217" s="458" t="s">
        <v>60</v>
      </c>
      <c r="M217" s="463" t="n">
        <f aca="false">I217-D217</f>
        <v>2253</v>
      </c>
    </row>
    <row r="218" customFormat="false" ht="12.75" hidden="false" customHeight="true" outlineLevel="0" collapsed="false">
      <c r="A218" s="449" t="n">
        <v>21716</v>
      </c>
      <c r="B218" s="450" t="s">
        <v>16119</v>
      </c>
      <c r="C218" s="450" t="n">
        <v>2010</v>
      </c>
      <c r="D218" s="451" t="n">
        <v>40358</v>
      </c>
      <c r="E218" s="450" t="s">
        <v>16120</v>
      </c>
      <c r="F218" s="450" t="s">
        <v>16118</v>
      </c>
      <c r="G218" s="450" t="s">
        <v>441</v>
      </c>
      <c r="H218" s="450" t="s">
        <v>1305</v>
      </c>
      <c r="I218" s="451" t="n">
        <v>42723</v>
      </c>
      <c r="J218" s="452" t="n">
        <v>12</v>
      </c>
      <c r="K218" s="620" t="s">
        <v>47</v>
      </c>
      <c r="L218" s="450" t="s">
        <v>60</v>
      </c>
      <c r="M218" s="455" t="n">
        <f aca="false">I218-D218</f>
        <v>2365</v>
      </c>
    </row>
    <row r="219" customFormat="false" ht="12.75" hidden="false" customHeight="true" outlineLevel="0" collapsed="false">
      <c r="A219" s="456" t="n">
        <v>21816</v>
      </c>
      <c r="B219" s="458" t="s">
        <v>16121</v>
      </c>
      <c r="C219" s="458" t="n">
        <v>2011</v>
      </c>
      <c r="D219" s="459" t="n">
        <v>40568</v>
      </c>
      <c r="E219" s="458" t="s">
        <v>16122</v>
      </c>
      <c r="F219" s="458" t="s">
        <v>16123</v>
      </c>
      <c r="G219" s="458" t="s">
        <v>441</v>
      </c>
      <c r="H219" s="458" t="s">
        <v>310</v>
      </c>
      <c r="I219" s="459" t="n">
        <v>42723</v>
      </c>
      <c r="J219" s="460" t="n">
        <v>12</v>
      </c>
      <c r="K219" s="619" t="s">
        <v>42</v>
      </c>
      <c r="L219" s="458" t="s">
        <v>60</v>
      </c>
      <c r="M219" s="463" t="n">
        <f aca="false">I219-D219</f>
        <v>2155</v>
      </c>
    </row>
    <row r="220" customFormat="false" ht="12.75" hidden="false" customHeight="true" outlineLevel="0" collapsed="false">
      <c r="A220" s="449" t="n">
        <v>21916</v>
      </c>
      <c r="B220" s="450" t="s">
        <v>16124</v>
      </c>
      <c r="C220" s="450" t="n">
        <v>2011</v>
      </c>
      <c r="D220" s="451" t="n">
        <v>40616</v>
      </c>
      <c r="E220" s="450" t="s">
        <v>16125</v>
      </c>
      <c r="F220" s="450" t="s">
        <v>5401</v>
      </c>
      <c r="G220" s="450" t="s">
        <v>441</v>
      </c>
      <c r="H220" s="450" t="s">
        <v>693</v>
      </c>
      <c r="I220" s="451" t="n">
        <v>42723</v>
      </c>
      <c r="J220" s="452" t="n">
        <v>12</v>
      </c>
      <c r="K220" s="619" t="s">
        <v>42</v>
      </c>
      <c r="L220" s="450" t="s">
        <v>60</v>
      </c>
      <c r="M220" s="455" t="n">
        <f aca="false">I220-D220</f>
        <v>2107</v>
      </c>
    </row>
    <row r="221" customFormat="false" ht="12.75" hidden="false" customHeight="true" outlineLevel="0" collapsed="false">
      <c r="A221" s="456" t="n">
        <v>22016</v>
      </c>
      <c r="B221" s="458" t="s">
        <v>16126</v>
      </c>
      <c r="C221" s="458" t="n">
        <v>2011</v>
      </c>
      <c r="D221" s="459" t="n">
        <v>40743</v>
      </c>
      <c r="E221" s="458" t="s">
        <v>16127</v>
      </c>
      <c r="F221" s="458" t="s">
        <v>5401</v>
      </c>
      <c r="G221" s="458" t="s">
        <v>441</v>
      </c>
      <c r="H221" s="458" t="s">
        <v>693</v>
      </c>
      <c r="I221" s="459" t="n">
        <v>42723</v>
      </c>
      <c r="J221" s="460" t="n">
        <v>12</v>
      </c>
      <c r="K221" s="619" t="s">
        <v>42</v>
      </c>
      <c r="L221" s="458" t="s">
        <v>60</v>
      </c>
      <c r="M221" s="463" t="n">
        <f aca="false">I221-D221</f>
        <v>1980</v>
      </c>
    </row>
    <row r="222" customFormat="false" ht="12.75" hidden="false" customHeight="true" outlineLevel="0" collapsed="false">
      <c r="A222" s="449" t="n">
        <v>22116</v>
      </c>
      <c r="B222" s="450" t="s">
        <v>16128</v>
      </c>
      <c r="C222" s="450" t="n">
        <v>2012</v>
      </c>
      <c r="D222" s="451" t="n">
        <v>41068</v>
      </c>
      <c r="E222" s="450" t="s">
        <v>16129</v>
      </c>
      <c r="F222" s="450" t="s">
        <v>16130</v>
      </c>
      <c r="G222" s="450" t="s">
        <v>125</v>
      </c>
      <c r="H222" s="450" t="s">
        <v>2278</v>
      </c>
      <c r="I222" s="451" t="n">
        <v>42723</v>
      </c>
      <c r="J222" s="452" t="n">
        <v>12</v>
      </c>
      <c r="K222" s="619" t="s">
        <v>42</v>
      </c>
      <c r="L222" s="450" t="s">
        <v>61</v>
      </c>
      <c r="M222" s="455" t="n">
        <f aca="false">I222-D222</f>
        <v>1655</v>
      </c>
    </row>
    <row r="223" customFormat="false" ht="12.75" hidden="false" customHeight="true" outlineLevel="0" collapsed="false">
      <c r="A223" s="456" t="n">
        <v>22216</v>
      </c>
      <c r="B223" s="458" t="s">
        <v>16131</v>
      </c>
      <c r="C223" s="458" t="n">
        <v>2014</v>
      </c>
      <c r="D223" s="459" t="n">
        <v>41978</v>
      </c>
      <c r="E223" s="458" t="s">
        <v>16132</v>
      </c>
      <c r="F223" s="625" t="s">
        <v>6361</v>
      </c>
      <c r="G223" s="458" t="s">
        <v>125</v>
      </c>
      <c r="H223" s="458" t="s">
        <v>15917</v>
      </c>
      <c r="I223" s="459" t="n">
        <v>42724</v>
      </c>
      <c r="J223" s="460" t="n">
        <v>12</v>
      </c>
      <c r="K223" s="623" t="s">
        <v>50</v>
      </c>
      <c r="L223" s="458" t="s">
        <v>61</v>
      </c>
      <c r="M223" s="463" t="n">
        <f aca="false">I223-D223</f>
        <v>746</v>
      </c>
    </row>
    <row r="224" customFormat="false" ht="12.75" hidden="false" customHeight="true" outlineLevel="0" collapsed="false">
      <c r="A224" s="449" t="n">
        <v>22316</v>
      </c>
      <c r="B224" s="450" t="s">
        <v>16133</v>
      </c>
      <c r="C224" s="450" t="n">
        <v>2014</v>
      </c>
      <c r="D224" s="451" t="n">
        <v>41978</v>
      </c>
      <c r="E224" s="450" t="s">
        <v>16134</v>
      </c>
      <c r="F224" s="624" t="s">
        <v>6361</v>
      </c>
      <c r="G224" s="450" t="s">
        <v>125</v>
      </c>
      <c r="H224" s="450" t="s">
        <v>1109</v>
      </c>
      <c r="I224" s="451" t="n">
        <v>42724</v>
      </c>
      <c r="J224" s="452" t="n">
        <v>12</v>
      </c>
      <c r="K224" s="619" t="s">
        <v>42</v>
      </c>
      <c r="L224" s="450" t="s">
        <v>61</v>
      </c>
      <c r="M224" s="455" t="n">
        <f aca="false">I224-D224</f>
        <v>746</v>
      </c>
    </row>
    <row r="225" customFormat="false" ht="12.75" hidden="false" customHeight="true" outlineLevel="0" collapsed="false">
      <c r="A225" s="456" t="n">
        <v>22416</v>
      </c>
      <c r="B225" s="458" t="s">
        <v>16135</v>
      </c>
      <c r="C225" s="458" t="n">
        <v>2014</v>
      </c>
      <c r="D225" s="459" t="n">
        <v>41927</v>
      </c>
      <c r="E225" s="458" t="s">
        <v>16136</v>
      </c>
      <c r="F225" s="625" t="s">
        <v>6315</v>
      </c>
      <c r="G225" s="458" t="s">
        <v>130</v>
      </c>
      <c r="H225" s="458" t="s">
        <v>15922</v>
      </c>
      <c r="I225" s="459" t="n">
        <v>42724</v>
      </c>
      <c r="J225" s="460" t="n">
        <v>12</v>
      </c>
      <c r="K225" s="623" t="s">
        <v>50</v>
      </c>
      <c r="L225" s="458" t="s">
        <v>61</v>
      </c>
      <c r="M225" s="463" t="n">
        <f aca="false">I225-D225</f>
        <v>797</v>
      </c>
    </row>
    <row r="226" customFormat="false" ht="12.75" hidden="false" customHeight="true" outlineLevel="0" collapsed="false">
      <c r="A226" s="449" t="n">
        <v>22516</v>
      </c>
      <c r="B226" s="450" t="s">
        <v>16137</v>
      </c>
      <c r="C226" s="450" t="n">
        <v>2014</v>
      </c>
      <c r="D226" s="451" t="n">
        <v>41991</v>
      </c>
      <c r="E226" s="450" t="s">
        <v>16138</v>
      </c>
      <c r="F226" s="624" t="s">
        <v>9785</v>
      </c>
      <c r="G226" s="450" t="s">
        <v>125</v>
      </c>
      <c r="H226" s="450" t="s">
        <v>980</v>
      </c>
      <c r="I226" s="451" t="n">
        <v>42724</v>
      </c>
      <c r="J226" s="452" t="n">
        <v>12</v>
      </c>
      <c r="K226" s="620" t="s">
        <v>47</v>
      </c>
      <c r="L226" s="450" t="s">
        <v>61</v>
      </c>
      <c r="M226" s="455" t="n">
        <f aca="false">I226-D226</f>
        <v>733</v>
      </c>
    </row>
    <row r="227" customFormat="false" ht="12.75" hidden="false" customHeight="true" outlineLevel="0" collapsed="false">
      <c r="A227" s="456" t="n">
        <v>22616</v>
      </c>
      <c r="B227" s="458" t="s">
        <v>16139</v>
      </c>
      <c r="C227" s="458" t="n">
        <v>2011</v>
      </c>
      <c r="D227" s="459" t="n">
        <v>40758</v>
      </c>
      <c r="E227" s="458" t="s">
        <v>16140</v>
      </c>
      <c r="F227" s="458" t="s">
        <v>379</v>
      </c>
      <c r="G227" s="458" t="s">
        <v>441</v>
      </c>
      <c r="H227" s="458" t="s">
        <v>1305</v>
      </c>
      <c r="I227" s="459" t="n">
        <v>42724</v>
      </c>
      <c r="J227" s="460" t="n">
        <v>12</v>
      </c>
      <c r="K227" s="619" t="s">
        <v>42</v>
      </c>
      <c r="L227" s="458" t="s">
        <v>58</v>
      </c>
      <c r="M227" s="463" t="n">
        <f aca="false">I227-D227</f>
        <v>1966</v>
      </c>
    </row>
    <row r="228" customFormat="false" ht="12.75" hidden="false" customHeight="true" outlineLevel="0" collapsed="false">
      <c r="A228" s="449" t="n">
        <v>22716</v>
      </c>
      <c r="B228" s="450" t="s">
        <v>16141</v>
      </c>
      <c r="C228" s="450" t="n">
        <v>2014</v>
      </c>
      <c r="D228" s="451" t="n">
        <v>41992</v>
      </c>
      <c r="E228" s="450" t="s">
        <v>16142</v>
      </c>
      <c r="F228" s="450" t="s">
        <v>15092</v>
      </c>
      <c r="G228" s="450" t="s">
        <v>441</v>
      </c>
      <c r="H228" s="450" t="s">
        <v>2278</v>
      </c>
      <c r="I228" s="451" t="n">
        <v>42724</v>
      </c>
      <c r="J228" s="452" t="n">
        <v>12</v>
      </c>
      <c r="K228" s="619" t="s">
        <v>42</v>
      </c>
      <c r="L228" s="450" t="s">
        <v>58</v>
      </c>
      <c r="M228" s="455" t="n">
        <f aca="false">I228-D228</f>
        <v>732</v>
      </c>
    </row>
    <row r="229" customFormat="false" ht="12.75" hidden="false" customHeight="true" outlineLevel="0" collapsed="false">
      <c r="A229" s="456" t="n">
        <v>22816</v>
      </c>
      <c r="B229" s="458" t="s">
        <v>16143</v>
      </c>
      <c r="C229" s="458" t="n">
        <v>2014</v>
      </c>
      <c r="D229" s="459" t="n">
        <v>41971</v>
      </c>
      <c r="E229" s="458" t="s">
        <v>16144</v>
      </c>
      <c r="F229" s="625" t="s">
        <v>14833</v>
      </c>
      <c r="G229" s="458" t="s">
        <v>125</v>
      </c>
      <c r="H229" s="458" t="s">
        <v>134</v>
      </c>
      <c r="I229" s="459" t="n">
        <v>42724</v>
      </c>
      <c r="J229" s="460" t="n">
        <v>12</v>
      </c>
      <c r="K229" s="619" t="s">
        <v>42</v>
      </c>
      <c r="L229" s="458" t="s">
        <v>61</v>
      </c>
      <c r="M229" s="463" t="n">
        <f aca="false">I229-D229</f>
        <v>753</v>
      </c>
    </row>
    <row r="230" customFormat="false" ht="12.75" hidden="false" customHeight="true" outlineLevel="0" collapsed="false">
      <c r="A230" s="449" t="n">
        <v>22916</v>
      </c>
      <c r="B230" s="450" t="s">
        <v>16145</v>
      </c>
      <c r="C230" s="450" t="n">
        <v>2013</v>
      </c>
      <c r="D230" s="451" t="n">
        <v>41521</v>
      </c>
      <c r="E230" s="450" t="s">
        <v>16146</v>
      </c>
      <c r="F230" s="450" t="s">
        <v>138</v>
      </c>
      <c r="G230" s="450" t="s">
        <v>1174</v>
      </c>
      <c r="H230" s="450" t="s">
        <v>354</v>
      </c>
      <c r="I230" s="451" t="n">
        <v>42725</v>
      </c>
      <c r="J230" s="452" t="n">
        <v>12</v>
      </c>
      <c r="K230" s="622" t="s">
        <v>45</v>
      </c>
      <c r="L230" s="450" t="s">
        <v>60</v>
      </c>
      <c r="M230" s="455" t="n">
        <f aca="false">I230-D230</f>
        <v>1204</v>
      </c>
    </row>
    <row r="231" customFormat="false" ht="12.75" hidden="false" customHeight="true" outlineLevel="0" collapsed="false">
      <c r="A231" s="456" t="n">
        <v>23016</v>
      </c>
      <c r="B231" s="458" t="s">
        <v>16147</v>
      </c>
      <c r="C231" s="458" t="n">
        <v>2014</v>
      </c>
      <c r="D231" s="459" t="n">
        <v>41730</v>
      </c>
      <c r="E231" s="458" t="s">
        <v>16148</v>
      </c>
      <c r="F231" s="458" t="s">
        <v>180</v>
      </c>
      <c r="G231" s="458" t="s">
        <v>441</v>
      </c>
      <c r="H231" s="458" t="s">
        <v>706</v>
      </c>
      <c r="I231" s="459" t="n">
        <v>42725</v>
      </c>
      <c r="J231" s="460" t="n">
        <v>12</v>
      </c>
      <c r="K231" s="620" t="s">
        <v>47</v>
      </c>
      <c r="L231" s="458" t="s">
        <v>58</v>
      </c>
      <c r="M231" s="463" t="n">
        <f aca="false">I231-D231</f>
        <v>995</v>
      </c>
    </row>
    <row r="232" customFormat="false" ht="12.75" hidden="false" customHeight="true" outlineLevel="0" collapsed="false">
      <c r="A232" s="449" t="n">
        <v>23116</v>
      </c>
      <c r="B232" s="450" t="s">
        <v>16149</v>
      </c>
      <c r="C232" s="450" t="n">
        <v>2013</v>
      </c>
      <c r="D232" s="451" t="n">
        <v>41521</v>
      </c>
      <c r="E232" s="450" t="s">
        <v>16150</v>
      </c>
      <c r="F232" s="450" t="s">
        <v>138</v>
      </c>
      <c r="G232" s="450" t="s">
        <v>1174</v>
      </c>
      <c r="H232" s="450" t="s">
        <v>2296</v>
      </c>
      <c r="I232" s="451" t="n">
        <v>42725</v>
      </c>
      <c r="J232" s="452" t="n">
        <v>12</v>
      </c>
      <c r="K232" s="622" t="s">
        <v>45</v>
      </c>
      <c r="L232" s="450" t="s">
        <v>60</v>
      </c>
      <c r="M232" s="455" t="n">
        <f aca="false">I232-D232</f>
        <v>1204</v>
      </c>
    </row>
    <row r="233" customFormat="false" ht="12.75" hidden="false" customHeight="true" outlineLevel="0" collapsed="false">
      <c r="A233" s="456" t="n">
        <v>23216</v>
      </c>
      <c r="B233" s="458" t="s">
        <v>16151</v>
      </c>
      <c r="C233" s="458" t="n">
        <v>2013</v>
      </c>
      <c r="D233" s="459" t="n">
        <v>41562</v>
      </c>
      <c r="E233" s="458" t="s">
        <v>16152</v>
      </c>
      <c r="F233" s="458" t="s">
        <v>138</v>
      </c>
      <c r="G233" s="458" t="s">
        <v>1174</v>
      </c>
      <c r="H233" s="458" t="s">
        <v>223</v>
      </c>
      <c r="I233" s="459" t="n">
        <v>42725</v>
      </c>
      <c r="J233" s="460" t="n">
        <v>12</v>
      </c>
      <c r="K233" s="622" t="s">
        <v>45</v>
      </c>
      <c r="L233" s="458" t="s">
        <v>60</v>
      </c>
      <c r="M233" s="463" t="n">
        <f aca="false">I233-D233</f>
        <v>1163</v>
      </c>
    </row>
    <row r="234" customFormat="false" ht="12.75" hidden="false" customHeight="true" outlineLevel="0" collapsed="false">
      <c r="A234" s="449" t="n">
        <v>23316</v>
      </c>
      <c r="B234" s="450" t="s">
        <v>16153</v>
      </c>
      <c r="C234" s="450" t="n">
        <v>2013</v>
      </c>
      <c r="D234" s="451" t="n">
        <v>41508</v>
      </c>
      <c r="E234" s="450" t="s">
        <v>16154</v>
      </c>
      <c r="F234" s="450" t="s">
        <v>9647</v>
      </c>
      <c r="G234" s="450" t="s">
        <v>1174</v>
      </c>
      <c r="H234" s="450" t="s">
        <v>13796</v>
      </c>
      <c r="I234" s="451" t="n">
        <v>42725</v>
      </c>
      <c r="J234" s="452" t="n">
        <v>12</v>
      </c>
      <c r="K234" s="623" t="s">
        <v>50</v>
      </c>
      <c r="L234" s="450" t="s">
        <v>60</v>
      </c>
      <c r="M234" s="455" t="n">
        <f aca="false">I234-D234</f>
        <v>1217</v>
      </c>
    </row>
    <row r="235" customFormat="false" ht="12.75" hidden="false" customHeight="true" outlineLevel="0" collapsed="false">
      <c r="A235" s="456" t="n">
        <v>23416</v>
      </c>
      <c r="B235" s="458" t="s">
        <v>16155</v>
      </c>
      <c r="C235" s="458" t="n">
        <v>2011</v>
      </c>
      <c r="D235" s="459" t="n">
        <v>40764</v>
      </c>
      <c r="E235" s="458" t="s">
        <v>16156</v>
      </c>
      <c r="F235" s="458" t="s">
        <v>823</v>
      </c>
      <c r="G235" s="458" t="s">
        <v>1174</v>
      </c>
      <c r="H235" s="458" t="s">
        <v>15864</v>
      </c>
      <c r="I235" s="459" t="n">
        <v>42725</v>
      </c>
      <c r="J235" s="460" t="n">
        <v>12</v>
      </c>
      <c r="K235" s="620" t="s">
        <v>47</v>
      </c>
      <c r="L235" s="458" t="s">
        <v>58</v>
      </c>
      <c r="M235" s="463" t="n">
        <f aca="false">I235-D235</f>
        <v>1961</v>
      </c>
    </row>
    <row r="236" customFormat="false" ht="12.75" hidden="false" customHeight="true" outlineLevel="0" collapsed="false">
      <c r="A236" s="449" t="n">
        <v>23516</v>
      </c>
      <c r="B236" s="450" t="s">
        <v>16157</v>
      </c>
      <c r="C236" s="450" t="n">
        <v>2009</v>
      </c>
      <c r="D236" s="451" t="n">
        <v>40175</v>
      </c>
      <c r="E236" s="450" t="s">
        <v>16158</v>
      </c>
      <c r="F236" s="450" t="s">
        <v>2003</v>
      </c>
      <c r="G236" s="450" t="s">
        <v>1174</v>
      </c>
      <c r="H236" s="450" t="s">
        <v>350</v>
      </c>
      <c r="I236" s="451" t="n">
        <v>42725</v>
      </c>
      <c r="J236" s="452" t="n">
        <v>12</v>
      </c>
      <c r="K236" s="619" t="s">
        <v>42</v>
      </c>
      <c r="L236" s="450" t="s">
        <v>58</v>
      </c>
      <c r="M236" s="455" t="n">
        <f aca="false">I236-D236</f>
        <v>2550</v>
      </c>
    </row>
    <row r="237" customFormat="false" ht="12.75" hidden="false" customHeight="true" outlineLevel="0" collapsed="false">
      <c r="A237" s="456" t="n">
        <v>23616</v>
      </c>
      <c r="B237" s="458" t="s">
        <v>16159</v>
      </c>
      <c r="C237" s="458" t="n">
        <v>2012</v>
      </c>
      <c r="D237" s="459" t="n">
        <v>41236</v>
      </c>
      <c r="E237" s="458" t="s">
        <v>16160</v>
      </c>
      <c r="F237" s="458" t="s">
        <v>699</v>
      </c>
      <c r="G237" s="458" t="s">
        <v>1174</v>
      </c>
      <c r="H237" s="458" t="s">
        <v>522</v>
      </c>
      <c r="I237" s="459" t="n">
        <v>42730</v>
      </c>
      <c r="J237" s="460" t="n">
        <v>12</v>
      </c>
      <c r="K237" s="619" t="s">
        <v>42</v>
      </c>
      <c r="L237" s="458" t="s">
        <v>60</v>
      </c>
      <c r="M237" s="463" t="n">
        <f aca="false">I237-D237</f>
        <v>1494</v>
      </c>
    </row>
    <row r="238" customFormat="false" ht="12.75" hidden="false" customHeight="true" outlineLevel="0" collapsed="false">
      <c r="A238" s="449" t="n">
        <v>23716</v>
      </c>
      <c r="B238" s="450" t="s">
        <v>16161</v>
      </c>
      <c r="C238" s="450" t="n">
        <v>2013</v>
      </c>
      <c r="D238" s="451" t="n">
        <v>41386</v>
      </c>
      <c r="E238" s="450" t="s">
        <v>16162</v>
      </c>
      <c r="F238" s="450" t="s">
        <v>168</v>
      </c>
      <c r="G238" s="450" t="s">
        <v>1174</v>
      </c>
      <c r="H238" s="450" t="s">
        <v>350</v>
      </c>
      <c r="I238" s="451" t="n">
        <v>42726</v>
      </c>
      <c r="J238" s="452" t="n">
        <v>12</v>
      </c>
      <c r="K238" s="619" t="s">
        <v>42</v>
      </c>
      <c r="L238" s="450" t="s">
        <v>58</v>
      </c>
      <c r="M238" s="455" t="n">
        <f aca="false">I238-D238</f>
        <v>1340</v>
      </c>
    </row>
    <row r="239" customFormat="false" ht="12.75" hidden="false" customHeight="true" outlineLevel="0" collapsed="false">
      <c r="A239" s="456" t="n">
        <v>23816</v>
      </c>
      <c r="B239" s="458" t="s">
        <v>16163</v>
      </c>
      <c r="C239" s="458" t="n">
        <v>2013</v>
      </c>
      <c r="D239" s="459" t="n">
        <v>41386</v>
      </c>
      <c r="E239" s="458" t="s">
        <v>16164</v>
      </c>
      <c r="F239" s="458" t="s">
        <v>138</v>
      </c>
      <c r="G239" s="458" t="s">
        <v>1174</v>
      </c>
      <c r="H239" s="458" t="s">
        <v>192</v>
      </c>
      <c r="I239" s="459" t="n">
        <v>42726</v>
      </c>
      <c r="J239" s="460" t="n">
        <v>12</v>
      </c>
      <c r="K239" s="622" t="s">
        <v>45</v>
      </c>
      <c r="L239" s="458" t="s">
        <v>60</v>
      </c>
      <c r="M239" s="463" t="n">
        <f aca="false">I239-D239</f>
        <v>1340</v>
      </c>
    </row>
    <row r="240" customFormat="false" ht="12.75" hidden="false" customHeight="true" outlineLevel="0" collapsed="false">
      <c r="A240" s="449" t="n">
        <v>23916</v>
      </c>
      <c r="B240" s="450" t="s">
        <v>16165</v>
      </c>
      <c r="C240" s="450" t="n">
        <v>2014</v>
      </c>
      <c r="D240" s="451" t="n">
        <v>41829</v>
      </c>
      <c r="E240" s="450" t="s">
        <v>16166</v>
      </c>
      <c r="F240" s="450" t="s">
        <v>4819</v>
      </c>
      <c r="G240" s="450" t="s">
        <v>1174</v>
      </c>
      <c r="H240" s="450" t="s">
        <v>6674</v>
      </c>
      <c r="I240" s="451" t="n">
        <v>42726</v>
      </c>
      <c r="J240" s="452" t="n">
        <v>12</v>
      </c>
      <c r="K240" s="623" t="s">
        <v>50</v>
      </c>
      <c r="L240" s="450" t="s">
        <v>60</v>
      </c>
      <c r="M240" s="455" t="n">
        <f aca="false">I240-D240</f>
        <v>897</v>
      </c>
    </row>
    <row r="241" customFormat="false" ht="12.75" hidden="false" customHeight="true" outlineLevel="0" collapsed="false">
      <c r="A241" s="456" t="n">
        <v>24016</v>
      </c>
      <c r="B241" s="458" t="s">
        <v>16167</v>
      </c>
      <c r="C241" s="458" t="n">
        <v>2014</v>
      </c>
      <c r="D241" s="459" t="n">
        <v>41985</v>
      </c>
      <c r="E241" s="458" t="s">
        <v>16168</v>
      </c>
      <c r="F241" s="458" t="s">
        <v>168</v>
      </c>
      <c r="G241" s="458" t="s">
        <v>1174</v>
      </c>
      <c r="H241" s="458" t="s">
        <v>350</v>
      </c>
      <c r="I241" s="459" t="n">
        <v>42726</v>
      </c>
      <c r="J241" s="460" t="n">
        <v>12</v>
      </c>
      <c r="K241" s="619" t="s">
        <v>42</v>
      </c>
      <c r="L241" s="458" t="s">
        <v>58</v>
      </c>
      <c r="M241" s="463" t="n">
        <f aca="false">I241-D241</f>
        <v>741</v>
      </c>
    </row>
    <row r="242" customFormat="false" ht="12.75" hidden="false" customHeight="true" outlineLevel="0" collapsed="false">
      <c r="A242" s="449" t="n">
        <v>24116</v>
      </c>
      <c r="B242" s="450" t="s">
        <v>16169</v>
      </c>
      <c r="C242" s="450" t="n">
        <v>2014</v>
      </c>
      <c r="D242" s="451" t="n">
        <v>41948</v>
      </c>
      <c r="E242" s="450" t="s">
        <v>16170</v>
      </c>
      <c r="F242" s="450" t="s">
        <v>168</v>
      </c>
      <c r="G242" s="450" t="s">
        <v>1174</v>
      </c>
      <c r="H242" s="450" t="s">
        <v>706</v>
      </c>
      <c r="I242" s="451" t="n">
        <v>42726</v>
      </c>
      <c r="J242" s="452" t="n">
        <v>12</v>
      </c>
      <c r="K242" s="619" t="s">
        <v>42</v>
      </c>
      <c r="L242" s="450" t="s">
        <v>58</v>
      </c>
      <c r="M242" s="455" t="n">
        <f aca="false">I242-D242</f>
        <v>778</v>
      </c>
    </row>
    <row r="243" customFormat="false" ht="12.75" hidden="false" customHeight="true" outlineLevel="0" collapsed="false">
      <c r="A243" s="456" t="n">
        <v>24216</v>
      </c>
      <c r="B243" s="458" t="s">
        <v>16171</v>
      </c>
      <c r="C243" s="458" t="n">
        <v>2009</v>
      </c>
      <c r="D243" s="459" t="n">
        <v>40168</v>
      </c>
      <c r="E243" s="458" t="s">
        <v>16172</v>
      </c>
      <c r="F243" s="458" t="s">
        <v>699</v>
      </c>
      <c r="G243" s="458" t="s">
        <v>1174</v>
      </c>
      <c r="H243" s="458" t="s">
        <v>706</v>
      </c>
      <c r="I243" s="459" t="n">
        <v>42726</v>
      </c>
      <c r="J243" s="460" t="n">
        <v>12</v>
      </c>
      <c r="K243" s="619" t="s">
        <v>42</v>
      </c>
      <c r="L243" s="458" t="s">
        <v>60</v>
      </c>
      <c r="M243" s="463" t="n">
        <f aca="false">I243-D243</f>
        <v>2558</v>
      </c>
    </row>
    <row r="244" customFormat="false" ht="12.75" hidden="false" customHeight="true" outlineLevel="0" collapsed="false">
      <c r="A244" s="449" t="n">
        <v>24316</v>
      </c>
      <c r="B244" s="450" t="s">
        <v>16173</v>
      </c>
      <c r="C244" s="450" t="n">
        <v>2015</v>
      </c>
      <c r="D244" s="451" t="n">
        <v>42123</v>
      </c>
      <c r="E244" s="450" t="s">
        <v>16174</v>
      </c>
      <c r="F244" s="450" t="s">
        <v>168</v>
      </c>
      <c r="G244" s="450" t="s">
        <v>1174</v>
      </c>
      <c r="H244" s="450" t="s">
        <v>263</v>
      </c>
      <c r="I244" s="451" t="n">
        <v>42727</v>
      </c>
      <c r="J244" s="452" t="n">
        <v>12</v>
      </c>
      <c r="K244" s="619" t="s">
        <v>42</v>
      </c>
      <c r="L244" s="450" t="s">
        <v>58</v>
      </c>
      <c r="M244" s="455" t="n">
        <f aca="false">I244-D244</f>
        <v>604</v>
      </c>
    </row>
    <row r="245" customFormat="false" ht="12.75" hidden="false" customHeight="true" outlineLevel="0" collapsed="false">
      <c r="A245" s="456" t="n">
        <v>24416</v>
      </c>
      <c r="B245" s="458" t="s">
        <v>16175</v>
      </c>
      <c r="C245" s="458" t="n">
        <v>2015</v>
      </c>
      <c r="D245" s="459" t="n">
        <v>42215</v>
      </c>
      <c r="E245" s="458" t="s">
        <v>16176</v>
      </c>
      <c r="F245" s="458" t="s">
        <v>168</v>
      </c>
      <c r="G245" s="458" t="s">
        <v>1174</v>
      </c>
      <c r="H245" s="458" t="s">
        <v>1072</v>
      </c>
      <c r="I245" s="459" t="n">
        <v>42727</v>
      </c>
      <c r="J245" s="460" t="n">
        <v>12</v>
      </c>
      <c r="K245" s="619" t="s">
        <v>42</v>
      </c>
      <c r="L245" s="458" t="s">
        <v>58</v>
      </c>
      <c r="M245" s="463" t="n">
        <f aca="false">I245-D245</f>
        <v>512</v>
      </c>
    </row>
    <row r="246" customFormat="false" ht="12.75" hidden="false" customHeight="true" outlineLevel="0" collapsed="false">
      <c r="A246" s="449" t="n">
        <v>24516</v>
      </c>
      <c r="B246" s="450" t="s">
        <v>16177</v>
      </c>
      <c r="C246" s="450" t="n">
        <v>2015</v>
      </c>
      <c r="D246" s="451" t="n">
        <v>42347</v>
      </c>
      <c r="E246" s="450" t="s">
        <v>16178</v>
      </c>
      <c r="F246" s="450" t="s">
        <v>168</v>
      </c>
      <c r="G246" s="450" t="s">
        <v>1174</v>
      </c>
      <c r="H246" s="450" t="s">
        <v>267</v>
      </c>
      <c r="I246" s="451" t="n">
        <v>42727</v>
      </c>
      <c r="J246" s="452" t="n">
        <v>12</v>
      </c>
      <c r="K246" s="619" t="s">
        <v>42</v>
      </c>
      <c r="L246" s="450" t="s">
        <v>58</v>
      </c>
      <c r="M246" s="455" t="n">
        <f aca="false">I246-D246</f>
        <v>380</v>
      </c>
    </row>
    <row r="247" customFormat="false" ht="12.75" hidden="false" customHeight="true" outlineLevel="0" collapsed="false">
      <c r="A247" s="456" t="n">
        <v>24616</v>
      </c>
      <c r="B247" s="458" t="s">
        <v>16179</v>
      </c>
      <c r="C247" s="458" t="n">
        <v>2015</v>
      </c>
      <c r="D247" s="459" t="n">
        <v>42356</v>
      </c>
      <c r="E247" s="458" t="s">
        <v>16180</v>
      </c>
      <c r="F247" s="458" t="s">
        <v>168</v>
      </c>
      <c r="G247" s="458" t="s">
        <v>1174</v>
      </c>
      <c r="H247" s="458" t="s">
        <v>2677</v>
      </c>
      <c r="I247" s="459" t="n">
        <v>42727</v>
      </c>
      <c r="J247" s="460" t="n">
        <v>12</v>
      </c>
      <c r="K247" s="619" t="s">
        <v>42</v>
      </c>
      <c r="L247" s="458" t="s">
        <v>58</v>
      </c>
      <c r="M247" s="463" t="n">
        <f aca="false">I247-D247</f>
        <v>371</v>
      </c>
    </row>
    <row r="248" customFormat="false" ht="12.75" hidden="false" customHeight="true" outlineLevel="0" collapsed="false">
      <c r="A248" s="449" t="n">
        <v>24716</v>
      </c>
      <c r="B248" s="450" t="s">
        <v>16181</v>
      </c>
      <c r="C248" s="450" t="n">
        <v>2016</v>
      </c>
      <c r="D248" s="451" t="n">
        <v>42506</v>
      </c>
      <c r="E248" s="450" t="s">
        <v>16182</v>
      </c>
      <c r="F248" s="450" t="s">
        <v>168</v>
      </c>
      <c r="G248" s="450" t="s">
        <v>1174</v>
      </c>
      <c r="H248" s="450" t="s">
        <v>2283</v>
      </c>
      <c r="I248" s="451" t="n">
        <v>42727</v>
      </c>
      <c r="J248" s="452" t="n">
        <v>12</v>
      </c>
      <c r="K248" s="619" t="s">
        <v>42</v>
      </c>
      <c r="L248" s="450" t="s">
        <v>58</v>
      </c>
      <c r="M248" s="455" t="n">
        <f aca="false">I248-D248</f>
        <v>221</v>
      </c>
    </row>
    <row r="249" customFormat="false" ht="12.75" hidden="false" customHeight="true" outlineLevel="0" collapsed="false">
      <c r="A249" s="456" t="n">
        <v>24816</v>
      </c>
      <c r="B249" s="458" t="s">
        <v>16183</v>
      </c>
      <c r="C249" s="458" t="n">
        <v>2016</v>
      </c>
      <c r="D249" s="459" t="n">
        <v>42543</v>
      </c>
      <c r="E249" s="458" t="s">
        <v>16184</v>
      </c>
      <c r="F249" s="458" t="s">
        <v>15802</v>
      </c>
      <c r="G249" s="458" t="s">
        <v>1174</v>
      </c>
      <c r="H249" s="458" t="s">
        <v>267</v>
      </c>
      <c r="I249" s="459" t="n">
        <v>42727</v>
      </c>
      <c r="J249" s="460" t="n">
        <v>12</v>
      </c>
      <c r="K249" s="619" t="s">
        <v>42</v>
      </c>
      <c r="L249" s="458" t="s">
        <v>58</v>
      </c>
      <c r="M249" s="463" t="n">
        <f aca="false">I249-D249</f>
        <v>184</v>
      </c>
    </row>
    <row r="250" customFormat="false" ht="12.75" hidden="false" customHeight="true" outlineLevel="0" collapsed="false">
      <c r="A250" s="449" t="n">
        <v>24916</v>
      </c>
      <c r="B250" s="450" t="s">
        <v>16185</v>
      </c>
      <c r="C250" s="450" t="n">
        <v>2016</v>
      </c>
      <c r="D250" s="451" t="n">
        <v>42538</v>
      </c>
      <c r="E250" s="450" t="s">
        <v>16186</v>
      </c>
      <c r="F250" s="450" t="s">
        <v>699</v>
      </c>
      <c r="G250" s="450" t="s">
        <v>1174</v>
      </c>
      <c r="H250" s="450" t="s">
        <v>267</v>
      </c>
      <c r="I250" s="451" t="n">
        <v>42727</v>
      </c>
      <c r="J250" s="452" t="n">
        <v>12</v>
      </c>
      <c r="K250" s="619" t="s">
        <v>42</v>
      </c>
      <c r="L250" s="450" t="s">
        <v>60</v>
      </c>
      <c r="M250" s="455" t="n">
        <f aca="false">I250-D250</f>
        <v>189</v>
      </c>
    </row>
    <row r="251" customFormat="false" ht="12.75" hidden="false" customHeight="true" outlineLevel="0" collapsed="false">
      <c r="A251" s="456" t="n">
        <v>25016</v>
      </c>
      <c r="B251" s="458" t="s">
        <v>16187</v>
      </c>
      <c r="C251" s="458" t="n">
        <v>2015</v>
      </c>
      <c r="D251" s="459" t="n">
        <v>42094</v>
      </c>
      <c r="E251" s="458" t="s">
        <v>16188</v>
      </c>
      <c r="F251" s="458" t="s">
        <v>525</v>
      </c>
      <c r="G251" s="458" t="s">
        <v>144</v>
      </c>
      <c r="H251" s="458" t="s">
        <v>1109</v>
      </c>
      <c r="I251" s="459" t="n">
        <v>42727</v>
      </c>
      <c r="J251" s="460" t="n">
        <v>12</v>
      </c>
      <c r="K251" s="620" t="s">
        <v>47</v>
      </c>
      <c r="L251" s="458" t="s">
        <v>57</v>
      </c>
      <c r="M251" s="463" t="n">
        <f aca="false">I251-D251</f>
        <v>633</v>
      </c>
    </row>
    <row r="252" customFormat="false" ht="12.75" hidden="false" customHeight="true" outlineLevel="0" collapsed="false">
      <c r="A252" s="449" t="n">
        <v>25116</v>
      </c>
      <c r="B252" s="450" t="s">
        <v>16189</v>
      </c>
      <c r="C252" s="450" t="n">
        <v>2008</v>
      </c>
      <c r="D252" s="451" t="n">
        <v>39506</v>
      </c>
      <c r="E252" s="450" t="s">
        <v>16190</v>
      </c>
      <c r="F252" s="450" t="s">
        <v>408</v>
      </c>
      <c r="G252" s="450" t="s">
        <v>1174</v>
      </c>
      <c r="H252" s="450" t="s">
        <v>254</v>
      </c>
      <c r="I252" s="451" t="n">
        <v>42730</v>
      </c>
      <c r="J252" s="452" t="n">
        <v>12</v>
      </c>
      <c r="K252" s="623" t="s">
        <v>50</v>
      </c>
      <c r="L252" s="450" t="s">
        <v>60</v>
      </c>
      <c r="M252" s="455" t="n">
        <f aca="false">I252-D252</f>
        <v>3224</v>
      </c>
    </row>
    <row r="253" customFormat="false" ht="12.75" hidden="false" customHeight="true" outlineLevel="0" collapsed="false">
      <c r="A253" s="456" t="n">
        <v>25216</v>
      </c>
      <c r="B253" s="458" t="s">
        <v>16191</v>
      </c>
      <c r="C253" s="458" t="n">
        <v>2010</v>
      </c>
      <c r="D253" s="459" t="n">
        <v>40543</v>
      </c>
      <c r="E253" s="458" t="s">
        <v>16192</v>
      </c>
      <c r="F253" s="458" t="s">
        <v>723</v>
      </c>
      <c r="G253" s="458" t="s">
        <v>441</v>
      </c>
      <c r="H253" s="458" t="s">
        <v>706</v>
      </c>
      <c r="I253" s="459" t="n">
        <v>42731</v>
      </c>
      <c r="J253" s="460" t="n">
        <v>12</v>
      </c>
      <c r="K253" s="619" t="s">
        <v>42</v>
      </c>
      <c r="L253" s="458" t="s">
        <v>58</v>
      </c>
      <c r="M253" s="463" t="n">
        <f aca="false">I253-D253</f>
        <v>2188</v>
      </c>
    </row>
    <row r="254" customFormat="false" ht="12.75" hidden="false" customHeight="true" outlineLevel="0" collapsed="false">
      <c r="A254" s="449" t="n">
        <v>25316</v>
      </c>
      <c r="B254" s="450" t="s">
        <v>16193</v>
      </c>
      <c r="C254" s="450" t="n">
        <v>2011</v>
      </c>
      <c r="D254" s="451" t="n">
        <v>40737</v>
      </c>
      <c r="E254" s="450" t="s">
        <v>16194</v>
      </c>
      <c r="F254" s="450" t="s">
        <v>823</v>
      </c>
      <c r="G254" s="450" t="s">
        <v>1174</v>
      </c>
      <c r="H254" s="450" t="s">
        <v>354</v>
      </c>
      <c r="I254" s="451" t="n">
        <v>42731</v>
      </c>
      <c r="J254" s="452" t="n">
        <v>12</v>
      </c>
      <c r="K254" s="620" t="s">
        <v>47</v>
      </c>
      <c r="L254" s="450" t="s">
        <v>58</v>
      </c>
      <c r="M254" s="455" t="n">
        <f aca="false">I254-D254</f>
        <v>1994</v>
      </c>
    </row>
    <row r="255" customFormat="false" ht="12.75" hidden="false" customHeight="true" outlineLevel="0" collapsed="false">
      <c r="A255" s="456" t="n">
        <v>25416</v>
      </c>
      <c r="B255" s="458" t="s">
        <v>16195</v>
      </c>
      <c r="C255" s="458" t="n">
        <v>2013</v>
      </c>
      <c r="D255" s="459" t="n">
        <v>41618</v>
      </c>
      <c r="E255" s="458" t="s">
        <v>16196</v>
      </c>
      <c r="F255" s="458" t="s">
        <v>823</v>
      </c>
      <c r="G255" s="458" t="s">
        <v>1174</v>
      </c>
      <c r="H255" s="458" t="s">
        <v>6755</v>
      </c>
      <c r="I255" s="459" t="n">
        <v>42731</v>
      </c>
      <c r="J255" s="460" t="n">
        <v>12</v>
      </c>
      <c r="K255" s="620" t="s">
        <v>47</v>
      </c>
      <c r="L255" s="458" t="s">
        <v>58</v>
      </c>
      <c r="M255" s="463" t="n">
        <f aca="false">I255-D255</f>
        <v>1113</v>
      </c>
    </row>
    <row r="256" customFormat="false" ht="12.75" hidden="false" customHeight="true" outlineLevel="0" collapsed="false">
      <c r="A256" s="449" t="n">
        <v>25516</v>
      </c>
      <c r="B256" s="450" t="s">
        <v>16197</v>
      </c>
      <c r="C256" s="450" t="n">
        <v>2011</v>
      </c>
      <c r="D256" s="451" t="n">
        <v>40896</v>
      </c>
      <c r="E256" s="450" t="s">
        <v>16198</v>
      </c>
      <c r="F256" s="450" t="s">
        <v>168</v>
      </c>
      <c r="G256" s="450" t="s">
        <v>1174</v>
      </c>
      <c r="H256" s="450" t="s">
        <v>706</v>
      </c>
      <c r="I256" s="451" t="n">
        <v>42731</v>
      </c>
      <c r="J256" s="452" t="n">
        <v>12</v>
      </c>
      <c r="K256" s="619" t="s">
        <v>42</v>
      </c>
      <c r="L256" s="450" t="s">
        <v>58</v>
      </c>
      <c r="M256" s="455" t="n">
        <f aca="false">I256-D256</f>
        <v>1835</v>
      </c>
    </row>
    <row r="257" customFormat="false" ht="12.75" hidden="false" customHeight="true" outlineLevel="0" collapsed="false">
      <c r="A257" s="456" t="n">
        <v>25616</v>
      </c>
      <c r="B257" s="458" t="s">
        <v>16199</v>
      </c>
      <c r="C257" s="458" t="n">
        <v>2013</v>
      </c>
      <c r="D257" s="459" t="n">
        <v>41394</v>
      </c>
      <c r="E257" s="458" t="s">
        <v>16200</v>
      </c>
      <c r="F257" s="458" t="s">
        <v>9647</v>
      </c>
      <c r="G257" s="458" t="s">
        <v>1174</v>
      </c>
      <c r="H257" s="458" t="s">
        <v>354</v>
      </c>
      <c r="I257" s="459" t="n">
        <v>42731</v>
      </c>
      <c r="J257" s="460" t="n">
        <v>12</v>
      </c>
      <c r="K257" s="623" t="s">
        <v>50</v>
      </c>
      <c r="L257" s="458" t="s">
        <v>60</v>
      </c>
      <c r="M257" s="463" t="n">
        <f aca="false">I257-D257</f>
        <v>1337</v>
      </c>
    </row>
    <row r="258" customFormat="false" ht="12.75" hidden="false" customHeight="true" outlineLevel="0" collapsed="false">
      <c r="A258" s="449" t="n">
        <v>25716</v>
      </c>
      <c r="B258" s="450" t="s">
        <v>16201</v>
      </c>
      <c r="C258" s="450" t="n">
        <v>2012</v>
      </c>
      <c r="D258" s="451" t="n">
        <v>41002</v>
      </c>
      <c r="E258" s="450" t="s">
        <v>16202</v>
      </c>
      <c r="F258" s="450" t="s">
        <v>16203</v>
      </c>
      <c r="G258" s="450" t="s">
        <v>115</v>
      </c>
      <c r="H258" s="450" t="s">
        <v>119</v>
      </c>
      <c r="I258" s="451" t="n">
        <v>42732</v>
      </c>
      <c r="J258" s="452" t="n">
        <v>12</v>
      </c>
      <c r="K258" s="619" t="s">
        <v>42</v>
      </c>
      <c r="L258" s="450" t="s">
        <v>58</v>
      </c>
      <c r="M258" s="455" t="n">
        <f aca="false">I258-D258</f>
        <v>1730</v>
      </c>
    </row>
    <row r="259" customFormat="false" ht="12.75" hidden="false" customHeight="true" outlineLevel="0" collapsed="false">
      <c r="A259" s="456" t="n">
        <v>25816</v>
      </c>
      <c r="B259" s="458" t="s">
        <v>16204</v>
      </c>
      <c r="C259" s="458" t="n">
        <v>2014</v>
      </c>
      <c r="D259" s="459" t="n">
        <v>41788</v>
      </c>
      <c r="E259" s="458" t="s">
        <v>16205</v>
      </c>
      <c r="F259" s="458" t="s">
        <v>1277</v>
      </c>
      <c r="G259" s="458" t="s">
        <v>1174</v>
      </c>
      <c r="H259" s="458" t="s">
        <v>5230</v>
      </c>
      <c r="I259" s="459" t="n">
        <v>42732</v>
      </c>
      <c r="J259" s="460" t="n">
        <v>12</v>
      </c>
      <c r="K259" s="622" t="s">
        <v>45</v>
      </c>
      <c r="L259" s="458" t="s">
        <v>58</v>
      </c>
      <c r="M259" s="463" t="n">
        <f aca="false">I259-D259</f>
        <v>944</v>
      </c>
    </row>
    <row r="260" customFormat="false" ht="12.75" hidden="false" customHeight="true" outlineLevel="0" collapsed="false">
      <c r="A260" s="449" t="n">
        <v>25916</v>
      </c>
      <c r="B260" s="450" t="s">
        <v>16206</v>
      </c>
      <c r="C260" s="450" t="n">
        <v>2014</v>
      </c>
      <c r="D260" s="451" t="n">
        <v>41879</v>
      </c>
      <c r="E260" s="450" t="s">
        <v>16207</v>
      </c>
      <c r="F260" s="450" t="s">
        <v>1277</v>
      </c>
      <c r="G260" s="450" t="s">
        <v>1174</v>
      </c>
      <c r="H260" s="450" t="s">
        <v>267</v>
      </c>
      <c r="I260" s="451" t="n">
        <v>42732</v>
      </c>
      <c r="J260" s="452" t="n">
        <v>12</v>
      </c>
      <c r="K260" s="622" t="s">
        <v>45</v>
      </c>
      <c r="L260" s="450" t="s">
        <v>58</v>
      </c>
      <c r="M260" s="455" t="n">
        <f aca="false">I260-D260</f>
        <v>853</v>
      </c>
    </row>
    <row r="261" customFormat="false" ht="12.75" hidden="false" customHeight="true" outlineLevel="0" collapsed="false">
      <c r="A261" s="456" t="n">
        <v>26016</v>
      </c>
      <c r="B261" s="458" t="s">
        <v>16208</v>
      </c>
      <c r="C261" s="458" t="n">
        <v>2014</v>
      </c>
      <c r="D261" s="459" t="n">
        <v>41767</v>
      </c>
      <c r="E261" s="458" t="s">
        <v>16209</v>
      </c>
      <c r="F261" s="458" t="s">
        <v>1277</v>
      </c>
      <c r="G261" s="458" t="s">
        <v>1174</v>
      </c>
      <c r="H261" s="458" t="s">
        <v>267</v>
      </c>
      <c r="I261" s="459" t="n">
        <v>42732</v>
      </c>
      <c r="J261" s="460" t="n">
        <v>12</v>
      </c>
      <c r="K261" s="622" t="s">
        <v>45</v>
      </c>
      <c r="L261" s="458" t="s">
        <v>58</v>
      </c>
      <c r="M261" s="463" t="n">
        <f aca="false">I261-D261</f>
        <v>965</v>
      </c>
    </row>
    <row r="262" customFormat="false" ht="12.75" hidden="false" customHeight="true" outlineLevel="0" collapsed="false">
      <c r="A262" s="449" t="n">
        <v>26116</v>
      </c>
      <c r="B262" s="450" t="s">
        <v>16210</v>
      </c>
      <c r="C262" s="450" t="n">
        <v>2015</v>
      </c>
      <c r="D262" s="451" t="n">
        <v>42081</v>
      </c>
      <c r="E262" s="450" t="s">
        <v>16211</v>
      </c>
      <c r="F262" s="450" t="s">
        <v>15092</v>
      </c>
      <c r="G262" s="450" t="s">
        <v>1174</v>
      </c>
      <c r="H262" s="450" t="s">
        <v>184</v>
      </c>
      <c r="I262" s="451" t="n">
        <v>42732</v>
      </c>
      <c r="J262" s="452" t="n">
        <v>12</v>
      </c>
      <c r="K262" s="619" t="s">
        <v>42</v>
      </c>
      <c r="L262" s="450" t="s">
        <v>58</v>
      </c>
      <c r="M262" s="455" t="n">
        <f aca="false">I262-D262</f>
        <v>651</v>
      </c>
    </row>
    <row r="263" customFormat="false" ht="12.75" hidden="false" customHeight="true" outlineLevel="0" collapsed="false">
      <c r="A263" s="456" t="n">
        <v>26216</v>
      </c>
      <c r="B263" s="458" t="s">
        <v>16212</v>
      </c>
      <c r="C263" s="458" t="n">
        <v>2015</v>
      </c>
      <c r="D263" s="459" t="n">
        <v>42290</v>
      </c>
      <c r="E263" s="458" t="s">
        <v>16213</v>
      </c>
      <c r="F263" s="458" t="s">
        <v>138</v>
      </c>
      <c r="G263" s="458" t="s">
        <v>1174</v>
      </c>
      <c r="H263" s="458" t="s">
        <v>1072</v>
      </c>
      <c r="I263" s="459" t="n">
        <v>42732</v>
      </c>
      <c r="J263" s="460" t="n">
        <v>12</v>
      </c>
      <c r="K263" s="622" t="s">
        <v>45</v>
      </c>
      <c r="L263" s="458" t="s">
        <v>60</v>
      </c>
      <c r="M263" s="463" t="n">
        <f aca="false">I263-D263</f>
        <v>442</v>
      </c>
    </row>
    <row r="264" customFormat="false" ht="12.75" hidden="false" customHeight="true" outlineLevel="0" collapsed="false">
      <c r="A264" s="449" t="n">
        <v>26316</v>
      </c>
      <c r="B264" s="450" t="s">
        <v>16214</v>
      </c>
      <c r="C264" s="450" t="n">
        <v>2012</v>
      </c>
      <c r="D264" s="451" t="n">
        <v>41212</v>
      </c>
      <c r="E264" s="450" t="s">
        <v>16215</v>
      </c>
      <c r="F264" s="450" t="s">
        <v>823</v>
      </c>
      <c r="G264" s="450" t="s">
        <v>1174</v>
      </c>
      <c r="H264" s="450" t="s">
        <v>13796</v>
      </c>
      <c r="I264" s="451" t="n">
        <v>42732</v>
      </c>
      <c r="J264" s="452" t="n">
        <v>12</v>
      </c>
      <c r="K264" s="620" t="s">
        <v>47</v>
      </c>
      <c r="L264" s="450" t="s">
        <v>58</v>
      </c>
      <c r="M264" s="455" t="n">
        <f aca="false">I264-D264</f>
        <v>1520</v>
      </c>
    </row>
    <row r="265" customFormat="false" ht="12.75" hidden="false" customHeight="true" outlineLevel="0" collapsed="false">
      <c r="A265" s="456" t="n">
        <v>26416</v>
      </c>
      <c r="B265" s="458" t="s">
        <v>16216</v>
      </c>
      <c r="C265" s="458" t="n">
        <v>2013</v>
      </c>
      <c r="D265" s="459" t="n">
        <v>41473</v>
      </c>
      <c r="E265" s="458" t="s">
        <v>16217</v>
      </c>
      <c r="F265" s="458" t="s">
        <v>1277</v>
      </c>
      <c r="G265" s="458" t="s">
        <v>1174</v>
      </c>
      <c r="H265" s="458" t="s">
        <v>522</v>
      </c>
      <c r="I265" s="459" t="n">
        <v>42732</v>
      </c>
      <c r="J265" s="460" t="n">
        <v>12</v>
      </c>
      <c r="K265" s="622" t="s">
        <v>45</v>
      </c>
      <c r="L265" s="458" t="s">
        <v>58</v>
      </c>
      <c r="M265" s="463" t="n">
        <f aca="false">I265-D265</f>
        <v>1259</v>
      </c>
    </row>
    <row r="266" customFormat="false" ht="12.75" hidden="false" customHeight="true" outlineLevel="0" collapsed="false">
      <c r="A266" s="449" t="n">
        <v>26516</v>
      </c>
      <c r="B266" s="450" t="s">
        <v>16218</v>
      </c>
      <c r="C266" s="450" t="n">
        <v>2015</v>
      </c>
      <c r="D266" s="451" t="n">
        <v>42124</v>
      </c>
      <c r="E266" s="450" t="s">
        <v>16219</v>
      </c>
      <c r="F266" s="450" t="s">
        <v>168</v>
      </c>
      <c r="G266" s="450" t="s">
        <v>1174</v>
      </c>
      <c r="H266" s="450" t="s">
        <v>223</v>
      </c>
      <c r="I266" s="451" t="n">
        <v>42732</v>
      </c>
      <c r="J266" s="452" t="n">
        <v>12</v>
      </c>
      <c r="K266" s="619" t="s">
        <v>42</v>
      </c>
      <c r="L266" s="450" t="s">
        <v>58</v>
      </c>
      <c r="M266" s="455" t="n">
        <f aca="false">I266-D266</f>
        <v>608</v>
      </c>
    </row>
    <row r="267" customFormat="false" ht="12.75" hidden="false" customHeight="true" outlineLevel="0" collapsed="false">
      <c r="A267" s="456" t="n">
        <v>26616</v>
      </c>
      <c r="B267" s="458" t="s">
        <v>16220</v>
      </c>
      <c r="C267" s="458" t="n">
        <v>2014</v>
      </c>
      <c r="D267" s="459" t="n">
        <v>42003</v>
      </c>
      <c r="E267" s="458" t="s">
        <v>16221</v>
      </c>
      <c r="F267" s="625" t="s">
        <v>10768</v>
      </c>
      <c r="G267" s="458" t="s">
        <v>125</v>
      </c>
      <c r="H267" s="458" t="s">
        <v>1109</v>
      </c>
      <c r="I267" s="459" t="n">
        <v>42732</v>
      </c>
      <c r="J267" s="460" t="n">
        <v>12</v>
      </c>
      <c r="K267" s="620" t="s">
        <v>47</v>
      </c>
      <c r="L267" s="458" t="s">
        <v>61</v>
      </c>
      <c r="M267" s="463" t="n">
        <f aca="false">I267-D267</f>
        <v>729</v>
      </c>
    </row>
    <row r="268" customFormat="false" ht="12.75" hidden="false" customHeight="true" outlineLevel="0" collapsed="false">
      <c r="A268" s="449" t="n">
        <v>26716</v>
      </c>
      <c r="B268" s="450" t="s">
        <v>16222</v>
      </c>
      <c r="C268" s="450" t="n">
        <v>2014</v>
      </c>
      <c r="D268" s="451" t="n">
        <v>41905</v>
      </c>
      <c r="E268" s="450" t="s">
        <v>16223</v>
      </c>
      <c r="F268" s="450" t="s">
        <v>15092</v>
      </c>
      <c r="G268" s="450" t="s">
        <v>441</v>
      </c>
      <c r="H268" s="450" t="s">
        <v>350</v>
      </c>
      <c r="I268" s="451" t="n">
        <v>42732</v>
      </c>
      <c r="J268" s="452" t="n">
        <v>12</v>
      </c>
      <c r="K268" s="619" t="s">
        <v>42</v>
      </c>
      <c r="L268" s="450" t="s">
        <v>60</v>
      </c>
      <c r="M268" s="455" t="n">
        <f aca="false">I268-D268</f>
        <v>827</v>
      </c>
    </row>
    <row r="269" customFormat="false" ht="12.75" hidden="false" customHeight="true" outlineLevel="0" collapsed="false">
      <c r="A269" s="456" t="n">
        <v>26816</v>
      </c>
      <c r="B269" s="458" t="s">
        <v>16224</v>
      </c>
      <c r="C269" s="458" t="n">
        <v>2015</v>
      </c>
      <c r="D269" s="459" t="n">
        <v>42334</v>
      </c>
      <c r="E269" s="458" t="s">
        <v>16225</v>
      </c>
      <c r="F269" s="625" t="s">
        <v>10840</v>
      </c>
      <c r="G269" s="458" t="s">
        <v>125</v>
      </c>
      <c r="H269" s="458" t="s">
        <v>2283</v>
      </c>
      <c r="I269" s="459" t="n">
        <v>42732</v>
      </c>
      <c r="J269" s="460" t="n">
        <v>12</v>
      </c>
      <c r="K269" s="623" t="s">
        <v>50</v>
      </c>
      <c r="L269" s="458" t="s">
        <v>61</v>
      </c>
      <c r="M269" s="463" t="n">
        <f aca="false">I269-D269</f>
        <v>398</v>
      </c>
    </row>
    <row r="270" customFormat="false" ht="12.75" hidden="false" customHeight="true" outlineLevel="0" collapsed="false">
      <c r="A270" s="449" t="n">
        <v>26916</v>
      </c>
      <c r="B270" s="450" t="s">
        <v>16226</v>
      </c>
      <c r="C270" s="450" t="n">
        <v>2013</v>
      </c>
      <c r="D270" s="451" t="n">
        <v>41626</v>
      </c>
      <c r="E270" s="450" t="s">
        <v>16227</v>
      </c>
      <c r="F270" s="450" t="s">
        <v>9647</v>
      </c>
      <c r="G270" s="450" t="s">
        <v>1174</v>
      </c>
      <c r="H270" s="450" t="s">
        <v>2278</v>
      </c>
      <c r="I270" s="451" t="n">
        <v>42732</v>
      </c>
      <c r="J270" s="452" t="n">
        <v>12</v>
      </c>
      <c r="K270" s="623" t="s">
        <v>50</v>
      </c>
      <c r="L270" s="450" t="s">
        <v>60</v>
      </c>
      <c r="M270" s="455" t="n">
        <f aca="false">I270-D270</f>
        <v>1106</v>
      </c>
    </row>
    <row r="271" customFormat="false" ht="12.75" hidden="false" customHeight="true" outlineLevel="0" collapsed="false">
      <c r="A271" s="456" t="n">
        <v>27016</v>
      </c>
      <c r="B271" s="458" t="s">
        <v>16228</v>
      </c>
      <c r="C271" s="458" t="n">
        <v>2010</v>
      </c>
      <c r="D271" s="459" t="n">
        <v>40371</v>
      </c>
      <c r="E271" s="458" t="s">
        <v>16229</v>
      </c>
      <c r="F271" s="458" t="s">
        <v>15092</v>
      </c>
      <c r="G271" s="458" t="s">
        <v>1174</v>
      </c>
      <c r="H271" s="458" t="s">
        <v>6480</v>
      </c>
      <c r="I271" s="459" t="n">
        <v>42733</v>
      </c>
      <c r="J271" s="460" t="n">
        <v>12</v>
      </c>
      <c r="K271" s="619" t="s">
        <v>42</v>
      </c>
      <c r="L271" s="458" t="s">
        <v>58</v>
      </c>
      <c r="M271" s="463" t="n">
        <f aca="false">I271-D271</f>
        <v>2362</v>
      </c>
    </row>
    <row r="272" customFormat="false" ht="12.75" hidden="false" customHeight="true" outlineLevel="0" collapsed="false">
      <c r="A272" s="449" t="n">
        <v>27116</v>
      </c>
      <c r="B272" s="450" t="s">
        <v>16230</v>
      </c>
      <c r="C272" s="450" t="n">
        <v>2014</v>
      </c>
      <c r="D272" s="451" t="n">
        <v>41810</v>
      </c>
      <c r="E272" s="450" t="s">
        <v>16231</v>
      </c>
      <c r="F272" s="450" t="s">
        <v>9647</v>
      </c>
      <c r="G272" s="450" t="s">
        <v>1174</v>
      </c>
      <c r="H272" s="450" t="s">
        <v>522</v>
      </c>
      <c r="I272" s="451" t="n">
        <v>42733</v>
      </c>
      <c r="J272" s="452" t="n">
        <v>12</v>
      </c>
      <c r="K272" s="623" t="s">
        <v>50</v>
      </c>
      <c r="L272" s="450" t="s">
        <v>60</v>
      </c>
      <c r="M272" s="455" t="n">
        <f aca="false">I272-D272</f>
        <v>923</v>
      </c>
    </row>
    <row r="273" customFormat="false" ht="12.75" hidden="false" customHeight="true" outlineLevel="0" collapsed="false">
      <c r="A273" s="456" t="n">
        <v>27216</v>
      </c>
      <c r="B273" s="458" t="s">
        <v>16232</v>
      </c>
      <c r="C273" s="458" t="n">
        <v>2013</v>
      </c>
      <c r="D273" s="459" t="n">
        <v>41325</v>
      </c>
      <c r="E273" s="458" t="s">
        <v>16233</v>
      </c>
      <c r="F273" s="458" t="s">
        <v>9647</v>
      </c>
      <c r="G273" s="458" t="s">
        <v>1174</v>
      </c>
      <c r="H273" s="458" t="s">
        <v>184</v>
      </c>
      <c r="I273" s="459" t="n">
        <v>42733</v>
      </c>
      <c r="J273" s="460" t="n">
        <v>12</v>
      </c>
      <c r="K273" s="623" t="s">
        <v>50</v>
      </c>
      <c r="L273" s="458" t="s">
        <v>60</v>
      </c>
      <c r="M273" s="463" t="n">
        <f aca="false">I273-D273</f>
        <v>1408</v>
      </c>
    </row>
    <row r="274" customFormat="false" ht="12.75" hidden="false" customHeight="true" outlineLevel="0" collapsed="false">
      <c r="A274" s="449" t="n">
        <v>27316</v>
      </c>
      <c r="B274" s="450" t="s">
        <v>16234</v>
      </c>
      <c r="C274" s="450" t="n">
        <v>2013</v>
      </c>
      <c r="D274" s="451" t="n">
        <v>41618</v>
      </c>
      <c r="E274" s="450" t="s">
        <v>16235</v>
      </c>
      <c r="F274" s="450" t="s">
        <v>9647</v>
      </c>
      <c r="G274" s="450" t="s">
        <v>1174</v>
      </c>
      <c r="H274" s="450" t="s">
        <v>6755</v>
      </c>
      <c r="I274" s="451" t="n">
        <v>42733</v>
      </c>
      <c r="J274" s="452" t="n">
        <v>12</v>
      </c>
      <c r="K274" s="623" t="s">
        <v>50</v>
      </c>
      <c r="L274" s="450" t="s">
        <v>60</v>
      </c>
      <c r="M274" s="455" t="n">
        <f aca="false">I274-D274</f>
        <v>1115</v>
      </c>
    </row>
    <row r="275" customFormat="false" ht="12.75" hidden="false" customHeight="true" outlineLevel="0" collapsed="false">
      <c r="A275" s="456" t="n">
        <v>27416</v>
      </c>
      <c r="B275" s="458" t="s">
        <v>16236</v>
      </c>
      <c r="C275" s="458" t="n">
        <v>2013</v>
      </c>
      <c r="D275" s="459" t="n">
        <v>41543</v>
      </c>
      <c r="E275" s="458" t="s">
        <v>16237</v>
      </c>
      <c r="F275" s="458" t="s">
        <v>16238</v>
      </c>
      <c r="G275" s="458" t="s">
        <v>1174</v>
      </c>
      <c r="H275" s="458" t="s">
        <v>223</v>
      </c>
      <c r="I275" s="459" t="n">
        <v>42733</v>
      </c>
      <c r="J275" s="460" t="n">
        <v>12</v>
      </c>
      <c r="K275" s="620" t="s">
        <v>47</v>
      </c>
      <c r="L275" s="458" t="s">
        <v>58</v>
      </c>
      <c r="M275" s="463" t="n">
        <f aca="false">I275-D275</f>
        <v>1190</v>
      </c>
    </row>
    <row r="276" customFormat="false" ht="12.75" hidden="false" customHeight="true" outlineLevel="0" collapsed="false">
      <c r="A276" s="449" t="n">
        <v>27516</v>
      </c>
      <c r="B276" s="450" t="s">
        <v>16239</v>
      </c>
      <c r="C276" s="450" t="n">
        <v>2015</v>
      </c>
      <c r="D276" s="451" t="n">
        <v>42132</v>
      </c>
      <c r="E276" s="450" t="s">
        <v>16240</v>
      </c>
      <c r="F276" s="450" t="s">
        <v>15092</v>
      </c>
      <c r="G276" s="450" t="s">
        <v>1174</v>
      </c>
      <c r="H276" s="450" t="s">
        <v>6570</v>
      </c>
      <c r="I276" s="451" t="n">
        <v>42733</v>
      </c>
      <c r="J276" s="452" t="n">
        <v>12</v>
      </c>
      <c r="K276" s="619" t="s">
        <v>42</v>
      </c>
      <c r="L276" s="450" t="s">
        <v>58</v>
      </c>
      <c r="M276" s="455" t="n">
        <f aca="false">I276-D276</f>
        <v>601</v>
      </c>
    </row>
    <row r="277" customFormat="false" ht="12.75" hidden="false" customHeight="true" outlineLevel="0" collapsed="false">
      <c r="A277" s="456" t="n">
        <v>27616</v>
      </c>
      <c r="B277" s="458" t="s">
        <v>16241</v>
      </c>
      <c r="C277" s="458" t="n">
        <v>2016</v>
      </c>
      <c r="D277" s="459" t="n">
        <v>42529</v>
      </c>
      <c r="E277" s="458" t="s">
        <v>16242</v>
      </c>
      <c r="F277" s="458" t="s">
        <v>1500</v>
      </c>
      <c r="G277" s="458" t="s">
        <v>1174</v>
      </c>
      <c r="H277" s="458" t="s">
        <v>192</v>
      </c>
      <c r="I277" s="459" t="n">
        <v>42733</v>
      </c>
      <c r="J277" s="460" t="n">
        <v>12</v>
      </c>
      <c r="K277" s="623" t="s">
        <v>50</v>
      </c>
      <c r="L277" s="458" t="s">
        <v>60</v>
      </c>
      <c r="M277" s="463" t="n">
        <f aca="false">I277-D277</f>
        <v>204</v>
      </c>
    </row>
    <row r="278" customFormat="false" ht="12.75" hidden="false" customHeight="true" outlineLevel="0" collapsed="false">
      <c r="A278" s="449" t="n">
        <v>27716</v>
      </c>
      <c r="B278" s="450" t="s">
        <v>16243</v>
      </c>
      <c r="C278" s="450" t="n">
        <v>2016</v>
      </c>
      <c r="D278" s="451" t="n">
        <v>42433</v>
      </c>
      <c r="E278" s="450" t="s">
        <v>16244</v>
      </c>
      <c r="F278" s="624" t="s">
        <v>6315</v>
      </c>
      <c r="G278" s="450" t="s">
        <v>130</v>
      </c>
      <c r="H278" s="450" t="s">
        <v>3707</v>
      </c>
      <c r="I278" s="451" t="n">
        <v>42733</v>
      </c>
      <c r="J278" s="452" t="n">
        <v>12</v>
      </c>
      <c r="K278" s="623" t="s">
        <v>50</v>
      </c>
      <c r="L278" s="450" t="s">
        <v>61</v>
      </c>
      <c r="M278" s="455" t="n">
        <f aca="false">I278-D278</f>
        <v>300</v>
      </c>
    </row>
  </sheetData>
  <autoFilter ref="A1:L280"/>
  <mergeCells count="76">
    <mergeCell ref="O2:P2"/>
    <mergeCell ref="O14:S15"/>
    <mergeCell ref="O16:S16"/>
    <mergeCell ref="O17:S17"/>
    <mergeCell ref="O18:S18"/>
    <mergeCell ref="O19:S19"/>
    <mergeCell ref="O20:S20"/>
    <mergeCell ref="O21:S21"/>
    <mergeCell ref="O22:S22"/>
    <mergeCell ref="O23:S23"/>
    <mergeCell ref="O24:S24"/>
    <mergeCell ref="O26:S27"/>
    <mergeCell ref="P28:R28"/>
    <mergeCell ref="P29:R29"/>
    <mergeCell ref="P30:R30"/>
    <mergeCell ref="P31:R31"/>
    <mergeCell ref="P32:R32"/>
    <mergeCell ref="P33:R33"/>
    <mergeCell ref="P34:R34"/>
    <mergeCell ref="P35:R35"/>
    <mergeCell ref="P36:R36"/>
    <mergeCell ref="P37:R37"/>
    <mergeCell ref="P38:R38"/>
    <mergeCell ref="P39:R39"/>
    <mergeCell ref="P40:R40"/>
    <mergeCell ref="P41:R41"/>
    <mergeCell ref="P42:R42"/>
    <mergeCell ref="O44:S45"/>
    <mergeCell ref="P46:R46"/>
    <mergeCell ref="P47:R47"/>
    <mergeCell ref="P48:R48"/>
    <mergeCell ref="P49:R49"/>
    <mergeCell ref="P50:R50"/>
    <mergeCell ref="P51:R51"/>
    <mergeCell ref="P52:R52"/>
    <mergeCell ref="P53:R53"/>
    <mergeCell ref="P54:R54"/>
    <mergeCell ref="P55:R55"/>
    <mergeCell ref="P56:R56"/>
    <mergeCell ref="P57:R57"/>
    <mergeCell ref="P58:R58"/>
    <mergeCell ref="P59:R59"/>
    <mergeCell ref="O61:T62"/>
    <mergeCell ref="O63:R63"/>
    <mergeCell ref="O64:R64"/>
    <mergeCell ref="O65:R65"/>
    <mergeCell ref="O66:R66"/>
    <mergeCell ref="O67:R67"/>
    <mergeCell ref="O68:R68"/>
    <mergeCell ref="O69:R69"/>
    <mergeCell ref="O70:R70"/>
    <mergeCell ref="O71:R71"/>
    <mergeCell ref="O72:R72"/>
    <mergeCell ref="O73:R73"/>
    <mergeCell ref="O74:R74"/>
    <mergeCell ref="O75:R75"/>
    <mergeCell ref="O76:R76"/>
    <mergeCell ref="O78:T79"/>
    <mergeCell ref="O80:R80"/>
    <mergeCell ref="O81:R81"/>
    <mergeCell ref="O82:R82"/>
    <mergeCell ref="O83:R83"/>
    <mergeCell ref="O84:R84"/>
    <mergeCell ref="O85:R85"/>
    <mergeCell ref="O87:R88"/>
    <mergeCell ref="P89:R89"/>
    <mergeCell ref="P90:R90"/>
    <mergeCell ref="P91:R91"/>
    <mergeCell ref="P92:R92"/>
    <mergeCell ref="P93:R93"/>
    <mergeCell ref="P94:R94"/>
    <mergeCell ref="P95:R95"/>
    <mergeCell ref="P96:R96"/>
    <mergeCell ref="P97:R97"/>
    <mergeCell ref="P98:R98"/>
    <mergeCell ref="P99:R99"/>
  </mergeCells>
  <printOptions headings="false" gridLines="false" gridLinesSet="true" horizontalCentered="false" verticalCentered="false"/>
  <pageMargins left="0.511805555555556" right="0.511805555555556" top="0.7875" bottom="0.78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6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B1" activeCellId="0" sqref="B1"/>
    </sheetView>
  </sheetViews>
  <sheetFormatPr defaultColWidth="14.2890625" defaultRowHeight="12.75" customHeight="false" zeroHeight="false" outlineLevelRow="0" outlineLevelCol="0"/>
  <cols>
    <col collapsed="false" customWidth="true" hidden="false" outlineLevel="0" max="1" min="1" style="0" width="20.29"/>
    <col collapsed="false" customWidth="true" hidden="false" outlineLevel="0" max="2" min="2" style="0" width="24.29"/>
    <col collapsed="false" customWidth="true" hidden="false" outlineLevel="0" max="3" min="3" style="0" width="23.29"/>
    <col collapsed="false" customWidth="true" hidden="false" outlineLevel="0" max="4" min="4" style="0" width="24"/>
    <col collapsed="false" customWidth="true" hidden="false" outlineLevel="0" max="5" min="5" style="0" width="38.71"/>
    <col collapsed="false" customWidth="true" hidden="false" outlineLevel="0" max="6" min="6" style="0" width="42.58"/>
    <col collapsed="false" customWidth="true" hidden="false" outlineLevel="0" max="7" min="7" style="0" width="16.29"/>
    <col collapsed="false" customWidth="true" hidden="false" outlineLevel="0" max="8" min="8" style="0" width="24.14"/>
    <col collapsed="false" customWidth="true" hidden="false" outlineLevel="0" max="9" min="9" style="0" width="27.57"/>
    <col collapsed="false" customWidth="true" hidden="false" outlineLevel="0" max="10" min="10" style="0" width="27"/>
    <col collapsed="false" customWidth="true" hidden="false" outlineLevel="0" max="11" min="11" style="0" width="58.29"/>
    <col collapsed="false" customWidth="true" hidden="false" outlineLevel="0" max="12" min="12" style="0" width="68.42"/>
    <col collapsed="false" customWidth="true" hidden="false" outlineLevel="0" max="13" min="13" style="0" width="53.43"/>
    <col collapsed="false" customWidth="true" hidden="false" outlineLevel="0" max="14" min="14" style="0" width="10"/>
    <col collapsed="false" customWidth="true" hidden="false" outlineLevel="0" max="15" min="15" style="0" width="27.14"/>
    <col collapsed="false" customWidth="true" hidden="false" outlineLevel="0" max="16" min="16" style="0" width="9.85"/>
    <col collapsed="false" customWidth="true" hidden="false" outlineLevel="0" max="17" min="17" style="0" width="3.42"/>
    <col collapsed="false" customWidth="true" hidden="false" outlineLevel="0" max="18" min="18" style="0" width="39"/>
    <col collapsed="false" customWidth="true" hidden="false" outlineLevel="0" max="19" min="19" style="0" width="62.85"/>
    <col collapsed="false" customWidth="true" hidden="false" outlineLevel="0" max="20" min="20" style="0" width="13.71"/>
    <col collapsed="false" customWidth="true" hidden="false" outlineLevel="0" max="26" min="21" style="0" width="8.71"/>
  </cols>
  <sheetData>
    <row r="1" customFormat="false" ht="12.75" hidden="false" customHeight="true" outlineLevel="0" collapsed="false">
      <c r="A1" s="582" t="s">
        <v>92</v>
      </c>
      <c r="B1" s="583" t="s">
        <v>93</v>
      </c>
      <c r="C1" s="583" t="s">
        <v>89</v>
      </c>
      <c r="D1" s="584" t="s">
        <v>94</v>
      </c>
      <c r="E1" s="585" t="s">
        <v>95</v>
      </c>
      <c r="F1" s="276" t="s">
        <v>96</v>
      </c>
      <c r="G1" s="585" t="s">
        <v>97</v>
      </c>
      <c r="H1" s="276" t="s">
        <v>98</v>
      </c>
      <c r="I1" s="584" t="s">
        <v>99</v>
      </c>
      <c r="J1" s="585" t="s">
        <v>62</v>
      </c>
      <c r="K1" s="586" t="s">
        <v>101</v>
      </c>
      <c r="L1" s="586" t="s">
        <v>102</v>
      </c>
      <c r="M1" s="279" t="s">
        <v>103</v>
      </c>
      <c r="N1" s="630"/>
      <c r="O1" s="4"/>
      <c r="P1" s="4"/>
      <c r="Q1" s="4"/>
      <c r="R1" s="4"/>
      <c r="S1" s="4"/>
    </row>
    <row r="2" customFormat="false" ht="12.75" hidden="false" customHeight="true" outlineLevel="0" collapsed="false">
      <c r="A2" s="449" t="n">
        <v>115</v>
      </c>
      <c r="B2" s="450" t="s">
        <v>16245</v>
      </c>
      <c r="C2" s="450" t="n">
        <v>2010</v>
      </c>
      <c r="D2" s="451" t="n">
        <v>40266</v>
      </c>
      <c r="E2" s="450" t="s">
        <v>16246</v>
      </c>
      <c r="F2" s="450" t="s">
        <v>1097</v>
      </c>
      <c r="G2" s="450" t="s">
        <v>441</v>
      </c>
      <c r="H2" s="450" t="s">
        <v>471</v>
      </c>
      <c r="I2" s="451" t="n">
        <v>42013</v>
      </c>
      <c r="J2" s="452" t="n">
        <v>1</v>
      </c>
      <c r="K2" s="631" t="s">
        <v>42</v>
      </c>
      <c r="L2" s="452" t="s">
        <v>60</v>
      </c>
      <c r="M2" s="455" t="n">
        <f aca="false">I2-D2</f>
        <v>1747</v>
      </c>
      <c r="N2" s="4"/>
      <c r="O2" s="280" t="s">
        <v>16247</v>
      </c>
      <c r="P2" s="280"/>
      <c r="Q2" s="146"/>
      <c r="R2" s="146"/>
      <c r="S2" s="146"/>
    </row>
    <row r="3" customFormat="false" ht="15" hidden="false" customHeight="true" outlineLevel="0" collapsed="false">
      <c r="A3" s="456" t="n">
        <v>215</v>
      </c>
      <c r="B3" s="458" t="s">
        <v>16248</v>
      </c>
      <c r="C3" s="458" t="n">
        <v>2012</v>
      </c>
      <c r="D3" s="459" t="n">
        <v>41107</v>
      </c>
      <c r="E3" s="458" t="s">
        <v>16249</v>
      </c>
      <c r="F3" s="458" t="s">
        <v>1097</v>
      </c>
      <c r="G3" s="458" t="s">
        <v>441</v>
      </c>
      <c r="H3" s="458" t="s">
        <v>471</v>
      </c>
      <c r="I3" s="459" t="n">
        <v>42013</v>
      </c>
      <c r="J3" s="460" t="n">
        <v>1</v>
      </c>
      <c r="K3" s="631" t="s">
        <v>42</v>
      </c>
      <c r="L3" s="460" t="s">
        <v>60</v>
      </c>
      <c r="M3" s="463" t="n">
        <f aca="false">I3-D3</f>
        <v>906</v>
      </c>
      <c r="N3" s="4"/>
      <c r="O3" s="281" t="s">
        <v>1182</v>
      </c>
      <c r="P3" s="281" t="n">
        <f aca="false">COUNTIF($G$2:$G$476,"PT")</f>
        <v>0</v>
      </c>
      <c r="Q3" s="146"/>
      <c r="R3" s="146"/>
      <c r="S3" s="146"/>
    </row>
    <row r="4" customFormat="false" ht="12.75" hidden="false" customHeight="true" outlineLevel="0" collapsed="false">
      <c r="A4" s="449" t="n">
        <v>315</v>
      </c>
      <c r="B4" s="450" t="s">
        <v>16250</v>
      </c>
      <c r="C4" s="450" t="n">
        <v>2012</v>
      </c>
      <c r="D4" s="451" t="n">
        <v>41107</v>
      </c>
      <c r="E4" s="450" t="s">
        <v>16251</v>
      </c>
      <c r="F4" s="450" t="s">
        <v>1097</v>
      </c>
      <c r="G4" s="450" t="s">
        <v>441</v>
      </c>
      <c r="H4" s="450" t="s">
        <v>471</v>
      </c>
      <c r="I4" s="451" t="n">
        <v>42013</v>
      </c>
      <c r="J4" s="452" t="n">
        <v>1</v>
      </c>
      <c r="K4" s="631" t="s">
        <v>42</v>
      </c>
      <c r="L4" s="452" t="s">
        <v>60</v>
      </c>
      <c r="M4" s="455" t="n">
        <f aca="false">I4-D4</f>
        <v>906</v>
      </c>
      <c r="N4" s="4"/>
      <c r="O4" s="282" t="s">
        <v>1188</v>
      </c>
      <c r="P4" s="282" t="n">
        <f aca="false">COUNTIF($G$2:$G$476,"PTN")</f>
        <v>2</v>
      </c>
      <c r="Q4" s="153"/>
      <c r="R4" s="153"/>
      <c r="S4" s="153"/>
    </row>
    <row r="5" customFormat="false" ht="12.75" hidden="false" customHeight="true" outlineLevel="0" collapsed="false">
      <c r="A5" s="456" t="n">
        <v>415</v>
      </c>
      <c r="B5" s="458" t="s">
        <v>16252</v>
      </c>
      <c r="C5" s="458" t="n">
        <v>2008</v>
      </c>
      <c r="D5" s="459" t="n">
        <v>39813</v>
      </c>
      <c r="E5" s="458" t="s">
        <v>16253</v>
      </c>
      <c r="F5" s="458" t="s">
        <v>16254</v>
      </c>
      <c r="G5" s="458" t="s">
        <v>441</v>
      </c>
      <c r="H5" s="458" t="s">
        <v>2654</v>
      </c>
      <c r="I5" s="459" t="n">
        <v>42013</v>
      </c>
      <c r="J5" s="460" t="n">
        <v>1</v>
      </c>
      <c r="K5" s="632" t="s">
        <v>50</v>
      </c>
      <c r="L5" s="460" t="s">
        <v>58</v>
      </c>
      <c r="M5" s="463" t="n">
        <f aca="false">I5-D5</f>
        <v>2200</v>
      </c>
      <c r="N5" s="4"/>
      <c r="O5" s="283" t="s">
        <v>1192</v>
      </c>
      <c r="P5" s="283" t="n">
        <f aca="false">COUNTIF($G$2:$G$476,"PTE")</f>
        <v>46</v>
      </c>
      <c r="Q5" s="153"/>
      <c r="R5" s="153"/>
      <c r="S5" s="153"/>
    </row>
    <row r="6" customFormat="false" ht="12.75" hidden="false" customHeight="true" outlineLevel="0" collapsed="false">
      <c r="A6" s="449" t="n">
        <v>515</v>
      </c>
      <c r="B6" s="450" t="s">
        <v>16255</v>
      </c>
      <c r="C6" s="450" t="n">
        <v>2007</v>
      </c>
      <c r="D6" s="451" t="n">
        <v>39350</v>
      </c>
      <c r="E6" s="450" t="s">
        <v>16256</v>
      </c>
      <c r="F6" s="450" t="s">
        <v>16257</v>
      </c>
      <c r="G6" s="450" t="s">
        <v>144</v>
      </c>
      <c r="H6" s="450" t="s">
        <v>119</v>
      </c>
      <c r="I6" s="451" t="n">
        <v>42026</v>
      </c>
      <c r="J6" s="452" t="n">
        <v>1</v>
      </c>
      <c r="K6" s="633" t="s">
        <v>47</v>
      </c>
      <c r="L6" s="452" t="s">
        <v>58</v>
      </c>
      <c r="M6" s="455" t="n">
        <f aca="false">I6-D6</f>
        <v>2676</v>
      </c>
      <c r="N6" s="4"/>
      <c r="O6" s="282" t="s">
        <v>8</v>
      </c>
      <c r="P6" s="282" t="n">
        <f aca="false">COUNTIF($G$2:$G$476,"Pré-Mistura")</f>
        <v>0</v>
      </c>
      <c r="Q6" s="153"/>
      <c r="R6" s="153"/>
      <c r="S6" s="153"/>
    </row>
    <row r="7" customFormat="false" ht="12.75" hidden="false" customHeight="true" outlineLevel="0" collapsed="false">
      <c r="A7" s="456" t="n">
        <v>615</v>
      </c>
      <c r="B7" s="458" t="s">
        <v>16258</v>
      </c>
      <c r="C7" s="458" t="n">
        <v>2012</v>
      </c>
      <c r="D7" s="459" t="n">
        <v>40956</v>
      </c>
      <c r="E7" s="458" t="s">
        <v>16259</v>
      </c>
      <c r="F7" s="458" t="s">
        <v>168</v>
      </c>
      <c r="G7" s="458" t="s">
        <v>441</v>
      </c>
      <c r="H7" s="458" t="s">
        <v>2677</v>
      </c>
      <c r="I7" s="459" t="n">
        <v>42026</v>
      </c>
      <c r="J7" s="460" t="n">
        <v>1</v>
      </c>
      <c r="K7" s="631" t="s">
        <v>42</v>
      </c>
      <c r="L7" s="460" t="s">
        <v>60</v>
      </c>
      <c r="M7" s="463" t="n">
        <f aca="false">I7-D7</f>
        <v>1070</v>
      </c>
      <c r="N7" s="4"/>
      <c r="O7" s="283" t="s">
        <v>110</v>
      </c>
      <c r="P7" s="283" t="n">
        <f aca="false">COUNTIF($G$2:$G$476,"PF")</f>
        <v>12</v>
      </c>
      <c r="Q7" s="153"/>
      <c r="R7" s="153"/>
      <c r="S7" s="153"/>
    </row>
    <row r="8" customFormat="false" ht="12.75" hidden="false" customHeight="true" outlineLevel="0" collapsed="false">
      <c r="A8" s="449" t="n">
        <v>715</v>
      </c>
      <c r="B8" s="450" t="s">
        <v>16260</v>
      </c>
      <c r="C8" s="450" t="n">
        <v>2009</v>
      </c>
      <c r="D8" s="451" t="n">
        <v>39954</v>
      </c>
      <c r="E8" s="450" t="s">
        <v>16261</v>
      </c>
      <c r="F8" s="450" t="s">
        <v>5241</v>
      </c>
      <c r="G8" s="450" t="s">
        <v>441</v>
      </c>
      <c r="H8" s="450" t="s">
        <v>10923</v>
      </c>
      <c r="I8" s="451" t="n">
        <v>42027</v>
      </c>
      <c r="J8" s="452" t="n">
        <v>1</v>
      </c>
      <c r="K8" s="632" t="s">
        <v>50</v>
      </c>
      <c r="L8" s="452" t="s">
        <v>60</v>
      </c>
      <c r="M8" s="455" t="n">
        <f aca="false">I8-D8</f>
        <v>2073</v>
      </c>
      <c r="N8" s="4"/>
      <c r="O8" s="282" t="s">
        <v>115</v>
      </c>
      <c r="P8" s="282" t="n">
        <f aca="false">COUNTIF($G$2:$G$476,"PFN")</f>
        <v>1</v>
      </c>
      <c r="Q8" s="153"/>
      <c r="R8" s="153"/>
      <c r="S8" s="153"/>
    </row>
    <row r="9" customFormat="false" ht="12.75" hidden="false" customHeight="true" outlineLevel="0" collapsed="false">
      <c r="A9" s="456" t="n">
        <v>815</v>
      </c>
      <c r="B9" s="458" t="s">
        <v>16262</v>
      </c>
      <c r="C9" s="458" t="n">
        <v>2013</v>
      </c>
      <c r="D9" s="459" t="n">
        <v>41509</v>
      </c>
      <c r="E9" s="458" t="s">
        <v>16263</v>
      </c>
      <c r="F9" s="625" t="s">
        <v>6303</v>
      </c>
      <c r="G9" s="458" t="s">
        <v>130</v>
      </c>
      <c r="H9" s="458" t="s">
        <v>16264</v>
      </c>
      <c r="I9" s="459" t="n">
        <v>42030</v>
      </c>
      <c r="J9" s="460" t="n">
        <v>1</v>
      </c>
      <c r="K9" s="632" t="s">
        <v>50</v>
      </c>
      <c r="L9" s="460" t="s">
        <v>61</v>
      </c>
      <c r="M9" s="463" t="n">
        <f aca="false">I9-D9</f>
        <v>521</v>
      </c>
      <c r="N9" s="4"/>
      <c r="O9" s="283" t="s">
        <v>120</v>
      </c>
      <c r="P9" s="283" t="n">
        <f aca="false">COUNTIF($G$2:$G$476,"PF/PTE")</f>
        <v>47</v>
      </c>
      <c r="Q9" s="153"/>
      <c r="R9" s="153"/>
      <c r="S9" s="153"/>
    </row>
    <row r="10" customFormat="false" ht="12.75" hidden="false" customHeight="true" outlineLevel="0" collapsed="false">
      <c r="A10" s="449" t="n">
        <v>915</v>
      </c>
      <c r="B10" s="450" t="s">
        <v>16265</v>
      </c>
      <c r="C10" s="450" t="n">
        <v>2014</v>
      </c>
      <c r="D10" s="451" t="n">
        <v>41758</v>
      </c>
      <c r="E10" s="450" t="s">
        <v>16266</v>
      </c>
      <c r="F10" s="624" t="s">
        <v>6303</v>
      </c>
      <c r="G10" s="450" t="s">
        <v>130</v>
      </c>
      <c r="H10" s="450" t="s">
        <v>16267</v>
      </c>
      <c r="I10" s="451" t="n">
        <v>42030</v>
      </c>
      <c r="J10" s="452" t="n">
        <v>1</v>
      </c>
      <c r="K10" s="632" t="s">
        <v>50</v>
      </c>
      <c r="L10" s="452" t="s">
        <v>61</v>
      </c>
      <c r="M10" s="455" t="n">
        <f aca="false">I10-D10</f>
        <v>272</v>
      </c>
      <c r="N10" s="4"/>
      <c r="O10" s="282" t="s">
        <v>125</v>
      </c>
      <c r="P10" s="282" t="n">
        <f aca="false">COUNTIF($G$2:$G$476,"Bio")</f>
        <v>7</v>
      </c>
      <c r="Q10" s="153"/>
      <c r="R10" s="153"/>
      <c r="S10" s="153"/>
    </row>
    <row r="11" customFormat="false" ht="12.75" hidden="false" customHeight="true" outlineLevel="0" collapsed="false">
      <c r="A11" s="456" t="n">
        <v>1015</v>
      </c>
      <c r="B11" s="458" t="s">
        <v>16268</v>
      </c>
      <c r="C11" s="458" t="n">
        <v>2014</v>
      </c>
      <c r="D11" s="459" t="n">
        <v>41758</v>
      </c>
      <c r="E11" s="458" t="s">
        <v>16269</v>
      </c>
      <c r="F11" s="625" t="s">
        <v>288</v>
      </c>
      <c r="G11" s="458" t="s">
        <v>130</v>
      </c>
      <c r="H11" s="458" t="s">
        <v>16267</v>
      </c>
      <c r="I11" s="459" t="n">
        <v>42030</v>
      </c>
      <c r="J11" s="460" t="n">
        <v>1</v>
      </c>
      <c r="K11" s="632" t="s">
        <v>2407</v>
      </c>
      <c r="L11" s="460" t="s">
        <v>61</v>
      </c>
      <c r="M11" s="463" t="n">
        <f aca="false">I11-D11</f>
        <v>272</v>
      </c>
      <c r="N11" s="4"/>
      <c r="O11" s="284" t="s">
        <v>130</v>
      </c>
      <c r="P11" s="284" t="n">
        <f aca="false">COUNTIF($G$2:$G$476,"Bio/Org")</f>
        <v>24</v>
      </c>
      <c r="Q11" s="153"/>
      <c r="R11" s="153"/>
      <c r="S11" s="153"/>
    </row>
    <row r="12" customFormat="false" ht="12.75" hidden="false" customHeight="true" outlineLevel="0" collapsed="false">
      <c r="A12" s="449" t="n">
        <v>1115</v>
      </c>
      <c r="B12" s="450" t="s">
        <v>16270</v>
      </c>
      <c r="C12" s="450" t="n">
        <v>2012</v>
      </c>
      <c r="D12" s="451" t="n">
        <v>41157</v>
      </c>
      <c r="E12" s="450" t="s">
        <v>16271</v>
      </c>
      <c r="F12" s="450" t="s">
        <v>16272</v>
      </c>
      <c r="G12" s="450" t="s">
        <v>1174</v>
      </c>
      <c r="H12" s="450" t="s">
        <v>13006</v>
      </c>
      <c r="I12" s="451" t="n">
        <v>42031</v>
      </c>
      <c r="J12" s="452" t="n">
        <v>1</v>
      </c>
      <c r="K12" s="633" t="s">
        <v>47</v>
      </c>
      <c r="L12" s="452" t="s">
        <v>60</v>
      </c>
      <c r="M12" s="455" t="n">
        <f aca="false">I12-D12</f>
        <v>874</v>
      </c>
      <c r="N12" s="4"/>
      <c r="O12" s="285" t="s">
        <v>140</v>
      </c>
      <c r="P12" s="286" t="n">
        <f aca="false">SUM(P3:P11)</f>
        <v>139</v>
      </c>
      <c r="Q12" s="153"/>
      <c r="R12" s="153"/>
      <c r="S12" s="153"/>
    </row>
    <row r="13" customFormat="false" ht="13.5" hidden="false" customHeight="true" outlineLevel="0" collapsed="false">
      <c r="A13" s="456" t="n">
        <v>1215</v>
      </c>
      <c r="B13" s="458" t="s">
        <v>16273</v>
      </c>
      <c r="C13" s="458" t="n">
        <v>2010</v>
      </c>
      <c r="D13" s="459" t="n">
        <v>40290</v>
      </c>
      <c r="E13" s="458" t="s">
        <v>16274</v>
      </c>
      <c r="F13" s="458" t="s">
        <v>1097</v>
      </c>
      <c r="G13" s="458" t="s">
        <v>441</v>
      </c>
      <c r="H13" s="458" t="s">
        <v>471</v>
      </c>
      <c r="I13" s="459" t="n">
        <v>42033</v>
      </c>
      <c r="J13" s="460" t="n">
        <v>1</v>
      </c>
      <c r="K13" s="631" t="s">
        <v>42</v>
      </c>
      <c r="L13" s="460" t="s">
        <v>60</v>
      </c>
      <c r="M13" s="463" t="n">
        <f aca="false">I13-D13</f>
        <v>1743</v>
      </c>
      <c r="N13" s="4"/>
      <c r="O13" s="153"/>
      <c r="P13" s="153"/>
      <c r="Q13" s="153"/>
      <c r="R13" s="287"/>
      <c r="S13" s="287"/>
    </row>
    <row r="14" customFormat="false" ht="13.5" hidden="false" customHeight="true" outlineLevel="0" collapsed="false">
      <c r="A14" s="449" t="n">
        <v>1315</v>
      </c>
      <c r="B14" s="450" t="s">
        <v>16275</v>
      </c>
      <c r="C14" s="450" t="n">
        <v>2011</v>
      </c>
      <c r="D14" s="451" t="n">
        <v>40749</v>
      </c>
      <c r="E14" s="450" t="s">
        <v>16276</v>
      </c>
      <c r="F14" s="450" t="s">
        <v>8232</v>
      </c>
      <c r="G14" s="450" t="s">
        <v>1174</v>
      </c>
      <c r="H14" s="450" t="s">
        <v>12763</v>
      </c>
      <c r="I14" s="451" t="n">
        <v>42039</v>
      </c>
      <c r="J14" s="452" t="n">
        <v>2</v>
      </c>
      <c r="K14" s="633" t="s">
        <v>47</v>
      </c>
      <c r="L14" s="452" t="s">
        <v>60</v>
      </c>
      <c r="M14" s="455" t="n">
        <f aca="false">I14-D14</f>
        <v>1290</v>
      </c>
      <c r="N14" s="4"/>
      <c r="O14" s="411" t="s">
        <v>151</v>
      </c>
      <c r="P14" s="411"/>
      <c r="Q14" s="411"/>
      <c r="R14" s="411"/>
      <c r="S14" s="411"/>
    </row>
    <row r="15" customFormat="false" ht="14.25" hidden="false" customHeight="true" outlineLevel="0" collapsed="false">
      <c r="A15" s="456" t="n">
        <v>1415</v>
      </c>
      <c r="B15" s="458" t="s">
        <v>16277</v>
      </c>
      <c r="C15" s="458" t="n">
        <v>2006</v>
      </c>
      <c r="D15" s="459" t="n">
        <v>39080</v>
      </c>
      <c r="E15" s="458" t="s">
        <v>16278</v>
      </c>
      <c r="F15" s="458" t="s">
        <v>1211</v>
      </c>
      <c r="G15" s="458" t="s">
        <v>144</v>
      </c>
      <c r="H15" s="458" t="s">
        <v>2421</v>
      </c>
      <c r="I15" s="459" t="n">
        <v>42045</v>
      </c>
      <c r="J15" s="460" t="n">
        <v>2</v>
      </c>
      <c r="K15" s="633" t="s">
        <v>47</v>
      </c>
      <c r="L15" s="460" t="s">
        <v>60</v>
      </c>
      <c r="M15" s="463" t="n">
        <f aca="false">I15-D15</f>
        <v>2965</v>
      </c>
      <c r="N15" s="4"/>
      <c r="O15" s="411"/>
      <c r="P15" s="411"/>
      <c r="Q15" s="411"/>
      <c r="R15" s="411"/>
      <c r="S15" s="411"/>
    </row>
    <row r="16" customFormat="false" ht="13.5" hidden="false" customHeight="true" outlineLevel="0" collapsed="false">
      <c r="A16" s="449" t="n">
        <v>1515</v>
      </c>
      <c r="B16" s="450" t="s">
        <v>16279</v>
      </c>
      <c r="C16" s="450" t="n">
        <v>2010</v>
      </c>
      <c r="D16" s="451" t="n">
        <v>40254</v>
      </c>
      <c r="E16" s="450" t="s">
        <v>16280</v>
      </c>
      <c r="F16" s="450" t="s">
        <v>1693</v>
      </c>
      <c r="G16" s="450" t="s">
        <v>1174</v>
      </c>
      <c r="H16" s="450" t="s">
        <v>354</v>
      </c>
      <c r="I16" s="451" t="n">
        <v>42048</v>
      </c>
      <c r="J16" s="452" t="n">
        <v>2</v>
      </c>
      <c r="K16" s="634" t="s">
        <v>45</v>
      </c>
      <c r="L16" s="452" t="s">
        <v>58</v>
      </c>
      <c r="M16" s="455" t="n">
        <f aca="false">I16-D16</f>
        <v>1794</v>
      </c>
      <c r="N16" s="4"/>
      <c r="O16" s="412" t="s">
        <v>2194</v>
      </c>
      <c r="P16" s="412"/>
      <c r="Q16" s="412"/>
      <c r="R16" s="412"/>
      <c r="S16" s="412"/>
    </row>
    <row r="17" customFormat="false" ht="13.5" hidden="false" customHeight="true" outlineLevel="0" collapsed="false">
      <c r="A17" s="456" t="n">
        <v>1615</v>
      </c>
      <c r="B17" s="458" t="s">
        <v>16281</v>
      </c>
      <c r="C17" s="458" t="n">
        <v>2010</v>
      </c>
      <c r="D17" s="459" t="n">
        <v>40476</v>
      </c>
      <c r="E17" s="458" t="s">
        <v>16282</v>
      </c>
      <c r="F17" s="458" t="s">
        <v>1693</v>
      </c>
      <c r="G17" s="458" t="s">
        <v>1174</v>
      </c>
      <c r="H17" s="458" t="s">
        <v>12073</v>
      </c>
      <c r="I17" s="459" t="n">
        <v>42048</v>
      </c>
      <c r="J17" s="460" t="n">
        <v>2</v>
      </c>
      <c r="K17" s="634" t="s">
        <v>45</v>
      </c>
      <c r="L17" s="460" t="s">
        <v>58</v>
      </c>
      <c r="M17" s="463" t="n">
        <f aca="false">I17-D17</f>
        <v>1572</v>
      </c>
      <c r="N17" s="4"/>
      <c r="O17" s="413" t="s">
        <v>2198</v>
      </c>
      <c r="P17" s="413"/>
      <c r="Q17" s="413"/>
      <c r="R17" s="413"/>
      <c r="S17" s="413"/>
    </row>
    <row r="18" customFormat="false" ht="13.5" hidden="false" customHeight="true" outlineLevel="0" collapsed="false">
      <c r="A18" s="449" t="n">
        <v>1715</v>
      </c>
      <c r="B18" s="450" t="s">
        <v>16283</v>
      </c>
      <c r="C18" s="450" t="n">
        <v>2012</v>
      </c>
      <c r="D18" s="451" t="n">
        <v>40983</v>
      </c>
      <c r="E18" s="450" t="s">
        <v>16284</v>
      </c>
      <c r="F18" s="450" t="s">
        <v>1693</v>
      </c>
      <c r="G18" s="450" t="s">
        <v>1174</v>
      </c>
      <c r="H18" s="450" t="s">
        <v>12073</v>
      </c>
      <c r="I18" s="451" t="n">
        <v>42048</v>
      </c>
      <c r="J18" s="452" t="n">
        <v>2</v>
      </c>
      <c r="K18" s="634" t="s">
        <v>45</v>
      </c>
      <c r="L18" s="452" t="s">
        <v>58</v>
      </c>
      <c r="M18" s="455" t="n">
        <f aca="false">I18-D18</f>
        <v>1065</v>
      </c>
      <c r="N18" s="4"/>
      <c r="O18" s="414" t="s">
        <v>2203</v>
      </c>
      <c r="P18" s="414"/>
      <c r="Q18" s="414"/>
      <c r="R18" s="414"/>
      <c r="S18" s="414"/>
    </row>
    <row r="19" customFormat="false" ht="13.5" hidden="false" customHeight="true" outlineLevel="0" collapsed="false">
      <c r="A19" s="456" t="n">
        <v>1815</v>
      </c>
      <c r="B19" s="458" t="s">
        <v>16285</v>
      </c>
      <c r="C19" s="458" t="n">
        <v>2010</v>
      </c>
      <c r="D19" s="459" t="n">
        <v>40254</v>
      </c>
      <c r="E19" s="458" t="s">
        <v>16286</v>
      </c>
      <c r="F19" s="458" t="s">
        <v>1693</v>
      </c>
      <c r="G19" s="458" t="s">
        <v>1174</v>
      </c>
      <c r="H19" s="458" t="s">
        <v>2296</v>
      </c>
      <c r="I19" s="459" t="n">
        <v>42048</v>
      </c>
      <c r="J19" s="460" t="n">
        <v>2</v>
      </c>
      <c r="K19" s="634" t="s">
        <v>45</v>
      </c>
      <c r="L19" s="460" t="s">
        <v>58</v>
      </c>
      <c r="M19" s="463" t="n">
        <f aca="false">I19-D19</f>
        <v>1794</v>
      </c>
      <c r="N19" s="4"/>
      <c r="O19" s="413" t="s">
        <v>2207</v>
      </c>
      <c r="P19" s="413"/>
      <c r="Q19" s="413"/>
      <c r="R19" s="413"/>
      <c r="S19" s="413"/>
    </row>
    <row r="20" customFormat="false" ht="13.5" hidden="false" customHeight="true" outlineLevel="0" collapsed="false">
      <c r="A20" s="449" t="n">
        <v>1915</v>
      </c>
      <c r="B20" s="450" t="s">
        <v>16287</v>
      </c>
      <c r="C20" s="450" t="n">
        <v>2009</v>
      </c>
      <c r="D20" s="451" t="n">
        <v>39979</v>
      </c>
      <c r="E20" s="450" t="s">
        <v>16288</v>
      </c>
      <c r="F20" s="450" t="s">
        <v>699</v>
      </c>
      <c r="G20" s="450" t="s">
        <v>1174</v>
      </c>
      <c r="H20" s="450" t="s">
        <v>354</v>
      </c>
      <c r="I20" s="451" t="n">
        <v>42066</v>
      </c>
      <c r="J20" s="452" t="n">
        <v>3</v>
      </c>
      <c r="K20" s="631" t="s">
        <v>42</v>
      </c>
      <c r="L20" s="452" t="s">
        <v>60</v>
      </c>
      <c r="M20" s="455" t="n">
        <f aca="false">I20-D20</f>
        <v>2087</v>
      </c>
      <c r="N20" s="4"/>
      <c r="O20" s="414" t="s">
        <v>2211</v>
      </c>
      <c r="P20" s="414"/>
      <c r="Q20" s="414"/>
      <c r="R20" s="414"/>
      <c r="S20" s="414"/>
    </row>
    <row r="21" customFormat="false" ht="13.5" hidden="false" customHeight="true" outlineLevel="0" collapsed="false">
      <c r="A21" s="456" t="n">
        <v>2015</v>
      </c>
      <c r="B21" s="458" t="s">
        <v>16289</v>
      </c>
      <c r="C21" s="458" t="n">
        <v>2009</v>
      </c>
      <c r="D21" s="459" t="n">
        <v>39904</v>
      </c>
      <c r="E21" s="458" t="s">
        <v>16290</v>
      </c>
      <c r="F21" s="458" t="s">
        <v>2913</v>
      </c>
      <c r="G21" s="458" t="s">
        <v>144</v>
      </c>
      <c r="H21" s="458" t="s">
        <v>10110</v>
      </c>
      <c r="I21" s="459" t="n">
        <v>42067</v>
      </c>
      <c r="J21" s="460" t="n">
        <v>3</v>
      </c>
      <c r="K21" s="631" t="s">
        <v>42</v>
      </c>
      <c r="L21" s="460" t="s">
        <v>60</v>
      </c>
      <c r="M21" s="463" t="n">
        <f aca="false">I21-D21</f>
        <v>2163</v>
      </c>
      <c r="N21" s="4"/>
      <c r="O21" s="413" t="s">
        <v>2215</v>
      </c>
      <c r="P21" s="413"/>
      <c r="Q21" s="413"/>
      <c r="R21" s="413"/>
      <c r="S21" s="413"/>
    </row>
    <row r="22" customFormat="false" ht="12.75" hidden="false" customHeight="true" outlineLevel="0" collapsed="false">
      <c r="A22" s="449" t="n">
        <v>2115</v>
      </c>
      <c r="B22" s="450" t="s">
        <v>16291</v>
      </c>
      <c r="C22" s="450" t="n">
        <v>2010</v>
      </c>
      <c r="D22" s="451" t="n">
        <v>40389</v>
      </c>
      <c r="E22" s="450" t="s">
        <v>16292</v>
      </c>
      <c r="F22" s="450" t="s">
        <v>365</v>
      </c>
      <c r="G22" s="450" t="s">
        <v>1174</v>
      </c>
      <c r="H22" s="450" t="s">
        <v>310</v>
      </c>
      <c r="I22" s="451" t="n">
        <v>42067</v>
      </c>
      <c r="J22" s="452" t="n">
        <v>3</v>
      </c>
      <c r="K22" s="634" t="s">
        <v>45</v>
      </c>
      <c r="L22" s="452" t="s">
        <v>60</v>
      </c>
      <c r="M22" s="455" t="n">
        <f aca="false">I22-D22</f>
        <v>1678</v>
      </c>
      <c r="N22" s="4"/>
      <c r="O22" s="414" t="s">
        <v>2220</v>
      </c>
      <c r="P22" s="414"/>
      <c r="Q22" s="414"/>
      <c r="R22" s="414"/>
      <c r="S22" s="414"/>
    </row>
    <row r="23" customFormat="false" ht="12.75" hidden="false" customHeight="true" outlineLevel="0" collapsed="false">
      <c r="A23" s="456" t="n">
        <v>2215</v>
      </c>
      <c r="B23" s="458" t="s">
        <v>16293</v>
      </c>
      <c r="C23" s="458" t="n">
        <v>2013</v>
      </c>
      <c r="D23" s="459" t="n">
        <v>41535</v>
      </c>
      <c r="E23" s="458" t="s">
        <v>16294</v>
      </c>
      <c r="F23" s="625" t="s">
        <v>4087</v>
      </c>
      <c r="G23" s="458" t="s">
        <v>130</v>
      </c>
      <c r="H23" s="458" t="s">
        <v>11422</v>
      </c>
      <c r="I23" s="459" t="n">
        <v>42076</v>
      </c>
      <c r="J23" s="460" t="n">
        <v>3</v>
      </c>
      <c r="K23" s="632" t="s">
        <v>2407</v>
      </c>
      <c r="L23" s="460" t="s">
        <v>61</v>
      </c>
      <c r="M23" s="463" t="n">
        <f aca="false">I23-D23</f>
        <v>541</v>
      </c>
      <c r="N23" s="4"/>
      <c r="O23" s="413" t="s">
        <v>2225</v>
      </c>
      <c r="P23" s="413"/>
      <c r="Q23" s="413"/>
      <c r="R23" s="413"/>
      <c r="S23" s="413"/>
    </row>
    <row r="24" customFormat="false" ht="15" hidden="false" customHeight="true" outlineLevel="0" collapsed="false">
      <c r="A24" s="449" t="n">
        <v>2315</v>
      </c>
      <c r="B24" s="450" t="s">
        <v>16295</v>
      </c>
      <c r="C24" s="450" t="n">
        <v>2013</v>
      </c>
      <c r="D24" s="451" t="n">
        <v>41535</v>
      </c>
      <c r="E24" s="450" t="s">
        <v>16296</v>
      </c>
      <c r="F24" s="624" t="s">
        <v>3207</v>
      </c>
      <c r="G24" s="450" t="s">
        <v>130</v>
      </c>
      <c r="H24" s="450" t="s">
        <v>11422</v>
      </c>
      <c r="I24" s="451" t="n">
        <v>42076</v>
      </c>
      <c r="J24" s="452" t="n">
        <v>3</v>
      </c>
      <c r="K24" s="632" t="s">
        <v>2407</v>
      </c>
      <c r="L24" s="452" t="s">
        <v>61</v>
      </c>
      <c r="M24" s="455" t="n">
        <f aca="false">I24-D24</f>
        <v>541</v>
      </c>
      <c r="N24" s="4"/>
      <c r="O24" s="415" t="s">
        <v>2229</v>
      </c>
      <c r="P24" s="415"/>
      <c r="Q24" s="415"/>
      <c r="R24" s="415"/>
      <c r="S24" s="415"/>
    </row>
    <row r="25" customFormat="false" ht="13.5" hidden="false" customHeight="true" outlineLevel="0" collapsed="false">
      <c r="A25" s="456" t="n">
        <v>2415</v>
      </c>
      <c r="B25" s="458" t="s">
        <v>16297</v>
      </c>
      <c r="C25" s="458" t="n">
        <v>2010</v>
      </c>
      <c r="D25" s="459" t="n">
        <v>40449</v>
      </c>
      <c r="E25" s="458" t="s">
        <v>16298</v>
      </c>
      <c r="F25" s="458" t="s">
        <v>16299</v>
      </c>
      <c r="G25" s="458" t="s">
        <v>441</v>
      </c>
      <c r="H25" s="458" t="s">
        <v>15247</v>
      </c>
      <c r="I25" s="459" t="n">
        <v>42080</v>
      </c>
      <c r="J25" s="460" t="n">
        <v>3</v>
      </c>
      <c r="K25" s="633" t="s">
        <v>47</v>
      </c>
      <c r="L25" s="460" t="s">
        <v>58</v>
      </c>
      <c r="M25" s="463" t="n">
        <f aca="false">I25-D25</f>
        <v>1631</v>
      </c>
      <c r="N25" s="4"/>
      <c r="O25" s="153"/>
      <c r="P25" s="153"/>
      <c r="Q25" s="153"/>
      <c r="R25" s="153"/>
      <c r="S25" s="153"/>
    </row>
    <row r="26" customFormat="false" ht="13.5" hidden="false" customHeight="true" outlineLevel="0" collapsed="false">
      <c r="A26" s="449" t="n">
        <v>2515</v>
      </c>
      <c r="B26" s="450" t="s">
        <v>16300</v>
      </c>
      <c r="C26" s="450" t="n">
        <v>2009</v>
      </c>
      <c r="D26" s="451" t="n">
        <v>40175</v>
      </c>
      <c r="E26" s="450" t="s">
        <v>16301</v>
      </c>
      <c r="F26" s="450" t="s">
        <v>1635</v>
      </c>
      <c r="G26" s="450" t="s">
        <v>144</v>
      </c>
      <c r="H26" s="450" t="s">
        <v>1791</v>
      </c>
      <c r="I26" s="451" t="n">
        <v>42080</v>
      </c>
      <c r="J26" s="452" t="n">
        <v>3</v>
      </c>
      <c r="K26" s="633" t="s">
        <v>47</v>
      </c>
      <c r="L26" s="452" t="s">
        <v>60</v>
      </c>
      <c r="M26" s="455" t="n">
        <f aca="false">I26-D26</f>
        <v>1905</v>
      </c>
      <c r="N26" s="4"/>
      <c r="O26" s="326" t="s">
        <v>185</v>
      </c>
      <c r="P26" s="326"/>
      <c r="Q26" s="326"/>
      <c r="R26" s="326"/>
      <c r="S26" s="326"/>
    </row>
    <row r="27" customFormat="false" ht="13.5" hidden="false" customHeight="true" outlineLevel="0" collapsed="false">
      <c r="A27" s="456" t="n">
        <v>2615</v>
      </c>
      <c r="B27" s="458" t="s">
        <v>16302</v>
      </c>
      <c r="C27" s="458" t="n">
        <v>2013</v>
      </c>
      <c r="D27" s="459" t="n">
        <v>41351</v>
      </c>
      <c r="E27" s="458" t="s">
        <v>16303</v>
      </c>
      <c r="F27" s="458" t="s">
        <v>16304</v>
      </c>
      <c r="G27" s="458" t="s">
        <v>125</v>
      </c>
      <c r="H27" s="458" t="s">
        <v>16305</v>
      </c>
      <c r="I27" s="459" t="n">
        <v>42080</v>
      </c>
      <c r="J27" s="460" t="n">
        <v>3</v>
      </c>
      <c r="K27" s="632" t="s">
        <v>50</v>
      </c>
      <c r="L27" s="460" t="s">
        <v>61</v>
      </c>
      <c r="M27" s="463" t="n">
        <f aca="false">I27-D27</f>
        <v>729</v>
      </c>
      <c r="N27" s="4"/>
      <c r="O27" s="326"/>
      <c r="P27" s="326"/>
      <c r="Q27" s="326"/>
      <c r="R27" s="326"/>
      <c r="S27" s="326"/>
    </row>
    <row r="28" customFormat="false" ht="15.75" hidden="false" customHeight="true" outlineLevel="0" collapsed="false">
      <c r="A28" s="449" t="n">
        <v>2715</v>
      </c>
      <c r="B28" s="450" t="s">
        <v>16306</v>
      </c>
      <c r="C28" s="450" t="n">
        <v>2007</v>
      </c>
      <c r="D28" s="451" t="n">
        <v>39286</v>
      </c>
      <c r="E28" s="450" t="s">
        <v>16307</v>
      </c>
      <c r="F28" s="450" t="s">
        <v>16308</v>
      </c>
      <c r="G28" s="450" t="s">
        <v>441</v>
      </c>
      <c r="H28" s="450" t="s">
        <v>15247</v>
      </c>
      <c r="I28" s="451" t="n">
        <v>42082</v>
      </c>
      <c r="J28" s="452" t="n">
        <v>3</v>
      </c>
      <c r="K28" s="633" t="s">
        <v>47</v>
      </c>
      <c r="L28" s="452" t="s">
        <v>58</v>
      </c>
      <c r="M28" s="455" t="n">
        <f aca="false">I28-D28</f>
        <v>2796</v>
      </c>
      <c r="N28" s="4"/>
      <c r="O28" s="309" t="s">
        <v>39</v>
      </c>
      <c r="P28" s="416" t="s">
        <v>40</v>
      </c>
      <c r="Q28" s="416"/>
      <c r="R28" s="416"/>
      <c r="S28" s="313" t="s">
        <v>41</v>
      </c>
    </row>
    <row r="29" customFormat="false" ht="13.5" hidden="false" customHeight="true" outlineLevel="0" collapsed="false">
      <c r="A29" s="456" t="n">
        <v>2815</v>
      </c>
      <c r="B29" s="458" t="s">
        <v>16309</v>
      </c>
      <c r="C29" s="458" t="n">
        <v>2010</v>
      </c>
      <c r="D29" s="459" t="n">
        <v>40231</v>
      </c>
      <c r="E29" s="458" t="s">
        <v>16310</v>
      </c>
      <c r="F29" s="458" t="s">
        <v>1338</v>
      </c>
      <c r="G29" s="458" t="s">
        <v>144</v>
      </c>
      <c r="H29" s="458" t="s">
        <v>119</v>
      </c>
      <c r="I29" s="459" t="n">
        <v>42082</v>
      </c>
      <c r="J29" s="460" t="n">
        <v>3</v>
      </c>
      <c r="K29" s="633" t="s">
        <v>47</v>
      </c>
      <c r="L29" s="460" t="s">
        <v>61</v>
      </c>
      <c r="M29" s="463" t="n">
        <f aca="false">I29-D29</f>
        <v>1851</v>
      </c>
      <c r="N29" s="4"/>
      <c r="O29" s="283" t="n">
        <v>2003</v>
      </c>
      <c r="P29" s="314" t="n">
        <f aca="false">COUNTIF($C$2:$C$503,"2003")</f>
        <v>0</v>
      </c>
      <c r="Q29" s="314"/>
      <c r="R29" s="314"/>
      <c r="S29" s="315" t="n">
        <f aca="false">P29/P42</f>
        <v>0</v>
      </c>
    </row>
    <row r="30" customFormat="false" ht="13.5" hidden="false" customHeight="true" outlineLevel="0" collapsed="false">
      <c r="A30" s="449" t="n">
        <v>2915</v>
      </c>
      <c r="B30" s="450" t="s">
        <v>16311</v>
      </c>
      <c r="C30" s="450" t="n">
        <v>2012</v>
      </c>
      <c r="D30" s="451" t="n">
        <v>41242</v>
      </c>
      <c r="E30" s="450" t="s">
        <v>16312</v>
      </c>
      <c r="F30" s="450" t="s">
        <v>1156</v>
      </c>
      <c r="G30" s="450" t="s">
        <v>441</v>
      </c>
      <c r="H30" s="450" t="s">
        <v>223</v>
      </c>
      <c r="I30" s="451" t="n">
        <v>42083</v>
      </c>
      <c r="J30" s="452" t="n">
        <v>3</v>
      </c>
      <c r="K30" s="631" t="s">
        <v>42</v>
      </c>
      <c r="L30" s="452" t="s">
        <v>58</v>
      </c>
      <c r="M30" s="455" t="n">
        <f aca="false">I30-D30</f>
        <v>841</v>
      </c>
      <c r="N30" s="4"/>
      <c r="O30" s="282" t="n">
        <v>2004</v>
      </c>
      <c r="P30" s="282" t="n">
        <f aca="false">COUNTIF($C$2:$C$503,"2004")</f>
        <v>0</v>
      </c>
      <c r="Q30" s="282"/>
      <c r="R30" s="282"/>
      <c r="S30" s="316" t="n">
        <f aca="false">(P30/P42)</f>
        <v>0</v>
      </c>
    </row>
    <row r="31" customFormat="false" ht="13.5" hidden="false" customHeight="true" outlineLevel="0" collapsed="false">
      <c r="A31" s="456" t="n">
        <v>3015</v>
      </c>
      <c r="B31" s="458" t="s">
        <v>16313</v>
      </c>
      <c r="C31" s="458" t="n">
        <v>2009</v>
      </c>
      <c r="D31" s="459" t="n">
        <v>40142</v>
      </c>
      <c r="E31" s="458" t="s">
        <v>16314</v>
      </c>
      <c r="F31" s="458" t="s">
        <v>1080</v>
      </c>
      <c r="G31" s="458" t="s">
        <v>1174</v>
      </c>
      <c r="H31" s="458" t="s">
        <v>3240</v>
      </c>
      <c r="I31" s="459" t="n">
        <v>42089</v>
      </c>
      <c r="J31" s="460" t="n">
        <v>3</v>
      </c>
      <c r="K31" s="631" t="s">
        <v>42</v>
      </c>
      <c r="L31" s="460" t="s">
        <v>58</v>
      </c>
      <c r="M31" s="463" t="n">
        <f aca="false">I31-D31</f>
        <v>1947</v>
      </c>
      <c r="N31" s="4"/>
      <c r="O31" s="283" t="n">
        <v>2005</v>
      </c>
      <c r="P31" s="283" t="n">
        <f aca="false">COUNTIF($C$2:$C$503,"2005")</f>
        <v>0</v>
      </c>
      <c r="Q31" s="283"/>
      <c r="R31" s="283"/>
      <c r="S31" s="315" t="n">
        <f aca="false">P31/P42</f>
        <v>0</v>
      </c>
    </row>
    <row r="32" customFormat="false" ht="12.75" hidden="false" customHeight="true" outlineLevel="0" collapsed="false">
      <c r="A32" s="449" t="n">
        <v>3115</v>
      </c>
      <c r="B32" s="450" t="s">
        <v>16315</v>
      </c>
      <c r="C32" s="450" t="n">
        <v>2010</v>
      </c>
      <c r="D32" s="451" t="n">
        <v>40430</v>
      </c>
      <c r="E32" s="450" t="s">
        <v>16316</v>
      </c>
      <c r="F32" s="450" t="s">
        <v>3091</v>
      </c>
      <c r="G32" s="450" t="s">
        <v>1174</v>
      </c>
      <c r="H32" s="450" t="s">
        <v>223</v>
      </c>
      <c r="I32" s="451" t="n">
        <v>42090</v>
      </c>
      <c r="J32" s="452" t="n">
        <v>3</v>
      </c>
      <c r="K32" s="633" t="s">
        <v>47</v>
      </c>
      <c r="L32" s="452" t="s">
        <v>58</v>
      </c>
      <c r="M32" s="455" t="n">
        <f aca="false">I32-D32</f>
        <v>1660</v>
      </c>
      <c r="N32" s="4"/>
      <c r="O32" s="282" t="n">
        <v>2006</v>
      </c>
      <c r="P32" s="282" t="n">
        <f aca="false">COUNTIF($C$2:$C$503,"2006")</f>
        <v>1</v>
      </c>
      <c r="Q32" s="282"/>
      <c r="R32" s="282"/>
      <c r="S32" s="316" t="n">
        <f aca="false">(P32/P42)</f>
        <v>0.00719424460431655</v>
      </c>
    </row>
    <row r="33" customFormat="false" ht="13.5" hidden="false" customHeight="true" outlineLevel="0" collapsed="false">
      <c r="A33" s="456" t="n">
        <v>3215</v>
      </c>
      <c r="B33" s="458" t="s">
        <v>16317</v>
      </c>
      <c r="C33" s="458" t="n">
        <v>2009</v>
      </c>
      <c r="D33" s="459" t="n">
        <v>40148</v>
      </c>
      <c r="E33" s="458" t="s">
        <v>16318</v>
      </c>
      <c r="F33" s="458" t="s">
        <v>365</v>
      </c>
      <c r="G33" s="458" t="s">
        <v>1174</v>
      </c>
      <c r="H33" s="458" t="s">
        <v>1305</v>
      </c>
      <c r="I33" s="459" t="n">
        <v>42096</v>
      </c>
      <c r="J33" s="460" t="n">
        <v>4</v>
      </c>
      <c r="K33" s="634" t="s">
        <v>45</v>
      </c>
      <c r="L33" s="460" t="s">
        <v>60</v>
      </c>
      <c r="M33" s="463" t="n">
        <f aca="false">I33-D33</f>
        <v>1948</v>
      </c>
      <c r="N33" s="4"/>
      <c r="O33" s="283" t="n">
        <v>2007</v>
      </c>
      <c r="P33" s="283" t="n">
        <f aca="false">COUNTIF($C$2:$C$503,"2007")</f>
        <v>3</v>
      </c>
      <c r="Q33" s="283"/>
      <c r="R33" s="283"/>
      <c r="S33" s="315" t="n">
        <f aca="false">P33/P42</f>
        <v>0.0215827338129496</v>
      </c>
    </row>
    <row r="34" customFormat="false" ht="13.5" hidden="false" customHeight="true" outlineLevel="0" collapsed="false">
      <c r="A34" s="449" t="n">
        <v>3315</v>
      </c>
      <c r="B34" s="450" t="s">
        <v>16319</v>
      </c>
      <c r="C34" s="450" t="n">
        <v>2014</v>
      </c>
      <c r="D34" s="451" t="n">
        <v>41866</v>
      </c>
      <c r="E34" s="450" t="s">
        <v>16320</v>
      </c>
      <c r="F34" s="450" t="s">
        <v>16049</v>
      </c>
      <c r="G34" s="450" t="s">
        <v>441</v>
      </c>
      <c r="H34" s="450" t="s">
        <v>223</v>
      </c>
      <c r="I34" s="451" t="n">
        <v>42096</v>
      </c>
      <c r="J34" s="452" t="n">
        <v>4</v>
      </c>
      <c r="K34" s="633" t="s">
        <v>47</v>
      </c>
      <c r="L34" s="452" t="s">
        <v>60</v>
      </c>
      <c r="M34" s="455" t="n">
        <f aca="false">I34-D34</f>
        <v>230</v>
      </c>
      <c r="N34" s="4"/>
      <c r="O34" s="282" t="n">
        <v>2008</v>
      </c>
      <c r="P34" s="282" t="n">
        <f aca="false">COUNTIF($C$2:$C$503,"2008")</f>
        <v>6</v>
      </c>
      <c r="Q34" s="282"/>
      <c r="R34" s="282"/>
      <c r="S34" s="316" t="n">
        <f aca="false">(P34/P42)</f>
        <v>0.0431654676258993</v>
      </c>
    </row>
    <row r="35" customFormat="false" ht="13.5" hidden="false" customHeight="true" outlineLevel="0" collapsed="false">
      <c r="A35" s="456" t="n">
        <v>3415</v>
      </c>
      <c r="B35" s="458" t="s">
        <v>16321</v>
      </c>
      <c r="C35" s="458" t="n">
        <v>2008</v>
      </c>
      <c r="D35" s="459" t="n">
        <v>39771</v>
      </c>
      <c r="E35" s="458" t="s">
        <v>16322</v>
      </c>
      <c r="F35" s="458" t="s">
        <v>1200</v>
      </c>
      <c r="G35" s="458" t="s">
        <v>1174</v>
      </c>
      <c r="H35" s="458" t="s">
        <v>267</v>
      </c>
      <c r="I35" s="459" t="n">
        <v>42101</v>
      </c>
      <c r="J35" s="460" t="n">
        <v>4</v>
      </c>
      <c r="K35" s="633" t="s">
        <v>47</v>
      </c>
      <c r="L35" s="460" t="s">
        <v>58</v>
      </c>
      <c r="M35" s="463" t="n">
        <f aca="false">I35-D35</f>
        <v>2330</v>
      </c>
      <c r="N35" s="4"/>
      <c r="O35" s="283" t="n">
        <v>2009</v>
      </c>
      <c r="P35" s="283" t="n">
        <f aca="false">COUNTIF($C$2:$C$503,"2009")</f>
        <v>23</v>
      </c>
      <c r="Q35" s="283"/>
      <c r="R35" s="283"/>
      <c r="S35" s="315" t="n">
        <f aca="false">P35/P42</f>
        <v>0.165467625899281</v>
      </c>
    </row>
    <row r="36" customFormat="false" ht="13.5" hidden="false" customHeight="true" outlineLevel="0" collapsed="false">
      <c r="A36" s="449" t="n">
        <v>3515</v>
      </c>
      <c r="B36" s="450" t="s">
        <v>16323</v>
      </c>
      <c r="C36" s="450" t="n">
        <v>2011</v>
      </c>
      <c r="D36" s="451" t="n">
        <v>40665</v>
      </c>
      <c r="E36" s="450" t="s">
        <v>16324</v>
      </c>
      <c r="F36" s="450" t="s">
        <v>15696</v>
      </c>
      <c r="G36" s="450" t="s">
        <v>441</v>
      </c>
      <c r="H36" s="450" t="s">
        <v>12763</v>
      </c>
      <c r="I36" s="451" t="n">
        <v>42102</v>
      </c>
      <c r="J36" s="452" t="n">
        <v>4</v>
      </c>
      <c r="K36" s="631" t="s">
        <v>42</v>
      </c>
      <c r="L36" s="452" t="s">
        <v>58</v>
      </c>
      <c r="M36" s="455" t="n">
        <f aca="false">I36-D36</f>
        <v>1437</v>
      </c>
      <c r="N36" s="4"/>
      <c r="O36" s="282" t="n">
        <v>2010</v>
      </c>
      <c r="P36" s="282" t="n">
        <f aca="false">COUNTIF($C$2:$C$503,"2010")</f>
        <v>31</v>
      </c>
      <c r="Q36" s="282"/>
      <c r="R36" s="282"/>
      <c r="S36" s="316" t="n">
        <f aca="false">(P36/P42)</f>
        <v>0.223021582733813</v>
      </c>
    </row>
    <row r="37" customFormat="false" ht="13.5" hidden="false" customHeight="true" outlineLevel="0" collapsed="false">
      <c r="A37" s="456" t="n">
        <v>3615</v>
      </c>
      <c r="B37" s="458" t="s">
        <v>16325</v>
      </c>
      <c r="C37" s="458" t="n">
        <v>2010</v>
      </c>
      <c r="D37" s="459" t="n">
        <v>40420</v>
      </c>
      <c r="E37" s="458" t="s">
        <v>16326</v>
      </c>
      <c r="F37" s="458" t="s">
        <v>2913</v>
      </c>
      <c r="G37" s="458" t="s">
        <v>1174</v>
      </c>
      <c r="H37" s="458" t="s">
        <v>12073</v>
      </c>
      <c r="I37" s="459" t="n">
        <v>42103</v>
      </c>
      <c r="J37" s="460" t="n">
        <v>4</v>
      </c>
      <c r="K37" s="633" t="s">
        <v>47</v>
      </c>
      <c r="L37" s="460" t="s">
        <v>60</v>
      </c>
      <c r="M37" s="463" t="n">
        <f aca="false">I37-D37</f>
        <v>1683</v>
      </c>
      <c r="N37" s="4"/>
      <c r="O37" s="283" t="n">
        <v>2011</v>
      </c>
      <c r="P37" s="283" t="n">
        <f aca="false">COUNTIF($C$2:$C$503,"2011")</f>
        <v>16</v>
      </c>
      <c r="Q37" s="283"/>
      <c r="R37" s="283"/>
      <c r="S37" s="315" t="n">
        <f aca="false">P37/P42</f>
        <v>0.115107913669065</v>
      </c>
    </row>
    <row r="38" customFormat="false" ht="13.5" hidden="false" customHeight="true" outlineLevel="0" collapsed="false">
      <c r="A38" s="449" t="n">
        <v>3715</v>
      </c>
      <c r="B38" s="450" t="s">
        <v>16327</v>
      </c>
      <c r="C38" s="450" t="n">
        <v>2009</v>
      </c>
      <c r="D38" s="451" t="n">
        <v>40056</v>
      </c>
      <c r="E38" s="450" t="s">
        <v>16328</v>
      </c>
      <c r="F38" s="450" t="s">
        <v>3924</v>
      </c>
      <c r="G38" s="450" t="s">
        <v>441</v>
      </c>
      <c r="H38" s="450" t="s">
        <v>2647</v>
      </c>
      <c r="I38" s="451" t="n">
        <v>42109</v>
      </c>
      <c r="J38" s="452" t="n">
        <v>4</v>
      </c>
      <c r="K38" s="633" t="s">
        <v>47</v>
      </c>
      <c r="L38" s="452" t="s">
        <v>58</v>
      </c>
      <c r="M38" s="455" t="n">
        <f aca="false">I38-D38</f>
        <v>2053</v>
      </c>
      <c r="N38" s="4"/>
      <c r="O38" s="282" t="n">
        <v>2012</v>
      </c>
      <c r="P38" s="282" t="n">
        <f aca="false">COUNTIF($C$2:$C$503,"2012")</f>
        <v>20</v>
      </c>
      <c r="Q38" s="282"/>
      <c r="R38" s="282"/>
      <c r="S38" s="316" t="n">
        <f aca="false">(P38/P42)</f>
        <v>0.143884892086331</v>
      </c>
    </row>
    <row r="39" customFormat="false" ht="13.5" hidden="false" customHeight="true" outlineLevel="0" collapsed="false">
      <c r="A39" s="456" t="n">
        <v>3815</v>
      </c>
      <c r="B39" s="458" t="s">
        <v>16329</v>
      </c>
      <c r="C39" s="458" t="n">
        <v>2010</v>
      </c>
      <c r="D39" s="459" t="n">
        <v>40513</v>
      </c>
      <c r="E39" s="458" t="s">
        <v>16330</v>
      </c>
      <c r="F39" s="458" t="s">
        <v>3991</v>
      </c>
      <c r="G39" s="458" t="s">
        <v>441</v>
      </c>
      <c r="H39" s="458" t="s">
        <v>267</v>
      </c>
      <c r="I39" s="459" t="n">
        <v>42111</v>
      </c>
      <c r="J39" s="460" t="n">
        <v>4</v>
      </c>
      <c r="K39" s="631" t="s">
        <v>42</v>
      </c>
      <c r="L39" s="460" t="s">
        <v>58</v>
      </c>
      <c r="M39" s="463" t="n">
        <f aca="false">I39-D39</f>
        <v>1598</v>
      </c>
      <c r="N39" s="4"/>
      <c r="O39" s="283" t="n">
        <v>2013</v>
      </c>
      <c r="P39" s="283" t="n">
        <f aca="false">COUNTIF($C$2:$C$503,"2013")</f>
        <v>17</v>
      </c>
      <c r="Q39" s="283"/>
      <c r="R39" s="283"/>
      <c r="S39" s="315" t="n">
        <f aca="false">P39/P42</f>
        <v>0.122302158273381</v>
      </c>
    </row>
    <row r="40" customFormat="false" ht="12.75" hidden="false" customHeight="true" outlineLevel="0" collapsed="false">
      <c r="A40" s="449" t="n">
        <v>3915</v>
      </c>
      <c r="B40" s="450" t="s">
        <v>16331</v>
      </c>
      <c r="C40" s="450" t="n">
        <v>2010</v>
      </c>
      <c r="D40" s="451" t="n">
        <v>40422</v>
      </c>
      <c r="E40" s="450" t="s">
        <v>16332</v>
      </c>
      <c r="F40" s="450" t="s">
        <v>3924</v>
      </c>
      <c r="G40" s="450" t="s">
        <v>441</v>
      </c>
      <c r="H40" s="450" t="s">
        <v>14513</v>
      </c>
      <c r="I40" s="451" t="n">
        <v>42111</v>
      </c>
      <c r="J40" s="452" t="n">
        <v>4</v>
      </c>
      <c r="K40" s="633" t="s">
        <v>47</v>
      </c>
      <c r="L40" s="452" t="s">
        <v>58</v>
      </c>
      <c r="M40" s="455" t="n">
        <f aca="false">I40-D40</f>
        <v>1689</v>
      </c>
      <c r="N40" s="4"/>
      <c r="O40" s="282" t="n">
        <v>2014</v>
      </c>
      <c r="P40" s="282" t="n">
        <f aca="false">COUNTIF($C$2:$C$503,"2014")</f>
        <v>15</v>
      </c>
      <c r="Q40" s="282"/>
      <c r="R40" s="282"/>
      <c r="S40" s="316" t="n">
        <f aca="false">(P40/P42)</f>
        <v>0.107913669064748</v>
      </c>
    </row>
    <row r="41" customFormat="false" ht="14.25" hidden="false" customHeight="true" outlineLevel="0" collapsed="false">
      <c r="A41" s="456" t="n">
        <v>4015</v>
      </c>
      <c r="B41" s="458" t="s">
        <v>16333</v>
      </c>
      <c r="C41" s="458" t="n">
        <v>2011</v>
      </c>
      <c r="D41" s="459" t="n">
        <v>40863</v>
      </c>
      <c r="E41" s="458" t="s">
        <v>16334</v>
      </c>
      <c r="F41" s="458" t="s">
        <v>3924</v>
      </c>
      <c r="G41" s="458" t="s">
        <v>441</v>
      </c>
      <c r="H41" s="458" t="s">
        <v>223</v>
      </c>
      <c r="I41" s="459" t="n">
        <v>42123</v>
      </c>
      <c r="J41" s="460" t="n">
        <v>4</v>
      </c>
      <c r="K41" s="633" t="s">
        <v>47</v>
      </c>
      <c r="L41" s="460" t="s">
        <v>60</v>
      </c>
      <c r="M41" s="463" t="n">
        <f aca="false">I41-D41</f>
        <v>1260</v>
      </c>
      <c r="N41" s="4"/>
      <c r="O41" s="283" t="n">
        <v>2015</v>
      </c>
      <c r="P41" s="283" t="n">
        <f aca="false">COUNTIF($C$2:$C$503,"2015")</f>
        <v>7</v>
      </c>
      <c r="Q41" s="283"/>
      <c r="R41" s="283"/>
      <c r="S41" s="315" t="n">
        <f aca="false">P41/P42</f>
        <v>0.0503597122302158</v>
      </c>
    </row>
    <row r="42" customFormat="false" ht="14.25" hidden="false" customHeight="true" outlineLevel="0" collapsed="false">
      <c r="A42" s="449" t="n">
        <v>4115</v>
      </c>
      <c r="B42" s="450" t="s">
        <v>16335</v>
      </c>
      <c r="C42" s="450" t="n">
        <v>2009</v>
      </c>
      <c r="D42" s="451" t="n">
        <v>39843</v>
      </c>
      <c r="E42" s="450" t="s">
        <v>16336</v>
      </c>
      <c r="F42" s="450" t="s">
        <v>365</v>
      </c>
      <c r="G42" s="450" t="s">
        <v>441</v>
      </c>
      <c r="H42" s="450" t="s">
        <v>267</v>
      </c>
      <c r="I42" s="451" t="n">
        <v>42124</v>
      </c>
      <c r="J42" s="452" t="n">
        <v>4</v>
      </c>
      <c r="K42" s="633" t="s">
        <v>47</v>
      </c>
      <c r="L42" s="452" t="s">
        <v>60</v>
      </c>
      <c r="M42" s="455" t="n">
        <f aca="false">I42-D42</f>
        <v>2281</v>
      </c>
      <c r="N42" s="4"/>
      <c r="O42" s="323" t="s">
        <v>56</v>
      </c>
      <c r="P42" s="418" t="n">
        <f aca="false">SUM(P29:R41)</f>
        <v>139</v>
      </c>
      <c r="Q42" s="418"/>
      <c r="R42" s="418"/>
      <c r="S42" s="325" t="n">
        <f aca="false">SUM(S29:S41)</f>
        <v>1</v>
      </c>
    </row>
    <row r="43" customFormat="false" ht="14.25" hidden="false" customHeight="true" outlineLevel="0" collapsed="false">
      <c r="A43" s="456" t="n">
        <v>4215</v>
      </c>
      <c r="B43" s="458" t="s">
        <v>16337</v>
      </c>
      <c r="C43" s="458" t="n">
        <v>2010</v>
      </c>
      <c r="D43" s="459" t="n">
        <v>40533</v>
      </c>
      <c r="E43" s="458" t="s">
        <v>16338</v>
      </c>
      <c r="F43" s="458" t="s">
        <v>1097</v>
      </c>
      <c r="G43" s="458" t="s">
        <v>1174</v>
      </c>
      <c r="H43" s="458" t="s">
        <v>522</v>
      </c>
      <c r="I43" s="459" t="n">
        <v>42129</v>
      </c>
      <c r="J43" s="460" t="n">
        <v>5</v>
      </c>
      <c r="K43" s="631" t="s">
        <v>42</v>
      </c>
      <c r="L43" s="460" t="s">
        <v>60</v>
      </c>
      <c r="M43" s="463" t="n">
        <f aca="false">I43-D43</f>
        <v>1596</v>
      </c>
      <c r="N43" s="4"/>
      <c r="O43" s="153"/>
      <c r="P43" s="153"/>
      <c r="Q43" s="153"/>
      <c r="R43" s="153"/>
      <c r="S43" s="153"/>
    </row>
    <row r="44" customFormat="false" ht="12.75" hidden="false" customHeight="true" outlineLevel="0" collapsed="false">
      <c r="A44" s="449" t="n">
        <v>4315</v>
      </c>
      <c r="B44" s="450" t="s">
        <v>16339</v>
      </c>
      <c r="C44" s="450" t="n">
        <v>2012</v>
      </c>
      <c r="D44" s="451" t="n">
        <v>41039</v>
      </c>
      <c r="E44" s="450" t="s">
        <v>16340</v>
      </c>
      <c r="F44" s="450" t="s">
        <v>1097</v>
      </c>
      <c r="G44" s="450" t="s">
        <v>1174</v>
      </c>
      <c r="H44" s="450" t="s">
        <v>1059</v>
      </c>
      <c r="I44" s="451" t="n">
        <v>42129</v>
      </c>
      <c r="J44" s="452" t="n">
        <v>5</v>
      </c>
      <c r="K44" s="631" t="s">
        <v>42</v>
      </c>
      <c r="L44" s="452" t="s">
        <v>60</v>
      </c>
      <c r="M44" s="455" t="n">
        <f aca="false">I44-D44</f>
        <v>1090</v>
      </c>
      <c r="N44" s="4"/>
      <c r="O44" s="326" t="s">
        <v>272</v>
      </c>
      <c r="P44" s="326"/>
      <c r="Q44" s="326"/>
      <c r="R44" s="326"/>
      <c r="S44" s="326"/>
    </row>
    <row r="45" customFormat="false" ht="13.5" hidden="false" customHeight="true" outlineLevel="0" collapsed="false">
      <c r="A45" s="456" t="n">
        <v>4415</v>
      </c>
      <c r="B45" s="458" t="s">
        <v>16341</v>
      </c>
      <c r="C45" s="458" t="n">
        <v>2009</v>
      </c>
      <c r="D45" s="459" t="n">
        <v>39839</v>
      </c>
      <c r="E45" s="458" t="s">
        <v>16342</v>
      </c>
      <c r="F45" s="458" t="s">
        <v>3091</v>
      </c>
      <c r="G45" s="458" t="s">
        <v>441</v>
      </c>
      <c r="H45" s="458" t="s">
        <v>350</v>
      </c>
      <c r="I45" s="459" t="n">
        <v>42136</v>
      </c>
      <c r="J45" s="460" t="n">
        <v>5</v>
      </c>
      <c r="K45" s="633" t="s">
        <v>47</v>
      </c>
      <c r="L45" s="460" t="s">
        <v>58</v>
      </c>
      <c r="M45" s="463" t="n">
        <f aca="false">I45-D45</f>
        <v>2297</v>
      </c>
      <c r="N45" s="4"/>
      <c r="O45" s="326"/>
      <c r="P45" s="326"/>
      <c r="Q45" s="326"/>
      <c r="R45" s="326"/>
      <c r="S45" s="326"/>
    </row>
    <row r="46" customFormat="false" ht="15.75" hidden="false" customHeight="true" outlineLevel="0" collapsed="false">
      <c r="A46" s="449" t="n">
        <v>4515</v>
      </c>
      <c r="B46" s="450" t="s">
        <v>16343</v>
      </c>
      <c r="C46" s="450" t="n">
        <v>2010</v>
      </c>
      <c r="D46" s="451" t="n">
        <v>40420</v>
      </c>
      <c r="E46" s="450" t="s">
        <v>16344</v>
      </c>
      <c r="F46" s="450" t="s">
        <v>16345</v>
      </c>
      <c r="G46" s="450" t="s">
        <v>441</v>
      </c>
      <c r="H46" s="450" t="s">
        <v>2283</v>
      </c>
      <c r="I46" s="451" t="n">
        <v>42139</v>
      </c>
      <c r="J46" s="452" t="n">
        <v>5</v>
      </c>
      <c r="K46" s="631" t="s">
        <v>42</v>
      </c>
      <c r="L46" s="452" t="s">
        <v>57</v>
      </c>
      <c r="M46" s="455" t="n">
        <f aca="false">I46-D46</f>
        <v>1719</v>
      </c>
      <c r="N46" s="4"/>
      <c r="O46" s="309" t="s">
        <v>100</v>
      </c>
      <c r="P46" s="416" t="s">
        <v>40</v>
      </c>
      <c r="Q46" s="416"/>
      <c r="R46" s="416"/>
      <c r="S46" s="313" t="s">
        <v>41</v>
      </c>
    </row>
    <row r="47" customFormat="false" ht="13.5" hidden="false" customHeight="true" outlineLevel="0" collapsed="false">
      <c r="A47" s="456" t="n">
        <v>4615</v>
      </c>
      <c r="B47" s="458" t="s">
        <v>16346</v>
      </c>
      <c r="C47" s="458" t="n">
        <v>2010</v>
      </c>
      <c r="D47" s="459" t="n">
        <v>40422</v>
      </c>
      <c r="E47" s="458" t="s">
        <v>16347</v>
      </c>
      <c r="F47" s="458" t="s">
        <v>16345</v>
      </c>
      <c r="G47" s="458" t="s">
        <v>441</v>
      </c>
      <c r="H47" s="458" t="s">
        <v>2283</v>
      </c>
      <c r="I47" s="459" t="n">
        <v>42139</v>
      </c>
      <c r="J47" s="460" t="n">
        <v>5</v>
      </c>
      <c r="K47" s="631" t="s">
        <v>42</v>
      </c>
      <c r="L47" s="460" t="s">
        <v>57</v>
      </c>
      <c r="M47" s="463" t="n">
        <f aca="false">I47-D47</f>
        <v>1717</v>
      </c>
      <c r="N47" s="4"/>
      <c r="O47" s="314" t="s">
        <v>63</v>
      </c>
      <c r="P47" s="314" t="n">
        <f aca="false">COUNTIF($J$2:$J$476,"1")</f>
        <v>12</v>
      </c>
      <c r="Q47" s="314"/>
      <c r="R47" s="314"/>
      <c r="S47" s="469" t="n">
        <f aca="false">(P47/P59)</f>
        <v>0.0863309352517986</v>
      </c>
    </row>
    <row r="48" customFormat="false" ht="13.5" hidden="false" customHeight="true" outlineLevel="0" collapsed="false">
      <c r="A48" s="449" t="n">
        <v>4715</v>
      </c>
      <c r="B48" s="450" t="s">
        <v>16348</v>
      </c>
      <c r="C48" s="450" t="n">
        <v>2009</v>
      </c>
      <c r="D48" s="451" t="n">
        <v>40086</v>
      </c>
      <c r="E48" s="450" t="s">
        <v>16349</v>
      </c>
      <c r="F48" s="450" t="s">
        <v>3924</v>
      </c>
      <c r="G48" s="450" t="s">
        <v>441</v>
      </c>
      <c r="H48" s="450" t="s">
        <v>354</v>
      </c>
      <c r="I48" s="451" t="n">
        <v>42149</v>
      </c>
      <c r="J48" s="452" t="n">
        <v>5</v>
      </c>
      <c r="K48" s="633" t="s">
        <v>47</v>
      </c>
      <c r="L48" s="452" t="s">
        <v>58</v>
      </c>
      <c r="M48" s="455" t="n">
        <f aca="false">I48-D48</f>
        <v>2063</v>
      </c>
      <c r="N48" s="4"/>
      <c r="O48" s="282" t="s">
        <v>64</v>
      </c>
      <c r="P48" s="282" t="n">
        <f aca="false">COUNTIF($J$2:$J$476,"2")</f>
        <v>6</v>
      </c>
      <c r="Q48" s="282"/>
      <c r="R48" s="282"/>
      <c r="S48" s="316" t="n">
        <f aca="false">(P48/P59)</f>
        <v>0.0431654676258993</v>
      </c>
    </row>
    <row r="49" customFormat="false" ht="13.5" hidden="false" customHeight="true" outlineLevel="0" collapsed="false">
      <c r="A49" s="456" t="n">
        <v>4815</v>
      </c>
      <c r="B49" s="458" t="s">
        <v>16350</v>
      </c>
      <c r="C49" s="458" t="n">
        <v>2008</v>
      </c>
      <c r="D49" s="459" t="n">
        <v>39485</v>
      </c>
      <c r="E49" s="458" t="s">
        <v>16351</v>
      </c>
      <c r="F49" s="458" t="s">
        <v>8232</v>
      </c>
      <c r="G49" s="458" t="s">
        <v>441</v>
      </c>
      <c r="H49" s="458" t="s">
        <v>5230</v>
      </c>
      <c r="I49" s="459" t="n">
        <v>42158</v>
      </c>
      <c r="J49" s="460" t="n">
        <v>6</v>
      </c>
      <c r="K49" s="632" t="s">
        <v>50</v>
      </c>
      <c r="L49" s="460" t="s">
        <v>60</v>
      </c>
      <c r="M49" s="463" t="n">
        <f aca="false">I49-D49</f>
        <v>2673</v>
      </c>
      <c r="N49" s="4"/>
      <c r="O49" s="283" t="s">
        <v>66</v>
      </c>
      <c r="P49" s="283" t="n">
        <f aca="false">COUNTIF($J$2:$J$476,"3")</f>
        <v>13</v>
      </c>
      <c r="Q49" s="283"/>
      <c r="R49" s="283"/>
      <c r="S49" s="315" t="n">
        <f aca="false">(P49/P59)</f>
        <v>0.0935251798561151</v>
      </c>
      <c r="T49" s="153"/>
    </row>
    <row r="50" customFormat="false" ht="14.25" hidden="false" customHeight="true" outlineLevel="0" collapsed="false">
      <c r="A50" s="449" t="n">
        <v>4915</v>
      </c>
      <c r="B50" s="450" t="s">
        <v>16352</v>
      </c>
      <c r="C50" s="450" t="n">
        <v>2015</v>
      </c>
      <c r="D50" s="451" t="n">
        <v>42023</v>
      </c>
      <c r="E50" s="450" t="s">
        <v>16353</v>
      </c>
      <c r="F50" s="624" t="s">
        <v>288</v>
      </c>
      <c r="G50" s="450" t="s">
        <v>130</v>
      </c>
      <c r="H50" s="450" t="s">
        <v>16354</v>
      </c>
      <c r="I50" s="451" t="n">
        <v>42160</v>
      </c>
      <c r="J50" s="452" t="n">
        <v>6</v>
      </c>
      <c r="K50" s="632" t="s">
        <v>2407</v>
      </c>
      <c r="L50" s="452" t="s">
        <v>61</v>
      </c>
      <c r="M50" s="455" t="n">
        <f aca="false">I50-D50</f>
        <v>137</v>
      </c>
      <c r="N50" s="4"/>
      <c r="O50" s="282" t="s">
        <v>67</v>
      </c>
      <c r="P50" s="282" t="n">
        <f aca="false">COUNTIF($J$2:$J$476,"4")</f>
        <v>10</v>
      </c>
      <c r="Q50" s="282"/>
      <c r="R50" s="282"/>
      <c r="S50" s="316" t="n">
        <f aca="false">(P50/P59)</f>
        <v>0.0719424460431655</v>
      </c>
      <c r="T50" s="153"/>
    </row>
    <row r="51" customFormat="false" ht="14.25" hidden="false" customHeight="true" outlineLevel="0" collapsed="false">
      <c r="A51" s="456" t="n">
        <v>5015</v>
      </c>
      <c r="B51" s="458" t="s">
        <v>16355</v>
      </c>
      <c r="C51" s="458" t="n">
        <v>2012</v>
      </c>
      <c r="D51" s="459" t="n">
        <v>41061</v>
      </c>
      <c r="E51" s="458" t="s">
        <v>16356</v>
      </c>
      <c r="F51" s="625" t="s">
        <v>9785</v>
      </c>
      <c r="G51" s="458" t="s">
        <v>125</v>
      </c>
      <c r="H51" s="458" t="s">
        <v>3472</v>
      </c>
      <c r="I51" s="459" t="n">
        <v>42164</v>
      </c>
      <c r="J51" s="460" t="n">
        <v>6</v>
      </c>
      <c r="K51" s="633" t="s">
        <v>47</v>
      </c>
      <c r="L51" s="460" t="s">
        <v>61</v>
      </c>
      <c r="M51" s="463" t="n">
        <f aca="false">I51-D51</f>
        <v>1103</v>
      </c>
      <c r="N51" s="4"/>
      <c r="O51" s="283" t="s">
        <v>68</v>
      </c>
      <c r="P51" s="283" t="n">
        <f aca="false">COUNTIF($J$2:$J$476,"5")</f>
        <v>6</v>
      </c>
      <c r="Q51" s="283"/>
      <c r="R51" s="283"/>
      <c r="S51" s="315" t="n">
        <f aca="false">(P51/P59)</f>
        <v>0.0431654676258993</v>
      </c>
      <c r="T51" s="153"/>
    </row>
    <row r="52" customFormat="false" ht="12.75" hidden="false" customHeight="true" outlineLevel="0" collapsed="false">
      <c r="A52" s="449" t="n">
        <v>5115</v>
      </c>
      <c r="B52" s="450" t="s">
        <v>16357</v>
      </c>
      <c r="C52" s="450" t="n">
        <v>2012</v>
      </c>
      <c r="D52" s="451" t="n">
        <v>41226</v>
      </c>
      <c r="E52" s="450" t="s">
        <v>16358</v>
      </c>
      <c r="F52" s="624" t="s">
        <v>6303</v>
      </c>
      <c r="G52" s="450" t="s">
        <v>130</v>
      </c>
      <c r="H52" s="450" t="s">
        <v>10999</v>
      </c>
      <c r="I52" s="451" t="n">
        <v>42170</v>
      </c>
      <c r="J52" s="452" t="n">
        <v>6</v>
      </c>
      <c r="K52" s="632" t="s">
        <v>50</v>
      </c>
      <c r="L52" s="452" t="s">
        <v>61</v>
      </c>
      <c r="M52" s="455" t="n">
        <f aca="false">I52-D52</f>
        <v>944</v>
      </c>
      <c r="N52" s="4"/>
      <c r="O52" s="282" t="s">
        <v>70</v>
      </c>
      <c r="P52" s="282" t="n">
        <f aca="false">COUNTIF($J$2:$J$476,"6")</f>
        <v>16</v>
      </c>
      <c r="Q52" s="282"/>
      <c r="R52" s="282"/>
      <c r="S52" s="316" t="n">
        <f aca="false">(P52/P59)</f>
        <v>0.115107913669065</v>
      </c>
      <c r="T52" s="153"/>
    </row>
    <row r="53" customFormat="false" ht="14.25" hidden="false" customHeight="true" outlineLevel="0" collapsed="false">
      <c r="A53" s="456" t="n">
        <v>5215</v>
      </c>
      <c r="B53" s="458" t="s">
        <v>16359</v>
      </c>
      <c r="C53" s="458" t="n">
        <v>2010</v>
      </c>
      <c r="D53" s="459" t="n">
        <v>40476</v>
      </c>
      <c r="E53" s="458" t="s">
        <v>16360</v>
      </c>
      <c r="F53" s="458" t="s">
        <v>1511</v>
      </c>
      <c r="G53" s="458" t="s">
        <v>441</v>
      </c>
      <c r="H53" s="458" t="s">
        <v>16013</v>
      </c>
      <c r="I53" s="459" t="n">
        <v>42170</v>
      </c>
      <c r="J53" s="460" t="n">
        <v>6</v>
      </c>
      <c r="K53" s="633" t="s">
        <v>47</v>
      </c>
      <c r="L53" s="460" t="s">
        <v>60</v>
      </c>
      <c r="M53" s="463" t="n">
        <f aca="false">I53-D53</f>
        <v>1694</v>
      </c>
      <c r="N53" s="4"/>
      <c r="O53" s="283" t="s">
        <v>72</v>
      </c>
      <c r="P53" s="283" t="n">
        <f aca="false">COUNTIF($J$2:$J$476,"7")</f>
        <v>19</v>
      </c>
      <c r="Q53" s="283"/>
      <c r="R53" s="283"/>
      <c r="S53" s="315" t="n">
        <f aca="false">(P53/P59)</f>
        <v>0.136690647482014</v>
      </c>
      <c r="T53" s="153"/>
    </row>
    <row r="54" customFormat="false" ht="14.25" hidden="false" customHeight="true" outlineLevel="0" collapsed="false">
      <c r="A54" s="449" t="n">
        <v>5315</v>
      </c>
      <c r="B54" s="450" t="s">
        <v>16361</v>
      </c>
      <c r="C54" s="450" t="n">
        <v>2010</v>
      </c>
      <c r="D54" s="451" t="n">
        <v>40480</v>
      </c>
      <c r="E54" s="450" t="s">
        <v>16362</v>
      </c>
      <c r="F54" s="450" t="s">
        <v>1511</v>
      </c>
      <c r="G54" s="450" t="s">
        <v>441</v>
      </c>
      <c r="H54" s="450" t="s">
        <v>16013</v>
      </c>
      <c r="I54" s="451" t="n">
        <v>42170</v>
      </c>
      <c r="J54" s="452" t="n">
        <v>6</v>
      </c>
      <c r="K54" s="633" t="s">
        <v>47</v>
      </c>
      <c r="L54" s="452" t="s">
        <v>60</v>
      </c>
      <c r="M54" s="455" t="n">
        <f aca="false">I54-D54</f>
        <v>1690</v>
      </c>
      <c r="N54" s="4"/>
      <c r="O54" s="282" t="s">
        <v>74</v>
      </c>
      <c r="P54" s="282" t="n">
        <f aca="false">COUNTIF($J$2:$J$476,"8")</f>
        <v>9</v>
      </c>
      <c r="Q54" s="282"/>
      <c r="R54" s="282"/>
      <c r="S54" s="316" t="n">
        <f aca="false">(P54/P59)</f>
        <v>0.0647482014388489</v>
      </c>
      <c r="T54" s="153"/>
    </row>
    <row r="55" customFormat="false" ht="15" hidden="false" customHeight="true" outlineLevel="0" collapsed="false">
      <c r="A55" s="456" t="n">
        <v>5415</v>
      </c>
      <c r="B55" s="458" t="s">
        <v>16363</v>
      </c>
      <c r="C55" s="458" t="n">
        <v>2014</v>
      </c>
      <c r="D55" s="459" t="n">
        <v>41709</v>
      </c>
      <c r="E55" s="458" t="s">
        <v>16364</v>
      </c>
      <c r="F55" s="625" t="s">
        <v>288</v>
      </c>
      <c r="G55" s="458" t="s">
        <v>130</v>
      </c>
      <c r="H55" s="458" t="s">
        <v>16365</v>
      </c>
      <c r="I55" s="459" t="n">
        <v>42170</v>
      </c>
      <c r="J55" s="460" t="n">
        <v>6</v>
      </c>
      <c r="K55" s="632" t="s">
        <v>2407</v>
      </c>
      <c r="L55" s="460" t="s">
        <v>61</v>
      </c>
      <c r="M55" s="463" t="n">
        <f aca="false">I55-D55</f>
        <v>461</v>
      </c>
      <c r="N55" s="4"/>
      <c r="O55" s="283" t="s">
        <v>76</v>
      </c>
      <c r="P55" s="283" t="n">
        <f aca="false">COUNTIF($J$2:$J$476,"9")</f>
        <v>5</v>
      </c>
      <c r="Q55" s="283"/>
      <c r="R55" s="283"/>
      <c r="S55" s="315" t="n">
        <f aca="false">(P55/P59)</f>
        <v>0.0359712230215827</v>
      </c>
      <c r="T55" s="153"/>
    </row>
    <row r="56" customFormat="false" ht="14.25" hidden="false" customHeight="true" outlineLevel="0" collapsed="false">
      <c r="A56" s="449" t="n">
        <v>5515</v>
      </c>
      <c r="B56" s="450" t="s">
        <v>16366</v>
      </c>
      <c r="C56" s="450" t="n">
        <v>2010</v>
      </c>
      <c r="D56" s="451" t="n">
        <v>40480</v>
      </c>
      <c r="E56" s="450" t="s">
        <v>16367</v>
      </c>
      <c r="F56" s="450" t="s">
        <v>3991</v>
      </c>
      <c r="G56" s="450" t="s">
        <v>441</v>
      </c>
      <c r="H56" s="450" t="s">
        <v>267</v>
      </c>
      <c r="I56" s="451" t="n">
        <v>42171</v>
      </c>
      <c r="J56" s="452" t="n">
        <v>6</v>
      </c>
      <c r="K56" s="631" t="s">
        <v>42</v>
      </c>
      <c r="L56" s="452" t="s">
        <v>58</v>
      </c>
      <c r="M56" s="455" t="n">
        <f aca="false">I56-D56</f>
        <v>1691</v>
      </c>
      <c r="N56" s="4"/>
      <c r="O56" s="282" t="s">
        <v>78</v>
      </c>
      <c r="P56" s="282" t="n">
        <f aca="false">COUNTIF($J$2:$J$476,"10")</f>
        <v>9</v>
      </c>
      <c r="Q56" s="282"/>
      <c r="R56" s="282"/>
      <c r="S56" s="316" t="n">
        <f aca="false">(P56/P59)</f>
        <v>0.0647482014388489</v>
      </c>
      <c r="T56" s="153"/>
    </row>
    <row r="57" customFormat="false" ht="14.25" hidden="false" customHeight="true" outlineLevel="0" collapsed="false">
      <c r="A57" s="456" t="n">
        <v>5615</v>
      </c>
      <c r="B57" s="458" t="s">
        <v>16368</v>
      </c>
      <c r="C57" s="458" t="n">
        <v>2010</v>
      </c>
      <c r="D57" s="459" t="n">
        <v>40430</v>
      </c>
      <c r="E57" s="458" t="s">
        <v>16369</v>
      </c>
      <c r="F57" s="458" t="s">
        <v>168</v>
      </c>
      <c r="G57" s="458" t="s">
        <v>441</v>
      </c>
      <c r="H57" s="458" t="s">
        <v>1059</v>
      </c>
      <c r="I57" s="459" t="n">
        <v>42171</v>
      </c>
      <c r="J57" s="460" t="n">
        <v>6</v>
      </c>
      <c r="K57" s="631" t="s">
        <v>42</v>
      </c>
      <c r="L57" s="460" t="s">
        <v>58</v>
      </c>
      <c r="M57" s="463" t="n">
        <f aca="false">I57-D57</f>
        <v>1741</v>
      </c>
      <c r="N57" s="4"/>
      <c r="O57" s="283" t="s">
        <v>80</v>
      </c>
      <c r="P57" s="283" t="n">
        <f aca="false">COUNTIF($J$2:$J$476,"11")</f>
        <v>18</v>
      </c>
      <c r="Q57" s="283"/>
      <c r="R57" s="283"/>
      <c r="S57" s="315" t="n">
        <f aca="false">(P57/P59)</f>
        <v>0.129496402877698</v>
      </c>
      <c r="T57" s="153"/>
    </row>
    <row r="58" customFormat="false" ht="14.25" hidden="false" customHeight="true" outlineLevel="0" collapsed="false">
      <c r="A58" s="449" t="n">
        <v>5715</v>
      </c>
      <c r="B58" s="450" t="s">
        <v>16370</v>
      </c>
      <c r="C58" s="450" t="n">
        <v>2011</v>
      </c>
      <c r="D58" s="451" t="n">
        <v>40731</v>
      </c>
      <c r="E58" s="450" t="s">
        <v>16371</v>
      </c>
      <c r="F58" s="450" t="s">
        <v>2913</v>
      </c>
      <c r="G58" s="450" t="s">
        <v>144</v>
      </c>
      <c r="H58" s="450" t="s">
        <v>10110</v>
      </c>
      <c r="I58" s="451" t="n">
        <v>42177</v>
      </c>
      <c r="J58" s="452" t="n">
        <v>6</v>
      </c>
      <c r="K58" s="631" t="s">
        <v>42</v>
      </c>
      <c r="L58" s="452" t="s">
        <v>60</v>
      </c>
      <c r="M58" s="455" t="n">
        <f aca="false">I58-D58</f>
        <v>1446</v>
      </c>
      <c r="N58" s="4"/>
      <c r="O58" s="336" t="s">
        <v>82</v>
      </c>
      <c r="P58" s="282" t="n">
        <f aca="false">COUNTIF($J$2:$J$476,"12")</f>
        <v>16</v>
      </c>
      <c r="Q58" s="282"/>
      <c r="R58" s="282"/>
      <c r="S58" s="470" t="n">
        <f aca="false">(P58/P59)</f>
        <v>0.115107913669065</v>
      </c>
      <c r="T58" s="153"/>
    </row>
    <row r="59" customFormat="false" ht="14.25" hidden="false" customHeight="true" outlineLevel="0" collapsed="false">
      <c r="A59" s="456" t="n">
        <v>5815</v>
      </c>
      <c r="B59" s="458" t="s">
        <v>16372</v>
      </c>
      <c r="C59" s="458" t="n">
        <v>2012</v>
      </c>
      <c r="D59" s="459" t="n">
        <v>41107</v>
      </c>
      <c r="E59" s="458" t="s">
        <v>16373</v>
      </c>
      <c r="F59" s="458" t="s">
        <v>15802</v>
      </c>
      <c r="G59" s="458" t="s">
        <v>441</v>
      </c>
      <c r="H59" s="458" t="s">
        <v>471</v>
      </c>
      <c r="I59" s="459" t="n">
        <v>42177</v>
      </c>
      <c r="J59" s="460" t="n">
        <v>6</v>
      </c>
      <c r="K59" s="631" t="s">
        <v>42</v>
      </c>
      <c r="L59" s="460" t="s">
        <v>60</v>
      </c>
      <c r="M59" s="463" t="n">
        <f aca="false">I59-D59</f>
        <v>1070</v>
      </c>
      <c r="N59" s="4"/>
      <c r="O59" s="323" t="s">
        <v>54</v>
      </c>
      <c r="P59" s="418" t="n">
        <f aca="false">SUM(P47:R58)</f>
        <v>139</v>
      </c>
      <c r="Q59" s="418"/>
      <c r="R59" s="418"/>
      <c r="S59" s="325" t="n">
        <f aca="false">SUM(S47:S58)</f>
        <v>1</v>
      </c>
      <c r="T59" s="153"/>
    </row>
    <row r="60" customFormat="false" ht="14.25" hidden="false" customHeight="true" outlineLevel="0" collapsed="false">
      <c r="A60" s="449" t="n">
        <v>5915</v>
      </c>
      <c r="B60" s="450" t="s">
        <v>16374</v>
      </c>
      <c r="C60" s="450" t="n">
        <v>2012</v>
      </c>
      <c r="D60" s="451" t="n">
        <v>41107</v>
      </c>
      <c r="E60" s="450" t="s">
        <v>16375</v>
      </c>
      <c r="F60" s="450" t="s">
        <v>15802</v>
      </c>
      <c r="G60" s="450" t="s">
        <v>441</v>
      </c>
      <c r="H60" s="450" t="s">
        <v>471</v>
      </c>
      <c r="I60" s="451" t="n">
        <v>42177</v>
      </c>
      <c r="J60" s="452" t="n">
        <v>6</v>
      </c>
      <c r="K60" s="631" t="s">
        <v>42</v>
      </c>
      <c r="L60" s="452" t="s">
        <v>60</v>
      </c>
      <c r="M60" s="455" t="n">
        <f aca="false">I60-D60</f>
        <v>1070</v>
      </c>
      <c r="N60" s="4"/>
      <c r="O60" s="153"/>
      <c r="P60" s="153"/>
      <c r="Q60" s="153"/>
      <c r="R60" s="153"/>
      <c r="S60" s="153"/>
      <c r="T60" s="153"/>
    </row>
    <row r="61" customFormat="false" ht="15" hidden="false" customHeight="true" outlineLevel="0" collapsed="false">
      <c r="A61" s="456" t="n">
        <v>6015</v>
      </c>
      <c r="B61" s="458" t="s">
        <v>16376</v>
      </c>
      <c r="C61" s="458" t="n">
        <v>2015</v>
      </c>
      <c r="D61" s="459" t="n">
        <v>42090</v>
      </c>
      <c r="E61" s="458" t="s">
        <v>16377</v>
      </c>
      <c r="F61" s="625" t="s">
        <v>4087</v>
      </c>
      <c r="G61" s="458" t="s">
        <v>130</v>
      </c>
      <c r="H61" s="458" t="s">
        <v>149</v>
      </c>
      <c r="I61" s="459" t="n">
        <v>42178</v>
      </c>
      <c r="J61" s="460" t="n">
        <v>6</v>
      </c>
      <c r="K61" s="632" t="s">
        <v>2407</v>
      </c>
      <c r="L61" s="460" t="s">
        <v>61</v>
      </c>
      <c r="M61" s="463" t="n">
        <f aca="false">I61-D61</f>
        <v>88</v>
      </c>
      <c r="N61" s="4"/>
      <c r="O61" s="339" t="s">
        <v>335</v>
      </c>
      <c r="P61" s="339"/>
      <c r="Q61" s="339"/>
      <c r="R61" s="339"/>
      <c r="S61" s="339"/>
      <c r="T61" s="339"/>
    </row>
    <row r="62" customFormat="false" ht="14.25" hidden="false" customHeight="true" outlineLevel="0" collapsed="false">
      <c r="A62" s="449" t="n">
        <v>6115</v>
      </c>
      <c r="B62" s="450" t="s">
        <v>16378</v>
      </c>
      <c r="C62" s="450" t="n">
        <v>2011</v>
      </c>
      <c r="D62" s="451" t="n">
        <v>40661</v>
      </c>
      <c r="E62" s="450" t="s">
        <v>16379</v>
      </c>
      <c r="F62" s="450" t="s">
        <v>15802</v>
      </c>
      <c r="G62" s="450" t="s">
        <v>441</v>
      </c>
      <c r="H62" s="450" t="s">
        <v>471</v>
      </c>
      <c r="I62" s="451" t="n">
        <v>42178</v>
      </c>
      <c r="J62" s="452" t="n">
        <v>6</v>
      </c>
      <c r="K62" s="631" t="s">
        <v>42</v>
      </c>
      <c r="L62" s="452" t="s">
        <v>60</v>
      </c>
      <c r="M62" s="455" t="n">
        <f aca="false">I62-D62</f>
        <v>1517</v>
      </c>
      <c r="N62" s="4"/>
      <c r="O62" s="339"/>
      <c r="P62" s="339"/>
      <c r="Q62" s="339"/>
      <c r="R62" s="339"/>
      <c r="S62" s="339"/>
      <c r="T62" s="339"/>
    </row>
    <row r="63" customFormat="false" ht="15.75" hidden="false" customHeight="true" outlineLevel="0" collapsed="false">
      <c r="A63" s="456" t="n">
        <v>6215</v>
      </c>
      <c r="B63" s="458" t="s">
        <v>16380</v>
      </c>
      <c r="C63" s="458" t="n">
        <v>2008</v>
      </c>
      <c r="D63" s="459" t="n">
        <v>39813</v>
      </c>
      <c r="E63" s="458" t="s">
        <v>16381</v>
      </c>
      <c r="F63" s="458" t="s">
        <v>10814</v>
      </c>
      <c r="G63" s="458" t="s">
        <v>144</v>
      </c>
      <c r="H63" s="458" t="s">
        <v>10110</v>
      </c>
      <c r="I63" s="459" t="n">
        <v>42179</v>
      </c>
      <c r="J63" s="460" t="n">
        <v>6</v>
      </c>
      <c r="K63" s="631" t="s">
        <v>42</v>
      </c>
      <c r="L63" s="460" t="s">
        <v>60</v>
      </c>
      <c r="M63" s="463" t="n">
        <f aca="false">I63-D63</f>
        <v>2366</v>
      </c>
      <c r="N63" s="4"/>
      <c r="O63" s="340" t="s">
        <v>38</v>
      </c>
      <c r="P63" s="340"/>
      <c r="Q63" s="340"/>
      <c r="R63" s="340"/>
      <c r="S63" s="341" t="s">
        <v>343</v>
      </c>
      <c r="T63" s="342" t="s">
        <v>41</v>
      </c>
    </row>
    <row r="64" customFormat="false" ht="13.5" hidden="false" customHeight="true" outlineLevel="0" collapsed="false">
      <c r="A64" s="449" t="n">
        <v>6315</v>
      </c>
      <c r="B64" s="450" t="s">
        <v>16382</v>
      </c>
      <c r="C64" s="450" t="n">
        <v>2013</v>
      </c>
      <c r="D64" s="451" t="n">
        <v>41354</v>
      </c>
      <c r="E64" s="450" t="s">
        <v>16383</v>
      </c>
      <c r="F64" s="450" t="s">
        <v>699</v>
      </c>
      <c r="G64" s="450" t="s">
        <v>441</v>
      </c>
      <c r="H64" s="450" t="s">
        <v>184</v>
      </c>
      <c r="I64" s="451" t="n">
        <v>42185</v>
      </c>
      <c r="J64" s="452" t="n">
        <v>6</v>
      </c>
      <c r="K64" s="633" t="s">
        <v>47</v>
      </c>
      <c r="L64" s="452" t="s">
        <v>60</v>
      </c>
      <c r="M64" s="455" t="n">
        <f aca="false">I64-D64</f>
        <v>831</v>
      </c>
      <c r="N64" s="4"/>
      <c r="O64" s="471" t="s">
        <v>42</v>
      </c>
      <c r="P64" s="471"/>
      <c r="Q64" s="471"/>
      <c r="R64" s="471"/>
      <c r="S64" s="471" t="n">
        <f aca="false">COUNTIF($K$2:$K$476,"I - Extremamente tóxico")</f>
        <v>41</v>
      </c>
      <c r="T64" s="472" t="n">
        <f aca="false">(S64/S76)</f>
        <v>0.294964028776978</v>
      </c>
    </row>
    <row r="65" customFormat="false" ht="13.5" hidden="false" customHeight="true" outlineLevel="0" collapsed="false">
      <c r="A65" s="456" t="n">
        <v>6415</v>
      </c>
      <c r="B65" s="458" t="s">
        <v>16384</v>
      </c>
      <c r="C65" s="458" t="n">
        <v>2009</v>
      </c>
      <c r="D65" s="459" t="n">
        <v>39875</v>
      </c>
      <c r="E65" s="458" t="s">
        <v>16385</v>
      </c>
      <c r="F65" s="458" t="s">
        <v>1200</v>
      </c>
      <c r="G65" s="458" t="s">
        <v>441</v>
      </c>
      <c r="H65" s="458" t="s">
        <v>267</v>
      </c>
      <c r="I65" s="459" t="n">
        <v>42186</v>
      </c>
      <c r="J65" s="460" t="n">
        <v>7</v>
      </c>
      <c r="K65" s="633" t="s">
        <v>47</v>
      </c>
      <c r="L65" s="460" t="s">
        <v>58</v>
      </c>
      <c r="M65" s="463" t="n">
        <f aca="false">I65-D65</f>
        <v>2311</v>
      </c>
      <c r="N65" s="4"/>
      <c r="O65" s="345" t="s">
        <v>43</v>
      </c>
      <c r="P65" s="345"/>
      <c r="Q65" s="345"/>
      <c r="R65" s="345"/>
      <c r="S65" s="345" t="n">
        <f aca="false">COUNTIF($K$2:$K$476,"Categoria 1 - Produto Extremamente Tóxico")</f>
        <v>0</v>
      </c>
      <c r="T65" s="473" t="n">
        <f aca="false">(S65/S76)</f>
        <v>0</v>
      </c>
    </row>
    <row r="66" customFormat="false" ht="13.5" hidden="false" customHeight="true" outlineLevel="0" collapsed="false">
      <c r="A66" s="449" t="n">
        <v>6515</v>
      </c>
      <c r="B66" s="450" t="s">
        <v>16386</v>
      </c>
      <c r="C66" s="450" t="n">
        <v>2010</v>
      </c>
      <c r="D66" s="451" t="n">
        <v>40533</v>
      </c>
      <c r="E66" s="450" t="s">
        <v>16387</v>
      </c>
      <c r="F66" s="450" t="s">
        <v>1097</v>
      </c>
      <c r="G66" s="450" t="s">
        <v>441</v>
      </c>
      <c r="H66" s="450" t="s">
        <v>2296</v>
      </c>
      <c r="I66" s="451" t="n">
        <v>42191</v>
      </c>
      <c r="J66" s="452" t="n">
        <v>7</v>
      </c>
      <c r="K66" s="631" t="s">
        <v>42</v>
      </c>
      <c r="L66" s="452" t="s">
        <v>60</v>
      </c>
      <c r="M66" s="455" t="n">
        <f aca="false">I66-D66</f>
        <v>1658</v>
      </c>
      <c r="N66" s="4"/>
      <c r="O66" s="345" t="s">
        <v>44</v>
      </c>
      <c r="P66" s="345"/>
      <c r="Q66" s="345"/>
      <c r="R66" s="345"/>
      <c r="S66" s="345" t="n">
        <f aca="false">COUNTIF($K$2:$K$476,"Categoria 2 - Produto Altamente Tóxico")</f>
        <v>0</v>
      </c>
      <c r="T66" s="473" t="n">
        <f aca="false">(S66/S76)</f>
        <v>0</v>
      </c>
    </row>
    <row r="67" customFormat="false" ht="13.5" hidden="false" customHeight="true" outlineLevel="0" collapsed="false">
      <c r="A67" s="456" t="n">
        <v>6615</v>
      </c>
      <c r="B67" s="458" t="s">
        <v>16388</v>
      </c>
      <c r="C67" s="458" t="n">
        <v>2010</v>
      </c>
      <c r="D67" s="459" t="n">
        <v>40535</v>
      </c>
      <c r="E67" s="458" t="s">
        <v>16389</v>
      </c>
      <c r="F67" s="458" t="s">
        <v>1097</v>
      </c>
      <c r="G67" s="458" t="s">
        <v>441</v>
      </c>
      <c r="H67" s="458" t="s">
        <v>354</v>
      </c>
      <c r="I67" s="459" t="n">
        <v>42191</v>
      </c>
      <c r="J67" s="460" t="n">
        <v>7</v>
      </c>
      <c r="K67" s="631" t="s">
        <v>42</v>
      </c>
      <c r="L67" s="460" t="s">
        <v>60</v>
      </c>
      <c r="M67" s="463" t="n">
        <f aca="false">I67-D67</f>
        <v>1656</v>
      </c>
      <c r="N67" s="4"/>
      <c r="O67" s="349" t="s">
        <v>45</v>
      </c>
      <c r="P67" s="349"/>
      <c r="Q67" s="349"/>
      <c r="R67" s="349"/>
      <c r="S67" s="349" t="n">
        <f aca="false">COUNTIF($K$2:$K$476,"II - Altamente tóxico")</f>
        <v>16</v>
      </c>
      <c r="T67" s="474" t="n">
        <f aca="false">(S67/S76)</f>
        <v>0.115107913669065</v>
      </c>
    </row>
    <row r="68" customFormat="false" ht="13.5" hidden="false" customHeight="true" outlineLevel="0" collapsed="false">
      <c r="A68" s="449" t="n">
        <v>6715</v>
      </c>
      <c r="B68" s="450" t="s">
        <v>16390</v>
      </c>
      <c r="C68" s="450" t="n">
        <v>2012</v>
      </c>
      <c r="D68" s="451" t="n">
        <v>41183</v>
      </c>
      <c r="E68" s="450" t="s">
        <v>16391</v>
      </c>
      <c r="F68" s="450" t="s">
        <v>1097</v>
      </c>
      <c r="G68" s="450" t="s">
        <v>441</v>
      </c>
      <c r="H68" s="450" t="s">
        <v>3727</v>
      </c>
      <c r="I68" s="451" t="n">
        <v>42191</v>
      </c>
      <c r="J68" s="452" t="n">
        <v>7</v>
      </c>
      <c r="K68" s="631" t="s">
        <v>42</v>
      </c>
      <c r="L68" s="452" t="s">
        <v>60</v>
      </c>
      <c r="M68" s="455" t="n">
        <f aca="false">I68-D68</f>
        <v>1008</v>
      </c>
      <c r="N68" s="4"/>
      <c r="O68" s="349" t="s">
        <v>46</v>
      </c>
      <c r="P68" s="349"/>
      <c r="Q68" s="349"/>
      <c r="R68" s="349"/>
      <c r="S68" s="349" t="n">
        <f aca="false">COUNTIF($K$2:$K$476,"Categoria 3 - Produto Moderadamente Tóxico")</f>
        <v>0</v>
      </c>
      <c r="T68" s="474" t="n">
        <f aca="false">(S68/S76)</f>
        <v>0</v>
      </c>
    </row>
    <row r="69" customFormat="false" ht="13.5" hidden="false" customHeight="true" outlineLevel="0" collapsed="false">
      <c r="A69" s="456" t="n">
        <v>6815</v>
      </c>
      <c r="B69" s="458" t="s">
        <v>16392</v>
      </c>
      <c r="C69" s="458" t="n">
        <v>2008</v>
      </c>
      <c r="D69" s="459" t="n">
        <v>39650</v>
      </c>
      <c r="E69" s="458" t="s">
        <v>16393</v>
      </c>
      <c r="F69" s="458" t="s">
        <v>3656</v>
      </c>
      <c r="G69" s="458" t="s">
        <v>1174</v>
      </c>
      <c r="H69" s="458" t="s">
        <v>267</v>
      </c>
      <c r="I69" s="459" t="n">
        <v>42198</v>
      </c>
      <c r="J69" s="460" t="n">
        <v>7</v>
      </c>
      <c r="K69" s="633" t="s">
        <v>47</v>
      </c>
      <c r="L69" s="460" t="s">
        <v>60</v>
      </c>
      <c r="M69" s="463" t="n">
        <f aca="false">I69-D69</f>
        <v>2548</v>
      </c>
      <c r="N69" s="4"/>
      <c r="O69" s="351" t="s">
        <v>47</v>
      </c>
      <c r="P69" s="351"/>
      <c r="Q69" s="351"/>
      <c r="R69" s="351"/>
      <c r="S69" s="351" t="n">
        <f aca="false">COUNTIF($K$2:$K$476,"III - Medianamente tóxico")</f>
        <v>52</v>
      </c>
      <c r="T69" s="475" t="n">
        <f aca="false">(S69/S76)</f>
        <v>0.37410071942446</v>
      </c>
    </row>
    <row r="70" customFormat="false" ht="13.5" hidden="false" customHeight="true" outlineLevel="0" collapsed="false">
      <c r="A70" s="449" t="n">
        <v>6915</v>
      </c>
      <c r="B70" s="450" t="s">
        <v>16394</v>
      </c>
      <c r="C70" s="450" t="n">
        <v>2010</v>
      </c>
      <c r="D70" s="451" t="n">
        <v>40200</v>
      </c>
      <c r="E70" s="450" t="s">
        <v>16395</v>
      </c>
      <c r="F70" s="450" t="s">
        <v>13755</v>
      </c>
      <c r="G70" s="450" t="s">
        <v>1174</v>
      </c>
      <c r="H70" s="450" t="s">
        <v>1305</v>
      </c>
      <c r="I70" s="451" t="n">
        <v>42198</v>
      </c>
      <c r="J70" s="452" t="n">
        <v>7</v>
      </c>
      <c r="K70" s="634" t="s">
        <v>45</v>
      </c>
      <c r="L70" s="452" t="s">
        <v>58</v>
      </c>
      <c r="M70" s="455" t="n">
        <f aca="false">I70-D70</f>
        <v>1998</v>
      </c>
      <c r="N70" s="4"/>
      <c r="O70" s="351" t="s">
        <v>48</v>
      </c>
      <c r="P70" s="351"/>
      <c r="Q70" s="351"/>
      <c r="R70" s="351"/>
      <c r="S70" s="351" t="n">
        <f aca="false">COUNTIF($K$2:$K$476,"Categoria 4 - Produto Pouco Tóxico")</f>
        <v>0</v>
      </c>
      <c r="T70" s="475" t="n">
        <f aca="false">(S70/S76)</f>
        <v>0</v>
      </c>
    </row>
    <row r="71" customFormat="false" ht="13.5" hidden="false" customHeight="true" outlineLevel="0" collapsed="false">
      <c r="A71" s="456" t="n">
        <v>7015</v>
      </c>
      <c r="B71" s="458" t="s">
        <v>16396</v>
      </c>
      <c r="C71" s="458" t="n">
        <v>2011</v>
      </c>
      <c r="D71" s="459" t="n">
        <v>40575</v>
      </c>
      <c r="E71" s="458" t="s">
        <v>16397</v>
      </c>
      <c r="F71" s="458" t="s">
        <v>668</v>
      </c>
      <c r="G71" s="458" t="s">
        <v>1174</v>
      </c>
      <c r="H71" s="458" t="s">
        <v>3339</v>
      </c>
      <c r="I71" s="459" t="n">
        <v>42198</v>
      </c>
      <c r="J71" s="460" t="n">
        <v>7</v>
      </c>
      <c r="K71" s="631" t="s">
        <v>42</v>
      </c>
      <c r="L71" s="460" t="s">
        <v>58</v>
      </c>
      <c r="M71" s="463" t="n">
        <f aca="false">I71-D71</f>
        <v>1623</v>
      </c>
      <c r="N71" s="4"/>
      <c r="O71" s="351" t="s">
        <v>49</v>
      </c>
      <c r="P71" s="351"/>
      <c r="Q71" s="351"/>
      <c r="R71" s="351"/>
      <c r="S71" s="351" t="n">
        <f aca="false">COUNTIF($K$2:$K$476,"Categoria 5 - Produto Improvável de Causar Dano Agudo")</f>
        <v>0</v>
      </c>
      <c r="T71" s="475" t="n">
        <f aca="false">(S71/S76)</f>
        <v>0</v>
      </c>
    </row>
    <row r="72" customFormat="false" ht="12.75" hidden="false" customHeight="true" outlineLevel="0" collapsed="false">
      <c r="A72" s="449" t="n">
        <v>7115</v>
      </c>
      <c r="B72" s="450" t="s">
        <v>16398</v>
      </c>
      <c r="C72" s="450" t="n">
        <v>2014</v>
      </c>
      <c r="D72" s="451" t="n">
        <v>41977</v>
      </c>
      <c r="E72" s="450" t="s">
        <v>16399</v>
      </c>
      <c r="F72" s="450" t="s">
        <v>16400</v>
      </c>
      <c r="G72" s="450" t="s">
        <v>125</v>
      </c>
      <c r="H72" s="450" t="s">
        <v>16401</v>
      </c>
      <c r="I72" s="451" t="n">
        <v>42200</v>
      </c>
      <c r="J72" s="452" t="n">
        <v>7</v>
      </c>
      <c r="K72" s="633" t="s">
        <v>47</v>
      </c>
      <c r="L72" s="452" t="s">
        <v>61</v>
      </c>
      <c r="M72" s="455" t="n">
        <f aca="false">I72-D72</f>
        <v>223</v>
      </c>
      <c r="N72" s="4"/>
      <c r="O72" s="353" t="s">
        <v>50</v>
      </c>
      <c r="P72" s="353"/>
      <c r="Q72" s="353"/>
      <c r="R72" s="353"/>
      <c r="S72" s="353" t="n">
        <f aca="false">COUNTIF($K$2:$K$476,"IV - Pouco tóxico")</f>
        <v>18</v>
      </c>
      <c r="T72" s="476" t="n">
        <f aca="false">(S72/S76)</f>
        <v>0.129496402877698</v>
      </c>
    </row>
    <row r="73" customFormat="false" ht="13.5" hidden="false" customHeight="true" outlineLevel="0" collapsed="false">
      <c r="A73" s="456" t="n">
        <v>7215</v>
      </c>
      <c r="B73" s="458" t="s">
        <v>16402</v>
      </c>
      <c r="C73" s="458" t="n">
        <v>2009</v>
      </c>
      <c r="D73" s="459" t="n">
        <v>40121</v>
      </c>
      <c r="E73" s="458" t="s">
        <v>16403</v>
      </c>
      <c r="F73" s="458" t="s">
        <v>668</v>
      </c>
      <c r="G73" s="458" t="s">
        <v>1174</v>
      </c>
      <c r="H73" s="458" t="s">
        <v>354</v>
      </c>
      <c r="I73" s="459" t="n">
        <v>42201</v>
      </c>
      <c r="J73" s="460" t="n">
        <v>7</v>
      </c>
      <c r="K73" s="631" t="s">
        <v>42</v>
      </c>
      <c r="L73" s="460" t="s">
        <v>58</v>
      </c>
      <c r="M73" s="463" t="n">
        <f aca="false">I73-D73</f>
        <v>2080</v>
      </c>
      <c r="N73" s="4"/>
      <c r="O73" s="353" t="s">
        <v>51</v>
      </c>
      <c r="P73" s="353"/>
      <c r="Q73" s="353"/>
      <c r="R73" s="353"/>
      <c r="S73" s="353" t="n">
        <f aca="false">COUNTIF($K$2:$K$476,"Não classificado - Produto não classificado")</f>
        <v>0</v>
      </c>
      <c r="T73" s="476" t="n">
        <f aca="false">(S73/S76)</f>
        <v>0</v>
      </c>
    </row>
    <row r="74" customFormat="false" ht="13.5" hidden="false" customHeight="true" outlineLevel="0" collapsed="false">
      <c r="A74" s="449" t="n">
        <v>7315</v>
      </c>
      <c r="B74" s="450" t="s">
        <v>16404</v>
      </c>
      <c r="C74" s="450" t="n">
        <v>2014</v>
      </c>
      <c r="D74" s="451" t="n">
        <v>41978</v>
      </c>
      <c r="E74" s="450" t="s">
        <v>16405</v>
      </c>
      <c r="F74" s="450" t="s">
        <v>16400</v>
      </c>
      <c r="G74" s="450" t="s">
        <v>125</v>
      </c>
      <c r="H74" s="450" t="s">
        <v>354</v>
      </c>
      <c r="I74" s="451" t="n">
        <v>42201</v>
      </c>
      <c r="J74" s="452" t="n">
        <v>7</v>
      </c>
      <c r="K74" s="633" t="s">
        <v>47</v>
      </c>
      <c r="L74" s="452" t="s">
        <v>61</v>
      </c>
      <c r="M74" s="455" t="n">
        <f aca="false">I74-D74</f>
        <v>223</v>
      </c>
      <c r="N74" s="4"/>
      <c r="O74" s="353" t="s">
        <v>2407</v>
      </c>
      <c r="P74" s="353"/>
      <c r="Q74" s="353"/>
      <c r="R74" s="353"/>
      <c r="S74" s="353" t="n">
        <f aca="false">COUNTIF($K$2:$K$476,"Não determinada devido à natureza do produto (Inimigos naturais)")</f>
        <v>12</v>
      </c>
      <c r="T74" s="476" t="n">
        <f aca="false">(S74/S76)</f>
        <v>0.0863309352517986</v>
      </c>
    </row>
    <row r="75" customFormat="false" ht="13.5" hidden="false" customHeight="true" outlineLevel="0" collapsed="false">
      <c r="A75" s="456" t="n">
        <v>7415</v>
      </c>
      <c r="B75" s="458" t="s">
        <v>16406</v>
      </c>
      <c r="C75" s="458" t="n">
        <v>2014</v>
      </c>
      <c r="D75" s="459" t="n">
        <v>41981</v>
      </c>
      <c r="E75" s="458" t="s">
        <v>16407</v>
      </c>
      <c r="F75" s="458" t="s">
        <v>16400</v>
      </c>
      <c r="G75" s="458" t="s">
        <v>125</v>
      </c>
      <c r="H75" s="458" t="s">
        <v>14408</v>
      </c>
      <c r="I75" s="459" t="n">
        <v>42201</v>
      </c>
      <c r="J75" s="460" t="n">
        <v>7</v>
      </c>
      <c r="K75" s="632" t="s">
        <v>50</v>
      </c>
      <c r="L75" s="460" t="s">
        <v>61</v>
      </c>
      <c r="M75" s="463" t="n">
        <f aca="false">I75-D75</f>
        <v>220</v>
      </c>
      <c r="N75" s="4"/>
      <c r="O75" s="478" t="s">
        <v>53</v>
      </c>
      <c r="P75" s="478"/>
      <c r="Q75" s="478"/>
      <c r="R75" s="478"/>
      <c r="S75" s="478" t="n">
        <f aca="false">COUNTIF($K$2:$K$476,"O perfil toxicológico foi considerado equivalente ao produto técnico de referência")</f>
        <v>0</v>
      </c>
      <c r="T75" s="479" t="n">
        <f aca="false">(S75/S76)</f>
        <v>0</v>
      </c>
    </row>
    <row r="76" customFormat="false" ht="15" hidden="false" customHeight="true" outlineLevel="0" collapsed="false">
      <c r="A76" s="449" t="n">
        <v>7515</v>
      </c>
      <c r="B76" s="450" t="s">
        <v>16408</v>
      </c>
      <c r="C76" s="450" t="n">
        <v>2009</v>
      </c>
      <c r="D76" s="451" t="n">
        <v>39980</v>
      </c>
      <c r="E76" s="450" t="s">
        <v>16409</v>
      </c>
      <c r="F76" s="450" t="s">
        <v>8232</v>
      </c>
      <c r="G76" s="450" t="s">
        <v>441</v>
      </c>
      <c r="H76" s="450" t="s">
        <v>14391</v>
      </c>
      <c r="I76" s="451" t="n">
        <v>42202</v>
      </c>
      <c r="J76" s="452" t="n">
        <v>7</v>
      </c>
      <c r="K76" s="634" t="s">
        <v>45</v>
      </c>
      <c r="L76" s="452" t="s">
        <v>60</v>
      </c>
      <c r="M76" s="455" t="n">
        <f aca="false">I76-D76</f>
        <v>2222</v>
      </c>
      <c r="N76" s="4"/>
      <c r="O76" s="419" t="s">
        <v>54</v>
      </c>
      <c r="P76" s="419"/>
      <c r="Q76" s="419"/>
      <c r="R76" s="419"/>
      <c r="S76" s="363" t="n">
        <f aca="false">SUM(S64:S75)</f>
        <v>139</v>
      </c>
      <c r="T76" s="364" t="n">
        <f aca="false">(S76/S76)</f>
        <v>1</v>
      </c>
    </row>
    <row r="77" customFormat="false" ht="14.25" hidden="false" customHeight="true" outlineLevel="0" collapsed="false">
      <c r="A77" s="456" t="n">
        <v>7615</v>
      </c>
      <c r="B77" s="458" t="s">
        <v>16410</v>
      </c>
      <c r="C77" s="458" t="n">
        <v>2012</v>
      </c>
      <c r="D77" s="459" t="n">
        <v>41226</v>
      </c>
      <c r="E77" s="458" t="s">
        <v>16411</v>
      </c>
      <c r="F77" s="625" t="s">
        <v>6315</v>
      </c>
      <c r="G77" s="458" t="s">
        <v>130</v>
      </c>
      <c r="H77" s="458" t="s">
        <v>10999</v>
      </c>
      <c r="I77" s="459" t="n">
        <v>42202</v>
      </c>
      <c r="J77" s="460" t="n">
        <v>7</v>
      </c>
      <c r="K77" s="632" t="s">
        <v>50</v>
      </c>
      <c r="L77" s="460" t="s">
        <v>61</v>
      </c>
      <c r="M77" s="463" t="n">
        <f aca="false">I77-D77</f>
        <v>976</v>
      </c>
      <c r="N77" s="4"/>
      <c r="O77" s="153"/>
      <c r="P77" s="153"/>
      <c r="Q77" s="153"/>
      <c r="R77" s="153"/>
      <c r="S77" s="153"/>
      <c r="T77" s="153"/>
    </row>
    <row r="78" customFormat="false" ht="13.5" hidden="false" customHeight="true" outlineLevel="0" collapsed="false">
      <c r="A78" s="449" t="n">
        <v>7715</v>
      </c>
      <c r="B78" s="450" t="s">
        <v>16412</v>
      </c>
      <c r="C78" s="450" t="n">
        <v>2011</v>
      </c>
      <c r="D78" s="451" t="n">
        <v>40605</v>
      </c>
      <c r="E78" s="450" t="s">
        <v>16413</v>
      </c>
      <c r="F78" s="450" t="s">
        <v>668</v>
      </c>
      <c r="G78" s="450" t="s">
        <v>1174</v>
      </c>
      <c r="H78" s="450" t="s">
        <v>354</v>
      </c>
      <c r="I78" s="451" t="n">
        <v>42202</v>
      </c>
      <c r="J78" s="452" t="n">
        <v>7</v>
      </c>
      <c r="K78" s="631" t="s">
        <v>42</v>
      </c>
      <c r="L78" s="452" t="s">
        <v>58</v>
      </c>
      <c r="M78" s="455" t="n">
        <f aca="false">I78-D78</f>
        <v>1597</v>
      </c>
      <c r="N78" s="4"/>
      <c r="O78" s="339" t="s">
        <v>102</v>
      </c>
      <c r="P78" s="339"/>
      <c r="Q78" s="339"/>
      <c r="R78" s="339"/>
      <c r="S78" s="339"/>
      <c r="T78" s="339"/>
    </row>
    <row r="79" customFormat="false" ht="13.5" hidden="false" customHeight="true" outlineLevel="0" collapsed="false">
      <c r="A79" s="456" t="n">
        <v>7815</v>
      </c>
      <c r="B79" s="458" t="s">
        <v>16414</v>
      </c>
      <c r="C79" s="458" t="n">
        <v>2014</v>
      </c>
      <c r="D79" s="459" t="n">
        <v>41978</v>
      </c>
      <c r="E79" s="458" t="s">
        <v>16415</v>
      </c>
      <c r="F79" s="458" t="s">
        <v>16400</v>
      </c>
      <c r="G79" s="458" t="s">
        <v>125</v>
      </c>
      <c r="H79" s="458" t="s">
        <v>16416</v>
      </c>
      <c r="I79" s="459" t="n">
        <v>42207</v>
      </c>
      <c r="J79" s="460" t="n">
        <v>7</v>
      </c>
      <c r="K79" s="633" t="s">
        <v>47</v>
      </c>
      <c r="L79" s="460" t="s">
        <v>61</v>
      </c>
      <c r="M79" s="463" t="n">
        <f aca="false">I79-D79</f>
        <v>229</v>
      </c>
      <c r="N79" s="4"/>
      <c r="O79" s="339"/>
      <c r="P79" s="339"/>
      <c r="Q79" s="339"/>
      <c r="R79" s="339"/>
      <c r="S79" s="339"/>
      <c r="T79" s="339"/>
    </row>
    <row r="80" customFormat="false" ht="15" hidden="false" customHeight="true" outlineLevel="0" collapsed="false">
      <c r="A80" s="449" t="n">
        <v>7915</v>
      </c>
      <c r="B80" s="450" t="s">
        <v>16417</v>
      </c>
      <c r="C80" s="450" t="n">
        <v>2007</v>
      </c>
      <c r="D80" s="451" t="n">
        <v>39391</v>
      </c>
      <c r="E80" s="450" t="s">
        <v>16418</v>
      </c>
      <c r="F80" s="450" t="s">
        <v>823</v>
      </c>
      <c r="G80" s="450" t="s">
        <v>144</v>
      </c>
      <c r="H80" s="450" t="s">
        <v>119</v>
      </c>
      <c r="I80" s="451" t="n">
        <v>42207</v>
      </c>
      <c r="J80" s="452" t="n">
        <v>7</v>
      </c>
      <c r="K80" s="633" t="s">
        <v>47</v>
      </c>
      <c r="L80" s="452" t="s">
        <v>60</v>
      </c>
      <c r="M80" s="455" t="n">
        <f aca="false">I80-D80</f>
        <v>2816</v>
      </c>
      <c r="N80" s="4"/>
      <c r="O80" s="340" t="s">
        <v>38</v>
      </c>
      <c r="P80" s="340"/>
      <c r="Q80" s="340"/>
      <c r="R80" s="340"/>
      <c r="S80" s="374" t="s">
        <v>343</v>
      </c>
      <c r="T80" s="375" t="s">
        <v>41</v>
      </c>
    </row>
    <row r="81" customFormat="false" ht="13.5" hidden="false" customHeight="true" outlineLevel="0" collapsed="false">
      <c r="A81" s="456" t="n">
        <v>8015</v>
      </c>
      <c r="B81" s="458" t="s">
        <v>16419</v>
      </c>
      <c r="C81" s="458" t="n">
        <v>2012</v>
      </c>
      <c r="D81" s="459" t="n">
        <v>41156</v>
      </c>
      <c r="E81" s="458" t="s">
        <v>16420</v>
      </c>
      <c r="F81" s="458" t="s">
        <v>16421</v>
      </c>
      <c r="G81" s="458" t="s">
        <v>130</v>
      </c>
      <c r="H81" s="458" t="s">
        <v>16422</v>
      </c>
      <c r="I81" s="459" t="n">
        <v>42209</v>
      </c>
      <c r="J81" s="460" t="n">
        <v>7</v>
      </c>
      <c r="K81" s="634" t="s">
        <v>45</v>
      </c>
      <c r="L81" s="460" t="s">
        <v>61</v>
      </c>
      <c r="M81" s="463" t="n">
        <f aca="false">I81-D81</f>
        <v>1053</v>
      </c>
      <c r="N81" s="4"/>
      <c r="O81" s="480" t="s">
        <v>57</v>
      </c>
      <c r="P81" s="480"/>
      <c r="Q81" s="480"/>
      <c r="R81" s="480"/>
      <c r="S81" s="536" t="n">
        <f aca="false">COUNTIF($L$2:$L$476,"I - Produto altamente perigoso ao meio ambiente")</f>
        <v>5</v>
      </c>
      <c r="T81" s="377" t="n">
        <f aca="false">(S81/S85)</f>
        <v>0.0359712230215827</v>
      </c>
    </row>
    <row r="82" customFormat="false" ht="12.75" hidden="false" customHeight="true" outlineLevel="0" collapsed="false">
      <c r="A82" s="449" t="n">
        <v>8115</v>
      </c>
      <c r="B82" s="450" t="s">
        <v>16423</v>
      </c>
      <c r="C82" s="450" t="n">
        <v>2009</v>
      </c>
      <c r="D82" s="451" t="n">
        <v>40134</v>
      </c>
      <c r="E82" s="450" t="s">
        <v>16424</v>
      </c>
      <c r="F82" s="450" t="s">
        <v>668</v>
      </c>
      <c r="G82" s="450" t="s">
        <v>1174</v>
      </c>
      <c r="H82" s="450" t="s">
        <v>12763</v>
      </c>
      <c r="I82" s="451" t="n">
        <v>42212</v>
      </c>
      <c r="J82" s="452" t="n">
        <v>7</v>
      </c>
      <c r="K82" s="631" t="s">
        <v>42</v>
      </c>
      <c r="L82" s="452" t="s">
        <v>58</v>
      </c>
      <c r="M82" s="455" t="n">
        <f aca="false">I82-D82</f>
        <v>2078</v>
      </c>
      <c r="N82" s="4"/>
      <c r="O82" s="378" t="s">
        <v>58</v>
      </c>
      <c r="P82" s="378"/>
      <c r="Q82" s="378"/>
      <c r="R82" s="378"/>
      <c r="S82" s="537" t="n">
        <f aca="false">COUNTIF($L$2:$L$476,"II - Produto muito perigoso ao meio ambiente")</f>
        <v>52</v>
      </c>
      <c r="T82" s="379" t="n">
        <f aca="false">(S82/S85)</f>
        <v>0.37410071942446</v>
      </c>
    </row>
    <row r="83" customFormat="false" ht="13.5" hidden="false" customHeight="true" outlineLevel="0" collapsed="false">
      <c r="A83" s="456" t="n">
        <v>8215</v>
      </c>
      <c r="B83" s="458" t="s">
        <v>16425</v>
      </c>
      <c r="C83" s="458" t="n">
        <v>2012</v>
      </c>
      <c r="D83" s="459" t="n">
        <v>40910</v>
      </c>
      <c r="E83" s="458" t="s">
        <v>16426</v>
      </c>
      <c r="F83" s="458" t="s">
        <v>4118</v>
      </c>
      <c r="G83" s="458" t="s">
        <v>441</v>
      </c>
      <c r="H83" s="458" t="s">
        <v>1072</v>
      </c>
      <c r="I83" s="459" t="n">
        <v>42212</v>
      </c>
      <c r="J83" s="460" t="n">
        <v>7</v>
      </c>
      <c r="K83" s="631" t="s">
        <v>42</v>
      </c>
      <c r="L83" s="460" t="s">
        <v>58</v>
      </c>
      <c r="M83" s="463" t="n">
        <f aca="false">I83-D83</f>
        <v>1302</v>
      </c>
      <c r="N83" s="4"/>
      <c r="O83" s="380" t="s">
        <v>60</v>
      </c>
      <c r="P83" s="380"/>
      <c r="Q83" s="380"/>
      <c r="R83" s="380"/>
      <c r="S83" s="536" t="n">
        <f aca="false">COUNTIF($L$2:$L$476,"III - Produto perigoso ao meio ambiente")</f>
        <v>50</v>
      </c>
      <c r="T83" s="377" t="n">
        <f aca="false">(S83/S85)</f>
        <v>0.359712230215827</v>
      </c>
    </row>
    <row r="84" customFormat="false" ht="13.5" hidden="false" customHeight="true" outlineLevel="0" collapsed="false">
      <c r="A84" s="449" t="n">
        <v>8315</v>
      </c>
      <c r="B84" s="450" t="s">
        <v>16427</v>
      </c>
      <c r="C84" s="450" t="n">
        <v>2011</v>
      </c>
      <c r="D84" s="451" t="n">
        <v>40791</v>
      </c>
      <c r="E84" s="450" t="s">
        <v>16428</v>
      </c>
      <c r="F84" s="450" t="s">
        <v>16429</v>
      </c>
      <c r="G84" s="450" t="s">
        <v>1174</v>
      </c>
      <c r="H84" s="450" t="s">
        <v>2296</v>
      </c>
      <c r="I84" s="451" t="n">
        <v>42229</v>
      </c>
      <c r="J84" s="452" t="n">
        <v>8</v>
      </c>
      <c r="K84" s="634" t="s">
        <v>45</v>
      </c>
      <c r="L84" s="452" t="s">
        <v>58</v>
      </c>
      <c r="M84" s="455" t="n">
        <f aca="false">I84-D84</f>
        <v>1438</v>
      </c>
      <c r="N84" s="4"/>
      <c r="O84" s="378" t="s">
        <v>61</v>
      </c>
      <c r="P84" s="378"/>
      <c r="Q84" s="378"/>
      <c r="R84" s="378"/>
      <c r="S84" s="537" t="n">
        <f aca="false">COUNTIF($L$2:$L$476,"IV - Produto pouco perigoso ao meio ambiente")</f>
        <v>32</v>
      </c>
      <c r="T84" s="379" t="n">
        <f aca="false">(S84/S85)</f>
        <v>0.23021582733813</v>
      </c>
    </row>
    <row r="85" customFormat="false" ht="15" hidden="false" customHeight="true" outlineLevel="0" collapsed="false">
      <c r="A85" s="456" t="n">
        <v>8415</v>
      </c>
      <c r="B85" s="458" t="s">
        <v>16430</v>
      </c>
      <c r="C85" s="458" t="n">
        <v>2012</v>
      </c>
      <c r="D85" s="459" t="n">
        <v>41081</v>
      </c>
      <c r="E85" s="458" t="s">
        <v>16431</v>
      </c>
      <c r="F85" s="458" t="s">
        <v>699</v>
      </c>
      <c r="G85" s="458" t="s">
        <v>1174</v>
      </c>
      <c r="H85" s="458" t="s">
        <v>5230</v>
      </c>
      <c r="I85" s="459" t="n">
        <v>42229</v>
      </c>
      <c r="J85" s="460" t="n">
        <v>8</v>
      </c>
      <c r="K85" s="631" t="s">
        <v>42</v>
      </c>
      <c r="L85" s="460" t="s">
        <v>60</v>
      </c>
      <c r="M85" s="463" t="n">
        <f aca="false">I85-D85</f>
        <v>1148</v>
      </c>
      <c r="N85" s="4"/>
      <c r="O85" s="340" t="s">
        <v>54</v>
      </c>
      <c r="P85" s="340"/>
      <c r="Q85" s="340"/>
      <c r="R85" s="340"/>
      <c r="S85" s="363" t="n">
        <f aca="false">SUM(S81:S84)</f>
        <v>139</v>
      </c>
      <c r="T85" s="364" t="n">
        <f aca="false">(S85/S85)</f>
        <v>1</v>
      </c>
    </row>
    <row r="86" customFormat="false" ht="13.5" hidden="false" customHeight="true" outlineLevel="0" collapsed="false">
      <c r="A86" s="449" t="n">
        <v>8515</v>
      </c>
      <c r="B86" s="450" t="s">
        <v>16432</v>
      </c>
      <c r="C86" s="450" t="n">
        <v>2008</v>
      </c>
      <c r="D86" s="451" t="n">
        <v>39771</v>
      </c>
      <c r="E86" s="450" t="s">
        <v>16433</v>
      </c>
      <c r="F86" s="450" t="s">
        <v>16434</v>
      </c>
      <c r="G86" s="450" t="s">
        <v>144</v>
      </c>
      <c r="H86" s="450" t="s">
        <v>119</v>
      </c>
      <c r="I86" s="451" t="n">
        <v>42230</v>
      </c>
      <c r="J86" s="452" t="n">
        <v>8</v>
      </c>
      <c r="K86" s="631" t="s">
        <v>42</v>
      </c>
      <c r="L86" s="452" t="s">
        <v>58</v>
      </c>
      <c r="M86" s="455" t="n">
        <f aca="false">I86-D86</f>
        <v>2459</v>
      </c>
      <c r="N86" s="4"/>
      <c r="O86" s="153"/>
      <c r="P86" s="153"/>
      <c r="Q86" s="153"/>
      <c r="R86" s="153"/>
      <c r="S86" s="153"/>
      <c r="T86" s="153"/>
    </row>
    <row r="87" customFormat="false" ht="13.5" hidden="false" customHeight="true" outlineLevel="0" collapsed="false">
      <c r="A87" s="456" t="n">
        <v>8615</v>
      </c>
      <c r="B87" s="458" t="s">
        <v>16435</v>
      </c>
      <c r="C87" s="458" t="n">
        <v>2009</v>
      </c>
      <c r="D87" s="459" t="n">
        <v>39909</v>
      </c>
      <c r="E87" s="458" t="s">
        <v>16436</v>
      </c>
      <c r="F87" s="458" t="s">
        <v>1277</v>
      </c>
      <c r="G87" s="458" t="s">
        <v>441</v>
      </c>
      <c r="H87" s="458" t="s">
        <v>14391</v>
      </c>
      <c r="I87" s="459" t="n">
        <v>42233</v>
      </c>
      <c r="J87" s="460" t="n">
        <v>8</v>
      </c>
      <c r="K87" s="633" t="s">
        <v>47</v>
      </c>
      <c r="L87" s="460" t="s">
        <v>58</v>
      </c>
      <c r="M87" s="463" t="n">
        <f aca="false">I87-D87</f>
        <v>2324</v>
      </c>
      <c r="N87" s="4"/>
      <c r="O87" s="421" t="s">
        <v>425</v>
      </c>
      <c r="P87" s="421"/>
      <c r="Q87" s="421"/>
      <c r="R87" s="421"/>
      <c r="S87" s="153"/>
      <c r="T87" s="153"/>
    </row>
    <row r="88" customFormat="false" ht="14.25" hidden="false" customHeight="true" outlineLevel="0" collapsed="false">
      <c r="A88" s="449" t="n">
        <v>8715</v>
      </c>
      <c r="B88" s="450" t="s">
        <v>16437</v>
      </c>
      <c r="C88" s="450" t="n">
        <v>2015</v>
      </c>
      <c r="D88" s="451" t="n">
        <v>42075</v>
      </c>
      <c r="E88" s="450" t="s">
        <v>16438</v>
      </c>
      <c r="F88" s="624" t="s">
        <v>4087</v>
      </c>
      <c r="G88" s="450" t="s">
        <v>130</v>
      </c>
      <c r="H88" s="450" t="s">
        <v>10653</v>
      </c>
      <c r="I88" s="451" t="n">
        <v>42234</v>
      </c>
      <c r="J88" s="452" t="n">
        <v>8</v>
      </c>
      <c r="K88" s="632" t="s">
        <v>2407</v>
      </c>
      <c r="L88" s="452" t="s">
        <v>61</v>
      </c>
      <c r="M88" s="455" t="n">
        <f aca="false">I88-D88</f>
        <v>159</v>
      </c>
      <c r="N88" s="4"/>
      <c r="O88" s="421"/>
      <c r="P88" s="421"/>
      <c r="Q88" s="421"/>
      <c r="R88" s="421"/>
      <c r="S88" s="153"/>
      <c r="T88" s="153"/>
    </row>
    <row r="89" customFormat="false" ht="15" hidden="false" customHeight="true" outlineLevel="0" collapsed="false">
      <c r="A89" s="456" t="n">
        <v>8815</v>
      </c>
      <c r="B89" s="458" t="s">
        <v>16439</v>
      </c>
      <c r="C89" s="458" t="n">
        <v>2015</v>
      </c>
      <c r="D89" s="459" t="n">
        <v>42041</v>
      </c>
      <c r="E89" s="458" t="s">
        <v>16440</v>
      </c>
      <c r="F89" s="625" t="s">
        <v>3207</v>
      </c>
      <c r="G89" s="458" t="s">
        <v>130</v>
      </c>
      <c r="H89" s="458" t="s">
        <v>10653</v>
      </c>
      <c r="I89" s="459" t="n">
        <v>42235</v>
      </c>
      <c r="J89" s="460" t="n">
        <v>8</v>
      </c>
      <c r="K89" s="632" t="s">
        <v>2407</v>
      </c>
      <c r="L89" s="460" t="s">
        <v>61</v>
      </c>
      <c r="M89" s="463" t="n">
        <f aca="false">I89-D89</f>
        <v>194</v>
      </c>
      <c r="N89" s="4"/>
      <c r="O89" s="390" t="s">
        <v>69</v>
      </c>
      <c r="P89" s="422" t="s">
        <v>433</v>
      </c>
      <c r="Q89" s="422"/>
      <c r="R89" s="422"/>
      <c r="S89" s="153"/>
      <c r="T89" s="153"/>
    </row>
    <row r="90" customFormat="false" ht="13.5" hidden="false" customHeight="true" outlineLevel="0" collapsed="false">
      <c r="A90" s="449" t="n">
        <v>8915</v>
      </c>
      <c r="B90" s="450" t="s">
        <v>16441</v>
      </c>
      <c r="C90" s="450" t="n">
        <v>2011</v>
      </c>
      <c r="D90" s="451" t="n">
        <v>40794</v>
      </c>
      <c r="E90" s="450" t="s">
        <v>16442</v>
      </c>
      <c r="F90" s="450" t="s">
        <v>16429</v>
      </c>
      <c r="G90" s="450" t="s">
        <v>1174</v>
      </c>
      <c r="H90" s="450" t="s">
        <v>354</v>
      </c>
      <c r="I90" s="451" t="n">
        <v>42236</v>
      </c>
      <c r="J90" s="452" t="n">
        <v>8</v>
      </c>
      <c r="K90" s="634" t="s">
        <v>45</v>
      </c>
      <c r="L90" s="452" t="s">
        <v>58</v>
      </c>
      <c r="M90" s="455" t="n">
        <f aca="false">I90-D90</f>
        <v>1442</v>
      </c>
      <c r="N90" s="4"/>
      <c r="O90" s="394" t="s">
        <v>1474</v>
      </c>
      <c r="P90" s="481" t="e">
        <f aca="false">AVERAGEIF(G2:G476,"PT",M2:M476)</f>
        <v>#DIV/0!</v>
      </c>
      <c r="Q90" s="481"/>
      <c r="R90" s="481"/>
      <c r="S90" s="153"/>
      <c r="T90" s="153"/>
    </row>
    <row r="91" customFormat="false" ht="12.75" hidden="false" customHeight="true" outlineLevel="0" collapsed="false">
      <c r="A91" s="456" t="n">
        <v>9015</v>
      </c>
      <c r="B91" s="458" t="s">
        <v>16443</v>
      </c>
      <c r="C91" s="458" t="n">
        <v>2009</v>
      </c>
      <c r="D91" s="459" t="n">
        <v>39883</v>
      </c>
      <c r="E91" s="458" t="s">
        <v>16444</v>
      </c>
      <c r="F91" s="458" t="s">
        <v>16421</v>
      </c>
      <c r="G91" s="458" t="s">
        <v>125</v>
      </c>
      <c r="H91" s="458" t="s">
        <v>16445</v>
      </c>
      <c r="I91" s="459" t="n">
        <v>42243</v>
      </c>
      <c r="J91" s="460" t="n">
        <v>8</v>
      </c>
      <c r="K91" s="634" t="s">
        <v>45</v>
      </c>
      <c r="L91" s="460" t="s">
        <v>61</v>
      </c>
      <c r="M91" s="463" t="n">
        <f aca="false">I91-D91</f>
        <v>2360</v>
      </c>
      <c r="N91" s="4"/>
      <c r="O91" s="396" t="s">
        <v>1188</v>
      </c>
      <c r="P91" s="482" t="n">
        <f aca="false">AVERAGEIF(G2:G477,"PTN",M2:M477)</f>
        <v>2052</v>
      </c>
      <c r="Q91" s="482"/>
      <c r="R91" s="482"/>
      <c r="S91" s="153"/>
      <c r="T91" s="153"/>
    </row>
    <row r="92" customFormat="false" ht="12.75" hidden="false" customHeight="true" outlineLevel="0" collapsed="false">
      <c r="A92" s="449" t="n">
        <v>9115</v>
      </c>
      <c r="B92" s="450" t="s">
        <v>16446</v>
      </c>
      <c r="C92" s="450" t="n">
        <v>2014</v>
      </c>
      <c r="D92" s="451" t="n">
        <v>41947</v>
      </c>
      <c r="E92" s="450" t="s">
        <v>16447</v>
      </c>
      <c r="F92" s="624" t="s">
        <v>6303</v>
      </c>
      <c r="G92" s="450" t="s">
        <v>130</v>
      </c>
      <c r="H92" s="450" t="s">
        <v>4136</v>
      </c>
      <c r="I92" s="451" t="n">
        <v>42243</v>
      </c>
      <c r="J92" s="452" t="n">
        <v>8</v>
      </c>
      <c r="K92" s="632" t="s">
        <v>50</v>
      </c>
      <c r="L92" s="452" t="s">
        <v>61</v>
      </c>
      <c r="M92" s="455" t="n">
        <f aca="false">I92-D92</f>
        <v>296</v>
      </c>
      <c r="N92" s="4"/>
      <c r="O92" s="394" t="s">
        <v>1174</v>
      </c>
      <c r="P92" s="481" t="n">
        <f aca="false">AVERAGEIF(G2:G476,"PTE",M2:M476)</f>
        <v>1557.15217391304</v>
      </c>
      <c r="Q92" s="481"/>
      <c r="R92" s="481"/>
      <c r="S92" s="153"/>
      <c r="T92" s="153"/>
    </row>
    <row r="93" customFormat="false" ht="12.75" hidden="false" customHeight="true" outlineLevel="0" collapsed="false">
      <c r="A93" s="456" t="n">
        <v>9215</v>
      </c>
      <c r="B93" s="458" t="s">
        <v>16448</v>
      </c>
      <c r="C93" s="458" t="n">
        <v>2009</v>
      </c>
      <c r="D93" s="459" t="n">
        <v>39945</v>
      </c>
      <c r="E93" s="458" t="s">
        <v>16449</v>
      </c>
      <c r="F93" s="458" t="s">
        <v>1277</v>
      </c>
      <c r="G93" s="458" t="s">
        <v>441</v>
      </c>
      <c r="H93" s="458" t="s">
        <v>14391</v>
      </c>
      <c r="I93" s="459" t="n">
        <v>42251</v>
      </c>
      <c r="J93" s="460" t="n">
        <v>9</v>
      </c>
      <c r="K93" s="633" t="s">
        <v>47</v>
      </c>
      <c r="L93" s="460" t="s">
        <v>58</v>
      </c>
      <c r="M93" s="463" t="n">
        <f aca="false">I93-D93</f>
        <v>2306</v>
      </c>
      <c r="N93" s="4"/>
      <c r="O93" s="396" t="s">
        <v>8</v>
      </c>
      <c r="P93" s="482" t="e">
        <f aca="false">AVERAGEIF(G2:G476,"Pré-Mistura",M2:M476)</f>
        <v>#DIV/0!</v>
      </c>
      <c r="Q93" s="482"/>
      <c r="R93" s="482"/>
      <c r="S93" s="153"/>
      <c r="T93" s="153"/>
    </row>
    <row r="94" customFormat="false" ht="12.75" hidden="false" customHeight="true" outlineLevel="0" collapsed="false">
      <c r="A94" s="449" t="n">
        <v>9315</v>
      </c>
      <c r="B94" s="450" t="s">
        <v>16450</v>
      </c>
      <c r="C94" s="450" t="n">
        <v>2013</v>
      </c>
      <c r="D94" s="451" t="n">
        <v>41376</v>
      </c>
      <c r="E94" s="450" t="s">
        <v>16451</v>
      </c>
      <c r="F94" s="450" t="s">
        <v>699</v>
      </c>
      <c r="G94" s="450" t="s">
        <v>441</v>
      </c>
      <c r="H94" s="450" t="s">
        <v>184</v>
      </c>
      <c r="I94" s="451" t="n">
        <v>42251</v>
      </c>
      <c r="J94" s="452" t="n">
        <v>9</v>
      </c>
      <c r="K94" s="633" t="s">
        <v>47</v>
      </c>
      <c r="L94" s="452" t="s">
        <v>60</v>
      </c>
      <c r="M94" s="455" t="n">
        <f aca="false">I94-D94</f>
        <v>875</v>
      </c>
      <c r="N94" s="4"/>
      <c r="O94" s="394" t="s">
        <v>144</v>
      </c>
      <c r="P94" s="481" t="n">
        <f aca="false">AVERAGEIF(G2:G476,"PF",M2:M476)</f>
        <v>2149.91666666667</v>
      </c>
      <c r="Q94" s="481"/>
      <c r="R94" s="481"/>
      <c r="S94" s="153"/>
      <c r="T94" s="153"/>
    </row>
    <row r="95" customFormat="false" ht="12.75" hidden="false" customHeight="true" outlineLevel="0" collapsed="false">
      <c r="A95" s="456" t="n">
        <v>9415</v>
      </c>
      <c r="B95" s="458" t="s">
        <v>16452</v>
      </c>
      <c r="C95" s="458" t="n">
        <v>2011</v>
      </c>
      <c r="D95" s="459" t="n">
        <v>40773</v>
      </c>
      <c r="E95" s="458" t="s">
        <v>16453</v>
      </c>
      <c r="F95" s="458" t="s">
        <v>1243</v>
      </c>
      <c r="G95" s="458" t="s">
        <v>441</v>
      </c>
      <c r="H95" s="458" t="s">
        <v>16454</v>
      </c>
      <c r="I95" s="459" t="n">
        <v>42255</v>
      </c>
      <c r="J95" s="460" t="n">
        <v>9</v>
      </c>
      <c r="K95" s="633" t="s">
        <v>47</v>
      </c>
      <c r="L95" s="460" t="s">
        <v>58</v>
      </c>
      <c r="M95" s="463" t="n">
        <f aca="false">I95-D95</f>
        <v>1482</v>
      </c>
      <c r="N95" s="4"/>
      <c r="O95" s="396" t="s">
        <v>115</v>
      </c>
      <c r="P95" s="482" t="n">
        <f aca="false">AVERAGEIF(G2:G476,"PFN",M2:M476)</f>
        <v>1615</v>
      </c>
      <c r="Q95" s="482"/>
      <c r="R95" s="482"/>
      <c r="S95" s="153"/>
      <c r="T95" s="153"/>
    </row>
    <row r="96" customFormat="false" ht="12.75" hidden="false" customHeight="true" outlineLevel="0" collapsed="false">
      <c r="A96" s="449" t="n">
        <v>9515</v>
      </c>
      <c r="B96" s="450" t="s">
        <v>16455</v>
      </c>
      <c r="C96" s="450" t="n">
        <v>2011</v>
      </c>
      <c r="D96" s="451" t="n">
        <v>40802</v>
      </c>
      <c r="E96" s="450" t="s">
        <v>16456</v>
      </c>
      <c r="F96" s="450" t="s">
        <v>191</v>
      </c>
      <c r="G96" s="450" t="s">
        <v>144</v>
      </c>
      <c r="H96" s="450" t="s">
        <v>2421</v>
      </c>
      <c r="I96" s="451" t="n">
        <v>42255</v>
      </c>
      <c r="J96" s="452" t="n">
        <v>9</v>
      </c>
      <c r="K96" s="632" t="s">
        <v>50</v>
      </c>
      <c r="L96" s="452" t="s">
        <v>58</v>
      </c>
      <c r="M96" s="455" t="n">
        <f aca="false">I96-D96</f>
        <v>1453</v>
      </c>
      <c r="N96" s="4"/>
      <c r="O96" s="394" t="s">
        <v>441</v>
      </c>
      <c r="P96" s="481" t="n">
        <f aca="false">AVERAGEIF(G2:G476,"PF/PTE",M2:M476)</f>
        <v>1572.44680851064</v>
      </c>
      <c r="Q96" s="481"/>
      <c r="R96" s="481"/>
      <c r="S96" s="153"/>
      <c r="T96" s="153"/>
    </row>
    <row r="97" customFormat="false" ht="12.75" hidden="false" customHeight="true" outlineLevel="0" collapsed="false">
      <c r="A97" s="456" t="n">
        <v>9615</v>
      </c>
      <c r="B97" s="458" t="s">
        <v>16457</v>
      </c>
      <c r="C97" s="458" t="n">
        <v>2014</v>
      </c>
      <c r="D97" s="459" t="n">
        <v>41947</v>
      </c>
      <c r="E97" s="458" t="s">
        <v>16458</v>
      </c>
      <c r="F97" s="625" t="s">
        <v>6315</v>
      </c>
      <c r="G97" s="458" t="s">
        <v>130</v>
      </c>
      <c r="H97" s="458" t="s">
        <v>4136</v>
      </c>
      <c r="I97" s="459" t="n">
        <v>42263</v>
      </c>
      <c r="J97" s="460" t="n">
        <v>9</v>
      </c>
      <c r="K97" s="632" t="s">
        <v>50</v>
      </c>
      <c r="L97" s="460" t="s">
        <v>61</v>
      </c>
      <c r="M97" s="463" t="n">
        <f aca="false">I97-D97</f>
        <v>316</v>
      </c>
      <c r="N97" s="4"/>
      <c r="O97" s="396" t="s">
        <v>125</v>
      </c>
      <c r="P97" s="482" t="n">
        <f aca="false">AVERAGEIF(G2:G476,"Bio",M2:M476)</f>
        <v>726.714285714286</v>
      </c>
      <c r="Q97" s="482"/>
      <c r="R97" s="482"/>
    </row>
    <row r="98" customFormat="false" ht="12.75" hidden="false" customHeight="true" outlineLevel="0" collapsed="false">
      <c r="A98" s="449" t="n">
        <v>9715</v>
      </c>
      <c r="B98" s="450" t="s">
        <v>16459</v>
      </c>
      <c r="C98" s="450" t="n">
        <v>2013</v>
      </c>
      <c r="D98" s="451" t="n">
        <v>41514</v>
      </c>
      <c r="E98" s="450" t="s">
        <v>16460</v>
      </c>
      <c r="F98" s="624" t="s">
        <v>6303</v>
      </c>
      <c r="G98" s="450" t="s">
        <v>130</v>
      </c>
      <c r="H98" s="450" t="s">
        <v>16461</v>
      </c>
      <c r="I98" s="451" t="n">
        <v>42284</v>
      </c>
      <c r="J98" s="452" t="n">
        <v>10</v>
      </c>
      <c r="K98" s="632" t="s">
        <v>50</v>
      </c>
      <c r="L98" s="452" t="s">
        <v>61</v>
      </c>
      <c r="M98" s="455" t="n">
        <f aca="false">I98-D98</f>
        <v>770</v>
      </c>
      <c r="N98" s="4"/>
      <c r="O98" s="394" t="s">
        <v>130</v>
      </c>
      <c r="P98" s="481" t="n">
        <f aca="false">AVERAGEIF(G2:G476,"Bio/Org",M2:M476)</f>
        <v>577.833333333333</v>
      </c>
      <c r="Q98" s="481"/>
      <c r="R98" s="481"/>
    </row>
    <row r="99" customFormat="false" ht="12.75" hidden="false" customHeight="true" outlineLevel="0" collapsed="false">
      <c r="A99" s="456" t="n">
        <v>9815</v>
      </c>
      <c r="B99" s="458" t="s">
        <v>16462</v>
      </c>
      <c r="C99" s="458" t="n">
        <v>2014</v>
      </c>
      <c r="D99" s="459" t="n">
        <v>41662</v>
      </c>
      <c r="E99" s="458" t="s">
        <v>16463</v>
      </c>
      <c r="F99" s="625" t="s">
        <v>6315</v>
      </c>
      <c r="G99" s="458" t="s">
        <v>130</v>
      </c>
      <c r="H99" s="458" t="s">
        <v>16464</v>
      </c>
      <c r="I99" s="459" t="n">
        <v>42284</v>
      </c>
      <c r="J99" s="460" t="n">
        <v>10</v>
      </c>
      <c r="K99" s="632" t="s">
        <v>50</v>
      </c>
      <c r="L99" s="460" t="s">
        <v>61</v>
      </c>
      <c r="M99" s="463" t="n">
        <f aca="false">I99-D99</f>
        <v>622</v>
      </c>
      <c r="N99" s="4"/>
      <c r="O99" s="398" t="s">
        <v>86</v>
      </c>
      <c r="P99" s="399" t="n">
        <f aca="false">AVERAGE(M2:M494)</f>
        <v>1410.12230215827</v>
      </c>
      <c r="Q99" s="399"/>
      <c r="R99" s="399"/>
    </row>
    <row r="100" customFormat="false" ht="12.75" hidden="false" customHeight="true" outlineLevel="0" collapsed="false">
      <c r="A100" s="449" t="n">
        <v>9915</v>
      </c>
      <c r="B100" s="450" t="s">
        <v>16465</v>
      </c>
      <c r="C100" s="450" t="n">
        <v>2010</v>
      </c>
      <c r="D100" s="451" t="n">
        <v>40400</v>
      </c>
      <c r="E100" s="450" t="s">
        <v>16466</v>
      </c>
      <c r="F100" s="624" t="s">
        <v>6303</v>
      </c>
      <c r="G100" s="450" t="s">
        <v>130</v>
      </c>
      <c r="H100" s="450" t="s">
        <v>16467</v>
      </c>
      <c r="I100" s="451" t="n">
        <v>42285</v>
      </c>
      <c r="J100" s="452" t="n">
        <v>10</v>
      </c>
      <c r="K100" s="632" t="s">
        <v>50</v>
      </c>
      <c r="L100" s="452" t="s">
        <v>61</v>
      </c>
      <c r="M100" s="455" t="n">
        <f aca="false">I100-D100</f>
        <v>1885</v>
      </c>
      <c r="N100" s="4"/>
      <c r="O100" s="4"/>
      <c r="P100" s="4"/>
      <c r="Q100" s="4"/>
      <c r="R100" s="4"/>
    </row>
    <row r="101" customFormat="false" ht="12.75" hidden="false" customHeight="true" outlineLevel="0" collapsed="false">
      <c r="A101" s="456" t="n">
        <v>10015</v>
      </c>
      <c r="B101" s="458" t="s">
        <v>16468</v>
      </c>
      <c r="C101" s="458" t="n">
        <v>2011</v>
      </c>
      <c r="D101" s="459" t="n">
        <v>40604</v>
      </c>
      <c r="E101" s="458" t="s">
        <v>16469</v>
      </c>
      <c r="F101" s="625" t="s">
        <v>6303</v>
      </c>
      <c r="G101" s="458" t="s">
        <v>130</v>
      </c>
      <c r="H101" s="458" t="s">
        <v>16467</v>
      </c>
      <c r="I101" s="459" t="n">
        <v>42285</v>
      </c>
      <c r="J101" s="460" t="n">
        <v>10</v>
      </c>
      <c r="K101" s="632" t="s">
        <v>50</v>
      </c>
      <c r="L101" s="460" t="s">
        <v>61</v>
      </c>
      <c r="M101" s="463" t="n">
        <f aca="false">I101-D101</f>
        <v>1681</v>
      </c>
      <c r="N101" s="4"/>
      <c r="O101" s="4"/>
      <c r="P101" s="4"/>
      <c r="Q101" s="4"/>
      <c r="R101" s="4"/>
    </row>
    <row r="102" customFormat="false" ht="12.75" hidden="false" customHeight="true" outlineLevel="0" collapsed="false">
      <c r="A102" s="449" t="n">
        <v>10115</v>
      </c>
      <c r="B102" s="450" t="s">
        <v>16470</v>
      </c>
      <c r="C102" s="450" t="n">
        <v>2013</v>
      </c>
      <c r="D102" s="451" t="n">
        <v>41555</v>
      </c>
      <c r="E102" s="450" t="s">
        <v>16471</v>
      </c>
      <c r="F102" s="624" t="s">
        <v>3207</v>
      </c>
      <c r="G102" s="450" t="s">
        <v>130</v>
      </c>
      <c r="H102" s="450" t="s">
        <v>149</v>
      </c>
      <c r="I102" s="451" t="n">
        <v>42290</v>
      </c>
      <c r="J102" s="452" t="n">
        <v>10</v>
      </c>
      <c r="K102" s="632" t="s">
        <v>2407</v>
      </c>
      <c r="L102" s="452" t="s">
        <v>61</v>
      </c>
      <c r="M102" s="455" t="n">
        <f aca="false">I102-D102</f>
        <v>735</v>
      </c>
      <c r="N102" s="4"/>
      <c r="O102" s="4"/>
      <c r="P102" s="4"/>
      <c r="Q102" s="4"/>
      <c r="R102" s="4"/>
    </row>
    <row r="103" customFormat="false" ht="12.75" hidden="false" customHeight="true" outlineLevel="0" collapsed="false">
      <c r="A103" s="456" t="n">
        <v>10215</v>
      </c>
      <c r="B103" s="458" t="s">
        <v>16472</v>
      </c>
      <c r="C103" s="458" t="n">
        <v>2013</v>
      </c>
      <c r="D103" s="459" t="n">
        <v>41586</v>
      </c>
      <c r="E103" s="458" t="s">
        <v>16473</v>
      </c>
      <c r="F103" s="458" t="s">
        <v>3844</v>
      </c>
      <c r="G103" s="458" t="s">
        <v>1174</v>
      </c>
      <c r="H103" s="458" t="s">
        <v>1501</v>
      </c>
      <c r="I103" s="459" t="n">
        <v>42300</v>
      </c>
      <c r="J103" s="460" t="n">
        <v>10</v>
      </c>
      <c r="K103" s="633" t="s">
        <v>47</v>
      </c>
      <c r="L103" s="460" t="s">
        <v>57</v>
      </c>
      <c r="M103" s="463" t="n">
        <f aca="false">I103-D103</f>
        <v>714</v>
      </c>
      <c r="N103" s="4"/>
      <c r="O103" s="4"/>
      <c r="P103" s="4"/>
      <c r="Q103" s="4"/>
      <c r="R103" s="4"/>
    </row>
    <row r="104" customFormat="false" ht="12.75" hidden="false" customHeight="true" outlineLevel="0" collapsed="false">
      <c r="A104" s="449" t="n">
        <v>10315</v>
      </c>
      <c r="B104" s="450" t="s">
        <v>16474</v>
      </c>
      <c r="C104" s="450" t="n">
        <v>2013</v>
      </c>
      <c r="D104" s="451" t="n">
        <v>41456</v>
      </c>
      <c r="E104" s="450" t="s">
        <v>16475</v>
      </c>
      <c r="F104" s="450" t="s">
        <v>3844</v>
      </c>
      <c r="G104" s="450" t="s">
        <v>1174</v>
      </c>
      <c r="H104" s="450" t="s">
        <v>12073</v>
      </c>
      <c r="I104" s="451" t="n">
        <v>42300</v>
      </c>
      <c r="J104" s="452" t="n">
        <v>10</v>
      </c>
      <c r="K104" s="633" t="s">
        <v>47</v>
      </c>
      <c r="L104" s="452" t="s">
        <v>57</v>
      </c>
      <c r="M104" s="455" t="n">
        <f aca="false">I104-D104</f>
        <v>844</v>
      </c>
      <c r="N104" s="4"/>
      <c r="O104" s="4"/>
      <c r="P104" s="4"/>
      <c r="Q104" s="4"/>
      <c r="R104" s="4"/>
    </row>
    <row r="105" customFormat="false" ht="12.75" hidden="false" customHeight="true" outlineLevel="0" collapsed="false">
      <c r="A105" s="456" t="n">
        <v>10415</v>
      </c>
      <c r="B105" s="458" t="s">
        <v>16476</v>
      </c>
      <c r="C105" s="458" t="n">
        <v>2014</v>
      </c>
      <c r="D105" s="459" t="n">
        <v>41948</v>
      </c>
      <c r="E105" s="458" t="s">
        <v>16477</v>
      </c>
      <c r="F105" s="458" t="s">
        <v>1156</v>
      </c>
      <c r="G105" s="458" t="s">
        <v>441</v>
      </c>
      <c r="H105" s="458" t="s">
        <v>310</v>
      </c>
      <c r="I105" s="459" t="n">
        <v>42300</v>
      </c>
      <c r="J105" s="460" t="n">
        <v>10</v>
      </c>
      <c r="K105" s="631" t="s">
        <v>42</v>
      </c>
      <c r="L105" s="460" t="s">
        <v>58</v>
      </c>
      <c r="M105" s="463" t="n">
        <f aca="false">I105-D105</f>
        <v>352</v>
      </c>
      <c r="N105" s="4"/>
      <c r="O105" s="4"/>
      <c r="P105" s="4"/>
      <c r="Q105" s="4"/>
      <c r="R105" s="4"/>
    </row>
    <row r="106" customFormat="false" ht="12.75" hidden="false" customHeight="true" outlineLevel="0" collapsed="false">
      <c r="A106" s="449" t="n">
        <v>10515</v>
      </c>
      <c r="B106" s="450" t="s">
        <v>16478</v>
      </c>
      <c r="C106" s="450" t="n">
        <v>2015</v>
      </c>
      <c r="D106" s="451" t="n">
        <v>42062</v>
      </c>
      <c r="E106" s="450" t="s">
        <v>16479</v>
      </c>
      <c r="F106" s="624" t="s">
        <v>15474</v>
      </c>
      <c r="G106" s="450" t="s">
        <v>130</v>
      </c>
      <c r="H106" s="450" t="s">
        <v>10653</v>
      </c>
      <c r="I106" s="451" t="n">
        <v>42305</v>
      </c>
      <c r="J106" s="452" t="n">
        <v>10</v>
      </c>
      <c r="K106" s="632" t="s">
        <v>2407</v>
      </c>
      <c r="L106" s="452" t="s">
        <v>61</v>
      </c>
      <c r="M106" s="455" t="n">
        <f aca="false">I106-D106</f>
        <v>243</v>
      </c>
      <c r="N106" s="4"/>
      <c r="O106" s="4"/>
      <c r="P106" s="4"/>
      <c r="Q106" s="4"/>
      <c r="R106" s="4"/>
    </row>
    <row r="107" customFormat="false" ht="12.75" hidden="false" customHeight="true" outlineLevel="0" collapsed="false">
      <c r="A107" s="456" t="n">
        <v>10615</v>
      </c>
      <c r="B107" s="458" t="s">
        <v>16480</v>
      </c>
      <c r="C107" s="458" t="n">
        <v>2011</v>
      </c>
      <c r="D107" s="459" t="n">
        <v>40907</v>
      </c>
      <c r="E107" s="458" t="s">
        <v>16481</v>
      </c>
      <c r="F107" s="458" t="s">
        <v>1200</v>
      </c>
      <c r="G107" s="458" t="s">
        <v>441</v>
      </c>
      <c r="H107" s="458" t="s">
        <v>267</v>
      </c>
      <c r="I107" s="459" t="n">
        <v>42312</v>
      </c>
      <c r="J107" s="460" t="n">
        <v>11</v>
      </c>
      <c r="K107" s="633" t="s">
        <v>47</v>
      </c>
      <c r="L107" s="460" t="s">
        <v>58</v>
      </c>
      <c r="M107" s="463" t="n">
        <f aca="false">I107-D107</f>
        <v>1405</v>
      </c>
      <c r="N107" s="4"/>
      <c r="O107" s="4"/>
      <c r="P107" s="4"/>
      <c r="Q107" s="4"/>
      <c r="R107" s="4"/>
    </row>
    <row r="108" customFormat="false" ht="12.75" hidden="false" customHeight="true" outlineLevel="0" collapsed="false">
      <c r="A108" s="449" t="n">
        <v>10715</v>
      </c>
      <c r="B108" s="450" t="s">
        <v>16482</v>
      </c>
      <c r="C108" s="450" t="n">
        <v>2013</v>
      </c>
      <c r="D108" s="451" t="n">
        <v>41422</v>
      </c>
      <c r="E108" s="450" t="s">
        <v>16483</v>
      </c>
      <c r="F108" s="450" t="s">
        <v>699</v>
      </c>
      <c r="G108" s="450" t="s">
        <v>441</v>
      </c>
      <c r="H108" s="450" t="s">
        <v>16484</v>
      </c>
      <c r="I108" s="451" t="n">
        <v>42317</v>
      </c>
      <c r="J108" s="452" t="n">
        <v>11</v>
      </c>
      <c r="K108" s="633" t="s">
        <v>47</v>
      </c>
      <c r="L108" s="452" t="s">
        <v>58</v>
      </c>
      <c r="M108" s="455" t="n">
        <f aca="false">I108-D108</f>
        <v>895</v>
      </c>
      <c r="N108" s="4"/>
      <c r="O108" s="4"/>
      <c r="P108" s="4"/>
      <c r="Q108" s="4"/>
      <c r="R108" s="4"/>
    </row>
    <row r="109" customFormat="false" ht="12.75" hidden="false" customHeight="true" outlineLevel="0" collapsed="false">
      <c r="A109" s="456" t="n">
        <v>10815</v>
      </c>
      <c r="B109" s="458" t="s">
        <v>16485</v>
      </c>
      <c r="C109" s="458" t="n">
        <v>2010</v>
      </c>
      <c r="D109" s="459" t="n">
        <v>40451</v>
      </c>
      <c r="E109" s="458" t="s">
        <v>16486</v>
      </c>
      <c r="F109" s="458" t="s">
        <v>16487</v>
      </c>
      <c r="G109" s="458" t="s">
        <v>144</v>
      </c>
      <c r="H109" s="458" t="s">
        <v>119</v>
      </c>
      <c r="I109" s="459" t="n">
        <v>42318</v>
      </c>
      <c r="J109" s="460" t="n">
        <v>11</v>
      </c>
      <c r="K109" s="634" t="s">
        <v>45</v>
      </c>
      <c r="L109" s="460" t="s">
        <v>58</v>
      </c>
      <c r="M109" s="463" t="n">
        <f aca="false">I109-D109</f>
        <v>1867</v>
      </c>
      <c r="N109" s="4"/>
      <c r="O109" s="4"/>
      <c r="P109" s="4"/>
      <c r="Q109" s="4"/>
      <c r="R109" s="4"/>
    </row>
    <row r="110" customFormat="false" ht="12.75" hidden="false" customHeight="true" outlineLevel="0" collapsed="false">
      <c r="A110" s="449" t="n">
        <v>10915</v>
      </c>
      <c r="B110" s="450" t="s">
        <v>16488</v>
      </c>
      <c r="C110" s="450" t="n">
        <v>2013</v>
      </c>
      <c r="D110" s="451" t="n">
        <v>41276</v>
      </c>
      <c r="E110" s="450" t="s">
        <v>16489</v>
      </c>
      <c r="F110" s="450" t="s">
        <v>12851</v>
      </c>
      <c r="G110" s="450" t="s">
        <v>441</v>
      </c>
      <c r="H110" s="450" t="s">
        <v>267</v>
      </c>
      <c r="I110" s="451" t="n">
        <v>42319</v>
      </c>
      <c r="J110" s="452" t="n">
        <v>11</v>
      </c>
      <c r="K110" s="631" t="s">
        <v>42</v>
      </c>
      <c r="L110" s="452" t="s">
        <v>57</v>
      </c>
      <c r="M110" s="455" t="n">
        <f aca="false">I110-D110</f>
        <v>1043</v>
      </c>
      <c r="N110" s="4"/>
      <c r="O110" s="4"/>
      <c r="P110" s="4"/>
      <c r="Q110" s="4"/>
      <c r="R110" s="4"/>
    </row>
    <row r="111" customFormat="false" ht="12.75" hidden="false" customHeight="true" outlineLevel="0" collapsed="false">
      <c r="A111" s="456" t="n">
        <v>11015</v>
      </c>
      <c r="B111" s="458" t="s">
        <v>16490</v>
      </c>
      <c r="C111" s="458" t="n">
        <v>2009</v>
      </c>
      <c r="D111" s="459" t="n">
        <v>40176</v>
      </c>
      <c r="E111" s="458" t="s">
        <v>16491</v>
      </c>
      <c r="F111" s="458" t="s">
        <v>6045</v>
      </c>
      <c r="G111" s="458" t="s">
        <v>441</v>
      </c>
      <c r="H111" s="458" t="s">
        <v>2654</v>
      </c>
      <c r="I111" s="459" t="n">
        <v>42320</v>
      </c>
      <c r="J111" s="460" t="n">
        <v>11</v>
      </c>
      <c r="K111" s="633" t="s">
        <v>47</v>
      </c>
      <c r="L111" s="460" t="s">
        <v>60</v>
      </c>
      <c r="M111" s="463" t="n">
        <f aca="false">I111-D111</f>
        <v>2144</v>
      </c>
      <c r="N111" s="4"/>
      <c r="O111" s="4"/>
      <c r="P111" s="4"/>
      <c r="Q111" s="4"/>
      <c r="R111" s="4"/>
    </row>
    <row r="112" customFormat="false" ht="12.75" hidden="false" customHeight="true" outlineLevel="0" collapsed="false">
      <c r="A112" s="449" t="n">
        <v>11115</v>
      </c>
      <c r="B112" s="450" t="s">
        <v>16492</v>
      </c>
      <c r="C112" s="450" t="n">
        <v>2010</v>
      </c>
      <c r="D112" s="451" t="n">
        <v>40269</v>
      </c>
      <c r="E112" s="450" t="s">
        <v>16493</v>
      </c>
      <c r="F112" s="450" t="s">
        <v>3190</v>
      </c>
      <c r="G112" s="450" t="s">
        <v>1174</v>
      </c>
      <c r="H112" s="450" t="s">
        <v>223</v>
      </c>
      <c r="I112" s="451" t="n">
        <v>42325</v>
      </c>
      <c r="J112" s="452" t="n">
        <v>11</v>
      </c>
      <c r="K112" s="633" t="s">
        <v>47</v>
      </c>
      <c r="L112" s="452" t="s">
        <v>60</v>
      </c>
      <c r="M112" s="455" t="n">
        <f aca="false">I112-D112</f>
        <v>2056</v>
      </c>
      <c r="N112" s="4"/>
      <c r="O112" s="4"/>
      <c r="P112" s="4"/>
      <c r="Q112" s="4"/>
      <c r="R112" s="4"/>
    </row>
    <row r="113" customFormat="false" ht="12.75" hidden="false" customHeight="true" outlineLevel="0" collapsed="false">
      <c r="A113" s="456" t="n">
        <v>11215</v>
      </c>
      <c r="B113" s="458" t="s">
        <v>16494</v>
      </c>
      <c r="C113" s="458" t="n">
        <v>2013</v>
      </c>
      <c r="D113" s="459" t="n">
        <v>41304</v>
      </c>
      <c r="E113" s="458" t="s">
        <v>16495</v>
      </c>
      <c r="F113" s="458" t="s">
        <v>180</v>
      </c>
      <c r="G113" s="458" t="s">
        <v>1174</v>
      </c>
      <c r="H113" s="458" t="s">
        <v>3240</v>
      </c>
      <c r="I113" s="459" t="n">
        <v>42325</v>
      </c>
      <c r="J113" s="460" t="n">
        <v>11</v>
      </c>
      <c r="K113" s="633" t="s">
        <v>47</v>
      </c>
      <c r="L113" s="460" t="s">
        <v>58</v>
      </c>
      <c r="M113" s="463" t="n">
        <f aca="false">I113-D113</f>
        <v>1021</v>
      </c>
    </row>
    <row r="114" customFormat="false" ht="12.75" hidden="false" customHeight="true" outlineLevel="0" collapsed="false">
      <c r="A114" s="449" t="n">
        <v>11315</v>
      </c>
      <c r="B114" s="450" t="s">
        <v>16496</v>
      </c>
      <c r="C114" s="450" t="n">
        <v>2013</v>
      </c>
      <c r="D114" s="451" t="n">
        <v>41613</v>
      </c>
      <c r="E114" s="450" t="s">
        <v>16497</v>
      </c>
      <c r="F114" s="450" t="s">
        <v>3844</v>
      </c>
      <c r="G114" s="450" t="s">
        <v>1174</v>
      </c>
      <c r="H114" s="450" t="s">
        <v>223</v>
      </c>
      <c r="I114" s="451" t="n">
        <v>42325</v>
      </c>
      <c r="J114" s="452" t="n">
        <v>11</v>
      </c>
      <c r="K114" s="633" t="s">
        <v>47</v>
      </c>
      <c r="L114" s="452" t="s">
        <v>58</v>
      </c>
      <c r="M114" s="455" t="n">
        <f aca="false">I114-D114</f>
        <v>712</v>
      </c>
    </row>
    <row r="115" customFormat="false" ht="12.75" hidden="false" customHeight="true" outlineLevel="0" collapsed="false">
      <c r="A115" s="456" t="n">
        <v>11415</v>
      </c>
      <c r="B115" s="458" t="s">
        <v>16498</v>
      </c>
      <c r="C115" s="458" t="n">
        <v>2014</v>
      </c>
      <c r="D115" s="459" t="n">
        <v>41943</v>
      </c>
      <c r="E115" s="458" t="s">
        <v>16499</v>
      </c>
      <c r="F115" s="458" t="s">
        <v>15802</v>
      </c>
      <c r="G115" s="458" t="s">
        <v>441</v>
      </c>
      <c r="H115" s="458" t="s">
        <v>184</v>
      </c>
      <c r="I115" s="459" t="n">
        <v>42325</v>
      </c>
      <c r="J115" s="460" t="n">
        <v>11</v>
      </c>
      <c r="K115" s="631" t="s">
        <v>42</v>
      </c>
      <c r="L115" s="460" t="s">
        <v>60</v>
      </c>
      <c r="M115" s="463" t="n">
        <f aca="false">I115-D115</f>
        <v>382</v>
      </c>
    </row>
    <row r="116" customFormat="false" ht="12.75" hidden="false" customHeight="true" outlineLevel="0" collapsed="false">
      <c r="A116" s="449" t="n">
        <v>11515</v>
      </c>
      <c r="B116" s="450" t="s">
        <v>16500</v>
      </c>
      <c r="C116" s="450" t="n">
        <v>2014</v>
      </c>
      <c r="D116" s="451" t="n">
        <v>41983</v>
      </c>
      <c r="E116" s="450" t="s">
        <v>16501</v>
      </c>
      <c r="F116" s="450" t="s">
        <v>3190</v>
      </c>
      <c r="G116" s="450" t="s">
        <v>1174</v>
      </c>
      <c r="H116" s="450" t="s">
        <v>267</v>
      </c>
      <c r="I116" s="451" t="n">
        <v>42326</v>
      </c>
      <c r="J116" s="452" t="n">
        <v>11</v>
      </c>
      <c r="K116" s="633" t="s">
        <v>47</v>
      </c>
      <c r="L116" s="452" t="s">
        <v>60</v>
      </c>
      <c r="M116" s="455" t="n">
        <f aca="false">I116-D116</f>
        <v>343</v>
      </c>
    </row>
    <row r="117" customFormat="false" ht="12.75" hidden="false" customHeight="true" outlineLevel="0" collapsed="false">
      <c r="A117" s="456" t="n">
        <v>11615</v>
      </c>
      <c r="B117" s="458" t="s">
        <v>16502</v>
      </c>
      <c r="C117" s="458" t="n">
        <v>2013</v>
      </c>
      <c r="D117" s="459" t="n">
        <v>41583</v>
      </c>
      <c r="E117" s="458" t="s">
        <v>16503</v>
      </c>
      <c r="F117" s="458" t="s">
        <v>3844</v>
      </c>
      <c r="G117" s="458" t="s">
        <v>1174</v>
      </c>
      <c r="H117" s="458" t="s">
        <v>12763</v>
      </c>
      <c r="I117" s="459" t="n">
        <v>42326</v>
      </c>
      <c r="J117" s="460" t="n">
        <v>11</v>
      </c>
      <c r="K117" s="633" t="s">
        <v>47</v>
      </c>
      <c r="L117" s="460" t="s">
        <v>58</v>
      </c>
      <c r="M117" s="463" t="n">
        <f aca="false">I117-D117</f>
        <v>743</v>
      </c>
    </row>
    <row r="118" customFormat="false" ht="12.75" hidden="false" customHeight="true" outlineLevel="0" collapsed="false">
      <c r="A118" s="449" t="n">
        <v>11715</v>
      </c>
      <c r="B118" s="450" t="s">
        <v>16504</v>
      </c>
      <c r="C118" s="450" t="n">
        <v>2011</v>
      </c>
      <c r="D118" s="451" t="n">
        <v>40834</v>
      </c>
      <c r="E118" s="450" t="s">
        <v>16505</v>
      </c>
      <c r="F118" s="450" t="s">
        <v>3844</v>
      </c>
      <c r="G118" s="450" t="s">
        <v>1174</v>
      </c>
      <c r="H118" s="450" t="s">
        <v>12073</v>
      </c>
      <c r="I118" s="451" t="n">
        <v>42326</v>
      </c>
      <c r="J118" s="452" t="n">
        <v>11</v>
      </c>
      <c r="K118" s="634" t="s">
        <v>45</v>
      </c>
      <c r="L118" s="452" t="s">
        <v>58</v>
      </c>
      <c r="M118" s="455" t="n">
        <f aca="false">I118-D118</f>
        <v>1492</v>
      </c>
    </row>
    <row r="119" customFormat="false" ht="12.75" hidden="false" customHeight="true" outlineLevel="0" collapsed="false">
      <c r="A119" s="456" t="n">
        <v>11815</v>
      </c>
      <c r="B119" s="458" t="s">
        <v>16506</v>
      </c>
      <c r="C119" s="458" t="n">
        <v>2014</v>
      </c>
      <c r="D119" s="459" t="n">
        <v>41698</v>
      </c>
      <c r="E119" s="458" t="s">
        <v>16507</v>
      </c>
      <c r="F119" s="458" t="s">
        <v>3190</v>
      </c>
      <c r="G119" s="458" t="s">
        <v>1174</v>
      </c>
      <c r="H119" s="458" t="s">
        <v>522</v>
      </c>
      <c r="I119" s="459" t="n">
        <v>42327</v>
      </c>
      <c r="J119" s="460" t="n">
        <v>11</v>
      </c>
      <c r="K119" s="633" t="s">
        <v>47</v>
      </c>
      <c r="L119" s="460" t="s">
        <v>60</v>
      </c>
      <c r="M119" s="463" t="n">
        <f aca="false">I119-D119</f>
        <v>629</v>
      </c>
    </row>
    <row r="120" customFormat="false" ht="12.75" hidden="false" customHeight="true" outlineLevel="0" collapsed="false">
      <c r="A120" s="449" t="n">
        <v>11915</v>
      </c>
      <c r="B120" s="450" t="s">
        <v>16508</v>
      </c>
      <c r="C120" s="450" t="n">
        <v>2010</v>
      </c>
      <c r="D120" s="451" t="n">
        <v>40456</v>
      </c>
      <c r="E120" s="450" t="s">
        <v>16509</v>
      </c>
      <c r="F120" s="450" t="s">
        <v>3844</v>
      </c>
      <c r="G120" s="450" t="s">
        <v>1174</v>
      </c>
      <c r="H120" s="450" t="s">
        <v>5230</v>
      </c>
      <c r="I120" s="451" t="n">
        <v>42327</v>
      </c>
      <c r="J120" s="452" t="n">
        <v>11</v>
      </c>
      <c r="K120" s="633" t="s">
        <v>47</v>
      </c>
      <c r="L120" s="452" t="s">
        <v>60</v>
      </c>
      <c r="M120" s="455" t="n">
        <f aca="false">I120-D120</f>
        <v>1871</v>
      </c>
    </row>
    <row r="121" customFormat="false" ht="12.75" hidden="false" customHeight="true" outlineLevel="0" collapsed="false">
      <c r="A121" s="456" t="n">
        <v>12015</v>
      </c>
      <c r="B121" s="458" t="s">
        <v>16510</v>
      </c>
      <c r="C121" s="458" t="n">
        <v>2010</v>
      </c>
      <c r="D121" s="459" t="n">
        <v>40543</v>
      </c>
      <c r="E121" s="458" t="s">
        <v>16511</v>
      </c>
      <c r="F121" s="458" t="s">
        <v>15696</v>
      </c>
      <c r="G121" s="458" t="s">
        <v>1174</v>
      </c>
      <c r="H121" s="458" t="s">
        <v>471</v>
      </c>
      <c r="I121" s="459" t="n">
        <v>42327</v>
      </c>
      <c r="J121" s="460" t="n">
        <v>11</v>
      </c>
      <c r="K121" s="633" t="s">
        <v>47</v>
      </c>
      <c r="L121" s="460" t="s">
        <v>58</v>
      </c>
      <c r="M121" s="463" t="n">
        <f aca="false">I121-D121</f>
        <v>1784</v>
      </c>
    </row>
    <row r="122" customFormat="false" ht="12.75" hidden="false" customHeight="true" outlineLevel="0" collapsed="false">
      <c r="A122" s="449" t="n">
        <v>12115</v>
      </c>
      <c r="B122" s="450" t="s">
        <v>16512</v>
      </c>
      <c r="C122" s="450" t="n">
        <v>2010</v>
      </c>
      <c r="D122" s="451" t="n">
        <v>40210</v>
      </c>
      <c r="E122" s="450" t="s">
        <v>16513</v>
      </c>
      <c r="F122" s="450" t="s">
        <v>3844</v>
      </c>
      <c r="G122" s="450" t="s">
        <v>1174</v>
      </c>
      <c r="H122" s="450" t="s">
        <v>2296</v>
      </c>
      <c r="I122" s="451" t="n">
        <v>42334</v>
      </c>
      <c r="J122" s="452" t="n">
        <v>11</v>
      </c>
      <c r="K122" s="633" t="s">
        <v>47</v>
      </c>
      <c r="L122" s="452" t="s">
        <v>58</v>
      </c>
      <c r="M122" s="455" t="n">
        <f aca="false">I122-D122</f>
        <v>2124</v>
      </c>
    </row>
    <row r="123" customFormat="false" ht="12.75" hidden="false" customHeight="true" outlineLevel="0" collapsed="false">
      <c r="A123" s="456" t="n">
        <v>12215</v>
      </c>
      <c r="B123" s="458" t="s">
        <v>16514</v>
      </c>
      <c r="C123" s="458" t="n">
        <v>2010</v>
      </c>
      <c r="D123" s="459" t="n">
        <v>40210</v>
      </c>
      <c r="E123" s="458" t="s">
        <v>16515</v>
      </c>
      <c r="F123" s="458" t="s">
        <v>3844</v>
      </c>
      <c r="G123" s="458" t="s">
        <v>1174</v>
      </c>
      <c r="H123" s="458" t="s">
        <v>354</v>
      </c>
      <c r="I123" s="459" t="n">
        <v>42334</v>
      </c>
      <c r="J123" s="460" t="n">
        <v>11</v>
      </c>
      <c r="K123" s="633" t="s">
        <v>47</v>
      </c>
      <c r="L123" s="460" t="s">
        <v>58</v>
      </c>
      <c r="M123" s="463" t="n">
        <f aca="false">I123-D123</f>
        <v>2124</v>
      </c>
    </row>
    <row r="124" customFormat="false" ht="12.75" hidden="false" customHeight="true" outlineLevel="0" collapsed="false">
      <c r="A124" s="449" t="n">
        <v>12315</v>
      </c>
      <c r="B124" s="450" t="s">
        <v>16516</v>
      </c>
      <c r="C124" s="450" t="n">
        <v>2012</v>
      </c>
      <c r="D124" s="451" t="n">
        <v>41128</v>
      </c>
      <c r="E124" s="450" t="s">
        <v>16517</v>
      </c>
      <c r="F124" s="450" t="s">
        <v>699</v>
      </c>
      <c r="G124" s="450" t="s">
        <v>1174</v>
      </c>
      <c r="H124" s="450" t="s">
        <v>350</v>
      </c>
      <c r="I124" s="451" t="n">
        <v>42335</v>
      </c>
      <c r="J124" s="452" t="n">
        <v>11</v>
      </c>
      <c r="K124" s="631" t="s">
        <v>42</v>
      </c>
      <c r="L124" s="452" t="s">
        <v>60</v>
      </c>
      <c r="M124" s="455" t="n">
        <f aca="false">I124-D124</f>
        <v>1207</v>
      </c>
    </row>
    <row r="125" customFormat="false" ht="12.75" hidden="false" customHeight="true" outlineLevel="0" collapsed="false">
      <c r="A125" s="456" t="n">
        <v>12415</v>
      </c>
      <c r="B125" s="458" t="s">
        <v>16518</v>
      </c>
      <c r="C125" s="458" t="n">
        <v>2012</v>
      </c>
      <c r="D125" s="459" t="n">
        <v>41148</v>
      </c>
      <c r="E125" s="458" t="s">
        <v>16519</v>
      </c>
      <c r="F125" s="458" t="s">
        <v>699</v>
      </c>
      <c r="G125" s="458" t="s">
        <v>1174</v>
      </c>
      <c r="H125" s="458" t="s">
        <v>2744</v>
      </c>
      <c r="I125" s="459" t="n">
        <v>42345</v>
      </c>
      <c r="J125" s="460" t="n">
        <v>12</v>
      </c>
      <c r="K125" s="631" t="s">
        <v>42</v>
      </c>
      <c r="L125" s="460" t="s">
        <v>60</v>
      </c>
      <c r="M125" s="463" t="n">
        <f aca="false">I125-D125</f>
        <v>1197</v>
      </c>
    </row>
    <row r="126" customFormat="false" ht="12.75" hidden="false" customHeight="true" outlineLevel="0" collapsed="false">
      <c r="A126" s="449" t="n">
        <v>12515</v>
      </c>
      <c r="B126" s="450" t="s">
        <v>16520</v>
      </c>
      <c r="C126" s="450" t="n">
        <v>2013</v>
      </c>
      <c r="D126" s="451" t="n">
        <v>41323</v>
      </c>
      <c r="E126" s="450" t="s">
        <v>16521</v>
      </c>
      <c r="F126" s="450" t="s">
        <v>699</v>
      </c>
      <c r="G126" s="450" t="s">
        <v>1174</v>
      </c>
      <c r="H126" s="450" t="s">
        <v>3240</v>
      </c>
      <c r="I126" s="451" t="n">
        <v>42345</v>
      </c>
      <c r="J126" s="452" t="n">
        <v>12</v>
      </c>
      <c r="K126" s="631" t="s">
        <v>42</v>
      </c>
      <c r="L126" s="452" t="s">
        <v>60</v>
      </c>
      <c r="M126" s="455" t="n">
        <f aca="false">I126-D126</f>
        <v>1022</v>
      </c>
    </row>
    <row r="127" customFormat="false" ht="12.75" hidden="false" customHeight="true" outlineLevel="0" collapsed="false">
      <c r="A127" s="456" t="n">
        <v>12615</v>
      </c>
      <c r="B127" s="458" t="s">
        <v>16522</v>
      </c>
      <c r="C127" s="458" t="n">
        <v>2009</v>
      </c>
      <c r="D127" s="459" t="n">
        <v>40056</v>
      </c>
      <c r="E127" s="458" t="s">
        <v>16523</v>
      </c>
      <c r="F127" s="458" t="s">
        <v>705</v>
      </c>
      <c r="G127" s="458" t="s">
        <v>1174</v>
      </c>
      <c r="H127" s="458" t="s">
        <v>4431</v>
      </c>
      <c r="I127" s="459" t="n">
        <v>42346</v>
      </c>
      <c r="J127" s="460" t="n">
        <v>12</v>
      </c>
      <c r="K127" s="633" t="s">
        <v>47</v>
      </c>
      <c r="L127" s="460" t="s">
        <v>58</v>
      </c>
      <c r="M127" s="463" t="n">
        <f aca="false">I127-D127</f>
        <v>2290</v>
      </c>
    </row>
    <row r="128" customFormat="false" ht="12.75" hidden="false" customHeight="true" outlineLevel="0" collapsed="false">
      <c r="A128" s="449" t="n">
        <v>12715</v>
      </c>
      <c r="B128" s="450" t="s">
        <v>16524</v>
      </c>
      <c r="C128" s="450" t="n">
        <v>2011</v>
      </c>
      <c r="D128" s="451" t="n">
        <v>40749</v>
      </c>
      <c r="E128" s="450" t="s">
        <v>16525</v>
      </c>
      <c r="F128" s="450" t="s">
        <v>566</v>
      </c>
      <c r="G128" s="450" t="s">
        <v>1188</v>
      </c>
      <c r="H128" s="450" t="s">
        <v>2421</v>
      </c>
      <c r="I128" s="451" t="n">
        <v>42347</v>
      </c>
      <c r="J128" s="452" t="n">
        <v>12</v>
      </c>
      <c r="K128" s="633" t="s">
        <v>47</v>
      </c>
      <c r="L128" s="452" t="s">
        <v>58</v>
      </c>
      <c r="M128" s="455" t="n">
        <f aca="false">I128-D128</f>
        <v>1598</v>
      </c>
    </row>
    <row r="129" customFormat="false" ht="12.75" hidden="false" customHeight="true" outlineLevel="0" collapsed="false">
      <c r="A129" s="456" t="n">
        <v>12815</v>
      </c>
      <c r="B129" s="458" t="s">
        <v>16526</v>
      </c>
      <c r="C129" s="458" t="n">
        <v>2009</v>
      </c>
      <c r="D129" s="459" t="n">
        <v>39842</v>
      </c>
      <c r="E129" s="458" t="s">
        <v>16527</v>
      </c>
      <c r="F129" s="458" t="s">
        <v>16528</v>
      </c>
      <c r="G129" s="458" t="s">
        <v>1188</v>
      </c>
      <c r="H129" s="458" t="s">
        <v>1791</v>
      </c>
      <c r="I129" s="459" t="n">
        <v>42348</v>
      </c>
      <c r="J129" s="460" t="n">
        <v>12</v>
      </c>
      <c r="K129" s="634" t="s">
        <v>45</v>
      </c>
      <c r="L129" s="460" t="s">
        <v>58</v>
      </c>
      <c r="M129" s="463" t="n">
        <f aca="false">I129-D129</f>
        <v>2506</v>
      </c>
    </row>
    <row r="130" customFormat="false" ht="12.75" hidden="false" customHeight="true" outlineLevel="0" collapsed="false">
      <c r="A130" s="449" t="n">
        <v>12915</v>
      </c>
      <c r="B130" s="450" t="s">
        <v>16529</v>
      </c>
      <c r="C130" s="450" t="n">
        <v>2012</v>
      </c>
      <c r="D130" s="451" t="n">
        <v>41176</v>
      </c>
      <c r="E130" s="450" t="s">
        <v>16530</v>
      </c>
      <c r="F130" s="450" t="s">
        <v>3844</v>
      </c>
      <c r="G130" s="450" t="s">
        <v>1174</v>
      </c>
      <c r="H130" s="450" t="s">
        <v>3339</v>
      </c>
      <c r="I130" s="451" t="n">
        <v>42349</v>
      </c>
      <c r="J130" s="452" t="n">
        <v>12</v>
      </c>
      <c r="K130" s="633" t="s">
        <v>47</v>
      </c>
      <c r="L130" s="452" t="s">
        <v>58</v>
      </c>
      <c r="M130" s="455" t="n">
        <f aca="false">I130-D130</f>
        <v>1173</v>
      </c>
    </row>
    <row r="131" customFormat="false" ht="12.75" hidden="false" customHeight="true" outlineLevel="0" collapsed="false">
      <c r="A131" s="456" t="n">
        <v>13015</v>
      </c>
      <c r="B131" s="635" t="s">
        <v>16531</v>
      </c>
      <c r="C131" s="458" t="n">
        <v>2009</v>
      </c>
      <c r="D131" s="459" t="n">
        <v>39883</v>
      </c>
      <c r="E131" s="458" t="s">
        <v>16532</v>
      </c>
      <c r="F131" s="458" t="s">
        <v>3844</v>
      </c>
      <c r="G131" s="458" t="s">
        <v>1174</v>
      </c>
      <c r="H131" s="458" t="s">
        <v>693</v>
      </c>
      <c r="I131" s="459" t="n">
        <v>42349</v>
      </c>
      <c r="J131" s="460" t="n">
        <v>12</v>
      </c>
      <c r="K131" s="633" t="s">
        <v>47</v>
      </c>
      <c r="L131" s="460" t="s">
        <v>58</v>
      </c>
      <c r="M131" s="463" t="n">
        <f aca="false">I131-D131</f>
        <v>2466</v>
      </c>
    </row>
    <row r="132" customFormat="false" ht="12.75" hidden="false" customHeight="true" outlineLevel="0" collapsed="false">
      <c r="A132" s="449" t="n">
        <v>13115</v>
      </c>
      <c r="B132" s="450" t="s">
        <v>16533</v>
      </c>
      <c r="C132" s="450" t="n">
        <v>2010</v>
      </c>
      <c r="D132" s="451" t="n">
        <v>40372</v>
      </c>
      <c r="E132" s="450" t="s">
        <v>16534</v>
      </c>
      <c r="F132" s="450" t="s">
        <v>699</v>
      </c>
      <c r="G132" s="450" t="s">
        <v>1174</v>
      </c>
      <c r="H132" s="450" t="s">
        <v>12763</v>
      </c>
      <c r="I132" s="451" t="n">
        <v>42349</v>
      </c>
      <c r="J132" s="452" t="n">
        <v>12</v>
      </c>
      <c r="K132" s="631" t="s">
        <v>42</v>
      </c>
      <c r="L132" s="452" t="s">
        <v>60</v>
      </c>
      <c r="M132" s="455" t="n">
        <f aca="false">I132-D132</f>
        <v>1977</v>
      </c>
    </row>
    <row r="133" customFormat="false" ht="12.75" hidden="false" customHeight="true" outlineLevel="0" collapsed="false">
      <c r="A133" s="456" t="n">
        <v>13215</v>
      </c>
      <c r="B133" s="458" t="s">
        <v>16535</v>
      </c>
      <c r="C133" s="458" t="n">
        <v>2012</v>
      </c>
      <c r="D133" s="459" t="n">
        <v>41116</v>
      </c>
      <c r="E133" s="458" t="s">
        <v>16536</v>
      </c>
      <c r="F133" s="458" t="s">
        <v>4270</v>
      </c>
      <c r="G133" s="458" t="s">
        <v>1174</v>
      </c>
      <c r="H133" s="458" t="s">
        <v>1567</v>
      </c>
      <c r="I133" s="459" t="n">
        <v>42352</v>
      </c>
      <c r="J133" s="460" t="n">
        <v>12</v>
      </c>
      <c r="K133" s="631" t="s">
        <v>42</v>
      </c>
      <c r="L133" s="460" t="s">
        <v>60</v>
      </c>
      <c r="M133" s="463" t="n">
        <f aca="false">I133-D133</f>
        <v>1236</v>
      </c>
    </row>
    <row r="134" customFormat="false" ht="12.75" hidden="false" customHeight="true" outlineLevel="0" collapsed="false">
      <c r="A134" s="449" t="n">
        <v>13315</v>
      </c>
      <c r="B134" s="450" t="s">
        <v>16537</v>
      </c>
      <c r="C134" s="450" t="n">
        <v>2009</v>
      </c>
      <c r="D134" s="451" t="n">
        <v>40109</v>
      </c>
      <c r="E134" s="450" t="s">
        <v>16538</v>
      </c>
      <c r="F134" s="450" t="s">
        <v>15802</v>
      </c>
      <c r="G134" s="450" t="s">
        <v>1174</v>
      </c>
      <c r="H134" s="450" t="s">
        <v>354</v>
      </c>
      <c r="I134" s="451" t="n">
        <v>42353</v>
      </c>
      <c r="J134" s="452" t="n">
        <v>12</v>
      </c>
      <c r="K134" s="631" t="s">
        <v>42</v>
      </c>
      <c r="L134" s="452" t="s">
        <v>58</v>
      </c>
      <c r="M134" s="455" t="n">
        <f aca="false">I134-D134</f>
        <v>2244</v>
      </c>
    </row>
    <row r="135" customFormat="false" ht="12.75" hidden="false" customHeight="true" outlineLevel="0" collapsed="false">
      <c r="A135" s="456" t="n">
        <v>13415</v>
      </c>
      <c r="B135" s="458" t="s">
        <v>16539</v>
      </c>
      <c r="C135" s="458" t="n">
        <v>2010</v>
      </c>
      <c r="D135" s="459" t="n">
        <v>40522</v>
      </c>
      <c r="E135" s="458" t="s">
        <v>16540</v>
      </c>
      <c r="F135" s="458" t="s">
        <v>16487</v>
      </c>
      <c r="G135" s="458" t="s">
        <v>144</v>
      </c>
      <c r="H135" s="458" t="s">
        <v>119</v>
      </c>
      <c r="I135" s="459" t="n">
        <v>42354</v>
      </c>
      <c r="J135" s="460" t="n">
        <v>12</v>
      </c>
      <c r="K135" s="634" t="s">
        <v>45</v>
      </c>
      <c r="L135" s="460" t="s">
        <v>58</v>
      </c>
      <c r="M135" s="463" t="n">
        <f aca="false">I135-D135</f>
        <v>1832</v>
      </c>
    </row>
    <row r="136" customFormat="false" ht="12.75" hidden="false" customHeight="true" outlineLevel="0" collapsed="false">
      <c r="A136" s="449" t="n">
        <v>13515</v>
      </c>
      <c r="B136" s="450" t="s">
        <v>16541</v>
      </c>
      <c r="C136" s="450" t="n">
        <v>2013</v>
      </c>
      <c r="D136" s="451" t="n">
        <v>41597</v>
      </c>
      <c r="E136" s="450" t="s">
        <v>16542</v>
      </c>
      <c r="F136" s="624" t="s">
        <v>6303</v>
      </c>
      <c r="G136" s="450" t="s">
        <v>130</v>
      </c>
      <c r="H136" s="450" t="s">
        <v>10999</v>
      </c>
      <c r="I136" s="451" t="n">
        <v>42354</v>
      </c>
      <c r="J136" s="452" t="n">
        <v>12</v>
      </c>
      <c r="K136" s="632" t="s">
        <v>50</v>
      </c>
      <c r="L136" s="452" t="s">
        <v>61</v>
      </c>
      <c r="M136" s="455" t="n">
        <f aca="false">I136-D136</f>
        <v>757</v>
      </c>
    </row>
    <row r="137" customFormat="false" ht="12.75" hidden="false" customHeight="true" outlineLevel="0" collapsed="false">
      <c r="A137" s="456" t="n">
        <v>13615</v>
      </c>
      <c r="B137" s="458" t="s">
        <v>16543</v>
      </c>
      <c r="C137" s="458" t="n">
        <v>2009</v>
      </c>
      <c r="D137" s="459" t="n">
        <v>40060</v>
      </c>
      <c r="E137" s="458" t="s">
        <v>16544</v>
      </c>
      <c r="F137" s="458" t="s">
        <v>699</v>
      </c>
      <c r="G137" s="458" t="s">
        <v>441</v>
      </c>
      <c r="H137" s="458" t="s">
        <v>15992</v>
      </c>
      <c r="I137" s="459" t="n">
        <v>42366</v>
      </c>
      <c r="J137" s="460" t="n">
        <v>12</v>
      </c>
      <c r="K137" s="633" t="s">
        <v>47</v>
      </c>
      <c r="L137" s="460" t="s">
        <v>60</v>
      </c>
      <c r="M137" s="463" t="n">
        <f aca="false">I137-D137</f>
        <v>2306</v>
      </c>
    </row>
    <row r="138" customFormat="false" ht="12.75" hidden="false" customHeight="true" outlineLevel="0" collapsed="false">
      <c r="A138" s="449" t="n">
        <v>13715</v>
      </c>
      <c r="B138" s="450" t="s">
        <v>16545</v>
      </c>
      <c r="C138" s="450" t="n">
        <v>2015</v>
      </c>
      <c r="D138" s="451" t="n">
        <v>42165</v>
      </c>
      <c r="E138" s="450" t="s">
        <v>16546</v>
      </c>
      <c r="F138" s="624" t="s">
        <v>288</v>
      </c>
      <c r="G138" s="450" t="s">
        <v>130</v>
      </c>
      <c r="H138" s="450" t="s">
        <v>16547</v>
      </c>
      <c r="I138" s="451" t="n">
        <v>42367</v>
      </c>
      <c r="J138" s="452" t="n">
        <v>12</v>
      </c>
      <c r="K138" s="632" t="s">
        <v>2407</v>
      </c>
      <c r="L138" s="452" t="s">
        <v>61</v>
      </c>
      <c r="M138" s="455" t="n">
        <f aca="false">I138-D138</f>
        <v>202</v>
      </c>
    </row>
    <row r="139" customFormat="false" ht="12.75" hidden="false" customHeight="true" outlineLevel="0" collapsed="false">
      <c r="A139" s="456" t="n">
        <v>13815</v>
      </c>
      <c r="B139" s="458" t="s">
        <v>16548</v>
      </c>
      <c r="C139" s="458" t="n">
        <v>2015</v>
      </c>
      <c r="D139" s="459" t="n">
        <v>42165</v>
      </c>
      <c r="E139" s="458" t="s">
        <v>16549</v>
      </c>
      <c r="F139" s="625" t="s">
        <v>288</v>
      </c>
      <c r="G139" s="458" t="s">
        <v>130</v>
      </c>
      <c r="H139" s="458" t="s">
        <v>16550</v>
      </c>
      <c r="I139" s="459" t="n">
        <v>42367</v>
      </c>
      <c r="J139" s="460" t="n">
        <v>12</v>
      </c>
      <c r="K139" s="632" t="s">
        <v>2407</v>
      </c>
      <c r="L139" s="460" t="s">
        <v>61</v>
      </c>
      <c r="M139" s="463" t="n">
        <f aca="false">I139-D139</f>
        <v>202</v>
      </c>
    </row>
    <row r="140" customFormat="false" ht="12.75" hidden="false" customHeight="true" outlineLevel="0" collapsed="false">
      <c r="A140" s="449" t="n">
        <v>13915</v>
      </c>
      <c r="B140" s="450" t="s">
        <v>16551</v>
      </c>
      <c r="C140" s="450" t="n">
        <v>2011</v>
      </c>
      <c r="D140" s="451" t="n">
        <v>40753</v>
      </c>
      <c r="E140" s="450" t="s">
        <v>16552</v>
      </c>
      <c r="F140" s="450" t="s">
        <v>566</v>
      </c>
      <c r="G140" s="450" t="s">
        <v>115</v>
      </c>
      <c r="H140" s="450" t="s">
        <v>2421</v>
      </c>
      <c r="I140" s="451" t="n">
        <v>42368</v>
      </c>
      <c r="J140" s="452" t="n">
        <v>12</v>
      </c>
      <c r="K140" s="632" t="s">
        <v>50</v>
      </c>
      <c r="L140" s="452" t="s">
        <v>60</v>
      </c>
      <c r="M140" s="455" t="n">
        <f aca="false">I140-D140</f>
        <v>1615</v>
      </c>
    </row>
    <row r="145" customFormat="false" ht="12.75" hidden="true" customHeight="true" outlineLevel="0" collapsed="false">
      <c r="B145" s="636"/>
      <c r="C145" s="637"/>
      <c r="D145" s="638" t="n">
        <v>39771</v>
      </c>
    </row>
    <row r="146" customFormat="false" ht="12.75" hidden="true" customHeight="true" outlineLevel="0" collapsed="false">
      <c r="B146" s="636"/>
      <c r="C146" s="637"/>
      <c r="D146" s="638"/>
    </row>
    <row r="147" customFormat="false" ht="12.75" hidden="true" customHeight="true" outlineLevel="0" collapsed="false">
      <c r="B147" s="636" t="s">
        <v>16553</v>
      </c>
      <c r="C147" s="637"/>
      <c r="D147" s="638" t="n">
        <v>40207</v>
      </c>
    </row>
    <row r="148" customFormat="false" ht="12.75" hidden="true" customHeight="true" outlineLevel="0" collapsed="false">
      <c r="B148" s="636"/>
      <c r="C148" s="637"/>
      <c r="D148" s="638"/>
    </row>
    <row r="149" customFormat="false" ht="12.75" hidden="true" customHeight="true" outlineLevel="0" collapsed="false">
      <c r="B149" s="636"/>
      <c r="C149" s="637"/>
      <c r="D149" s="638"/>
    </row>
    <row r="150" customFormat="false" ht="12.75" hidden="true" customHeight="true" outlineLevel="0" collapsed="false">
      <c r="B150" s="636"/>
      <c r="C150" s="637"/>
      <c r="D150" s="638"/>
    </row>
    <row r="151" customFormat="false" ht="12.75" hidden="true" customHeight="true" outlineLevel="0" collapsed="false">
      <c r="B151" s="636"/>
      <c r="C151" s="637"/>
      <c r="D151" s="638" t="n">
        <v>40245</v>
      </c>
    </row>
    <row r="152" customFormat="false" ht="12.75" hidden="true" customHeight="true" outlineLevel="0" collapsed="false">
      <c r="B152" s="636"/>
      <c r="C152" s="637"/>
      <c r="D152" s="638" t="n">
        <v>40087</v>
      </c>
    </row>
    <row r="165" customFormat="false" ht="12.75" hidden="true" customHeight="true" outlineLevel="0" collapsed="false">
      <c r="D165" s="638" t="n">
        <v>39525</v>
      </c>
    </row>
    <row r="166" customFormat="false" ht="12.75" hidden="true" customHeight="true" outlineLevel="0" collapsed="false">
      <c r="D166" s="638"/>
    </row>
    <row r="167" customFormat="false" ht="12.75" hidden="true" customHeight="true" outlineLevel="0" collapsed="false">
      <c r="D167" s="638" t="n">
        <v>39651</v>
      </c>
    </row>
    <row r="168" customFormat="false" ht="12.75" hidden="true" customHeight="true" outlineLevel="0" collapsed="false">
      <c r="D168" s="638" t="n">
        <v>39857</v>
      </c>
    </row>
    <row r="169" customFormat="false" ht="12.75" hidden="true" customHeight="true" outlineLevel="0" collapsed="false">
      <c r="D169" s="638" t="n">
        <v>39638</v>
      </c>
    </row>
  </sheetData>
  <autoFilter ref="A1:M140"/>
  <mergeCells count="76">
    <mergeCell ref="O2:P2"/>
    <mergeCell ref="O14:S15"/>
    <mergeCell ref="O16:S16"/>
    <mergeCell ref="O17:S17"/>
    <mergeCell ref="O18:S18"/>
    <mergeCell ref="O19:S19"/>
    <mergeCell ref="O20:S20"/>
    <mergeCell ref="O21:S21"/>
    <mergeCell ref="O22:S22"/>
    <mergeCell ref="O23:S23"/>
    <mergeCell ref="O24:S24"/>
    <mergeCell ref="O26:S27"/>
    <mergeCell ref="P28:R28"/>
    <mergeCell ref="P29:R29"/>
    <mergeCell ref="P30:R30"/>
    <mergeCell ref="P31:R31"/>
    <mergeCell ref="P32:R32"/>
    <mergeCell ref="P33:R33"/>
    <mergeCell ref="P34:R34"/>
    <mergeCell ref="P35:R35"/>
    <mergeCell ref="P36:R36"/>
    <mergeCell ref="P37:R37"/>
    <mergeCell ref="P38:R38"/>
    <mergeCell ref="P39:R39"/>
    <mergeCell ref="P40:R40"/>
    <mergeCell ref="P41:R41"/>
    <mergeCell ref="P42:R42"/>
    <mergeCell ref="O44:S45"/>
    <mergeCell ref="P46:R46"/>
    <mergeCell ref="P47:R47"/>
    <mergeCell ref="P48:R48"/>
    <mergeCell ref="P49:R49"/>
    <mergeCell ref="P50:R50"/>
    <mergeCell ref="P51:R51"/>
    <mergeCell ref="P52:R52"/>
    <mergeCell ref="P53:R53"/>
    <mergeCell ref="P54:R54"/>
    <mergeCell ref="P55:R55"/>
    <mergeCell ref="P56:R56"/>
    <mergeCell ref="P57:R57"/>
    <mergeCell ref="P58:R58"/>
    <mergeCell ref="P59:R59"/>
    <mergeCell ref="O61:T62"/>
    <mergeCell ref="O63:R63"/>
    <mergeCell ref="O64:R64"/>
    <mergeCell ref="O65:R65"/>
    <mergeCell ref="O66:R66"/>
    <mergeCell ref="O67:R67"/>
    <mergeCell ref="O68:R68"/>
    <mergeCell ref="O69:R69"/>
    <mergeCell ref="O70:R70"/>
    <mergeCell ref="O71:R71"/>
    <mergeCell ref="O72:R72"/>
    <mergeCell ref="O73:R73"/>
    <mergeCell ref="O74:R74"/>
    <mergeCell ref="O75:R75"/>
    <mergeCell ref="O76:R76"/>
    <mergeCell ref="O78:T79"/>
    <mergeCell ref="O80:R80"/>
    <mergeCell ref="O81:R81"/>
    <mergeCell ref="O82:R82"/>
    <mergeCell ref="O83:R83"/>
    <mergeCell ref="O84:R84"/>
    <mergeCell ref="O85:R85"/>
    <mergeCell ref="O87:R88"/>
    <mergeCell ref="P89:R89"/>
    <mergeCell ref="P90:R90"/>
    <mergeCell ref="P91:R91"/>
    <mergeCell ref="P92:R92"/>
    <mergeCell ref="P93:R93"/>
    <mergeCell ref="P94:R94"/>
    <mergeCell ref="P95:R95"/>
    <mergeCell ref="P96:R96"/>
    <mergeCell ref="P97:R97"/>
    <mergeCell ref="P98:R98"/>
    <mergeCell ref="P99:R99"/>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5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B1" activeCellId="0" sqref="B1"/>
    </sheetView>
  </sheetViews>
  <sheetFormatPr defaultColWidth="14.2890625" defaultRowHeight="12.75" customHeight="false" zeroHeight="false" outlineLevelRow="0" outlineLevelCol="0"/>
  <cols>
    <col collapsed="false" customWidth="true" hidden="false" outlineLevel="0" max="1" min="1" style="0" width="15.58"/>
    <col collapsed="false" customWidth="true" hidden="false" outlineLevel="0" max="2" min="2" style="0" width="24.71"/>
    <col collapsed="false" customWidth="true" hidden="false" outlineLevel="0" max="3" min="3" style="0" width="23.72"/>
    <col collapsed="false" customWidth="true" hidden="false" outlineLevel="0" max="4" min="4" style="0" width="24"/>
    <col collapsed="false" customWidth="true" hidden="false" outlineLevel="0" max="5" min="5" style="0" width="41.28"/>
    <col collapsed="false" customWidth="true" hidden="false" outlineLevel="0" max="6" min="6" style="0" width="49.58"/>
    <col collapsed="false" customWidth="true" hidden="false" outlineLevel="0" max="7" min="7" style="0" width="13.29"/>
    <col collapsed="false" customWidth="true" hidden="false" outlineLevel="0" max="9" min="8" style="0" width="24.14"/>
    <col collapsed="false" customWidth="true" hidden="false" outlineLevel="0" max="10" min="10" style="0" width="27"/>
    <col collapsed="false" customWidth="true" hidden="false" outlineLevel="0" max="11" min="11" style="0" width="60.57"/>
    <col collapsed="false" customWidth="true" hidden="false" outlineLevel="0" max="12" min="12" style="0" width="65.29"/>
    <col collapsed="false" customWidth="true" hidden="false" outlineLevel="0" max="13" min="13" style="0" width="47.14"/>
    <col collapsed="false" customWidth="true" hidden="false" outlineLevel="0" max="14" min="14" style="0" width="13.29"/>
    <col collapsed="false" customWidth="true" hidden="false" outlineLevel="0" max="15" min="15" style="0" width="27.14"/>
    <col collapsed="false" customWidth="true" hidden="false" outlineLevel="0" max="16" min="16" style="0" width="9.85"/>
    <col collapsed="false" customWidth="true" hidden="false" outlineLevel="0" max="17" min="17" style="0" width="3.42"/>
    <col collapsed="false" customWidth="true" hidden="false" outlineLevel="0" max="18" min="18" style="0" width="39"/>
    <col collapsed="false" customWidth="true" hidden="false" outlineLevel="0" max="19" min="19" style="0" width="62.85"/>
    <col collapsed="false" customWidth="true" hidden="false" outlineLevel="0" max="20" min="20" style="0" width="13.71"/>
    <col collapsed="false" customWidth="true" hidden="false" outlineLevel="0" max="26" min="21" style="0" width="8.71"/>
  </cols>
  <sheetData>
    <row r="1" customFormat="false" ht="12.75" hidden="false" customHeight="true" outlineLevel="0" collapsed="false">
      <c r="A1" s="582" t="s">
        <v>92</v>
      </c>
      <c r="B1" s="585" t="s">
        <v>93</v>
      </c>
      <c r="C1" s="585" t="s">
        <v>89</v>
      </c>
      <c r="D1" s="584" t="s">
        <v>94</v>
      </c>
      <c r="E1" s="585" t="s">
        <v>95</v>
      </c>
      <c r="F1" s="585" t="s">
        <v>96</v>
      </c>
      <c r="G1" s="585" t="s">
        <v>97</v>
      </c>
      <c r="H1" s="585" t="s">
        <v>98</v>
      </c>
      <c r="I1" s="584" t="s">
        <v>99</v>
      </c>
      <c r="J1" s="585" t="s">
        <v>62</v>
      </c>
      <c r="K1" s="586" t="s">
        <v>101</v>
      </c>
      <c r="L1" s="586" t="s">
        <v>102</v>
      </c>
      <c r="M1" s="279" t="s">
        <v>103</v>
      </c>
      <c r="N1" s="4"/>
      <c r="O1" s="4"/>
      <c r="P1" s="4"/>
      <c r="Q1" s="4"/>
      <c r="R1" s="4"/>
      <c r="S1" s="4"/>
    </row>
    <row r="2" customFormat="false" ht="12.75" hidden="false" customHeight="true" outlineLevel="0" collapsed="false">
      <c r="A2" s="449" t="n">
        <v>114</v>
      </c>
      <c r="B2" s="450" t="s">
        <v>16554</v>
      </c>
      <c r="C2" s="450" t="n">
        <v>2012</v>
      </c>
      <c r="D2" s="451" t="n">
        <v>41262</v>
      </c>
      <c r="E2" s="450" t="s">
        <v>16555</v>
      </c>
      <c r="F2" s="450" t="s">
        <v>1097</v>
      </c>
      <c r="G2" s="450" t="s">
        <v>1174</v>
      </c>
      <c r="H2" s="450" t="s">
        <v>350</v>
      </c>
      <c r="I2" s="451" t="n">
        <v>41647</v>
      </c>
      <c r="J2" s="452" t="n">
        <v>1</v>
      </c>
      <c r="K2" s="631" t="s">
        <v>42</v>
      </c>
      <c r="L2" s="452" t="s">
        <v>60</v>
      </c>
      <c r="M2" s="455" t="n">
        <f aca="false">I2-D2</f>
        <v>385</v>
      </c>
      <c r="N2" s="4"/>
      <c r="O2" s="280" t="s">
        <v>16556</v>
      </c>
      <c r="P2" s="280"/>
      <c r="Q2" s="146"/>
      <c r="R2" s="146"/>
      <c r="S2" s="146"/>
    </row>
    <row r="3" customFormat="false" ht="12.75" hidden="false" customHeight="true" outlineLevel="0" collapsed="false">
      <c r="A3" s="456" t="n">
        <v>214</v>
      </c>
      <c r="B3" s="458" t="s">
        <v>16557</v>
      </c>
      <c r="C3" s="458" t="n">
        <v>2013</v>
      </c>
      <c r="D3" s="459" t="n">
        <v>41318</v>
      </c>
      <c r="E3" s="458" t="s">
        <v>16558</v>
      </c>
      <c r="F3" s="458" t="s">
        <v>1097</v>
      </c>
      <c r="G3" s="458" t="s">
        <v>1174</v>
      </c>
      <c r="H3" s="458" t="s">
        <v>3339</v>
      </c>
      <c r="I3" s="459" t="n">
        <v>41647</v>
      </c>
      <c r="J3" s="460" t="n">
        <v>1</v>
      </c>
      <c r="K3" s="631" t="s">
        <v>42</v>
      </c>
      <c r="L3" s="460" t="s">
        <v>60</v>
      </c>
      <c r="M3" s="463" t="n">
        <f aca="false">I3-D3</f>
        <v>329</v>
      </c>
      <c r="N3" s="4"/>
      <c r="O3" s="281" t="s">
        <v>1182</v>
      </c>
      <c r="P3" s="281" t="n">
        <f aca="false">COUNTIF($G$2:$G$476,"PT")</f>
        <v>0</v>
      </c>
      <c r="Q3" s="146"/>
      <c r="R3" s="146"/>
      <c r="S3" s="146"/>
    </row>
    <row r="4" customFormat="false" ht="12.75" hidden="false" customHeight="true" outlineLevel="0" collapsed="false">
      <c r="A4" s="449" t="n">
        <v>314</v>
      </c>
      <c r="B4" s="450" t="s">
        <v>16559</v>
      </c>
      <c r="C4" s="450" t="n">
        <v>2013</v>
      </c>
      <c r="D4" s="451" t="n">
        <v>41323</v>
      </c>
      <c r="E4" s="450" t="s">
        <v>16560</v>
      </c>
      <c r="F4" s="450" t="s">
        <v>1097</v>
      </c>
      <c r="G4" s="450" t="s">
        <v>1174</v>
      </c>
      <c r="H4" s="450" t="s">
        <v>3240</v>
      </c>
      <c r="I4" s="451" t="n">
        <v>41647</v>
      </c>
      <c r="J4" s="452" t="n">
        <v>1</v>
      </c>
      <c r="K4" s="631" t="s">
        <v>42</v>
      </c>
      <c r="L4" s="452" t="s">
        <v>60</v>
      </c>
      <c r="M4" s="455" t="n">
        <f aca="false">I4-D4</f>
        <v>324</v>
      </c>
      <c r="N4" s="4"/>
      <c r="O4" s="282" t="s">
        <v>1188</v>
      </c>
      <c r="P4" s="282" t="n">
        <f aca="false">COUNTIF($G$2:$G$476,"PTN")</f>
        <v>5</v>
      </c>
      <c r="Q4" s="153"/>
      <c r="R4" s="153"/>
      <c r="S4" s="153"/>
    </row>
    <row r="5" customFormat="false" ht="12.75" hidden="false" customHeight="true" outlineLevel="0" collapsed="false">
      <c r="A5" s="456" t="n">
        <v>414</v>
      </c>
      <c r="B5" s="458" t="s">
        <v>16561</v>
      </c>
      <c r="C5" s="458" t="n">
        <v>2008</v>
      </c>
      <c r="D5" s="459" t="n">
        <v>39769</v>
      </c>
      <c r="E5" s="458" t="s">
        <v>16562</v>
      </c>
      <c r="F5" s="458" t="s">
        <v>3924</v>
      </c>
      <c r="G5" s="458" t="s">
        <v>1174</v>
      </c>
      <c r="H5" s="458" t="s">
        <v>350</v>
      </c>
      <c r="I5" s="459" t="n">
        <v>41663</v>
      </c>
      <c r="J5" s="460" t="n">
        <v>1</v>
      </c>
      <c r="K5" s="634" t="s">
        <v>45</v>
      </c>
      <c r="L5" s="460" t="s">
        <v>60</v>
      </c>
      <c r="M5" s="463" t="n">
        <f aca="false">I5-D5</f>
        <v>1894</v>
      </c>
      <c r="N5" s="4"/>
      <c r="O5" s="283" t="s">
        <v>1192</v>
      </c>
      <c r="P5" s="283" t="n">
        <f aca="false">COUNTIF($G$2:$G$476,"PTE")</f>
        <v>79</v>
      </c>
      <c r="Q5" s="153"/>
      <c r="R5" s="153"/>
      <c r="S5" s="153"/>
    </row>
    <row r="6" customFormat="false" ht="12.75" hidden="false" customHeight="true" outlineLevel="0" collapsed="false">
      <c r="A6" s="449" t="n">
        <v>514</v>
      </c>
      <c r="B6" s="450" t="s">
        <v>16563</v>
      </c>
      <c r="C6" s="450" t="n">
        <v>2012</v>
      </c>
      <c r="D6" s="451" t="n">
        <v>41271</v>
      </c>
      <c r="E6" s="450" t="s">
        <v>16564</v>
      </c>
      <c r="F6" s="450" t="s">
        <v>1097</v>
      </c>
      <c r="G6" s="450" t="s">
        <v>1174</v>
      </c>
      <c r="H6" s="450" t="s">
        <v>513</v>
      </c>
      <c r="I6" s="451" t="n">
        <v>41663</v>
      </c>
      <c r="J6" s="452" t="n">
        <v>1</v>
      </c>
      <c r="K6" s="631" t="s">
        <v>42</v>
      </c>
      <c r="L6" s="452" t="s">
        <v>60</v>
      </c>
      <c r="M6" s="455" t="n">
        <f aca="false">I6-D6</f>
        <v>392</v>
      </c>
      <c r="N6" s="4"/>
      <c r="O6" s="282" t="s">
        <v>8</v>
      </c>
      <c r="P6" s="282" t="n">
        <f aca="false">COUNTIF($G$2:$G$476,"Pré-Mistura")</f>
        <v>0</v>
      </c>
      <c r="Q6" s="153"/>
      <c r="R6" s="153"/>
      <c r="S6" s="153"/>
    </row>
    <row r="7" customFormat="false" ht="12.75" hidden="false" customHeight="true" outlineLevel="0" collapsed="false">
      <c r="A7" s="456" t="n">
        <v>614</v>
      </c>
      <c r="B7" s="458" t="s">
        <v>16565</v>
      </c>
      <c r="C7" s="458" t="n">
        <v>2012</v>
      </c>
      <c r="D7" s="459" t="n">
        <v>41051</v>
      </c>
      <c r="E7" s="458" t="s">
        <v>16566</v>
      </c>
      <c r="F7" s="458" t="s">
        <v>537</v>
      </c>
      <c r="G7" s="458" t="s">
        <v>1174</v>
      </c>
      <c r="H7" s="458" t="s">
        <v>1072</v>
      </c>
      <c r="I7" s="459" t="n">
        <v>41666</v>
      </c>
      <c r="J7" s="460" t="n">
        <v>1</v>
      </c>
      <c r="K7" s="633" t="s">
        <v>47</v>
      </c>
      <c r="L7" s="460" t="s">
        <v>58</v>
      </c>
      <c r="M7" s="463" t="n">
        <f aca="false">I7-D7</f>
        <v>615</v>
      </c>
      <c r="N7" s="4"/>
      <c r="O7" s="283" t="s">
        <v>110</v>
      </c>
      <c r="P7" s="283" t="n">
        <f aca="false">COUNTIF($G$2:$G$476,"PF")</f>
        <v>16</v>
      </c>
      <c r="Q7" s="153"/>
      <c r="R7" s="153"/>
      <c r="S7" s="153"/>
    </row>
    <row r="8" customFormat="false" ht="12.75" hidden="false" customHeight="true" outlineLevel="0" collapsed="false">
      <c r="A8" s="449" t="n">
        <v>714</v>
      </c>
      <c r="B8" s="450" t="s">
        <v>16567</v>
      </c>
      <c r="C8" s="450" t="n">
        <v>2010</v>
      </c>
      <c r="D8" s="451" t="n">
        <v>40344</v>
      </c>
      <c r="E8" s="450" t="s">
        <v>16568</v>
      </c>
      <c r="F8" s="450" t="s">
        <v>5401</v>
      </c>
      <c r="G8" s="450" t="s">
        <v>1174</v>
      </c>
      <c r="H8" s="450" t="s">
        <v>192</v>
      </c>
      <c r="I8" s="451" t="n">
        <v>41666</v>
      </c>
      <c r="J8" s="452" t="n">
        <v>1</v>
      </c>
      <c r="K8" s="633" t="s">
        <v>47</v>
      </c>
      <c r="L8" s="452" t="s">
        <v>60</v>
      </c>
      <c r="M8" s="455" t="n">
        <f aca="false">I8-D8</f>
        <v>1322</v>
      </c>
      <c r="N8" s="4"/>
      <c r="O8" s="282" t="s">
        <v>115</v>
      </c>
      <c r="P8" s="282" t="n">
        <f aca="false">COUNTIF($G$2:$G$476,"PFN")</f>
        <v>7</v>
      </c>
      <c r="Q8" s="153"/>
      <c r="R8" s="153"/>
      <c r="S8" s="153"/>
    </row>
    <row r="9" customFormat="false" ht="12.75" hidden="false" customHeight="true" outlineLevel="0" collapsed="false">
      <c r="A9" s="456" t="n">
        <v>814</v>
      </c>
      <c r="B9" s="458" t="s">
        <v>16569</v>
      </c>
      <c r="C9" s="458" t="n">
        <v>2008</v>
      </c>
      <c r="D9" s="459" t="n">
        <v>39533</v>
      </c>
      <c r="E9" s="458" t="s">
        <v>16570</v>
      </c>
      <c r="F9" s="458" t="s">
        <v>16571</v>
      </c>
      <c r="G9" s="458" t="s">
        <v>1188</v>
      </c>
      <c r="H9" s="458" t="s">
        <v>1109</v>
      </c>
      <c r="I9" s="459" t="n">
        <v>41667</v>
      </c>
      <c r="J9" s="460" t="n">
        <v>1</v>
      </c>
      <c r="K9" s="631" t="s">
        <v>42</v>
      </c>
      <c r="L9" s="460" t="s">
        <v>60</v>
      </c>
      <c r="M9" s="463" t="n">
        <f aca="false">I9-D9</f>
        <v>2134</v>
      </c>
      <c r="N9" s="4"/>
      <c r="O9" s="283" t="s">
        <v>120</v>
      </c>
      <c r="P9" s="283" t="n">
        <f aca="false">COUNTIF($G$2:$G$476,"PF/PTE")</f>
        <v>33</v>
      </c>
      <c r="Q9" s="153"/>
      <c r="R9" s="153"/>
      <c r="S9" s="153"/>
    </row>
    <row r="10" customFormat="false" ht="12.75" hidden="false" customHeight="true" outlineLevel="0" collapsed="false">
      <c r="A10" s="449" t="n">
        <v>914</v>
      </c>
      <c r="B10" s="602" t="s">
        <v>10996</v>
      </c>
      <c r="C10" s="602" t="s">
        <v>10996</v>
      </c>
      <c r="D10" s="557" t="s">
        <v>10996</v>
      </c>
      <c r="E10" s="602" t="s">
        <v>10996</v>
      </c>
      <c r="F10" s="602" t="s">
        <v>10996</v>
      </c>
      <c r="G10" s="602" t="s">
        <v>10996</v>
      </c>
      <c r="H10" s="602" t="s">
        <v>10996</v>
      </c>
      <c r="I10" s="557" t="s">
        <v>10996</v>
      </c>
      <c r="J10" s="282" t="s">
        <v>10996</v>
      </c>
      <c r="K10" s="282" t="s">
        <v>10996</v>
      </c>
      <c r="L10" s="282" t="s">
        <v>10996</v>
      </c>
      <c r="M10" s="639" t="s">
        <v>10996</v>
      </c>
      <c r="N10" s="4"/>
      <c r="O10" s="282" t="s">
        <v>125</v>
      </c>
      <c r="P10" s="282" t="n">
        <f aca="false">COUNTIF($G$2:$G$476,"Bio")</f>
        <v>1</v>
      </c>
      <c r="Q10" s="153"/>
      <c r="R10" s="153"/>
      <c r="S10" s="153"/>
    </row>
    <row r="11" customFormat="false" ht="12.75" hidden="false" customHeight="true" outlineLevel="0" collapsed="false">
      <c r="A11" s="456" t="n">
        <v>1014</v>
      </c>
      <c r="B11" s="458" t="s">
        <v>16572</v>
      </c>
      <c r="C11" s="458" t="n">
        <v>2008</v>
      </c>
      <c r="D11" s="459" t="n">
        <v>39805</v>
      </c>
      <c r="E11" s="458" t="s">
        <v>16573</v>
      </c>
      <c r="F11" s="458" t="s">
        <v>3091</v>
      </c>
      <c r="G11" s="458" t="s">
        <v>1174</v>
      </c>
      <c r="H11" s="458" t="s">
        <v>350</v>
      </c>
      <c r="I11" s="459" t="n">
        <v>41669</v>
      </c>
      <c r="J11" s="460" t="n">
        <v>1</v>
      </c>
      <c r="K11" s="633" t="s">
        <v>47</v>
      </c>
      <c r="L11" s="460" t="s">
        <v>58</v>
      </c>
      <c r="M11" s="463" t="n">
        <f aca="false">I11-D11</f>
        <v>1864</v>
      </c>
      <c r="N11" s="4"/>
      <c r="O11" s="284" t="s">
        <v>130</v>
      </c>
      <c r="P11" s="284" t="n">
        <f aca="false">COUNTIF($G$2:$G$476,"Bio/Org")</f>
        <v>7</v>
      </c>
      <c r="Q11" s="153"/>
      <c r="R11" s="153"/>
      <c r="S11" s="153"/>
    </row>
    <row r="12" customFormat="false" ht="12.75" hidden="false" customHeight="true" outlineLevel="0" collapsed="false">
      <c r="A12" s="449" t="n">
        <v>1114</v>
      </c>
      <c r="B12" s="450" t="s">
        <v>16574</v>
      </c>
      <c r="C12" s="450" t="n">
        <v>2009</v>
      </c>
      <c r="D12" s="451" t="n">
        <v>40099</v>
      </c>
      <c r="E12" s="450" t="s">
        <v>16575</v>
      </c>
      <c r="F12" s="450" t="s">
        <v>699</v>
      </c>
      <c r="G12" s="450" t="s">
        <v>1174</v>
      </c>
      <c r="H12" s="450" t="s">
        <v>14513</v>
      </c>
      <c r="I12" s="451" t="n">
        <v>41673</v>
      </c>
      <c r="J12" s="452" t="n">
        <v>2</v>
      </c>
      <c r="K12" s="631" t="s">
        <v>42</v>
      </c>
      <c r="L12" s="452" t="s">
        <v>60</v>
      </c>
      <c r="M12" s="455" t="n">
        <f aca="false">I12-D12</f>
        <v>1574</v>
      </c>
      <c r="N12" s="4"/>
      <c r="O12" s="285" t="s">
        <v>140</v>
      </c>
      <c r="P12" s="286" t="n">
        <f aca="false">SUM(P3:P11)</f>
        <v>148</v>
      </c>
      <c r="Q12" s="153"/>
      <c r="R12" s="153"/>
      <c r="S12" s="153"/>
    </row>
    <row r="13" customFormat="false" ht="12.75" hidden="false" customHeight="true" outlineLevel="0" collapsed="false">
      <c r="A13" s="456" t="n">
        <v>1214</v>
      </c>
      <c r="B13" s="458" t="s">
        <v>16576</v>
      </c>
      <c r="C13" s="458" t="n">
        <v>2008</v>
      </c>
      <c r="D13" s="459" t="n">
        <v>39533</v>
      </c>
      <c r="E13" s="458" t="s">
        <v>16577</v>
      </c>
      <c r="F13" s="458" t="s">
        <v>16571</v>
      </c>
      <c r="G13" s="458" t="s">
        <v>115</v>
      </c>
      <c r="H13" s="458" t="s">
        <v>1109</v>
      </c>
      <c r="I13" s="459" t="n">
        <v>41673</v>
      </c>
      <c r="J13" s="460" t="n">
        <v>2</v>
      </c>
      <c r="K13" s="633" t="s">
        <v>47</v>
      </c>
      <c r="L13" s="460" t="s">
        <v>60</v>
      </c>
      <c r="M13" s="463" t="n">
        <f aca="false">I13-D13</f>
        <v>2140</v>
      </c>
      <c r="N13" s="4"/>
      <c r="O13" s="153"/>
      <c r="P13" s="153"/>
      <c r="Q13" s="153"/>
      <c r="R13" s="287"/>
      <c r="S13" s="287"/>
    </row>
    <row r="14" customFormat="false" ht="13.5" hidden="false" customHeight="true" outlineLevel="0" collapsed="false">
      <c r="A14" s="449" t="n">
        <v>1314</v>
      </c>
      <c r="B14" s="450" t="s">
        <v>16578</v>
      </c>
      <c r="C14" s="450" t="n">
        <v>2009</v>
      </c>
      <c r="D14" s="451" t="n">
        <v>39933</v>
      </c>
      <c r="E14" s="450" t="s">
        <v>16579</v>
      </c>
      <c r="F14" s="450" t="s">
        <v>3924</v>
      </c>
      <c r="G14" s="450" t="s">
        <v>1174</v>
      </c>
      <c r="H14" s="450" t="s">
        <v>1059</v>
      </c>
      <c r="I14" s="451" t="n">
        <v>41676</v>
      </c>
      <c r="J14" s="452" t="n">
        <v>2</v>
      </c>
      <c r="K14" s="634" t="s">
        <v>45</v>
      </c>
      <c r="L14" s="452" t="s">
        <v>60</v>
      </c>
      <c r="M14" s="455" t="n">
        <f aca="false">I14-D14</f>
        <v>1743</v>
      </c>
      <c r="N14" s="4"/>
      <c r="O14" s="411" t="s">
        <v>151</v>
      </c>
      <c r="P14" s="411"/>
      <c r="Q14" s="411"/>
      <c r="R14" s="411"/>
      <c r="S14" s="411"/>
    </row>
    <row r="15" customFormat="false" ht="14.25" hidden="false" customHeight="true" outlineLevel="0" collapsed="false">
      <c r="A15" s="456" t="n">
        <v>1414</v>
      </c>
      <c r="B15" s="458" t="s">
        <v>16580</v>
      </c>
      <c r="C15" s="458" t="n">
        <v>2013</v>
      </c>
      <c r="D15" s="459" t="n">
        <v>41297</v>
      </c>
      <c r="E15" s="458" t="s">
        <v>16581</v>
      </c>
      <c r="F15" s="458" t="s">
        <v>1097</v>
      </c>
      <c r="G15" s="458" t="s">
        <v>1174</v>
      </c>
      <c r="H15" s="458" t="s">
        <v>2744</v>
      </c>
      <c r="I15" s="459" t="n">
        <v>41676</v>
      </c>
      <c r="J15" s="460" t="n">
        <v>2</v>
      </c>
      <c r="K15" s="631" t="s">
        <v>42</v>
      </c>
      <c r="L15" s="460" t="s">
        <v>60</v>
      </c>
      <c r="M15" s="463" t="n">
        <f aca="false">I15-D15</f>
        <v>379</v>
      </c>
      <c r="N15" s="4"/>
      <c r="O15" s="411"/>
      <c r="P15" s="411"/>
      <c r="Q15" s="411"/>
      <c r="R15" s="411"/>
      <c r="S15" s="411"/>
    </row>
    <row r="16" customFormat="false" ht="12.75" hidden="false" customHeight="true" outlineLevel="0" collapsed="false">
      <c r="A16" s="449" t="n">
        <v>1514</v>
      </c>
      <c r="B16" s="450" t="s">
        <v>16582</v>
      </c>
      <c r="C16" s="450" t="n">
        <v>2010</v>
      </c>
      <c r="D16" s="451" t="n">
        <v>40329</v>
      </c>
      <c r="E16" s="450" t="s">
        <v>16583</v>
      </c>
      <c r="F16" s="450" t="s">
        <v>537</v>
      </c>
      <c r="G16" s="450" t="s">
        <v>1174</v>
      </c>
      <c r="H16" s="450" t="s">
        <v>354</v>
      </c>
      <c r="I16" s="451" t="n">
        <v>41677</v>
      </c>
      <c r="J16" s="452" t="n">
        <v>2</v>
      </c>
      <c r="K16" s="633" t="s">
        <v>47</v>
      </c>
      <c r="L16" s="452" t="s">
        <v>58</v>
      </c>
      <c r="M16" s="455" t="n">
        <f aca="false">I16-D16</f>
        <v>1348</v>
      </c>
      <c r="N16" s="4"/>
      <c r="O16" s="412" t="s">
        <v>2194</v>
      </c>
      <c r="P16" s="412"/>
      <c r="Q16" s="412"/>
      <c r="R16" s="412"/>
      <c r="S16" s="412"/>
    </row>
    <row r="17" customFormat="false" ht="12.75" hidden="false" customHeight="true" outlineLevel="0" collapsed="false">
      <c r="A17" s="456" t="n">
        <v>1614</v>
      </c>
      <c r="B17" s="458" t="s">
        <v>16584</v>
      </c>
      <c r="C17" s="458" t="n">
        <v>2008</v>
      </c>
      <c r="D17" s="459" t="n">
        <v>39813</v>
      </c>
      <c r="E17" s="458" t="s">
        <v>16585</v>
      </c>
      <c r="F17" s="458" t="s">
        <v>16586</v>
      </c>
      <c r="G17" s="458" t="s">
        <v>144</v>
      </c>
      <c r="H17" s="458" t="s">
        <v>10110</v>
      </c>
      <c r="I17" s="459" t="n">
        <v>41680</v>
      </c>
      <c r="J17" s="460" t="n">
        <v>2</v>
      </c>
      <c r="K17" s="634" t="s">
        <v>45</v>
      </c>
      <c r="L17" s="460" t="s">
        <v>58</v>
      </c>
      <c r="M17" s="463" t="n">
        <f aca="false">I17-D17</f>
        <v>1867</v>
      </c>
      <c r="N17" s="4"/>
      <c r="O17" s="413" t="s">
        <v>2198</v>
      </c>
      <c r="P17" s="413"/>
      <c r="Q17" s="413"/>
      <c r="R17" s="413"/>
      <c r="S17" s="413"/>
    </row>
    <row r="18" customFormat="false" ht="12.75" hidden="false" customHeight="true" outlineLevel="0" collapsed="false">
      <c r="A18" s="449" t="n">
        <v>1714</v>
      </c>
      <c r="B18" s="450" t="s">
        <v>16587</v>
      </c>
      <c r="C18" s="450" t="n">
        <v>2008</v>
      </c>
      <c r="D18" s="451" t="n">
        <v>39736</v>
      </c>
      <c r="E18" s="450" t="s">
        <v>16588</v>
      </c>
      <c r="F18" s="450" t="s">
        <v>12467</v>
      </c>
      <c r="G18" s="450" t="s">
        <v>441</v>
      </c>
      <c r="H18" s="450" t="s">
        <v>254</v>
      </c>
      <c r="I18" s="451" t="n">
        <v>41680</v>
      </c>
      <c r="J18" s="452" t="n">
        <v>2</v>
      </c>
      <c r="K18" s="633" t="s">
        <v>47</v>
      </c>
      <c r="L18" s="452" t="s">
        <v>58</v>
      </c>
      <c r="M18" s="455" t="n">
        <f aca="false">I18-D18</f>
        <v>1944</v>
      </c>
      <c r="N18" s="4"/>
      <c r="O18" s="414" t="s">
        <v>2203</v>
      </c>
      <c r="P18" s="414"/>
      <c r="Q18" s="414"/>
      <c r="R18" s="414"/>
      <c r="S18" s="414"/>
    </row>
    <row r="19" customFormat="false" ht="12.75" hidden="false" customHeight="true" outlineLevel="0" collapsed="false">
      <c r="A19" s="456" t="n">
        <v>1814</v>
      </c>
      <c r="B19" s="458" t="s">
        <v>16589</v>
      </c>
      <c r="C19" s="458" t="n">
        <v>2007</v>
      </c>
      <c r="D19" s="459" t="n">
        <v>39261</v>
      </c>
      <c r="E19" s="458" t="s">
        <v>16590</v>
      </c>
      <c r="F19" s="458" t="s">
        <v>446</v>
      </c>
      <c r="G19" s="458" t="s">
        <v>144</v>
      </c>
      <c r="H19" s="458" t="s">
        <v>10110</v>
      </c>
      <c r="I19" s="459" t="n">
        <v>41683</v>
      </c>
      <c r="J19" s="460" t="n">
        <v>2</v>
      </c>
      <c r="K19" s="631" t="s">
        <v>42</v>
      </c>
      <c r="L19" s="460" t="s">
        <v>58</v>
      </c>
      <c r="M19" s="463" t="n">
        <f aca="false">I19-D19</f>
        <v>2422</v>
      </c>
      <c r="N19" s="4"/>
      <c r="O19" s="413" t="s">
        <v>2207</v>
      </c>
      <c r="P19" s="413"/>
      <c r="Q19" s="413"/>
      <c r="R19" s="413"/>
      <c r="S19" s="413"/>
    </row>
    <row r="20" customFormat="false" ht="12.75" hidden="false" customHeight="true" outlineLevel="0" collapsed="false">
      <c r="A20" s="449" t="n">
        <v>1914</v>
      </c>
      <c r="B20" s="450" t="s">
        <v>16591</v>
      </c>
      <c r="C20" s="450" t="n">
        <v>2007</v>
      </c>
      <c r="D20" s="451" t="n">
        <v>39261</v>
      </c>
      <c r="E20" s="450" t="s">
        <v>16592</v>
      </c>
      <c r="F20" s="450" t="s">
        <v>446</v>
      </c>
      <c r="G20" s="450" t="s">
        <v>441</v>
      </c>
      <c r="H20" s="450" t="s">
        <v>10110</v>
      </c>
      <c r="I20" s="451" t="n">
        <v>41683</v>
      </c>
      <c r="J20" s="452" t="n">
        <v>2</v>
      </c>
      <c r="K20" s="631" t="s">
        <v>42</v>
      </c>
      <c r="L20" s="452" t="s">
        <v>58</v>
      </c>
      <c r="M20" s="455" t="n">
        <f aca="false">I20-D20</f>
        <v>2422</v>
      </c>
      <c r="N20" s="4"/>
      <c r="O20" s="414" t="s">
        <v>2211</v>
      </c>
      <c r="P20" s="414"/>
      <c r="Q20" s="414"/>
      <c r="R20" s="414"/>
      <c r="S20" s="414"/>
    </row>
    <row r="21" customFormat="false" ht="12.75" hidden="false" customHeight="true" outlineLevel="0" collapsed="false">
      <c r="A21" s="456" t="n">
        <v>2014</v>
      </c>
      <c r="B21" s="458" t="s">
        <v>16593</v>
      </c>
      <c r="C21" s="458" t="n">
        <v>2008</v>
      </c>
      <c r="D21" s="459" t="n">
        <v>39533</v>
      </c>
      <c r="E21" s="458" t="s">
        <v>16594</v>
      </c>
      <c r="F21" s="458" t="s">
        <v>16571</v>
      </c>
      <c r="G21" s="458" t="s">
        <v>1188</v>
      </c>
      <c r="H21" s="458" t="s">
        <v>2283</v>
      </c>
      <c r="I21" s="459" t="n">
        <v>41695</v>
      </c>
      <c r="J21" s="460" t="n">
        <v>2</v>
      </c>
      <c r="K21" s="631" t="s">
        <v>42</v>
      </c>
      <c r="L21" s="460" t="s">
        <v>60</v>
      </c>
      <c r="M21" s="463" t="n">
        <f aca="false">I21-D21</f>
        <v>2162</v>
      </c>
      <c r="N21" s="4"/>
      <c r="O21" s="413" t="s">
        <v>2215</v>
      </c>
      <c r="P21" s="413"/>
      <c r="Q21" s="413"/>
      <c r="R21" s="413"/>
      <c r="S21" s="413"/>
    </row>
    <row r="22" customFormat="false" ht="12.75" hidden="false" customHeight="true" outlineLevel="0" collapsed="false">
      <c r="A22" s="449" t="n">
        <v>2114</v>
      </c>
      <c r="B22" s="450" t="s">
        <v>16595</v>
      </c>
      <c r="C22" s="450" t="n">
        <v>2009</v>
      </c>
      <c r="D22" s="451" t="n">
        <v>40108</v>
      </c>
      <c r="E22" s="450" t="s">
        <v>16596</v>
      </c>
      <c r="F22" s="450" t="s">
        <v>3091</v>
      </c>
      <c r="G22" s="450" t="s">
        <v>1174</v>
      </c>
      <c r="H22" s="450" t="s">
        <v>15408</v>
      </c>
      <c r="I22" s="451" t="n">
        <v>41695</v>
      </c>
      <c r="J22" s="452" t="n">
        <v>2</v>
      </c>
      <c r="K22" s="633" t="s">
        <v>47</v>
      </c>
      <c r="L22" s="452" t="s">
        <v>58</v>
      </c>
      <c r="M22" s="455" t="n">
        <f aca="false">I22-D22</f>
        <v>1587</v>
      </c>
      <c r="N22" s="4"/>
      <c r="O22" s="414" t="s">
        <v>2220</v>
      </c>
      <c r="P22" s="414"/>
      <c r="Q22" s="414"/>
      <c r="R22" s="414"/>
      <c r="S22" s="414"/>
    </row>
    <row r="23" customFormat="false" ht="12.75" hidden="false" customHeight="true" outlineLevel="0" collapsed="false">
      <c r="A23" s="456" t="n">
        <v>2214</v>
      </c>
      <c r="B23" s="458" t="s">
        <v>16597</v>
      </c>
      <c r="C23" s="458" t="n">
        <v>2008</v>
      </c>
      <c r="D23" s="459" t="n">
        <v>39533</v>
      </c>
      <c r="E23" s="458" t="s">
        <v>16598</v>
      </c>
      <c r="F23" s="458" t="s">
        <v>16571</v>
      </c>
      <c r="G23" s="458" t="s">
        <v>115</v>
      </c>
      <c r="H23" s="458" t="s">
        <v>2283</v>
      </c>
      <c r="I23" s="459" t="n">
        <v>41696</v>
      </c>
      <c r="J23" s="460" t="n">
        <v>2</v>
      </c>
      <c r="K23" s="634" t="s">
        <v>45</v>
      </c>
      <c r="L23" s="460" t="s">
        <v>60</v>
      </c>
      <c r="M23" s="463" t="n">
        <f aca="false">I23-D23</f>
        <v>2163</v>
      </c>
      <c r="N23" s="4"/>
      <c r="O23" s="413" t="s">
        <v>2225</v>
      </c>
      <c r="P23" s="413"/>
      <c r="Q23" s="413"/>
      <c r="R23" s="413"/>
      <c r="S23" s="413"/>
    </row>
    <row r="24" customFormat="false" ht="12.75" hidden="false" customHeight="true" outlineLevel="0" collapsed="false">
      <c r="A24" s="449" t="n">
        <v>2314</v>
      </c>
      <c r="B24" s="450" t="s">
        <v>16599</v>
      </c>
      <c r="C24" s="450" t="n">
        <v>2012</v>
      </c>
      <c r="D24" s="451" t="n">
        <v>40955</v>
      </c>
      <c r="E24" s="450" t="s">
        <v>16600</v>
      </c>
      <c r="F24" s="450" t="s">
        <v>16601</v>
      </c>
      <c r="G24" s="450" t="s">
        <v>1188</v>
      </c>
      <c r="H24" s="450" t="s">
        <v>119</v>
      </c>
      <c r="I24" s="451" t="n">
        <v>41696</v>
      </c>
      <c r="J24" s="452" t="n">
        <v>2</v>
      </c>
      <c r="K24" s="634" t="s">
        <v>45</v>
      </c>
      <c r="L24" s="452" t="s">
        <v>58</v>
      </c>
      <c r="M24" s="455" t="n">
        <f aca="false">I24-D24</f>
        <v>741</v>
      </c>
      <c r="N24" s="4"/>
      <c r="O24" s="415" t="s">
        <v>2229</v>
      </c>
      <c r="P24" s="415"/>
      <c r="Q24" s="415"/>
      <c r="R24" s="415"/>
      <c r="S24" s="415"/>
    </row>
    <row r="25" customFormat="false" ht="12.75" hidden="false" customHeight="true" outlineLevel="0" collapsed="false">
      <c r="A25" s="456" t="n">
        <v>2414</v>
      </c>
      <c r="B25" s="458" t="s">
        <v>16602</v>
      </c>
      <c r="C25" s="458" t="n">
        <v>2011</v>
      </c>
      <c r="D25" s="459" t="n">
        <v>40809</v>
      </c>
      <c r="E25" s="458" t="s">
        <v>16603</v>
      </c>
      <c r="F25" s="458" t="s">
        <v>16601</v>
      </c>
      <c r="G25" s="458" t="s">
        <v>115</v>
      </c>
      <c r="H25" s="458" t="s">
        <v>119</v>
      </c>
      <c r="I25" s="459" t="n">
        <v>41698</v>
      </c>
      <c r="J25" s="460" t="n">
        <v>2</v>
      </c>
      <c r="K25" s="631" t="s">
        <v>42</v>
      </c>
      <c r="L25" s="460" t="s">
        <v>58</v>
      </c>
      <c r="M25" s="463" t="n">
        <f aca="false">I25-D25</f>
        <v>889</v>
      </c>
      <c r="N25" s="4"/>
      <c r="O25" s="153"/>
      <c r="P25" s="153"/>
      <c r="Q25" s="153"/>
      <c r="R25" s="153"/>
      <c r="S25" s="153"/>
    </row>
    <row r="26" customFormat="false" ht="13.5" hidden="false" customHeight="true" outlineLevel="0" collapsed="false">
      <c r="A26" s="449" t="n">
        <v>2514</v>
      </c>
      <c r="B26" s="450" t="s">
        <v>16604</v>
      </c>
      <c r="C26" s="450" t="n">
        <v>2009</v>
      </c>
      <c r="D26" s="451" t="n">
        <v>40031</v>
      </c>
      <c r="E26" s="450" t="s">
        <v>16605</v>
      </c>
      <c r="F26" s="450" t="s">
        <v>3091</v>
      </c>
      <c r="G26" s="450" t="s">
        <v>1174</v>
      </c>
      <c r="H26" s="450" t="s">
        <v>15408</v>
      </c>
      <c r="I26" s="451" t="n">
        <v>41703</v>
      </c>
      <c r="J26" s="452" t="n">
        <v>3</v>
      </c>
      <c r="K26" s="633" t="s">
        <v>47</v>
      </c>
      <c r="L26" s="452" t="s">
        <v>58</v>
      </c>
      <c r="M26" s="455" t="n">
        <f aca="false">I26-D26</f>
        <v>1672</v>
      </c>
      <c r="N26" s="4"/>
      <c r="O26" s="326" t="s">
        <v>185</v>
      </c>
      <c r="P26" s="326"/>
      <c r="Q26" s="326"/>
      <c r="R26" s="326"/>
      <c r="S26" s="326"/>
    </row>
    <row r="27" customFormat="false" ht="13.5" hidden="false" customHeight="true" outlineLevel="0" collapsed="false">
      <c r="A27" s="456" t="n">
        <v>2614</v>
      </c>
      <c r="B27" s="458" t="s">
        <v>16606</v>
      </c>
      <c r="C27" s="458" t="n">
        <v>2010</v>
      </c>
      <c r="D27" s="459" t="n">
        <v>40512</v>
      </c>
      <c r="E27" s="458" t="s">
        <v>16607</v>
      </c>
      <c r="F27" s="458" t="s">
        <v>3101</v>
      </c>
      <c r="G27" s="458" t="s">
        <v>1174</v>
      </c>
      <c r="H27" s="458" t="s">
        <v>2677</v>
      </c>
      <c r="I27" s="459" t="n">
        <v>41705</v>
      </c>
      <c r="J27" s="460" t="n">
        <v>3</v>
      </c>
      <c r="K27" s="633" t="s">
        <v>47</v>
      </c>
      <c r="L27" s="460" t="s">
        <v>61</v>
      </c>
      <c r="M27" s="463" t="n">
        <f aca="false">I27-D27</f>
        <v>1193</v>
      </c>
      <c r="N27" s="4"/>
      <c r="O27" s="326"/>
      <c r="P27" s="326"/>
      <c r="Q27" s="326"/>
      <c r="R27" s="326"/>
      <c r="S27" s="326"/>
    </row>
    <row r="28" customFormat="false" ht="12.75" hidden="false" customHeight="true" outlineLevel="0" collapsed="false">
      <c r="A28" s="449" t="n">
        <v>2714</v>
      </c>
      <c r="B28" s="450" t="s">
        <v>16608</v>
      </c>
      <c r="C28" s="450" t="n">
        <v>2009</v>
      </c>
      <c r="D28" s="451" t="n">
        <v>39825</v>
      </c>
      <c r="E28" s="450" t="s">
        <v>16609</v>
      </c>
      <c r="F28" s="450" t="s">
        <v>1609</v>
      </c>
      <c r="G28" s="450" t="s">
        <v>1174</v>
      </c>
      <c r="H28" s="450" t="s">
        <v>16610</v>
      </c>
      <c r="I28" s="451" t="n">
        <v>41709</v>
      </c>
      <c r="J28" s="452" t="n">
        <v>3</v>
      </c>
      <c r="K28" s="631" t="s">
        <v>42</v>
      </c>
      <c r="L28" s="452" t="s">
        <v>57</v>
      </c>
      <c r="M28" s="455" t="n">
        <f aca="false">I28-D28</f>
        <v>1884</v>
      </c>
      <c r="N28" s="4"/>
      <c r="O28" s="309" t="s">
        <v>39</v>
      </c>
      <c r="P28" s="416" t="s">
        <v>40</v>
      </c>
      <c r="Q28" s="416"/>
      <c r="R28" s="416"/>
      <c r="S28" s="313" t="s">
        <v>41</v>
      </c>
    </row>
    <row r="29" customFormat="false" ht="12.75" hidden="false" customHeight="true" outlineLevel="0" collapsed="false">
      <c r="A29" s="456" t="n">
        <v>2814</v>
      </c>
      <c r="B29" s="458" t="s">
        <v>16611</v>
      </c>
      <c r="C29" s="458" t="n">
        <v>2010</v>
      </c>
      <c r="D29" s="459" t="n">
        <v>40200</v>
      </c>
      <c r="E29" s="458" t="s">
        <v>16612</v>
      </c>
      <c r="F29" s="458" t="s">
        <v>537</v>
      </c>
      <c r="G29" s="458" t="s">
        <v>1174</v>
      </c>
      <c r="H29" s="458" t="s">
        <v>16013</v>
      </c>
      <c r="I29" s="459" t="n">
        <v>41733</v>
      </c>
      <c r="J29" s="460" t="n">
        <v>4</v>
      </c>
      <c r="K29" s="633" t="s">
        <v>47</v>
      </c>
      <c r="L29" s="460" t="s">
        <v>58</v>
      </c>
      <c r="M29" s="463" t="n">
        <f aca="false">I29-D29</f>
        <v>1533</v>
      </c>
      <c r="N29" s="4"/>
      <c r="O29" s="283" t="n">
        <v>2002</v>
      </c>
      <c r="P29" s="314" t="n">
        <f aca="false">COUNTIF($C$2:$C$503,"2002")</f>
        <v>0</v>
      </c>
      <c r="Q29" s="314"/>
      <c r="R29" s="314"/>
      <c r="S29" s="315" t="n">
        <f aca="false">P29/P42</f>
        <v>0</v>
      </c>
    </row>
    <row r="30" customFormat="false" ht="12.75" hidden="false" customHeight="true" outlineLevel="0" collapsed="false">
      <c r="A30" s="449" t="n">
        <v>2914</v>
      </c>
      <c r="B30" s="450" t="s">
        <v>16613</v>
      </c>
      <c r="C30" s="450" t="n">
        <v>2008</v>
      </c>
      <c r="D30" s="451" t="n">
        <v>39773</v>
      </c>
      <c r="E30" s="450" t="s">
        <v>16614</v>
      </c>
      <c r="F30" s="450" t="s">
        <v>16615</v>
      </c>
      <c r="G30" s="450" t="s">
        <v>1174</v>
      </c>
      <c r="H30" s="450" t="s">
        <v>10923</v>
      </c>
      <c r="I30" s="451" t="n">
        <v>41733</v>
      </c>
      <c r="J30" s="452" t="n">
        <v>4</v>
      </c>
      <c r="K30" s="633" t="s">
        <v>47</v>
      </c>
      <c r="L30" s="452" t="s">
        <v>60</v>
      </c>
      <c r="M30" s="455" t="n">
        <f aca="false">I30-D30</f>
        <v>1960</v>
      </c>
      <c r="N30" s="4"/>
      <c r="O30" s="282" t="n">
        <v>2003</v>
      </c>
      <c r="P30" s="282" t="n">
        <f aca="false">COUNTIF($C$2:$C$503,"2003")</f>
        <v>0</v>
      </c>
      <c r="Q30" s="282"/>
      <c r="R30" s="282"/>
      <c r="S30" s="316" t="n">
        <f aca="false">(P30/P42)</f>
        <v>0</v>
      </c>
    </row>
    <row r="31" customFormat="false" ht="13.5" hidden="false" customHeight="true" outlineLevel="0" collapsed="false">
      <c r="A31" s="456" t="n">
        <v>3014</v>
      </c>
      <c r="B31" s="458" t="s">
        <v>16616</v>
      </c>
      <c r="C31" s="458" t="n">
        <v>2010</v>
      </c>
      <c r="D31" s="459" t="n">
        <v>40420</v>
      </c>
      <c r="E31" s="458" t="s">
        <v>16617</v>
      </c>
      <c r="F31" s="458" t="s">
        <v>1156</v>
      </c>
      <c r="G31" s="458" t="s">
        <v>1174</v>
      </c>
      <c r="H31" s="458" t="s">
        <v>5230</v>
      </c>
      <c r="I31" s="459" t="n">
        <v>41736</v>
      </c>
      <c r="J31" s="460" t="n">
        <v>4</v>
      </c>
      <c r="K31" s="634" t="s">
        <v>45</v>
      </c>
      <c r="L31" s="460" t="s">
        <v>57</v>
      </c>
      <c r="M31" s="463" t="n">
        <f aca="false">I31-D31</f>
        <v>1316</v>
      </c>
      <c r="N31" s="4"/>
      <c r="O31" s="283" t="n">
        <v>2004</v>
      </c>
      <c r="P31" s="283" t="n">
        <f aca="false">COUNTIF($C$2:$C$503,"2004")</f>
        <v>0</v>
      </c>
      <c r="Q31" s="283"/>
      <c r="R31" s="283"/>
      <c r="S31" s="315" t="n">
        <f aca="false">(P31/P42)</f>
        <v>0</v>
      </c>
    </row>
    <row r="32" customFormat="false" ht="14.25" hidden="false" customHeight="true" outlineLevel="0" collapsed="false">
      <c r="A32" s="449" t="n">
        <v>3114</v>
      </c>
      <c r="B32" s="450" t="s">
        <v>16618</v>
      </c>
      <c r="C32" s="450" t="n">
        <v>2012</v>
      </c>
      <c r="D32" s="451" t="n">
        <v>41229</v>
      </c>
      <c r="E32" s="450" t="s">
        <v>16619</v>
      </c>
      <c r="F32" s="624" t="s">
        <v>6303</v>
      </c>
      <c r="G32" s="450" t="s">
        <v>130</v>
      </c>
      <c r="H32" s="450" t="s">
        <v>16620</v>
      </c>
      <c r="I32" s="451" t="n">
        <v>41739</v>
      </c>
      <c r="J32" s="452" t="n">
        <v>4</v>
      </c>
      <c r="K32" s="632" t="s">
        <v>50</v>
      </c>
      <c r="L32" s="452" t="s">
        <v>61</v>
      </c>
      <c r="M32" s="455" t="n">
        <f aca="false">I32-D32</f>
        <v>510</v>
      </c>
      <c r="N32" s="4"/>
      <c r="O32" s="282" t="n">
        <v>2005</v>
      </c>
      <c r="P32" s="282" t="n">
        <f aca="false">COUNTIF($C$2:$C$503,"2005")</f>
        <v>0</v>
      </c>
      <c r="Q32" s="282"/>
      <c r="R32" s="282"/>
      <c r="S32" s="316" t="n">
        <f aca="false">(P32/P42)</f>
        <v>0</v>
      </c>
    </row>
    <row r="33" customFormat="false" ht="12.75" hidden="false" customHeight="true" outlineLevel="0" collapsed="false">
      <c r="A33" s="456" t="n">
        <v>3214</v>
      </c>
      <c r="B33" s="458" t="s">
        <v>16621</v>
      </c>
      <c r="C33" s="458" t="n">
        <v>2011</v>
      </c>
      <c r="D33" s="459" t="n">
        <v>40730</v>
      </c>
      <c r="E33" s="458" t="s">
        <v>16622</v>
      </c>
      <c r="F33" s="458" t="s">
        <v>1277</v>
      </c>
      <c r="G33" s="458" t="s">
        <v>441</v>
      </c>
      <c r="H33" s="458" t="s">
        <v>310</v>
      </c>
      <c r="I33" s="459" t="n">
        <v>41740</v>
      </c>
      <c r="J33" s="460" t="n">
        <v>4</v>
      </c>
      <c r="K33" s="633" t="s">
        <v>47</v>
      </c>
      <c r="L33" s="460" t="s">
        <v>58</v>
      </c>
      <c r="M33" s="463" t="n">
        <f aca="false">I33-D33</f>
        <v>1010</v>
      </c>
      <c r="N33" s="4"/>
      <c r="O33" s="283" t="n">
        <v>2006</v>
      </c>
      <c r="P33" s="283" t="n">
        <f aca="false">COUNTIF($C$2:$C$503,"2006")</f>
        <v>0</v>
      </c>
      <c r="Q33" s="283"/>
      <c r="R33" s="283"/>
      <c r="S33" s="315" t="n">
        <f aca="false">P33/P42</f>
        <v>0</v>
      </c>
    </row>
    <row r="34" customFormat="false" ht="12.75" hidden="false" customHeight="true" outlineLevel="0" collapsed="false">
      <c r="A34" s="449" t="n">
        <v>3314</v>
      </c>
      <c r="B34" s="450" t="s">
        <v>16623</v>
      </c>
      <c r="C34" s="450" t="n">
        <v>2009</v>
      </c>
      <c r="D34" s="451" t="n">
        <v>39993</v>
      </c>
      <c r="E34" s="450" t="s">
        <v>16624</v>
      </c>
      <c r="F34" s="450" t="s">
        <v>16625</v>
      </c>
      <c r="G34" s="450" t="s">
        <v>144</v>
      </c>
      <c r="H34" s="450" t="s">
        <v>119</v>
      </c>
      <c r="I34" s="451" t="n">
        <v>41744</v>
      </c>
      <c r="J34" s="452" t="n">
        <v>4</v>
      </c>
      <c r="K34" s="631" t="s">
        <v>42</v>
      </c>
      <c r="L34" s="452" t="s">
        <v>58</v>
      </c>
      <c r="M34" s="455" t="n">
        <f aca="false">I34-D34</f>
        <v>1751</v>
      </c>
      <c r="N34" s="4"/>
      <c r="O34" s="282" t="n">
        <v>2007</v>
      </c>
      <c r="P34" s="282" t="n">
        <f aca="false">COUNTIF($C$2:$C$503,"2007")</f>
        <v>5</v>
      </c>
      <c r="Q34" s="282"/>
      <c r="R34" s="282"/>
      <c r="S34" s="316" t="n">
        <f aca="false">(P34/P42)</f>
        <v>0.0337837837837838</v>
      </c>
    </row>
    <row r="35" customFormat="false" ht="12.75" hidden="false" customHeight="true" outlineLevel="0" collapsed="false">
      <c r="A35" s="456" t="n">
        <v>3414</v>
      </c>
      <c r="B35" s="458" t="s">
        <v>16626</v>
      </c>
      <c r="C35" s="458" t="n">
        <v>2011</v>
      </c>
      <c r="D35" s="459" t="n">
        <v>40756</v>
      </c>
      <c r="E35" s="458" t="s">
        <v>16627</v>
      </c>
      <c r="F35" s="458" t="s">
        <v>365</v>
      </c>
      <c r="G35" s="458" t="s">
        <v>441</v>
      </c>
      <c r="H35" s="458" t="s">
        <v>5230</v>
      </c>
      <c r="I35" s="459" t="n">
        <v>41745</v>
      </c>
      <c r="J35" s="460" t="n">
        <v>4</v>
      </c>
      <c r="K35" s="633" t="s">
        <v>47</v>
      </c>
      <c r="L35" s="460" t="s">
        <v>60</v>
      </c>
      <c r="M35" s="463" t="n">
        <f aca="false">I35-D35</f>
        <v>989</v>
      </c>
      <c r="N35" s="4"/>
      <c r="O35" s="283" t="n">
        <v>2008</v>
      </c>
      <c r="P35" s="283" t="n">
        <f aca="false">COUNTIF($C$2:$C$503,"2008")</f>
        <v>23</v>
      </c>
      <c r="Q35" s="283"/>
      <c r="R35" s="283"/>
      <c r="S35" s="315" t="n">
        <f aca="false">(P35/P42)</f>
        <v>0.155405405405405</v>
      </c>
    </row>
    <row r="36" customFormat="false" ht="12.75" hidden="false" customHeight="true" outlineLevel="0" collapsed="false">
      <c r="A36" s="449" t="n">
        <v>3514</v>
      </c>
      <c r="B36" s="450" t="s">
        <v>16628</v>
      </c>
      <c r="C36" s="450" t="n">
        <v>2009</v>
      </c>
      <c r="D36" s="451" t="n">
        <v>40175</v>
      </c>
      <c r="E36" s="450" t="s">
        <v>16629</v>
      </c>
      <c r="F36" s="450" t="s">
        <v>1277</v>
      </c>
      <c r="G36" s="450" t="s">
        <v>441</v>
      </c>
      <c r="H36" s="450" t="s">
        <v>2677</v>
      </c>
      <c r="I36" s="451" t="n">
        <v>41745</v>
      </c>
      <c r="J36" s="452" t="n">
        <v>4</v>
      </c>
      <c r="K36" s="634" t="s">
        <v>45</v>
      </c>
      <c r="L36" s="452" t="s">
        <v>58</v>
      </c>
      <c r="M36" s="455" t="n">
        <f aca="false">I36-D36</f>
        <v>1570</v>
      </c>
      <c r="N36" s="4"/>
      <c r="O36" s="282" t="n">
        <v>2009</v>
      </c>
      <c r="P36" s="282" t="n">
        <f aca="false">COUNTIF($C$2:$C$503,"2009")</f>
        <v>28</v>
      </c>
      <c r="Q36" s="282"/>
      <c r="R36" s="282"/>
      <c r="S36" s="316" t="n">
        <f aca="false">(P36/P42)</f>
        <v>0.189189189189189</v>
      </c>
    </row>
    <row r="37" customFormat="false" ht="12.75" hidden="false" customHeight="true" outlineLevel="0" collapsed="false">
      <c r="A37" s="456" t="n">
        <v>3614</v>
      </c>
      <c r="B37" s="458" t="s">
        <v>16630</v>
      </c>
      <c r="C37" s="458" t="n">
        <v>2009</v>
      </c>
      <c r="D37" s="459" t="n">
        <v>39927</v>
      </c>
      <c r="E37" s="458" t="s">
        <v>16631</v>
      </c>
      <c r="F37" s="458" t="s">
        <v>537</v>
      </c>
      <c r="G37" s="458" t="s">
        <v>1174</v>
      </c>
      <c r="H37" s="458" t="s">
        <v>350</v>
      </c>
      <c r="I37" s="459" t="n">
        <v>41752</v>
      </c>
      <c r="J37" s="460" t="n">
        <v>4</v>
      </c>
      <c r="K37" s="634" t="s">
        <v>45</v>
      </c>
      <c r="L37" s="460" t="s">
        <v>58</v>
      </c>
      <c r="M37" s="463" t="n">
        <f aca="false">I37-D37</f>
        <v>1825</v>
      </c>
      <c r="N37" s="4"/>
      <c r="O37" s="283" t="n">
        <v>2010</v>
      </c>
      <c r="P37" s="283" t="n">
        <f aca="false">COUNTIF($C$2:$C$503,"2010")</f>
        <v>37</v>
      </c>
      <c r="Q37" s="283"/>
      <c r="R37" s="283"/>
      <c r="S37" s="315" t="n">
        <f aca="false">(P37/P42)</f>
        <v>0.25</v>
      </c>
    </row>
    <row r="38" customFormat="false" ht="12.75" hidden="false" customHeight="true" outlineLevel="0" collapsed="false">
      <c r="A38" s="449" t="n">
        <v>3714</v>
      </c>
      <c r="B38" s="450" t="s">
        <v>16632</v>
      </c>
      <c r="C38" s="450" t="n">
        <v>2010</v>
      </c>
      <c r="D38" s="451" t="n">
        <v>40203</v>
      </c>
      <c r="E38" s="450" t="s">
        <v>16633</v>
      </c>
      <c r="F38" s="450" t="s">
        <v>1277</v>
      </c>
      <c r="G38" s="450" t="s">
        <v>441</v>
      </c>
      <c r="H38" s="450" t="s">
        <v>2677</v>
      </c>
      <c r="I38" s="451" t="n">
        <v>41754</v>
      </c>
      <c r="J38" s="452" t="n">
        <v>4</v>
      </c>
      <c r="K38" s="634" t="s">
        <v>45</v>
      </c>
      <c r="L38" s="452" t="s">
        <v>58</v>
      </c>
      <c r="M38" s="455" t="n">
        <f aca="false">I38-D38</f>
        <v>1551</v>
      </c>
      <c r="N38" s="4"/>
      <c r="O38" s="282" t="n">
        <v>2011</v>
      </c>
      <c r="P38" s="282" t="n">
        <f aca="false">COUNTIF($C$2:$C$503,"2011")</f>
        <v>17</v>
      </c>
      <c r="Q38" s="282"/>
      <c r="R38" s="282"/>
      <c r="S38" s="316" t="n">
        <f aca="false">(P38/P42)</f>
        <v>0.114864864864865</v>
      </c>
    </row>
    <row r="39" customFormat="false" ht="12.75" hidden="false" customHeight="true" outlineLevel="0" collapsed="false">
      <c r="A39" s="456" t="n">
        <v>3814</v>
      </c>
      <c r="B39" s="458" t="s">
        <v>16634</v>
      </c>
      <c r="C39" s="458" t="n">
        <v>2012</v>
      </c>
      <c r="D39" s="459" t="n">
        <v>40968</v>
      </c>
      <c r="E39" s="458" t="s">
        <v>16635</v>
      </c>
      <c r="F39" s="458" t="s">
        <v>16636</v>
      </c>
      <c r="G39" s="458" t="s">
        <v>144</v>
      </c>
      <c r="H39" s="458" t="s">
        <v>6633</v>
      </c>
      <c r="I39" s="459" t="n">
        <v>41754</v>
      </c>
      <c r="J39" s="460" t="n">
        <v>4</v>
      </c>
      <c r="K39" s="633" t="s">
        <v>47</v>
      </c>
      <c r="L39" s="460" t="s">
        <v>58</v>
      </c>
      <c r="M39" s="463" t="n">
        <f aca="false">I39-D39</f>
        <v>786</v>
      </c>
      <c r="N39" s="4"/>
      <c r="O39" s="283" t="n">
        <v>2012</v>
      </c>
      <c r="P39" s="283" t="n">
        <f aca="false">COUNTIF($C$2:$C$503,"2012")</f>
        <v>16</v>
      </c>
      <c r="Q39" s="283"/>
      <c r="R39" s="283"/>
      <c r="S39" s="315" t="n">
        <f aca="false">(P39/P42)</f>
        <v>0.108108108108108</v>
      </c>
    </row>
    <row r="40" customFormat="false" ht="12.75" hidden="false" customHeight="true" outlineLevel="0" collapsed="false">
      <c r="A40" s="449" t="n">
        <v>3914</v>
      </c>
      <c r="B40" s="450" t="s">
        <v>16637</v>
      </c>
      <c r="C40" s="450" t="n">
        <v>2009</v>
      </c>
      <c r="D40" s="451" t="n">
        <v>39974</v>
      </c>
      <c r="E40" s="450" t="s">
        <v>16638</v>
      </c>
      <c r="F40" s="450" t="s">
        <v>699</v>
      </c>
      <c r="G40" s="450" t="s">
        <v>144</v>
      </c>
      <c r="H40" s="450" t="s">
        <v>10110</v>
      </c>
      <c r="I40" s="451" t="n">
        <v>41754</v>
      </c>
      <c r="J40" s="452" t="n">
        <v>4</v>
      </c>
      <c r="K40" s="633" t="s">
        <v>47</v>
      </c>
      <c r="L40" s="452" t="s">
        <v>60</v>
      </c>
      <c r="M40" s="455" t="n">
        <f aca="false">I40-D40</f>
        <v>1780</v>
      </c>
      <c r="N40" s="4"/>
      <c r="O40" s="282" t="n">
        <v>2013</v>
      </c>
      <c r="P40" s="282" t="n">
        <f aca="false">COUNTIF($C$2:$C$503,"2013")</f>
        <v>12</v>
      </c>
      <c r="Q40" s="282"/>
      <c r="R40" s="282"/>
      <c r="S40" s="316" t="n">
        <f aca="false">(P40/P42)</f>
        <v>0.0810810810810811</v>
      </c>
    </row>
    <row r="41" customFormat="false" ht="12.75" hidden="false" customHeight="true" outlineLevel="0" collapsed="false">
      <c r="A41" s="456" t="n">
        <v>4014</v>
      </c>
      <c r="B41" s="458" t="s">
        <v>16639</v>
      </c>
      <c r="C41" s="458" t="n">
        <v>2009</v>
      </c>
      <c r="D41" s="459" t="n">
        <v>39951</v>
      </c>
      <c r="E41" s="458" t="s">
        <v>16640</v>
      </c>
      <c r="F41" s="458" t="s">
        <v>705</v>
      </c>
      <c r="G41" s="458" t="s">
        <v>1174</v>
      </c>
      <c r="H41" s="458" t="s">
        <v>12763</v>
      </c>
      <c r="I41" s="459" t="n">
        <v>41757</v>
      </c>
      <c r="J41" s="460" t="n">
        <v>4</v>
      </c>
      <c r="K41" s="633" t="s">
        <v>47</v>
      </c>
      <c r="L41" s="460" t="s">
        <v>60</v>
      </c>
      <c r="M41" s="463" t="n">
        <f aca="false">I41-D41</f>
        <v>1806</v>
      </c>
      <c r="N41" s="4"/>
      <c r="O41" s="283" t="n">
        <v>2014</v>
      </c>
      <c r="P41" s="283" t="n">
        <f aca="false">COUNTIF($C$2:$C$503,"2014")</f>
        <v>10</v>
      </c>
      <c r="Q41" s="283"/>
      <c r="R41" s="283"/>
      <c r="S41" s="315" t="n">
        <f aca="false">(P41/P42)</f>
        <v>0.0675675675675676</v>
      </c>
    </row>
    <row r="42" customFormat="false" ht="12.75" hidden="false" customHeight="true" outlineLevel="0" collapsed="false">
      <c r="A42" s="449" t="n">
        <v>4114</v>
      </c>
      <c r="B42" s="450" t="s">
        <v>16641</v>
      </c>
      <c r="C42" s="450" t="n">
        <v>2011</v>
      </c>
      <c r="D42" s="451" t="n">
        <v>40725</v>
      </c>
      <c r="E42" s="450" t="s">
        <v>16642</v>
      </c>
      <c r="F42" s="450" t="s">
        <v>569</v>
      </c>
      <c r="G42" s="450" t="s">
        <v>441</v>
      </c>
      <c r="H42" s="450" t="s">
        <v>3240</v>
      </c>
      <c r="I42" s="451" t="n">
        <v>41774</v>
      </c>
      <c r="J42" s="452" t="n">
        <v>5</v>
      </c>
      <c r="K42" s="634" t="s">
        <v>45</v>
      </c>
      <c r="L42" s="452" t="s">
        <v>58</v>
      </c>
      <c r="M42" s="455" t="n">
        <f aca="false">I42-D42</f>
        <v>1049</v>
      </c>
      <c r="N42" s="4"/>
      <c r="O42" s="323" t="s">
        <v>56</v>
      </c>
      <c r="P42" s="418" t="n">
        <f aca="false">SUM(P29:R41)</f>
        <v>148</v>
      </c>
      <c r="Q42" s="418"/>
      <c r="R42" s="418"/>
      <c r="S42" s="325" t="n">
        <f aca="false">SUM(S29:S41)</f>
        <v>1</v>
      </c>
    </row>
    <row r="43" customFormat="false" ht="13.5" hidden="false" customHeight="true" outlineLevel="0" collapsed="false">
      <c r="A43" s="456" t="n">
        <v>4214</v>
      </c>
      <c r="B43" s="458" t="s">
        <v>16643</v>
      </c>
      <c r="C43" s="458" t="n">
        <v>2009</v>
      </c>
      <c r="D43" s="459" t="n">
        <v>39855</v>
      </c>
      <c r="E43" s="458" t="s">
        <v>16644</v>
      </c>
      <c r="F43" s="458" t="s">
        <v>16645</v>
      </c>
      <c r="G43" s="458" t="s">
        <v>441</v>
      </c>
      <c r="H43" s="458" t="s">
        <v>2654</v>
      </c>
      <c r="I43" s="459" t="n">
        <v>41781</v>
      </c>
      <c r="J43" s="460" t="n">
        <v>5</v>
      </c>
      <c r="K43" s="633" t="s">
        <v>47</v>
      </c>
      <c r="L43" s="460" t="s">
        <v>60</v>
      </c>
      <c r="M43" s="463" t="n">
        <f aca="false">I43-D43</f>
        <v>1926</v>
      </c>
      <c r="N43" s="4"/>
      <c r="O43" s="153"/>
      <c r="P43" s="153"/>
      <c r="Q43" s="153"/>
      <c r="R43" s="153"/>
      <c r="S43" s="153"/>
    </row>
    <row r="44" customFormat="false" ht="13.5" hidden="false" customHeight="true" outlineLevel="0" collapsed="false">
      <c r="A44" s="449" t="n">
        <v>4314</v>
      </c>
      <c r="B44" s="450" t="s">
        <v>16646</v>
      </c>
      <c r="C44" s="450" t="n">
        <v>2009</v>
      </c>
      <c r="D44" s="451" t="n">
        <v>39898</v>
      </c>
      <c r="E44" s="450" t="s">
        <v>16647</v>
      </c>
      <c r="F44" s="450" t="s">
        <v>1028</v>
      </c>
      <c r="G44" s="450" t="s">
        <v>1188</v>
      </c>
      <c r="H44" s="450" t="s">
        <v>10110</v>
      </c>
      <c r="I44" s="451" t="n">
        <v>41782</v>
      </c>
      <c r="J44" s="452" t="n">
        <v>5</v>
      </c>
      <c r="K44" s="633" t="s">
        <v>47</v>
      </c>
      <c r="L44" s="452" t="s">
        <v>60</v>
      </c>
      <c r="M44" s="455" t="n">
        <f aca="false">I44-D44</f>
        <v>1884</v>
      </c>
      <c r="N44" s="4"/>
      <c r="O44" s="326" t="s">
        <v>272</v>
      </c>
      <c r="P44" s="326"/>
      <c r="Q44" s="326"/>
      <c r="R44" s="326"/>
      <c r="S44" s="326"/>
    </row>
    <row r="45" customFormat="false" ht="13.5" hidden="false" customHeight="true" outlineLevel="0" collapsed="false">
      <c r="A45" s="456" t="n">
        <v>4414</v>
      </c>
      <c r="B45" s="458" t="s">
        <v>16648</v>
      </c>
      <c r="C45" s="458" t="n">
        <v>2010</v>
      </c>
      <c r="D45" s="459" t="n">
        <v>40539</v>
      </c>
      <c r="E45" s="458" t="s">
        <v>16649</v>
      </c>
      <c r="F45" s="458" t="s">
        <v>1028</v>
      </c>
      <c r="G45" s="458" t="s">
        <v>115</v>
      </c>
      <c r="H45" s="458" t="s">
        <v>10110</v>
      </c>
      <c r="I45" s="459" t="n">
        <v>41782</v>
      </c>
      <c r="J45" s="460" t="n">
        <v>5</v>
      </c>
      <c r="K45" s="631" t="s">
        <v>42</v>
      </c>
      <c r="L45" s="460" t="s">
        <v>60</v>
      </c>
      <c r="M45" s="463" t="n">
        <f aca="false">I45-D45</f>
        <v>1243</v>
      </c>
      <c r="N45" s="4"/>
      <c r="O45" s="326"/>
      <c r="P45" s="326"/>
      <c r="Q45" s="326"/>
      <c r="R45" s="326"/>
      <c r="S45" s="326"/>
    </row>
    <row r="46" customFormat="false" ht="12.75" hidden="false" customHeight="true" outlineLevel="0" collapsed="false">
      <c r="A46" s="449" t="n">
        <v>4514</v>
      </c>
      <c r="B46" s="450" t="s">
        <v>16650</v>
      </c>
      <c r="C46" s="450" t="n">
        <v>2009</v>
      </c>
      <c r="D46" s="451" t="n">
        <v>40043</v>
      </c>
      <c r="E46" s="450" t="s">
        <v>16651</v>
      </c>
      <c r="F46" s="450" t="s">
        <v>211</v>
      </c>
      <c r="G46" s="450" t="s">
        <v>441</v>
      </c>
      <c r="H46" s="450" t="s">
        <v>2296</v>
      </c>
      <c r="I46" s="451" t="n">
        <v>41786</v>
      </c>
      <c r="J46" s="452" t="n">
        <v>5</v>
      </c>
      <c r="K46" s="631" t="s">
        <v>42</v>
      </c>
      <c r="L46" s="452" t="s">
        <v>58</v>
      </c>
      <c r="M46" s="455" t="n">
        <f aca="false">I46-D46</f>
        <v>1743</v>
      </c>
      <c r="N46" s="4"/>
      <c r="O46" s="309" t="s">
        <v>100</v>
      </c>
      <c r="P46" s="416" t="s">
        <v>40</v>
      </c>
      <c r="Q46" s="416"/>
      <c r="R46" s="416"/>
      <c r="S46" s="313" t="s">
        <v>41</v>
      </c>
    </row>
    <row r="47" customFormat="false" ht="12.75" hidden="false" customHeight="true" outlineLevel="0" collapsed="false">
      <c r="A47" s="456" t="n">
        <v>4614</v>
      </c>
      <c r="B47" s="458" t="s">
        <v>16652</v>
      </c>
      <c r="C47" s="458" t="n">
        <v>2008</v>
      </c>
      <c r="D47" s="459" t="n">
        <v>39777</v>
      </c>
      <c r="E47" s="458" t="s">
        <v>16653</v>
      </c>
      <c r="F47" s="458" t="s">
        <v>699</v>
      </c>
      <c r="G47" s="458" t="s">
        <v>144</v>
      </c>
      <c r="H47" s="458" t="s">
        <v>285</v>
      </c>
      <c r="I47" s="459" t="n">
        <v>41787</v>
      </c>
      <c r="J47" s="460" t="n">
        <v>5</v>
      </c>
      <c r="K47" s="633" t="s">
        <v>47</v>
      </c>
      <c r="L47" s="460" t="s">
        <v>60</v>
      </c>
      <c r="M47" s="463" t="n">
        <f aca="false">I47-D47</f>
        <v>2010</v>
      </c>
      <c r="N47" s="4"/>
      <c r="O47" s="314" t="s">
        <v>63</v>
      </c>
      <c r="P47" s="314" t="n">
        <f aca="false">COUNTIF($J$2:$J$476,"1")</f>
        <v>9</v>
      </c>
      <c r="Q47" s="314"/>
      <c r="R47" s="314"/>
      <c r="S47" s="469" t="n">
        <f aca="false">(P47/P59)</f>
        <v>0.0608108108108108</v>
      </c>
    </row>
    <row r="48" customFormat="false" ht="12.75" hidden="false" customHeight="true" outlineLevel="0" collapsed="false">
      <c r="A48" s="449" t="n">
        <v>4714</v>
      </c>
      <c r="B48" s="450" t="s">
        <v>16654</v>
      </c>
      <c r="C48" s="450" t="n">
        <v>2008</v>
      </c>
      <c r="D48" s="451" t="n">
        <v>39777</v>
      </c>
      <c r="E48" s="450" t="s">
        <v>16655</v>
      </c>
      <c r="F48" s="450" t="s">
        <v>699</v>
      </c>
      <c r="G48" s="450" t="s">
        <v>144</v>
      </c>
      <c r="H48" s="450" t="s">
        <v>285</v>
      </c>
      <c r="I48" s="451" t="n">
        <v>41787</v>
      </c>
      <c r="J48" s="452" t="n">
        <v>5</v>
      </c>
      <c r="K48" s="633" t="s">
        <v>47</v>
      </c>
      <c r="L48" s="452" t="s">
        <v>60</v>
      </c>
      <c r="M48" s="455" t="n">
        <f aca="false">I48-D48</f>
        <v>2010</v>
      </c>
      <c r="N48" s="4"/>
      <c r="O48" s="282" t="s">
        <v>64</v>
      </c>
      <c r="P48" s="282" t="n">
        <f aca="false">COUNTIF($J$2:$J$476,"2")</f>
        <v>14</v>
      </c>
      <c r="Q48" s="282"/>
      <c r="R48" s="282"/>
      <c r="S48" s="316" t="n">
        <f aca="false">(P48/P59)</f>
        <v>0.0945945945945946</v>
      </c>
    </row>
    <row r="49" customFormat="false" ht="12.75" hidden="false" customHeight="true" outlineLevel="0" collapsed="false">
      <c r="A49" s="456" t="n">
        <v>4814</v>
      </c>
      <c r="B49" s="458" t="s">
        <v>16656</v>
      </c>
      <c r="C49" s="458" t="n">
        <v>2008</v>
      </c>
      <c r="D49" s="459" t="n">
        <v>39777</v>
      </c>
      <c r="E49" s="458" t="s">
        <v>16657</v>
      </c>
      <c r="F49" s="458" t="s">
        <v>699</v>
      </c>
      <c r="G49" s="458" t="s">
        <v>144</v>
      </c>
      <c r="H49" s="458" t="s">
        <v>285</v>
      </c>
      <c r="I49" s="459" t="n">
        <v>41787</v>
      </c>
      <c r="J49" s="460" t="n">
        <v>5</v>
      </c>
      <c r="K49" s="633" t="s">
        <v>47</v>
      </c>
      <c r="L49" s="460" t="s">
        <v>60</v>
      </c>
      <c r="M49" s="463" t="n">
        <f aca="false">I49-D49</f>
        <v>2010</v>
      </c>
      <c r="N49" s="4"/>
      <c r="O49" s="283" t="s">
        <v>66</v>
      </c>
      <c r="P49" s="283" t="n">
        <f aca="false">COUNTIF($J$2:$J$476,"3")</f>
        <v>3</v>
      </c>
      <c r="Q49" s="283"/>
      <c r="R49" s="283"/>
      <c r="S49" s="315" t="n">
        <f aca="false">(P49/P59)</f>
        <v>0.0202702702702703</v>
      </c>
      <c r="T49" s="153"/>
    </row>
    <row r="50" customFormat="false" ht="12.75" hidden="false" customHeight="true" outlineLevel="0" collapsed="false">
      <c r="A50" s="449" t="n">
        <v>4914</v>
      </c>
      <c r="B50" s="450" t="s">
        <v>16658</v>
      </c>
      <c r="C50" s="450" t="n">
        <v>2009</v>
      </c>
      <c r="D50" s="451" t="n">
        <v>40009</v>
      </c>
      <c r="E50" s="450" t="s">
        <v>16659</v>
      </c>
      <c r="F50" s="450" t="s">
        <v>1262</v>
      </c>
      <c r="G50" s="450" t="s">
        <v>1174</v>
      </c>
      <c r="H50" s="450" t="s">
        <v>2654</v>
      </c>
      <c r="I50" s="451" t="n">
        <v>41800</v>
      </c>
      <c r="J50" s="452" t="n">
        <v>6</v>
      </c>
      <c r="K50" s="633" t="s">
        <v>47</v>
      </c>
      <c r="L50" s="452" t="s">
        <v>58</v>
      </c>
      <c r="M50" s="455" t="n">
        <f aca="false">I50-D50</f>
        <v>1791</v>
      </c>
      <c r="N50" s="4"/>
      <c r="O50" s="282" t="s">
        <v>67</v>
      </c>
      <c r="P50" s="282" t="n">
        <f aca="false">COUNTIF($J$2:$J$476,"4")</f>
        <v>13</v>
      </c>
      <c r="Q50" s="282"/>
      <c r="R50" s="282"/>
      <c r="S50" s="316" t="n">
        <f aca="false">(P50/P59)</f>
        <v>0.0878378378378378</v>
      </c>
      <c r="T50" s="153"/>
    </row>
    <row r="51" customFormat="false" ht="12.75" hidden="false" customHeight="true" outlineLevel="0" collapsed="false">
      <c r="A51" s="456" t="n">
        <v>5014</v>
      </c>
      <c r="B51" s="458" t="s">
        <v>16660</v>
      </c>
      <c r="C51" s="458" t="n">
        <v>2010</v>
      </c>
      <c r="D51" s="459" t="n">
        <v>40318</v>
      </c>
      <c r="E51" s="458" t="s">
        <v>16661</v>
      </c>
      <c r="F51" s="458" t="s">
        <v>537</v>
      </c>
      <c r="G51" s="458" t="s">
        <v>1174</v>
      </c>
      <c r="H51" s="458" t="s">
        <v>2296</v>
      </c>
      <c r="I51" s="459" t="n">
        <v>41802</v>
      </c>
      <c r="J51" s="460" t="n">
        <v>6</v>
      </c>
      <c r="K51" s="633" t="s">
        <v>47</v>
      </c>
      <c r="L51" s="460" t="s">
        <v>58</v>
      </c>
      <c r="M51" s="463" t="n">
        <f aca="false">I51-D51</f>
        <v>1484</v>
      </c>
      <c r="N51" s="4"/>
      <c r="O51" s="283" t="s">
        <v>68</v>
      </c>
      <c r="P51" s="283" t="n">
        <f aca="false">COUNTIF($J$2:$J$476,"5")</f>
        <v>8</v>
      </c>
      <c r="Q51" s="283"/>
      <c r="R51" s="283"/>
      <c r="S51" s="315" t="n">
        <f aca="false">(P51/P59)</f>
        <v>0.0540540540540541</v>
      </c>
      <c r="T51" s="153"/>
    </row>
    <row r="52" customFormat="false" ht="12.75" hidden="false" customHeight="true" outlineLevel="0" collapsed="false">
      <c r="A52" s="449" t="n">
        <v>5114</v>
      </c>
      <c r="B52" s="450" t="s">
        <v>16662</v>
      </c>
      <c r="C52" s="450" t="n">
        <v>2010</v>
      </c>
      <c r="D52" s="451" t="n">
        <v>40325</v>
      </c>
      <c r="E52" s="450" t="s">
        <v>16663</v>
      </c>
      <c r="F52" s="450" t="s">
        <v>16664</v>
      </c>
      <c r="G52" s="450" t="s">
        <v>1174</v>
      </c>
      <c r="H52" s="450" t="s">
        <v>15992</v>
      </c>
      <c r="I52" s="451" t="n">
        <v>41802</v>
      </c>
      <c r="J52" s="452" t="n">
        <v>6</v>
      </c>
      <c r="K52" s="631" t="s">
        <v>42</v>
      </c>
      <c r="L52" s="452" t="s">
        <v>58</v>
      </c>
      <c r="M52" s="455" t="n">
        <f aca="false">I52-D52</f>
        <v>1477</v>
      </c>
      <c r="N52" s="4"/>
      <c r="O52" s="282" t="s">
        <v>70</v>
      </c>
      <c r="P52" s="282" t="n">
        <f aca="false">COUNTIF($J$2:$J$476,"6")</f>
        <v>12</v>
      </c>
      <c r="Q52" s="282"/>
      <c r="R52" s="282"/>
      <c r="S52" s="316" t="n">
        <f aca="false">(P52/P59)</f>
        <v>0.0810810810810811</v>
      </c>
      <c r="T52" s="153"/>
    </row>
    <row r="53" customFormat="false" ht="12.75" hidden="false" customHeight="true" outlineLevel="0" collapsed="false">
      <c r="A53" s="456" t="n">
        <v>5214</v>
      </c>
      <c r="B53" s="458" t="s">
        <v>16665</v>
      </c>
      <c r="C53" s="458" t="n">
        <v>2010</v>
      </c>
      <c r="D53" s="459" t="n">
        <v>40435</v>
      </c>
      <c r="E53" s="458" t="s">
        <v>16666</v>
      </c>
      <c r="F53" s="458" t="s">
        <v>16667</v>
      </c>
      <c r="G53" s="458" t="s">
        <v>1174</v>
      </c>
      <c r="H53" s="458" t="s">
        <v>15408</v>
      </c>
      <c r="I53" s="459" t="n">
        <v>41802</v>
      </c>
      <c r="J53" s="460" t="n">
        <v>6</v>
      </c>
      <c r="K53" s="633" t="s">
        <v>47</v>
      </c>
      <c r="L53" s="460" t="s">
        <v>58</v>
      </c>
      <c r="M53" s="463" t="n">
        <f aca="false">I53-D53</f>
        <v>1367</v>
      </c>
      <c r="N53" s="4"/>
      <c r="O53" s="283" t="s">
        <v>72</v>
      </c>
      <c r="P53" s="283" t="n">
        <f aca="false">COUNTIF($J$2:$J$476,"7")</f>
        <v>2</v>
      </c>
      <c r="Q53" s="283"/>
      <c r="R53" s="283"/>
      <c r="S53" s="315" t="n">
        <f aca="false">(P53/P59)</f>
        <v>0.0135135135135135</v>
      </c>
      <c r="T53" s="153"/>
    </row>
    <row r="54" customFormat="false" ht="12.75" hidden="false" customHeight="true" outlineLevel="0" collapsed="false">
      <c r="A54" s="449" t="n">
        <v>5314</v>
      </c>
      <c r="B54" s="450" t="s">
        <v>16668</v>
      </c>
      <c r="C54" s="450" t="n">
        <v>2008</v>
      </c>
      <c r="D54" s="451" t="n">
        <v>39665</v>
      </c>
      <c r="E54" s="450" t="s">
        <v>16669</v>
      </c>
      <c r="F54" s="450" t="s">
        <v>16670</v>
      </c>
      <c r="G54" s="450" t="s">
        <v>144</v>
      </c>
      <c r="H54" s="450" t="s">
        <v>373</v>
      </c>
      <c r="I54" s="451" t="n">
        <v>41802</v>
      </c>
      <c r="J54" s="452" t="n">
        <v>6</v>
      </c>
      <c r="K54" s="631" t="s">
        <v>42</v>
      </c>
      <c r="L54" s="452" t="s">
        <v>58</v>
      </c>
      <c r="M54" s="455" t="n">
        <f aca="false">I54-D54</f>
        <v>2137</v>
      </c>
      <c r="N54" s="4"/>
      <c r="O54" s="282" t="s">
        <v>74</v>
      </c>
      <c r="P54" s="282" t="n">
        <f aca="false">COUNTIF($J$2:$J$476,"8")</f>
        <v>13</v>
      </c>
      <c r="Q54" s="282"/>
      <c r="R54" s="282"/>
      <c r="S54" s="316" t="n">
        <f aca="false">(P54/P59)</f>
        <v>0.0878378378378378</v>
      </c>
      <c r="T54" s="153"/>
    </row>
    <row r="55" customFormat="false" ht="12.75" hidden="false" customHeight="true" outlineLevel="0" collapsed="false">
      <c r="A55" s="456" t="n">
        <v>5414</v>
      </c>
      <c r="B55" s="458" t="s">
        <v>16671</v>
      </c>
      <c r="C55" s="458" t="n">
        <v>2010</v>
      </c>
      <c r="D55" s="459" t="n">
        <v>40308</v>
      </c>
      <c r="E55" s="458" t="s">
        <v>16672</v>
      </c>
      <c r="F55" s="458" t="s">
        <v>823</v>
      </c>
      <c r="G55" s="458" t="s">
        <v>1174</v>
      </c>
      <c r="H55" s="458" t="s">
        <v>12073</v>
      </c>
      <c r="I55" s="459" t="n">
        <v>41805</v>
      </c>
      <c r="J55" s="460" t="n">
        <v>6</v>
      </c>
      <c r="K55" s="634" t="s">
        <v>45</v>
      </c>
      <c r="L55" s="460" t="s">
        <v>58</v>
      </c>
      <c r="M55" s="463" t="n">
        <f aca="false">I55-D55</f>
        <v>1497</v>
      </c>
      <c r="N55" s="4"/>
      <c r="O55" s="283" t="s">
        <v>76</v>
      </c>
      <c r="P55" s="283" t="n">
        <f aca="false">COUNTIF($J$2:$J$476,"9")</f>
        <v>10</v>
      </c>
      <c r="Q55" s="283"/>
      <c r="R55" s="283"/>
      <c r="S55" s="315" t="n">
        <f aca="false">(P55/P59)</f>
        <v>0.0675675675675676</v>
      </c>
      <c r="T55" s="153"/>
    </row>
    <row r="56" customFormat="false" ht="12.75" hidden="false" customHeight="true" outlineLevel="0" collapsed="false">
      <c r="A56" s="449" t="n">
        <v>5514</v>
      </c>
      <c r="B56" s="450" t="s">
        <v>16673</v>
      </c>
      <c r="C56" s="450" t="n">
        <v>2010</v>
      </c>
      <c r="D56" s="451" t="n">
        <v>40303</v>
      </c>
      <c r="E56" s="450" t="s">
        <v>16674</v>
      </c>
      <c r="F56" s="450" t="s">
        <v>1693</v>
      </c>
      <c r="G56" s="450" t="s">
        <v>441</v>
      </c>
      <c r="H56" s="450" t="s">
        <v>310</v>
      </c>
      <c r="I56" s="451" t="n">
        <v>41807</v>
      </c>
      <c r="J56" s="452" t="n">
        <v>6</v>
      </c>
      <c r="K56" s="633" t="s">
        <v>47</v>
      </c>
      <c r="L56" s="452" t="s">
        <v>58</v>
      </c>
      <c r="M56" s="455" t="n">
        <f aca="false">I56-D56</f>
        <v>1504</v>
      </c>
      <c r="N56" s="4"/>
      <c r="O56" s="282" t="s">
        <v>78</v>
      </c>
      <c r="P56" s="282" t="n">
        <f aca="false">COUNTIF($J$2:$J$476,"10")</f>
        <v>32</v>
      </c>
      <c r="Q56" s="282"/>
      <c r="R56" s="282"/>
      <c r="S56" s="316" t="n">
        <f aca="false">(P56/P59)</f>
        <v>0.216216216216216</v>
      </c>
      <c r="T56" s="153"/>
    </row>
    <row r="57" customFormat="false" ht="12.75" hidden="false" customHeight="true" outlineLevel="0" collapsed="false">
      <c r="A57" s="456" t="n">
        <v>5614</v>
      </c>
      <c r="B57" s="458" t="s">
        <v>16675</v>
      </c>
      <c r="C57" s="458" t="n">
        <v>2010</v>
      </c>
      <c r="D57" s="459" t="n">
        <v>40350</v>
      </c>
      <c r="E57" s="458" t="s">
        <v>16676</v>
      </c>
      <c r="F57" s="458" t="s">
        <v>1097</v>
      </c>
      <c r="G57" s="458" t="s">
        <v>441</v>
      </c>
      <c r="H57" s="458" t="s">
        <v>310</v>
      </c>
      <c r="I57" s="459" t="n">
        <v>41808</v>
      </c>
      <c r="J57" s="460" t="n">
        <v>6</v>
      </c>
      <c r="K57" s="631" t="s">
        <v>42</v>
      </c>
      <c r="L57" s="460" t="s">
        <v>60</v>
      </c>
      <c r="M57" s="463" t="n">
        <f aca="false">I57-D57</f>
        <v>1458</v>
      </c>
      <c r="N57" s="4"/>
      <c r="O57" s="283" t="s">
        <v>80</v>
      </c>
      <c r="P57" s="283" t="n">
        <f aca="false">COUNTIF($J$2:$J$476,"11")</f>
        <v>15</v>
      </c>
      <c r="Q57" s="283"/>
      <c r="R57" s="283"/>
      <c r="S57" s="315" t="n">
        <f aca="false">(P57/P59)</f>
        <v>0.101351351351351</v>
      </c>
      <c r="T57" s="153"/>
    </row>
    <row r="58" customFormat="false" ht="12.75" hidden="false" customHeight="true" outlineLevel="0" collapsed="false">
      <c r="A58" s="449" t="n">
        <v>5714</v>
      </c>
      <c r="B58" s="450" t="s">
        <v>16677</v>
      </c>
      <c r="C58" s="450" t="n">
        <v>2011</v>
      </c>
      <c r="D58" s="451" t="n">
        <v>40724</v>
      </c>
      <c r="E58" s="450" t="s">
        <v>16678</v>
      </c>
      <c r="F58" s="450" t="s">
        <v>16679</v>
      </c>
      <c r="G58" s="450" t="s">
        <v>441</v>
      </c>
      <c r="H58" s="450" t="s">
        <v>310</v>
      </c>
      <c r="I58" s="451" t="n">
        <v>41808</v>
      </c>
      <c r="J58" s="452" t="n">
        <v>6</v>
      </c>
      <c r="K58" s="634" t="s">
        <v>45</v>
      </c>
      <c r="L58" s="452" t="s">
        <v>58</v>
      </c>
      <c r="M58" s="455" t="n">
        <f aca="false">I58-D58</f>
        <v>1084</v>
      </c>
      <c r="N58" s="4"/>
      <c r="O58" s="336" t="s">
        <v>82</v>
      </c>
      <c r="P58" s="282" t="n">
        <f aca="false">COUNTIF($J$2:$J$476,"12")</f>
        <v>17</v>
      </c>
      <c r="Q58" s="282"/>
      <c r="R58" s="282"/>
      <c r="S58" s="470" t="n">
        <f aca="false">(P58/P59)</f>
        <v>0.114864864864865</v>
      </c>
      <c r="T58" s="153"/>
    </row>
    <row r="59" customFormat="false" ht="12.75" hidden="false" customHeight="true" outlineLevel="0" collapsed="false">
      <c r="A59" s="456" t="n">
        <v>5814</v>
      </c>
      <c r="B59" s="458" t="s">
        <v>16680</v>
      </c>
      <c r="C59" s="458" t="n">
        <v>2010</v>
      </c>
      <c r="D59" s="459" t="n">
        <v>40340</v>
      </c>
      <c r="E59" s="458" t="s">
        <v>16681</v>
      </c>
      <c r="F59" s="458" t="s">
        <v>908</v>
      </c>
      <c r="G59" s="458" t="s">
        <v>441</v>
      </c>
      <c r="H59" s="458" t="s">
        <v>14761</v>
      </c>
      <c r="I59" s="459" t="n">
        <v>41808</v>
      </c>
      <c r="J59" s="460" t="n">
        <v>6</v>
      </c>
      <c r="K59" s="633" t="s">
        <v>47</v>
      </c>
      <c r="L59" s="460" t="s">
        <v>58</v>
      </c>
      <c r="M59" s="463" t="n">
        <f aca="false">I59-D59</f>
        <v>1468</v>
      </c>
      <c r="N59" s="4"/>
      <c r="O59" s="323" t="s">
        <v>54</v>
      </c>
      <c r="P59" s="418" t="n">
        <f aca="false">SUM(P47:R58)</f>
        <v>148</v>
      </c>
      <c r="Q59" s="418"/>
      <c r="R59" s="418"/>
      <c r="S59" s="325" t="n">
        <f aca="false">SUM(S47:S58)</f>
        <v>1</v>
      </c>
      <c r="T59" s="153"/>
    </row>
    <row r="60" customFormat="false" ht="12.75" hidden="false" customHeight="true" outlineLevel="0" collapsed="false">
      <c r="A60" s="449" t="n">
        <v>5914</v>
      </c>
      <c r="B60" s="450" t="s">
        <v>16682</v>
      </c>
      <c r="C60" s="450" t="n">
        <v>2008</v>
      </c>
      <c r="D60" s="451" t="n">
        <v>39797</v>
      </c>
      <c r="E60" s="450" t="s">
        <v>16683</v>
      </c>
      <c r="F60" s="450" t="s">
        <v>214</v>
      </c>
      <c r="G60" s="450" t="s">
        <v>441</v>
      </c>
      <c r="H60" s="450" t="s">
        <v>16610</v>
      </c>
      <c r="I60" s="451" t="n">
        <v>41815</v>
      </c>
      <c r="J60" s="452" t="n">
        <v>6</v>
      </c>
      <c r="K60" s="631" t="s">
        <v>42</v>
      </c>
      <c r="L60" s="452" t="s">
        <v>58</v>
      </c>
      <c r="M60" s="455" t="n">
        <f aca="false">I60-D60</f>
        <v>2018</v>
      </c>
      <c r="N60" s="4"/>
      <c r="O60" s="153"/>
      <c r="P60" s="153"/>
      <c r="Q60" s="153"/>
      <c r="R60" s="153"/>
      <c r="S60" s="153"/>
      <c r="T60" s="153"/>
    </row>
    <row r="61" customFormat="false" ht="13.5" hidden="false" customHeight="true" outlineLevel="0" collapsed="false">
      <c r="A61" s="456" t="n">
        <v>6014</v>
      </c>
      <c r="B61" s="458" t="s">
        <v>16684</v>
      </c>
      <c r="C61" s="458" t="n">
        <v>2008</v>
      </c>
      <c r="D61" s="459" t="n">
        <v>39772</v>
      </c>
      <c r="E61" s="458" t="s">
        <v>16685</v>
      </c>
      <c r="F61" s="458" t="s">
        <v>3924</v>
      </c>
      <c r="G61" s="458" t="s">
        <v>1174</v>
      </c>
      <c r="H61" s="458" t="s">
        <v>12763</v>
      </c>
      <c r="I61" s="459" t="n">
        <v>41817</v>
      </c>
      <c r="J61" s="460" t="n">
        <v>6</v>
      </c>
      <c r="K61" s="634" t="s">
        <v>45</v>
      </c>
      <c r="L61" s="460" t="s">
        <v>58</v>
      </c>
      <c r="M61" s="463" t="n">
        <f aca="false">I61-D61</f>
        <v>2045</v>
      </c>
      <c r="N61" s="4"/>
      <c r="O61" s="339" t="s">
        <v>335</v>
      </c>
      <c r="P61" s="339"/>
      <c r="Q61" s="339"/>
      <c r="R61" s="339"/>
      <c r="S61" s="339"/>
      <c r="T61" s="339"/>
    </row>
    <row r="62" customFormat="false" ht="13.5" hidden="false" customHeight="true" outlineLevel="0" collapsed="false">
      <c r="A62" s="449" t="n">
        <v>6114</v>
      </c>
      <c r="B62" s="450" t="s">
        <v>16686</v>
      </c>
      <c r="C62" s="450" t="n">
        <v>2009</v>
      </c>
      <c r="D62" s="451" t="n">
        <v>39864</v>
      </c>
      <c r="E62" s="450" t="s">
        <v>16687</v>
      </c>
      <c r="F62" s="450" t="s">
        <v>16688</v>
      </c>
      <c r="G62" s="450" t="s">
        <v>441</v>
      </c>
      <c r="H62" s="450" t="s">
        <v>373</v>
      </c>
      <c r="I62" s="451" t="n">
        <v>41821</v>
      </c>
      <c r="J62" s="452" t="n">
        <v>7</v>
      </c>
      <c r="K62" s="631" t="s">
        <v>42</v>
      </c>
      <c r="L62" s="452" t="s">
        <v>58</v>
      </c>
      <c r="M62" s="455" t="n">
        <f aca="false">I62-D62</f>
        <v>1957</v>
      </c>
      <c r="N62" s="4"/>
      <c r="O62" s="339"/>
      <c r="P62" s="339"/>
      <c r="Q62" s="339"/>
      <c r="R62" s="339"/>
      <c r="S62" s="339"/>
      <c r="T62" s="339"/>
    </row>
    <row r="63" customFormat="false" ht="13.5" hidden="false" customHeight="true" outlineLevel="0" collapsed="false">
      <c r="A63" s="456" t="n">
        <v>6214</v>
      </c>
      <c r="B63" s="458" t="s">
        <v>16689</v>
      </c>
      <c r="C63" s="458" t="n">
        <v>2010</v>
      </c>
      <c r="D63" s="459" t="n">
        <v>40501</v>
      </c>
      <c r="E63" s="458" t="s">
        <v>16690</v>
      </c>
      <c r="F63" s="458" t="s">
        <v>222</v>
      </c>
      <c r="G63" s="458" t="s">
        <v>441</v>
      </c>
      <c r="H63" s="458" t="s">
        <v>16691</v>
      </c>
      <c r="I63" s="459" t="n">
        <v>41831</v>
      </c>
      <c r="J63" s="460" t="n">
        <v>7</v>
      </c>
      <c r="K63" s="631" t="s">
        <v>42</v>
      </c>
      <c r="L63" s="460" t="s">
        <v>58</v>
      </c>
      <c r="M63" s="463" t="n">
        <f aca="false">I63-D63</f>
        <v>1330</v>
      </c>
      <c r="N63" s="4"/>
      <c r="O63" s="340" t="s">
        <v>38</v>
      </c>
      <c r="P63" s="340"/>
      <c r="Q63" s="340"/>
      <c r="R63" s="340"/>
      <c r="S63" s="341" t="s">
        <v>343</v>
      </c>
      <c r="T63" s="342" t="s">
        <v>41</v>
      </c>
    </row>
    <row r="64" customFormat="false" ht="13.5" hidden="false" customHeight="true" outlineLevel="0" collapsed="false">
      <c r="A64" s="449" t="n">
        <v>6314</v>
      </c>
      <c r="B64" s="450" t="s">
        <v>16692</v>
      </c>
      <c r="C64" s="450" t="n">
        <v>2009</v>
      </c>
      <c r="D64" s="451" t="n">
        <v>40123</v>
      </c>
      <c r="E64" s="450" t="s">
        <v>16693</v>
      </c>
      <c r="F64" s="450" t="s">
        <v>211</v>
      </c>
      <c r="G64" s="450" t="s">
        <v>1174</v>
      </c>
      <c r="H64" s="450" t="s">
        <v>1305</v>
      </c>
      <c r="I64" s="451" t="n">
        <v>41858</v>
      </c>
      <c r="J64" s="452" t="n">
        <v>8</v>
      </c>
      <c r="K64" s="631" t="s">
        <v>42</v>
      </c>
      <c r="L64" s="452" t="s">
        <v>58</v>
      </c>
      <c r="M64" s="455" t="n">
        <f aca="false">I64-D64</f>
        <v>1735</v>
      </c>
      <c r="N64" s="4"/>
      <c r="O64" s="471" t="s">
        <v>42</v>
      </c>
      <c r="P64" s="471"/>
      <c r="Q64" s="471"/>
      <c r="R64" s="471"/>
      <c r="S64" s="471" t="n">
        <f aca="false">COUNTIF($K$2:$K$476,"I - Extremamente tóxico")</f>
        <v>59</v>
      </c>
      <c r="T64" s="472" t="n">
        <f aca="false">(S64/S76)</f>
        <v>0.398648648648649</v>
      </c>
    </row>
    <row r="65" customFormat="false" ht="12.75" hidden="false" customHeight="true" outlineLevel="0" collapsed="false">
      <c r="A65" s="456" t="n">
        <v>6414</v>
      </c>
      <c r="B65" s="458" t="s">
        <v>16694</v>
      </c>
      <c r="C65" s="458" t="n">
        <v>2009</v>
      </c>
      <c r="D65" s="459" t="n">
        <v>40171</v>
      </c>
      <c r="E65" s="458" t="s">
        <v>16695</v>
      </c>
      <c r="F65" s="458" t="s">
        <v>823</v>
      </c>
      <c r="G65" s="458" t="s">
        <v>1174</v>
      </c>
      <c r="H65" s="458" t="s">
        <v>223</v>
      </c>
      <c r="I65" s="459" t="n">
        <v>41858</v>
      </c>
      <c r="J65" s="460" t="n">
        <v>8</v>
      </c>
      <c r="K65" s="634" t="s">
        <v>45</v>
      </c>
      <c r="L65" s="460" t="s">
        <v>58</v>
      </c>
      <c r="M65" s="463" t="n">
        <f aca="false">I65-D65</f>
        <v>1687</v>
      </c>
      <c r="N65" s="4"/>
      <c r="O65" s="345" t="s">
        <v>43</v>
      </c>
      <c r="P65" s="345"/>
      <c r="Q65" s="345"/>
      <c r="R65" s="345"/>
      <c r="S65" s="345" t="n">
        <f aca="false">COUNTIF($K$2:$K$476,"Categoria 1 - Produto Extremamente Tóxico")</f>
        <v>0</v>
      </c>
      <c r="T65" s="473" t="n">
        <f aca="false">(S65/S76)</f>
        <v>0</v>
      </c>
    </row>
    <row r="66" customFormat="false" ht="12.75" hidden="false" customHeight="true" outlineLevel="0" collapsed="false">
      <c r="A66" s="449" t="n">
        <v>6514</v>
      </c>
      <c r="B66" s="450" t="s">
        <v>16696</v>
      </c>
      <c r="C66" s="450" t="n">
        <v>2011</v>
      </c>
      <c r="D66" s="451" t="n">
        <v>40758</v>
      </c>
      <c r="E66" s="450" t="s">
        <v>16697</v>
      </c>
      <c r="F66" s="450" t="s">
        <v>537</v>
      </c>
      <c r="G66" s="450" t="s">
        <v>1174</v>
      </c>
      <c r="H66" s="450" t="s">
        <v>192</v>
      </c>
      <c r="I66" s="451" t="n">
        <v>41858</v>
      </c>
      <c r="J66" s="452" t="n">
        <v>8</v>
      </c>
      <c r="K66" s="633" t="s">
        <v>47</v>
      </c>
      <c r="L66" s="452" t="s">
        <v>58</v>
      </c>
      <c r="M66" s="455" t="n">
        <f aca="false">I66-D66</f>
        <v>1100</v>
      </c>
      <c r="N66" s="4"/>
      <c r="O66" s="345" t="s">
        <v>44</v>
      </c>
      <c r="P66" s="345"/>
      <c r="Q66" s="345"/>
      <c r="R66" s="345"/>
      <c r="S66" s="345" t="n">
        <f aca="false">COUNTIF($K$2:$K$476,"Categoria 2 - Produto Altamente Tóxico")</f>
        <v>0</v>
      </c>
      <c r="T66" s="473" t="n">
        <f aca="false">(S66/S76)</f>
        <v>0</v>
      </c>
    </row>
    <row r="67" customFormat="false" ht="12.75" hidden="false" customHeight="true" outlineLevel="0" collapsed="false">
      <c r="A67" s="456" t="n">
        <v>6614</v>
      </c>
      <c r="B67" s="458" t="s">
        <v>16698</v>
      </c>
      <c r="C67" s="458" t="n">
        <v>2009</v>
      </c>
      <c r="D67" s="459" t="n">
        <v>39911</v>
      </c>
      <c r="E67" s="458" t="s">
        <v>16699</v>
      </c>
      <c r="F67" s="458" t="s">
        <v>579</v>
      </c>
      <c r="G67" s="458" t="s">
        <v>144</v>
      </c>
      <c r="H67" s="458" t="s">
        <v>373</v>
      </c>
      <c r="I67" s="459" t="n">
        <v>41863</v>
      </c>
      <c r="J67" s="460" t="n">
        <v>8</v>
      </c>
      <c r="K67" s="633" t="s">
        <v>47</v>
      </c>
      <c r="L67" s="460" t="s">
        <v>58</v>
      </c>
      <c r="M67" s="463" t="n">
        <f aca="false">I67-D67</f>
        <v>1952</v>
      </c>
      <c r="N67" s="4"/>
      <c r="O67" s="349" t="s">
        <v>45</v>
      </c>
      <c r="P67" s="349"/>
      <c r="Q67" s="349"/>
      <c r="R67" s="349"/>
      <c r="S67" s="349" t="n">
        <f aca="false">COUNTIF($K$2:$K$476,"II - Altamente tóxico")</f>
        <v>22</v>
      </c>
      <c r="T67" s="474" t="n">
        <f aca="false">(S67/S76)</f>
        <v>0.148648648648649</v>
      </c>
    </row>
    <row r="68" customFormat="false" ht="12.75" hidden="false" customHeight="true" outlineLevel="0" collapsed="false">
      <c r="A68" s="449" t="n">
        <v>6714</v>
      </c>
      <c r="B68" s="450" t="s">
        <v>16700</v>
      </c>
      <c r="C68" s="450" t="n">
        <v>2009</v>
      </c>
      <c r="D68" s="451" t="n">
        <v>39911</v>
      </c>
      <c r="E68" s="450" t="s">
        <v>16701</v>
      </c>
      <c r="F68" s="450" t="s">
        <v>579</v>
      </c>
      <c r="G68" s="450" t="s">
        <v>144</v>
      </c>
      <c r="H68" s="450" t="s">
        <v>373</v>
      </c>
      <c r="I68" s="451" t="n">
        <v>41863</v>
      </c>
      <c r="J68" s="452" t="n">
        <v>8</v>
      </c>
      <c r="K68" s="633" t="s">
        <v>47</v>
      </c>
      <c r="L68" s="452" t="s">
        <v>58</v>
      </c>
      <c r="M68" s="455" t="n">
        <f aca="false">I68-D68</f>
        <v>1952</v>
      </c>
      <c r="N68" s="4"/>
      <c r="O68" s="349" t="s">
        <v>46</v>
      </c>
      <c r="P68" s="349"/>
      <c r="Q68" s="349"/>
      <c r="R68" s="349"/>
      <c r="S68" s="349" t="n">
        <f aca="false">COUNTIF($K$2:$K$476,"Categoria 3 - Produto Moderadamente Tóxico")</f>
        <v>0</v>
      </c>
      <c r="T68" s="474" t="n">
        <f aca="false">(S68/S76)</f>
        <v>0</v>
      </c>
    </row>
    <row r="69" customFormat="false" ht="12.75" hidden="false" customHeight="true" outlineLevel="0" collapsed="false">
      <c r="A69" s="456" t="n">
        <v>6814</v>
      </c>
      <c r="B69" s="458" t="s">
        <v>16702</v>
      </c>
      <c r="C69" s="458" t="n">
        <v>2010</v>
      </c>
      <c r="D69" s="459" t="n">
        <v>40280</v>
      </c>
      <c r="E69" s="458" t="s">
        <v>16703</v>
      </c>
      <c r="F69" s="458" t="s">
        <v>668</v>
      </c>
      <c r="G69" s="458" t="s">
        <v>441</v>
      </c>
      <c r="H69" s="458" t="s">
        <v>223</v>
      </c>
      <c r="I69" s="459" t="n">
        <v>41869</v>
      </c>
      <c r="J69" s="460" t="n">
        <v>8</v>
      </c>
      <c r="K69" s="631" t="s">
        <v>42</v>
      </c>
      <c r="L69" s="460" t="s">
        <v>58</v>
      </c>
      <c r="M69" s="463" t="n">
        <f aca="false">I69-D69</f>
        <v>1589</v>
      </c>
      <c r="N69" s="4"/>
      <c r="O69" s="351" t="s">
        <v>47</v>
      </c>
      <c r="P69" s="351"/>
      <c r="Q69" s="351"/>
      <c r="R69" s="351"/>
      <c r="S69" s="351" t="n">
        <f aca="false">COUNTIF($K$2:$K$476,"III - Medianamente tóxico")</f>
        <v>60</v>
      </c>
      <c r="T69" s="475" t="n">
        <f aca="false">(S69/S76)</f>
        <v>0.405405405405405</v>
      </c>
    </row>
    <row r="70" customFormat="false" ht="12.75" hidden="false" customHeight="true" outlineLevel="0" collapsed="false">
      <c r="A70" s="449" t="n">
        <v>6914</v>
      </c>
      <c r="B70" s="450" t="s">
        <v>16704</v>
      </c>
      <c r="C70" s="450" t="n">
        <v>2009</v>
      </c>
      <c r="D70" s="451" t="n">
        <v>39933</v>
      </c>
      <c r="E70" s="450" t="s">
        <v>16705</v>
      </c>
      <c r="F70" s="450" t="s">
        <v>668</v>
      </c>
      <c r="G70" s="450" t="s">
        <v>441</v>
      </c>
      <c r="H70" s="450" t="s">
        <v>223</v>
      </c>
      <c r="I70" s="451" t="n">
        <v>41869</v>
      </c>
      <c r="J70" s="452" t="n">
        <v>8</v>
      </c>
      <c r="K70" s="631" t="s">
        <v>42</v>
      </c>
      <c r="L70" s="452" t="s">
        <v>58</v>
      </c>
      <c r="M70" s="455" t="n">
        <f aca="false">I70-D70</f>
        <v>1936</v>
      </c>
      <c r="N70" s="4"/>
      <c r="O70" s="351" t="s">
        <v>48</v>
      </c>
      <c r="P70" s="351"/>
      <c r="Q70" s="351"/>
      <c r="R70" s="351"/>
      <c r="S70" s="351" t="n">
        <f aca="false">COUNTIF($K$2:$K$476,"Categoria 4 - Produto Pouco Tóxico")</f>
        <v>0</v>
      </c>
      <c r="T70" s="475" t="n">
        <f aca="false">(S70/S76)</f>
        <v>0</v>
      </c>
    </row>
    <row r="71" customFormat="false" ht="12.75" hidden="false" customHeight="true" outlineLevel="0" collapsed="false">
      <c r="A71" s="456" t="n">
        <v>7014</v>
      </c>
      <c r="B71" s="458" t="s">
        <v>16706</v>
      </c>
      <c r="C71" s="458" t="n">
        <v>2007</v>
      </c>
      <c r="D71" s="459" t="n">
        <v>39412</v>
      </c>
      <c r="E71" s="458" t="s">
        <v>16707</v>
      </c>
      <c r="F71" s="458" t="s">
        <v>214</v>
      </c>
      <c r="G71" s="458" t="s">
        <v>144</v>
      </c>
      <c r="H71" s="458" t="s">
        <v>10110</v>
      </c>
      <c r="I71" s="459" t="n">
        <v>41871</v>
      </c>
      <c r="J71" s="460" t="n">
        <v>8</v>
      </c>
      <c r="K71" s="631" t="s">
        <v>42</v>
      </c>
      <c r="L71" s="460" t="s">
        <v>60</v>
      </c>
      <c r="M71" s="463" t="n">
        <f aca="false">I71-D71</f>
        <v>2459</v>
      </c>
      <c r="N71" s="4"/>
      <c r="O71" s="351" t="s">
        <v>49</v>
      </c>
      <c r="P71" s="351"/>
      <c r="Q71" s="351"/>
      <c r="R71" s="351"/>
      <c r="S71" s="351" t="n">
        <f aca="false">COUNTIF($K$2:$K$476,"Categoria 5 - Produto Improvável de Causar Dano Agudo")</f>
        <v>0</v>
      </c>
      <c r="T71" s="475" t="n">
        <f aca="false">(S71/S76)</f>
        <v>0</v>
      </c>
    </row>
    <row r="72" customFormat="false" ht="12.75" hidden="false" customHeight="true" outlineLevel="0" collapsed="false">
      <c r="A72" s="449" t="n">
        <v>7114</v>
      </c>
      <c r="B72" s="450" t="s">
        <v>16708</v>
      </c>
      <c r="C72" s="450" t="n">
        <v>2013</v>
      </c>
      <c r="D72" s="451" t="n">
        <v>41285</v>
      </c>
      <c r="E72" s="450" t="s">
        <v>16709</v>
      </c>
      <c r="F72" s="624" t="s">
        <v>288</v>
      </c>
      <c r="G72" s="450" t="s">
        <v>130</v>
      </c>
      <c r="H72" s="450" t="s">
        <v>16710</v>
      </c>
      <c r="I72" s="451" t="n">
        <v>41872</v>
      </c>
      <c r="J72" s="452" t="n">
        <v>8</v>
      </c>
      <c r="K72" s="632" t="s">
        <v>2407</v>
      </c>
      <c r="L72" s="452" t="s">
        <v>61</v>
      </c>
      <c r="M72" s="455" t="n">
        <f aca="false">I72-D72</f>
        <v>587</v>
      </c>
      <c r="N72" s="4"/>
      <c r="O72" s="353" t="s">
        <v>50</v>
      </c>
      <c r="P72" s="353"/>
      <c r="Q72" s="353"/>
      <c r="R72" s="353"/>
      <c r="S72" s="353" t="n">
        <f aca="false">COUNTIF($K$2:$K$476,"IV - Pouco tóxico")</f>
        <v>2</v>
      </c>
      <c r="T72" s="476" t="n">
        <f aca="false">(S72/S76)</f>
        <v>0.0135135135135135</v>
      </c>
    </row>
    <row r="73" customFormat="false" ht="14.25" hidden="false" customHeight="true" outlineLevel="0" collapsed="false">
      <c r="A73" s="456" t="n">
        <v>7214</v>
      </c>
      <c r="B73" s="458" t="s">
        <v>16711</v>
      </c>
      <c r="C73" s="458" t="n">
        <v>2013</v>
      </c>
      <c r="D73" s="459" t="n">
        <v>41507</v>
      </c>
      <c r="E73" s="458" t="s">
        <v>16712</v>
      </c>
      <c r="F73" s="625" t="s">
        <v>288</v>
      </c>
      <c r="G73" s="458" t="s">
        <v>130</v>
      </c>
      <c r="H73" s="458" t="s">
        <v>16713</v>
      </c>
      <c r="I73" s="459" t="n">
        <v>41872</v>
      </c>
      <c r="J73" s="460" t="n">
        <v>8</v>
      </c>
      <c r="K73" s="632" t="s">
        <v>2407</v>
      </c>
      <c r="L73" s="460" t="s">
        <v>61</v>
      </c>
      <c r="M73" s="463" t="n">
        <f aca="false">I73-D73</f>
        <v>365</v>
      </c>
      <c r="N73" s="4"/>
      <c r="O73" s="353" t="s">
        <v>51</v>
      </c>
      <c r="P73" s="353"/>
      <c r="Q73" s="353"/>
      <c r="R73" s="353"/>
      <c r="S73" s="353" t="n">
        <f aca="false">COUNTIF($K$2:$K$476,"Não classificado - Produto não classificado")</f>
        <v>0</v>
      </c>
      <c r="T73" s="476" t="n">
        <f aca="false">(S73/S76)</f>
        <v>0</v>
      </c>
    </row>
    <row r="74" customFormat="false" ht="13.5" hidden="false" customHeight="true" outlineLevel="0" collapsed="false">
      <c r="A74" s="449" t="n">
        <v>7314</v>
      </c>
      <c r="B74" s="450" t="s">
        <v>16714</v>
      </c>
      <c r="C74" s="450" t="n">
        <v>2010</v>
      </c>
      <c r="D74" s="451" t="n">
        <v>40232</v>
      </c>
      <c r="E74" s="450" t="s">
        <v>16715</v>
      </c>
      <c r="F74" s="450" t="s">
        <v>1097</v>
      </c>
      <c r="G74" s="450" t="s">
        <v>1174</v>
      </c>
      <c r="H74" s="450" t="s">
        <v>12763</v>
      </c>
      <c r="I74" s="451" t="n">
        <v>41872</v>
      </c>
      <c r="J74" s="452" t="n">
        <v>8</v>
      </c>
      <c r="K74" s="631" t="s">
        <v>42</v>
      </c>
      <c r="L74" s="452" t="s">
        <v>60</v>
      </c>
      <c r="M74" s="455" t="n">
        <f aca="false">I74-D74</f>
        <v>1640</v>
      </c>
      <c r="N74" s="4"/>
      <c r="O74" s="353" t="s">
        <v>2407</v>
      </c>
      <c r="P74" s="353"/>
      <c r="Q74" s="353"/>
      <c r="R74" s="353"/>
      <c r="S74" s="353" t="n">
        <f aca="false">COUNTIF($K$2:$K$476,"Não determinada devido à natureza do produto (Inimigos naturais)")</f>
        <v>5</v>
      </c>
      <c r="T74" s="476" t="n">
        <f aca="false">(S74/S76)</f>
        <v>0.0337837837837838</v>
      </c>
    </row>
    <row r="75" customFormat="false" ht="12.75" hidden="false" customHeight="true" outlineLevel="0" collapsed="false">
      <c r="A75" s="456" t="n">
        <v>7414</v>
      </c>
      <c r="B75" s="458" t="s">
        <v>16716</v>
      </c>
      <c r="C75" s="458" t="n">
        <v>2013</v>
      </c>
      <c r="D75" s="459" t="n">
        <v>41512</v>
      </c>
      <c r="E75" s="458" t="s">
        <v>16717</v>
      </c>
      <c r="F75" s="458" t="s">
        <v>1028</v>
      </c>
      <c r="G75" s="458" t="s">
        <v>115</v>
      </c>
      <c r="H75" s="458" t="s">
        <v>10110</v>
      </c>
      <c r="I75" s="459" t="n">
        <v>41873</v>
      </c>
      <c r="J75" s="460" t="n">
        <v>8</v>
      </c>
      <c r="K75" s="631" t="s">
        <v>42</v>
      </c>
      <c r="L75" s="460" t="s">
        <v>60</v>
      </c>
      <c r="M75" s="463" t="n">
        <f aca="false">I75-D75</f>
        <v>361</v>
      </c>
      <c r="N75" s="4"/>
      <c r="O75" s="478" t="s">
        <v>53</v>
      </c>
      <c r="P75" s="478"/>
      <c r="Q75" s="478"/>
      <c r="R75" s="478"/>
      <c r="S75" s="478" t="n">
        <f aca="false">COUNTIF($K$2:$K$476,"O perfil toxicológico foi considerado equivalente ao produto técnico de referência")</f>
        <v>0</v>
      </c>
      <c r="T75" s="479" t="n">
        <f aca="false">(S75/S76)</f>
        <v>0</v>
      </c>
    </row>
    <row r="76" customFormat="false" ht="12.75" hidden="false" customHeight="true" outlineLevel="0" collapsed="false">
      <c r="A76" s="449" t="n">
        <v>7514</v>
      </c>
      <c r="B76" s="450" t="s">
        <v>16718</v>
      </c>
      <c r="C76" s="450" t="n">
        <v>2010</v>
      </c>
      <c r="D76" s="451" t="n">
        <v>40422</v>
      </c>
      <c r="E76" s="450" t="s">
        <v>16719</v>
      </c>
      <c r="F76" s="450" t="s">
        <v>537</v>
      </c>
      <c r="G76" s="450" t="s">
        <v>441</v>
      </c>
      <c r="H76" s="450" t="s">
        <v>223</v>
      </c>
      <c r="I76" s="451" t="n">
        <v>41873</v>
      </c>
      <c r="J76" s="452" t="n">
        <v>8</v>
      </c>
      <c r="K76" s="634" t="s">
        <v>45</v>
      </c>
      <c r="L76" s="452" t="s">
        <v>58</v>
      </c>
      <c r="M76" s="455" t="n">
        <f aca="false">I76-D76</f>
        <v>1451</v>
      </c>
      <c r="N76" s="4"/>
      <c r="O76" s="419" t="s">
        <v>54</v>
      </c>
      <c r="P76" s="419"/>
      <c r="Q76" s="419"/>
      <c r="R76" s="419"/>
      <c r="S76" s="363" t="n">
        <f aca="false">SUM(S64:S75)</f>
        <v>148</v>
      </c>
      <c r="T76" s="364" t="n">
        <f aca="false">(S76/S76)</f>
        <v>1</v>
      </c>
    </row>
    <row r="77" customFormat="false" ht="12.75" hidden="false" customHeight="true" outlineLevel="0" collapsed="false">
      <c r="A77" s="456" t="n">
        <v>7614</v>
      </c>
      <c r="B77" s="458" t="s">
        <v>16720</v>
      </c>
      <c r="C77" s="458" t="n">
        <v>2008</v>
      </c>
      <c r="D77" s="459" t="n">
        <v>39507</v>
      </c>
      <c r="E77" s="458" t="s">
        <v>16721</v>
      </c>
      <c r="F77" s="458" t="s">
        <v>16299</v>
      </c>
      <c r="G77" s="458" t="s">
        <v>1174</v>
      </c>
      <c r="H77" s="458" t="s">
        <v>15247</v>
      </c>
      <c r="I77" s="459" t="n">
        <v>41886</v>
      </c>
      <c r="J77" s="460" t="n">
        <v>9</v>
      </c>
      <c r="K77" s="631" t="s">
        <v>42</v>
      </c>
      <c r="L77" s="460" t="s">
        <v>58</v>
      </c>
      <c r="M77" s="463" t="n">
        <f aca="false">I77-D77</f>
        <v>2379</v>
      </c>
      <c r="N77" s="4"/>
      <c r="O77" s="153"/>
      <c r="P77" s="153"/>
      <c r="Q77" s="153"/>
      <c r="R77" s="153"/>
      <c r="S77" s="153"/>
      <c r="T77" s="153"/>
    </row>
    <row r="78" customFormat="false" ht="13.5" hidden="false" customHeight="true" outlineLevel="0" collapsed="false">
      <c r="A78" s="449" t="n">
        <v>7714</v>
      </c>
      <c r="B78" s="450" t="s">
        <v>16722</v>
      </c>
      <c r="C78" s="450" t="n">
        <v>2009</v>
      </c>
      <c r="D78" s="451" t="n">
        <v>39945</v>
      </c>
      <c r="E78" s="450" t="s">
        <v>16723</v>
      </c>
      <c r="F78" s="450" t="s">
        <v>4956</v>
      </c>
      <c r="G78" s="450" t="s">
        <v>441</v>
      </c>
      <c r="H78" s="450" t="s">
        <v>350</v>
      </c>
      <c r="I78" s="451" t="n">
        <v>41894</v>
      </c>
      <c r="J78" s="452" t="n">
        <v>9</v>
      </c>
      <c r="K78" s="634" t="s">
        <v>45</v>
      </c>
      <c r="L78" s="452" t="s">
        <v>58</v>
      </c>
      <c r="M78" s="455" t="n">
        <f aca="false">I78-D78</f>
        <v>1949</v>
      </c>
      <c r="N78" s="4"/>
      <c r="O78" s="339" t="s">
        <v>102</v>
      </c>
      <c r="P78" s="339"/>
      <c r="Q78" s="339"/>
      <c r="R78" s="339"/>
      <c r="S78" s="339"/>
      <c r="T78" s="339"/>
    </row>
    <row r="79" customFormat="false" ht="13.5" hidden="false" customHeight="true" outlineLevel="0" collapsed="false">
      <c r="A79" s="456" t="n">
        <v>7814</v>
      </c>
      <c r="B79" s="458" t="s">
        <v>16724</v>
      </c>
      <c r="C79" s="458" t="n">
        <v>2007</v>
      </c>
      <c r="D79" s="459" t="n">
        <v>39427</v>
      </c>
      <c r="E79" s="458" t="s">
        <v>15741</v>
      </c>
      <c r="F79" s="458" t="s">
        <v>491</v>
      </c>
      <c r="G79" s="458" t="s">
        <v>144</v>
      </c>
      <c r="H79" s="458" t="s">
        <v>1791</v>
      </c>
      <c r="I79" s="459" t="n">
        <v>41894</v>
      </c>
      <c r="J79" s="460" t="n">
        <v>9</v>
      </c>
      <c r="K79" s="631" t="s">
        <v>42</v>
      </c>
      <c r="L79" s="460" t="s">
        <v>60</v>
      </c>
      <c r="M79" s="463" t="n">
        <f aca="false">I79-D79</f>
        <v>2467</v>
      </c>
      <c r="N79" s="4"/>
      <c r="O79" s="339"/>
      <c r="P79" s="339"/>
      <c r="Q79" s="339"/>
      <c r="R79" s="339"/>
      <c r="S79" s="339"/>
      <c r="T79" s="339"/>
    </row>
    <row r="80" customFormat="false" ht="12.75" hidden="false" customHeight="true" outlineLevel="0" collapsed="false">
      <c r="A80" s="449" t="n">
        <v>7914</v>
      </c>
      <c r="B80" s="450" t="s">
        <v>16725</v>
      </c>
      <c r="C80" s="450" t="n">
        <v>2008</v>
      </c>
      <c r="D80" s="451" t="n">
        <v>39710</v>
      </c>
      <c r="E80" s="450" t="s">
        <v>16726</v>
      </c>
      <c r="F80" s="450" t="s">
        <v>214</v>
      </c>
      <c r="G80" s="450" t="s">
        <v>144</v>
      </c>
      <c r="H80" s="450" t="s">
        <v>10110</v>
      </c>
      <c r="I80" s="451" t="n">
        <v>41898</v>
      </c>
      <c r="J80" s="452" t="n">
        <v>9</v>
      </c>
      <c r="K80" s="631" t="s">
        <v>42</v>
      </c>
      <c r="L80" s="452" t="s">
        <v>60</v>
      </c>
      <c r="M80" s="455" t="n">
        <f aca="false">I80-D80</f>
        <v>2188</v>
      </c>
      <c r="N80" s="4"/>
      <c r="O80" s="340" t="s">
        <v>38</v>
      </c>
      <c r="P80" s="340"/>
      <c r="Q80" s="340"/>
      <c r="R80" s="340"/>
      <c r="S80" s="374" t="s">
        <v>343</v>
      </c>
      <c r="T80" s="375" t="s">
        <v>41</v>
      </c>
    </row>
    <row r="81" customFormat="false" ht="13.5" hidden="false" customHeight="true" outlineLevel="0" collapsed="false">
      <c r="A81" s="456" t="n">
        <v>8014</v>
      </c>
      <c r="B81" s="458" t="s">
        <v>16727</v>
      </c>
      <c r="C81" s="458" t="n">
        <v>2008</v>
      </c>
      <c r="D81" s="459" t="n">
        <v>39713</v>
      </c>
      <c r="E81" s="458" t="s">
        <v>16728</v>
      </c>
      <c r="F81" s="458" t="s">
        <v>214</v>
      </c>
      <c r="G81" s="458" t="s">
        <v>144</v>
      </c>
      <c r="H81" s="458" t="s">
        <v>10110</v>
      </c>
      <c r="I81" s="459" t="n">
        <v>41898</v>
      </c>
      <c r="J81" s="460" t="n">
        <v>9</v>
      </c>
      <c r="K81" s="631" t="s">
        <v>42</v>
      </c>
      <c r="L81" s="460" t="s">
        <v>60</v>
      </c>
      <c r="M81" s="463" t="n">
        <f aca="false">I81-D81</f>
        <v>2185</v>
      </c>
      <c r="N81" s="4"/>
      <c r="O81" s="480" t="s">
        <v>57</v>
      </c>
      <c r="P81" s="480"/>
      <c r="Q81" s="480"/>
      <c r="R81" s="480"/>
      <c r="S81" s="536" t="n">
        <f aca="false">COUNTIF($L$2:$L$476,"I - Produto altamente perigoso ao meio ambiente")</f>
        <v>3</v>
      </c>
      <c r="T81" s="377" t="n">
        <f aca="false">(S81/S85)</f>
        <v>0.0202702702702703</v>
      </c>
    </row>
    <row r="82" customFormat="false" ht="13.5" hidden="false" customHeight="true" outlineLevel="0" collapsed="false">
      <c r="A82" s="449" t="n">
        <v>8114</v>
      </c>
      <c r="B82" s="450" t="s">
        <v>16729</v>
      </c>
      <c r="C82" s="450" t="n">
        <v>2008</v>
      </c>
      <c r="D82" s="451" t="n">
        <v>39617</v>
      </c>
      <c r="E82" s="450" t="s">
        <v>16730</v>
      </c>
      <c r="F82" s="450" t="s">
        <v>6089</v>
      </c>
      <c r="G82" s="450" t="s">
        <v>1188</v>
      </c>
      <c r="H82" s="450" t="s">
        <v>10110</v>
      </c>
      <c r="I82" s="451" t="n">
        <v>41906</v>
      </c>
      <c r="J82" s="452" t="n">
        <v>9</v>
      </c>
      <c r="K82" s="633" t="s">
        <v>47</v>
      </c>
      <c r="L82" s="452" t="s">
        <v>58</v>
      </c>
      <c r="M82" s="455" t="n">
        <f aca="false">I82-D82</f>
        <v>2289</v>
      </c>
      <c r="N82" s="4"/>
      <c r="O82" s="378" t="s">
        <v>58</v>
      </c>
      <c r="P82" s="378"/>
      <c r="Q82" s="378"/>
      <c r="R82" s="378"/>
      <c r="S82" s="537" t="n">
        <f aca="false">COUNTIF($L$2:$L$476,"II - Produto muito perigoso ao meio ambiente")</f>
        <v>65</v>
      </c>
      <c r="T82" s="379" t="n">
        <f aca="false">(S82/S85)</f>
        <v>0.439189189189189</v>
      </c>
    </row>
    <row r="83" customFormat="false" ht="13.5" hidden="false" customHeight="true" outlineLevel="0" collapsed="false">
      <c r="A83" s="456" t="n">
        <v>8214</v>
      </c>
      <c r="B83" s="458" t="s">
        <v>16731</v>
      </c>
      <c r="C83" s="458" t="n">
        <v>2008</v>
      </c>
      <c r="D83" s="459" t="n">
        <v>39805</v>
      </c>
      <c r="E83" s="458" t="s">
        <v>16732</v>
      </c>
      <c r="F83" s="458" t="s">
        <v>3924</v>
      </c>
      <c r="G83" s="458" t="s">
        <v>441</v>
      </c>
      <c r="H83" s="458" t="s">
        <v>350</v>
      </c>
      <c r="I83" s="459" t="n">
        <v>41906</v>
      </c>
      <c r="J83" s="460" t="n">
        <v>9</v>
      </c>
      <c r="K83" s="633" t="s">
        <v>47</v>
      </c>
      <c r="L83" s="460" t="s">
        <v>58</v>
      </c>
      <c r="M83" s="463" t="n">
        <f aca="false">I83-D83</f>
        <v>2101</v>
      </c>
      <c r="N83" s="4"/>
      <c r="O83" s="380" t="s">
        <v>60</v>
      </c>
      <c r="P83" s="380"/>
      <c r="Q83" s="380"/>
      <c r="R83" s="380"/>
      <c r="S83" s="536" t="n">
        <f aca="false">COUNTIF($L$2:$L$476,"III - Produto perigoso ao meio ambiente")</f>
        <v>70</v>
      </c>
      <c r="T83" s="377" t="n">
        <f aca="false">(S83/S85)</f>
        <v>0.472972972972973</v>
      </c>
    </row>
    <row r="84" customFormat="false" ht="14.25" hidden="false" customHeight="true" outlineLevel="0" collapsed="false">
      <c r="A84" s="449" t="n">
        <v>8314</v>
      </c>
      <c r="B84" s="450" t="s">
        <v>16733</v>
      </c>
      <c r="C84" s="450" t="n">
        <v>2010</v>
      </c>
      <c r="D84" s="451" t="n">
        <v>40361</v>
      </c>
      <c r="E84" s="450" t="s">
        <v>16734</v>
      </c>
      <c r="F84" s="450" t="s">
        <v>15802</v>
      </c>
      <c r="G84" s="450" t="s">
        <v>1174</v>
      </c>
      <c r="H84" s="450" t="s">
        <v>3727</v>
      </c>
      <c r="I84" s="451" t="n">
        <v>41907</v>
      </c>
      <c r="J84" s="452" t="n">
        <v>9</v>
      </c>
      <c r="K84" s="631" t="s">
        <v>42</v>
      </c>
      <c r="L84" s="452" t="s">
        <v>58</v>
      </c>
      <c r="M84" s="455" t="n">
        <f aca="false">I84-D84</f>
        <v>1546</v>
      </c>
      <c r="N84" s="4"/>
      <c r="O84" s="378" t="s">
        <v>61</v>
      </c>
      <c r="P84" s="378"/>
      <c r="Q84" s="378"/>
      <c r="R84" s="378"/>
      <c r="S84" s="537" t="n">
        <f aca="false">COUNTIF($L$2:$L$476,"IV - Produto pouco perigoso ao meio ambiente")</f>
        <v>10</v>
      </c>
      <c r="T84" s="379" t="n">
        <f aca="false">(S84/S85)</f>
        <v>0.0675675675675676</v>
      </c>
    </row>
    <row r="85" customFormat="false" ht="12.75" hidden="false" customHeight="true" outlineLevel="0" collapsed="false">
      <c r="A85" s="456" t="n">
        <v>8414</v>
      </c>
      <c r="B85" s="458" t="s">
        <v>16735</v>
      </c>
      <c r="C85" s="458" t="n">
        <v>2010</v>
      </c>
      <c r="D85" s="459" t="n">
        <v>40198</v>
      </c>
      <c r="E85" s="458" t="s">
        <v>16736</v>
      </c>
      <c r="F85" s="458" t="s">
        <v>1609</v>
      </c>
      <c r="G85" s="458" t="s">
        <v>1174</v>
      </c>
      <c r="H85" s="458" t="s">
        <v>1305</v>
      </c>
      <c r="I85" s="459" t="n">
        <v>41907</v>
      </c>
      <c r="J85" s="460" t="n">
        <v>9</v>
      </c>
      <c r="K85" s="631" t="s">
        <v>42</v>
      </c>
      <c r="L85" s="460" t="s">
        <v>57</v>
      </c>
      <c r="M85" s="463" t="n">
        <f aca="false">I85-D85</f>
        <v>1709</v>
      </c>
      <c r="N85" s="4"/>
      <c r="O85" s="340" t="s">
        <v>54</v>
      </c>
      <c r="P85" s="340"/>
      <c r="Q85" s="340"/>
      <c r="R85" s="340"/>
      <c r="S85" s="363" t="n">
        <f aca="false">SUM(S81:S84)</f>
        <v>148</v>
      </c>
      <c r="T85" s="364" t="n">
        <f aca="false">(S85/S85)</f>
        <v>1</v>
      </c>
    </row>
    <row r="86" customFormat="false" ht="12.75" hidden="false" customHeight="true" outlineLevel="0" collapsed="false">
      <c r="A86" s="449" t="n">
        <v>8514</v>
      </c>
      <c r="B86" s="450" t="s">
        <v>16737</v>
      </c>
      <c r="C86" s="450" t="n">
        <v>2012</v>
      </c>
      <c r="D86" s="451" t="n">
        <v>41269</v>
      </c>
      <c r="E86" s="450" t="s">
        <v>16738</v>
      </c>
      <c r="F86" s="450" t="s">
        <v>699</v>
      </c>
      <c r="G86" s="450" t="s">
        <v>441</v>
      </c>
      <c r="H86" s="450" t="s">
        <v>12763</v>
      </c>
      <c r="I86" s="451" t="n">
        <v>41911</v>
      </c>
      <c r="J86" s="452" t="n">
        <v>9</v>
      </c>
      <c r="K86" s="634" t="s">
        <v>45</v>
      </c>
      <c r="L86" s="452" t="s">
        <v>60</v>
      </c>
      <c r="M86" s="455" t="n">
        <f aca="false">I86-D86</f>
        <v>642</v>
      </c>
      <c r="N86" s="4"/>
      <c r="O86" s="153"/>
      <c r="P86" s="153"/>
      <c r="Q86" s="153"/>
      <c r="R86" s="153"/>
      <c r="S86" s="153"/>
      <c r="T86" s="153"/>
    </row>
    <row r="87" customFormat="false" ht="13.5" hidden="false" customHeight="true" outlineLevel="0" collapsed="false">
      <c r="A87" s="456" t="n">
        <v>8614</v>
      </c>
      <c r="B87" s="458" t="s">
        <v>16739</v>
      </c>
      <c r="C87" s="458" t="n">
        <v>2009</v>
      </c>
      <c r="D87" s="459" t="n">
        <v>40011</v>
      </c>
      <c r="E87" s="458" t="s">
        <v>16740</v>
      </c>
      <c r="F87" s="458" t="s">
        <v>16645</v>
      </c>
      <c r="G87" s="458" t="s">
        <v>1174</v>
      </c>
      <c r="H87" s="458" t="s">
        <v>6480</v>
      </c>
      <c r="I87" s="459" t="n">
        <v>41913</v>
      </c>
      <c r="J87" s="460" t="n">
        <v>10</v>
      </c>
      <c r="K87" s="633" t="s">
        <v>47</v>
      </c>
      <c r="L87" s="460" t="s">
        <v>60</v>
      </c>
      <c r="M87" s="463" t="n">
        <f aca="false">I87-D87</f>
        <v>1902</v>
      </c>
      <c r="N87" s="4"/>
      <c r="O87" s="421" t="s">
        <v>425</v>
      </c>
      <c r="P87" s="421"/>
      <c r="Q87" s="421"/>
      <c r="R87" s="421"/>
      <c r="S87" s="153"/>
      <c r="T87" s="153"/>
    </row>
    <row r="88" customFormat="false" ht="13.5" hidden="false" customHeight="true" outlineLevel="0" collapsed="false">
      <c r="A88" s="449" t="n">
        <v>8714</v>
      </c>
      <c r="B88" s="450" t="s">
        <v>16741</v>
      </c>
      <c r="C88" s="450" t="n">
        <v>2010</v>
      </c>
      <c r="D88" s="451" t="n">
        <v>40301</v>
      </c>
      <c r="E88" s="450" t="s">
        <v>16742</v>
      </c>
      <c r="F88" s="450" t="s">
        <v>7739</v>
      </c>
      <c r="G88" s="450" t="s">
        <v>1174</v>
      </c>
      <c r="H88" s="450" t="s">
        <v>6633</v>
      </c>
      <c r="I88" s="451" t="n">
        <v>41913</v>
      </c>
      <c r="J88" s="452" t="n">
        <v>10</v>
      </c>
      <c r="K88" s="634" t="s">
        <v>45</v>
      </c>
      <c r="L88" s="452" t="s">
        <v>60</v>
      </c>
      <c r="M88" s="455" t="n">
        <f aca="false">I88-D88</f>
        <v>1612</v>
      </c>
      <c r="N88" s="4"/>
      <c r="O88" s="421"/>
      <c r="P88" s="421"/>
      <c r="Q88" s="421"/>
      <c r="R88" s="421"/>
      <c r="S88" s="153"/>
      <c r="T88" s="153"/>
    </row>
    <row r="89" customFormat="false" ht="12.75" hidden="false" customHeight="true" outlineLevel="0" collapsed="false">
      <c r="A89" s="456" t="n">
        <v>8814</v>
      </c>
      <c r="B89" s="458" t="s">
        <v>16743</v>
      </c>
      <c r="C89" s="458" t="n">
        <v>2010</v>
      </c>
      <c r="D89" s="459" t="n">
        <v>40375</v>
      </c>
      <c r="E89" s="458" t="s">
        <v>16744</v>
      </c>
      <c r="F89" s="458" t="s">
        <v>5401</v>
      </c>
      <c r="G89" s="458" t="s">
        <v>1174</v>
      </c>
      <c r="H89" s="458" t="s">
        <v>693</v>
      </c>
      <c r="I89" s="459" t="n">
        <v>41913</v>
      </c>
      <c r="J89" s="460" t="n">
        <v>10</v>
      </c>
      <c r="K89" s="633" t="s">
        <v>47</v>
      </c>
      <c r="L89" s="460" t="s">
        <v>60</v>
      </c>
      <c r="M89" s="463" t="n">
        <f aca="false">I89-D89</f>
        <v>1538</v>
      </c>
      <c r="N89" s="4"/>
      <c r="O89" s="390" t="s">
        <v>69</v>
      </c>
      <c r="P89" s="422" t="s">
        <v>433</v>
      </c>
      <c r="Q89" s="422"/>
      <c r="R89" s="422"/>
      <c r="S89" s="153"/>
      <c r="T89" s="153"/>
    </row>
    <row r="90" customFormat="false" ht="12.75" hidden="false" customHeight="true" outlineLevel="0" collapsed="false">
      <c r="A90" s="449" t="n">
        <v>8914</v>
      </c>
      <c r="B90" s="450" t="s">
        <v>16745</v>
      </c>
      <c r="C90" s="450" t="n">
        <v>2010</v>
      </c>
      <c r="D90" s="451" t="n">
        <v>40444</v>
      </c>
      <c r="E90" s="450" t="s">
        <v>16746</v>
      </c>
      <c r="F90" s="450" t="s">
        <v>15802</v>
      </c>
      <c r="G90" s="450" t="s">
        <v>1174</v>
      </c>
      <c r="H90" s="450" t="s">
        <v>12073</v>
      </c>
      <c r="I90" s="451" t="n">
        <v>41913</v>
      </c>
      <c r="J90" s="452" t="n">
        <v>10</v>
      </c>
      <c r="K90" s="631" t="s">
        <v>42</v>
      </c>
      <c r="L90" s="452" t="s">
        <v>58</v>
      </c>
      <c r="M90" s="455" t="n">
        <f aca="false">I90-D90</f>
        <v>1469</v>
      </c>
      <c r="N90" s="4"/>
      <c r="O90" s="394" t="s">
        <v>1474</v>
      </c>
      <c r="P90" s="481" t="e">
        <f aca="false">AVERAGEIF(G2:G476,"PT",M2:M476)</f>
        <v>#DIV/0!</v>
      </c>
      <c r="Q90" s="481"/>
      <c r="R90" s="481"/>
      <c r="S90" s="153"/>
      <c r="T90" s="153"/>
    </row>
    <row r="91" customFormat="false" ht="12.75" hidden="false" customHeight="true" outlineLevel="0" collapsed="false">
      <c r="A91" s="456" t="n">
        <v>9014</v>
      </c>
      <c r="B91" s="458" t="s">
        <v>16747</v>
      </c>
      <c r="C91" s="458" t="n">
        <v>2011</v>
      </c>
      <c r="D91" s="459" t="n">
        <v>40697</v>
      </c>
      <c r="E91" s="458" t="s">
        <v>16748</v>
      </c>
      <c r="F91" s="458" t="s">
        <v>1916</v>
      </c>
      <c r="G91" s="458" t="s">
        <v>1174</v>
      </c>
      <c r="H91" s="458" t="s">
        <v>5230</v>
      </c>
      <c r="I91" s="459" t="n">
        <v>41913</v>
      </c>
      <c r="J91" s="460" t="n">
        <v>10</v>
      </c>
      <c r="K91" s="633" t="s">
        <v>47</v>
      </c>
      <c r="L91" s="460" t="s">
        <v>58</v>
      </c>
      <c r="M91" s="463" t="n">
        <f aca="false">I91-D91</f>
        <v>1216</v>
      </c>
      <c r="N91" s="4"/>
      <c r="O91" s="396" t="s">
        <v>1188</v>
      </c>
      <c r="P91" s="482" t="n">
        <f aca="false">AVERAGEIF(G2:G477,"PTN",M2:M477)</f>
        <v>1842</v>
      </c>
      <c r="Q91" s="482"/>
      <c r="R91" s="482"/>
      <c r="S91" s="153"/>
      <c r="T91" s="153"/>
    </row>
    <row r="92" customFormat="false" ht="12.75" hidden="false" customHeight="true" outlineLevel="0" collapsed="false">
      <c r="A92" s="449" t="n">
        <v>9114</v>
      </c>
      <c r="B92" s="450" t="s">
        <v>16749</v>
      </c>
      <c r="C92" s="450" t="n">
        <v>2011</v>
      </c>
      <c r="D92" s="451" t="n">
        <v>40871</v>
      </c>
      <c r="E92" s="450" t="s">
        <v>16750</v>
      </c>
      <c r="F92" s="450" t="s">
        <v>4270</v>
      </c>
      <c r="G92" s="450" t="s">
        <v>1174</v>
      </c>
      <c r="H92" s="450" t="s">
        <v>119</v>
      </c>
      <c r="I92" s="451" t="n">
        <v>41913</v>
      </c>
      <c r="J92" s="452" t="n">
        <v>10</v>
      </c>
      <c r="K92" s="631" t="s">
        <v>42</v>
      </c>
      <c r="L92" s="452" t="s">
        <v>60</v>
      </c>
      <c r="M92" s="455" t="n">
        <f aca="false">I92-D92</f>
        <v>1042</v>
      </c>
      <c r="N92" s="4"/>
      <c r="O92" s="394" t="s">
        <v>1174</v>
      </c>
      <c r="P92" s="481" t="n">
        <f aca="false">AVERAGEIF(G2:G476,"PTE",M2:M476)</f>
        <v>1250.81012658228</v>
      </c>
      <c r="Q92" s="481"/>
      <c r="R92" s="481"/>
      <c r="S92" s="153"/>
      <c r="T92" s="153"/>
    </row>
    <row r="93" customFormat="false" ht="12.75" hidden="false" customHeight="true" outlineLevel="0" collapsed="false">
      <c r="A93" s="456" t="n">
        <v>9214</v>
      </c>
      <c r="B93" s="458" t="s">
        <v>16751</v>
      </c>
      <c r="C93" s="458" t="n">
        <v>2012</v>
      </c>
      <c r="D93" s="459" t="n">
        <v>40953</v>
      </c>
      <c r="E93" s="458" t="s">
        <v>16752</v>
      </c>
      <c r="F93" s="458" t="s">
        <v>15802</v>
      </c>
      <c r="G93" s="458" t="s">
        <v>1174</v>
      </c>
      <c r="H93" s="458" t="s">
        <v>6755</v>
      </c>
      <c r="I93" s="459" t="n">
        <v>41913</v>
      </c>
      <c r="J93" s="460" t="n">
        <v>10</v>
      </c>
      <c r="K93" s="631" t="s">
        <v>42</v>
      </c>
      <c r="L93" s="460" t="s">
        <v>58</v>
      </c>
      <c r="M93" s="463" t="n">
        <f aca="false">I93-D93</f>
        <v>960</v>
      </c>
      <c r="N93" s="4"/>
      <c r="O93" s="396" t="s">
        <v>8</v>
      </c>
      <c r="P93" s="482" t="e">
        <f aca="false">AVERAGEIF(G2:G476,"Pré-Mistura",M2:M476)</f>
        <v>#DIV/0!</v>
      </c>
      <c r="Q93" s="482"/>
      <c r="R93" s="482"/>
      <c r="S93" s="153"/>
      <c r="T93" s="153"/>
    </row>
    <row r="94" customFormat="false" ht="12.75" hidden="false" customHeight="true" outlineLevel="0" collapsed="false">
      <c r="A94" s="449" t="n">
        <v>9314</v>
      </c>
      <c r="B94" s="450" t="s">
        <v>16753</v>
      </c>
      <c r="C94" s="450" t="n">
        <v>2011</v>
      </c>
      <c r="D94" s="451" t="n">
        <v>40784</v>
      </c>
      <c r="E94" s="450" t="s">
        <v>16754</v>
      </c>
      <c r="F94" s="450" t="s">
        <v>15802</v>
      </c>
      <c r="G94" s="450" t="s">
        <v>1174</v>
      </c>
      <c r="H94" s="450" t="s">
        <v>184</v>
      </c>
      <c r="I94" s="451" t="n">
        <v>41913</v>
      </c>
      <c r="J94" s="452" t="n">
        <v>10</v>
      </c>
      <c r="K94" s="631" t="s">
        <v>42</v>
      </c>
      <c r="L94" s="452" t="s">
        <v>58</v>
      </c>
      <c r="M94" s="455" t="n">
        <f aca="false">I94-D94</f>
        <v>1129</v>
      </c>
      <c r="N94" s="4"/>
      <c r="O94" s="394" t="s">
        <v>144</v>
      </c>
      <c r="P94" s="481" t="n">
        <f aca="false">AVERAGEIF(G2:G476,"PF",M2:M476)</f>
        <v>2031</v>
      </c>
      <c r="Q94" s="481"/>
      <c r="R94" s="481"/>
      <c r="S94" s="153"/>
      <c r="T94" s="153"/>
    </row>
    <row r="95" customFormat="false" ht="12.75" hidden="false" customHeight="true" outlineLevel="0" collapsed="false">
      <c r="A95" s="456" t="n">
        <v>9414</v>
      </c>
      <c r="B95" s="458" t="s">
        <v>16755</v>
      </c>
      <c r="C95" s="458" t="n">
        <v>2007</v>
      </c>
      <c r="D95" s="459" t="n">
        <v>39394</v>
      </c>
      <c r="E95" s="458" t="s">
        <v>16756</v>
      </c>
      <c r="F95" s="458" t="s">
        <v>16757</v>
      </c>
      <c r="G95" s="458" t="s">
        <v>144</v>
      </c>
      <c r="H95" s="458" t="s">
        <v>119</v>
      </c>
      <c r="I95" s="459" t="n">
        <v>41914</v>
      </c>
      <c r="J95" s="460" t="n">
        <v>10</v>
      </c>
      <c r="K95" s="633" t="s">
        <v>47</v>
      </c>
      <c r="L95" s="460" t="s">
        <v>60</v>
      </c>
      <c r="M95" s="463" t="n">
        <f aca="false">I95-D95</f>
        <v>2520</v>
      </c>
      <c r="N95" s="4"/>
      <c r="O95" s="396" t="s">
        <v>115</v>
      </c>
      <c r="P95" s="482" t="n">
        <f aca="false">AVERAGEIF(G2:G476,"PFN",M2:M476)</f>
        <v>1642.28571428571</v>
      </c>
      <c r="Q95" s="482"/>
      <c r="R95" s="482"/>
      <c r="S95" s="153"/>
      <c r="T95" s="153"/>
    </row>
    <row r="96" customFormat="false" ht="12.75" hidden="false" customHeight="true" outlineLevel="0" collapsed="false">
      <c r="A96" s="449" t="n">
        <v>9514</v>
      </c>
      <c r="B96" s="450" t="s">
        <v>16758</v>
      </c>
      <c r="C96" s="450" t="n">
        <v>2012</v>
      </c>
      <c r="D96" s="451" t="n">
        <v>41235</v>
      </c>
      <c r="E96" s="450" t="s">
        <v>16759</v>
      </c>
      <c r="F96" s="450" t="s">
        <v>4270</v>
      </c>
      <c r="G96" s="450" t="s">
        <v>1174</v>
      </c>
      <c r="H96" s="450" t="s">
        <v>354</v>
      </c>
      <c r="I96" s="451" t="n">
        <v>41914</v>
      </c>
      <c r="J96" s="452" t="n">
        <v>10</v>
      </c>
      <c r="K96" s="631" t="s">
        <v>42</v>
      </c>
      <c r="L96" s="452" t="s">
        <v>60</v>
      </c>
      <c r="M96" s="455" t="n">
        <f aca="false">I96-D96</f>
        <v>679</v>
      </c>
      <c r="N96" s="4"/>
      <c r="O96" s="394" t="s">
        <v>441</v>
      </c>
      <c r="P96" s="481" t="n">
        <f aca="false">AVERAGEIF(G2:G476,"PF/PTE",M2:M476)</f>
        <v>1531.33333333333</v>
      </c>
      <c r="Q96" s="481"/>
      <c r="R96" s="481"/>
      <c r="S96" s="153"/>
      <c r="T96" s="153"/>
    </row>
    <row r="97" customFormat="false" ht="12.75" hidden="false" customHeight="true" outlineLevel="0" collapsed="false">
      <c r="A97" s="456" t="n">
        <v>9614</v>
      </c>
      <c r="B97" s="458" t="s">
        <v>16760</v>
      </c>
      <c r="C97" s="458" t="n">
        <v>2013</v>
      </c>
      <c r="D97" s="459" t="n">
        <v>41382</v>
      </c>
      <c r="E97" s="458" t="s">
        <v>16761</v>
      </c>
      <c r="F97" s="458" t="s">
        <v>4270</v>
      </c>
      <c r="G97" s="458" t="s">
        <v>1174</v>
      </c>
      <c r="H97" s="458" t="s">
        <v>350</v>
      </c>
      <c r="I97" s="459" t="n">
        <v>41914</v>
      </c>
      <c r="J97" s="460" t="n">
        <v>10</v>
      </c>
      <c r="K97" s="631" t="s">
        <v>42</v>
      </c>
      <c r="L97" s="460" t="s">
        <v>60</v>
      </c>
      <c r="M97" s="463" t="n">
        <f aca="false">I97-D97</f>
        <v>532</v>
      </c>
      <c r="N97" s="4"/>
      <c r="O97" s="396" t="s">
        <v>125</v>
      </c>
      <c r="P97" s="482" t="n">
        <f aca="false">AVERAGEIF(G2:G476,"Bio",M2:M476)</f>
        <v>929</v>
      </c>
      <c r="Q97" s="482"/>
      <c r="R97" s="482"/>
    </row>
    <row r="98" customFormat="false" ht="12.75" hidden="false" customHeight="true" outlineLevel="0" collapsed="false">
      <c r="A98" s="449" t="n">
        <v>9714</v>
      </c>
      <c r="B98" s="450" t="s">
        <v>16762</v>
      </c>
      <c r="C98" s="450" t="n">
        <v>2012</v>
      </c>
      <c r="D98" s="451" t="n">
        <v>41046</v>
      </c>
      <c r="E98" s="450" t="s">
        <v>16763</v>
      </c>
      <c r="F98" s="450" t="s">
        <v>16764</v>
      </c>
      <c r="G98" s="450" t="s">
        <v>1174</v>
      </c>
      <c r="H98" s="450" t="s">
        <v>1567</v>
      </c>
      <c r="I98" s="451" t="n">
        <v>41914</v>
      </c>
      <c r="J98" s="452" t="n">
        <v>10</v>
      </c>
      <c r="K98" s="633" t="s">
        <v>47</v>
      </c>
      <c r="L98" s="452" t="s">
        <v>60</v>
      </c>
      <c r="M98" s="455" t="n">
        <f aca="false">I98-D98</f>
        <v>868</v>
      </c>
      <c r="N98" s="4"/>
      <c r="O98" s="394" t="s">
        <v>130</v>
      </c>
      <c r="P98" s="481" t="n">
        <f aca="false">AVERAGEIF(G2:G476,"Bio/Org",M2:M476)</f>
        <v>456</v>
      </c>
      <c r="Q98" s="481"/>
      <c r="R98" s="481"/>
    </row>
    <row r="99" customFormat="false" ht="12.75" hidden="false" customHeight="true" outlineLevel="0" collapsed="false">
      <c r="A99" s="456" t="n">
        <v>9814</v>
      </c>
      <c r="B99" s="458" t="s">
        <v>16765</v>
      </c>
      <c r="C99" s="458" t="n">
        <v>2012</v>
      </c>
      <c r="D99" s="459" t="n">
        <v>41061</v>
      </c>
      <c r="E99" s="458" t="s">
        <v>16766</v>
      </c>
      <c r="F99" s="458" t="s">
        <v>15802</v>
      </c>
      <c r="G99" s="458" t="s">
        <v>1174</v>
      </c>
      <c r="H99" s="458" t="s">
        <v>350</v>
      </c>
      <c r="I99" s="459" t="n">
        <v>41914</v>
      </c>
      <c r="J99" s="460" t="n">
        <v>10</v>
      </c>
      <c r="K99" s="631" t="s">
        <v>42</v>
      </c>
      <c r="L99" s="460" t="s">
        <v>58</v>
      </c>
      <c r="M99" s="463" t="n">
        <f aca="false">I99-D99</f>
        <v>853</v>
      </c>
      <c r="N99" s="4"/>
      <c r="O99" s="398" t="s">
        <v>86</v>
      </c>
      <c r="P99" s="399" t="n">
        <f aca="false">AVERAGE(M2:M494)</f>
        <v>1396.42567567568</v>
      </c>
      <c r="Q99" s="399"/>
      <c r="R99" s="399"/>
    </row>
    <row r="100" customFormat="false" ht="12.75" hidden="false" customHeight="true" outlineLevel="0" collapsed="false">
      <c r="A100" s="449" t="n">
        <v>9914</v>
      </c>
      <c r="B100" s="450" t="s">
        <v>16767</v>
      </c>
      <c r="C100" s="450" t="n">
        <v>2014</v>
      </c>
      <c r="D100" s="451" t="n">
        <v>41766</v>
      </c>
      <c r="E100" s="450" t="s">
        <v>16768</v>
      </c>
      <c r="F100" s="450" t="s">
        <v>4270</v>
      </c>
      <c r="G100" s="450" t="s">
        <v>1174</v>
      </c>
      <c r="H100" s="450" t="s">
        <v>184</v>
      </c>
      <c r="I100" s="451" t="n">
        <v>41915</v>
      </c>
      <c r="J100" s="452" t="n">
        <v>10</v>
      </c>
      <c r="K100" s="631" t="s">
        <v>42</v>
      </c>
      <c r="L100" s="452" t="s">
        <v>60</v>
      </c>
      <c r="M100" s="455" t="n">
        <f aca="false">I100-D100</f>
        <v>149</v>
      </c>
      <c r="N100" s="4"/>
      <c r="O100" s="4"/>
      <c r="P100" s="4"/>
      <c r="Q100" s="4"/>
      <c r="R100" s="4"/>
    </row>
    <row r="101" customFormat="false" ht="12.75" hidden="false" customHeight="true" outlineLevel="0" collapsed="false">
      <c r="A101" s="456" t="n">
        <v>10014</v>
      </c>
      <c r="B101" s="458" t="s">
        <v>16769</v>
      </c>
      <c r="C101" s="458" t="n">
        <v>2014</v>
      </c>
      <c r="D101" s="459" t="n">
        <v>41772</v>
      </c>
      <c r="E101" s="458" t="s">
        <v>16770</v>
      </c>
      <c r="F101" s="458" t="s">
        <v>4270</v>
      </c>
      <c r="G101" s="458" t="s">
        <v>1174</v>
      </c>
      <c r="H101" s="458" t="s">
        <v>354</v>
      </c>
      <c r="I101" s="459" t="n">
        <v>41915</v>
      </c>
      <c r="J101" s="460" t="n">
        <v>10</v>
      </c>
      <c r="K101" s="631" t="s">
        <v>42</v>
      </c>
      <c r="L101" s="460" t="s">
        <v>60</v>
      </c>
      <c r="M101" s="463" t="n">
        <f aca="false">I101-D101</f>
        <v>143</v>
      </c>
      <c r="N101" s="4"/>
      <c r="O101" s="4"/>
      <c r="P101" s="4"/>
      <c r="Q101" s="4"/>
      <c r="R101" s="4"/>
    </row>
    <row r="102" customFormat="false" ht="12.75" hidden="false" customHeight="true" outlineLevel="0" collapsed="false">
      <c r="A102" s="449" t="n">
        <v>10114</v>
      </c>
      <c r="B102" s="450" t="s">
        <v>16771</v>
      </c>
      <c r="C102" s="450" t="n">
        <v>2014</v>
      </c>
      <c r="D102" s="451" t="n">
        <v>41772</v>
      </c>
      <c r="E102" s="450" t="s">
        <v>16772</v>
      </c>
      <c r="F102" s="450" t="s">
        <v>4270</v>
      </c>
      <c r="G102" s="450" t="s">
        <v>1174</v>
      </c>
      <c r="H102" s="450" t="s">
        <v>13006</v>
      </c>
      <c r="I102" s="451" t="n">
        <v>41915</v>
      </c>
      <c r="J102" s="452" t="n">
        <v>10</v>
      </c>
      <c r="K102" s="631" t="s">
        <v>42</v>
      </c>
      <c r="L102" s="452" t="s">
        <v>60</v>
      </c>
      <c r="M102" s="455" t="n">
        <f aca="false">I102-D102</f>
        <v>143</v>
      </c>
      <c r="N102" s="4"/>
      <c r="O102" s="4"/>
      <c r="P102" s="4"/>
      <c r="Q102" s="4"/>
      <c r="R102" s="4"/>
    </row>
    <row r="103" customFormat="false" ht="12.75" hidden="false" customHeight="true" outlineLevel="0" collapsed="false">
      <c r="A103" s="456" t="n">
        <v>10214</v>
      </c>
      <c r="B103" s="458" t="s">
        <v>16773</v>
      </c>
      <c r="C103" s="458" t="n">
        <v>2014</v>
      </c>
      <c r="D103" s="459" t="n">
        <v>41778</v>
      </c>
      <c r="E103" s="458" t="s">
        <v>16774</v>
      </c>
      <c r="F103" s="458" t="s">
        <v>4270</v>
      </c>
      <c r="G103" s="458" t="s">
        <v>1174</v>
      </c>
      <c r="H103" s="458" t="s">
        <v>119</v>
      </c>
      <c r="I103" s="459" t="n">
        <v>41915</v>
      </c>
      <c r="J103" s="460" t="n">
        <v>10</v>
      </c>
      <c r="K103" s="631" t="s">
        <v>42</v>
      </c>
      <c r="L103" s="460" t="s">
        <v>60</v>
      </c>
      <c r="M103" s="463" t="n">
        <f aca="false">I103-D103</f>
        <v>137</v>
      </c>
      <c r="N103" s="4"/>
      <c r="O103" s="4"/>
      <c r="P103" s="4"/>
      <c r="Q103" s="4"/>
      <c r="R103" s="4"/>
    </row>
    <row r="104" customFormat="false" ht="12.75" hidden="false" customHeight="true" outlineLevel="0" collapsed="false">
      <c r="A104" s="449" t="n">
        <v>10314</v>
      </c>
      <c r="B104" s="450" t="s">
        <v>16775</v>
      </c>
      <c r="C104" s="450" t="n">
        <v>2014</v>
      </c>
      <c r="D104" s="451" t="n">
        <v>41786</v>
      </c>
      <c r="E104" s="450" t="s">
        <v>16776</v>
      </c>
      <c r="F104" s="450" t="s">
        <v>4270</v>
      </c>
      <c r="G104" s="450" t="s">
        <v>1174</v>
      </c>
      <c r="H104" s="450" t="s">
        <v>350</v>
      </c>
      <c r="I104" s="451" t="n">
        <v>41915</v>
      </c>
      <c r="J104" s="452" t="n">
        <v>10</v>
      </c>
      <c r="K104" s="631" t="s">
        <v>42</v>
      </c>
      <c r="L104" s="452" t="s">
        <v>60</v>
      </c>
      <c r="M104" s="455" t="n">
        <f aca="false">I104-D104</f>
        <v>129</v>
      </c>
      <c r="N104" s="4"/>
      <c r="O104" s="4"/>
      <c r="P104" s="4"/>
      <c r="Q104" s="4"/>
      <c r="R104" s="4"/>
    </row>
    <row r="105" customFormat="false" ht="12.75" hidden="false" customHeight="true" outlineLevel="0" collapsed="false">
      <c r="A105" s="456" t="n">
        <v>10414</v>
      </c>
      <c r="B105" s="458" t="s">
        <v>16777</v>
      </c>
      <c r="C105" s="458" t="n">
        <v>2011</v>
      </c>
      <c r="D105" s="459" t="n">
        <v>40672</v>
      </c>
      <c r="E105" s="458" t="s">
        <v>16778</v>
      </c>
      <c r="F105" s="458" t="s">
        <v>1277</v>
      </c>
      <c r="G105" s="458" t="s">
        <v>441</v>
      </c>
      <c r="H105" s="458" t="s">
        <v>15133</v>
      </c>
      <c r="I105" s="459" t="n">
        <v>41919</v>
      </c>
      <c r="J105" s="460" t="n">
        <v>10</v>
      </c>
      <c r="K105" s="631" t="s">
        <v>42</v>
      </c>
      <c r="L105" s="460" t="s">
        <v>58</v>
      </c>
      <c r="M105" s="463" t="n">
        <f aca="false">I105-D105</f>
        <v>1247</v>
      </c>
      <c r="N105" s="4"/>
      <c r="O105" s="4"/>
      <c r="P105" s="4"/>
      <c r="Q105" s="4"/>
      <c r="R105" s="4"/>
    </row>
    <row r="106" customFormat="false" ht="12.75" hidden="false" customHeight="true" outlineLevel="0" collapsed="false">
      <c r="A106" s="449" t="n">
        <v>10514</v>
      </c>
      <c r="B106" s="450" t="s">
        <v>16779</v>
      </c>
      <c r="C106" s="450" t="n">
        <v>2014</v>
      </c>
      <c r="D106" s="451" t="n">
        <v>41766</v>
      </c>
      <c r="E106" s="450" t="s">
        <v>16780</v>
      </c>
      <c r="F106" s="450" t="s">
        <v>4270</v>
      </c>
      <c r="G106" s="450" t="s">
        <v>1174</v>
      </c>
      <c r="H106" s="450" t="s">
        <v>192</v>
      </c>
      <c r="I106" s="451" t="n">
        <v>41920</v>
      </c>
      <c r="J106" s="452" t="n">
        <v>10</v>
      </c>
      <c r="K106" s="631" t="s">
        <v>42</v>
      </c>
      <c r="L106" s="452" t="s">
        <v>60</v>
      </c>
      <c r="M106" s="455" t="n">
        <f aca="false">I106-D106</f>
        <v>154</v>
      </c>
      <c r="N106" s="4"/>
      <c r="O106" s="4"/>
      <c r="P106" s="4"/>
      <c r="Q106" s="4"/>
      <c r="R106" s="4"/>
    </row>
    <row r="107" customFormat="false" ht="12.75" hidden="false" customHeight="true" outlineLevel="0" collapsed="false">
      <c r="A107" s="456" t="n">
        <v>10614</v>
      </c>
      <c r="B107" s="458" t="s">
        <v>16781</v>
      </c>
      <c r="C107" s="458" t="n">
        <v>2010</v>
      </c>
      <c r="D107" s="459" t="n">
        <v>40519</v>
      </c>
      <c r="E107" s="458" t="s">
        <v>16782</v>
      </c>
      <c r="F107" s="458" t="s">
        <v>1277</v>
      </c>
      <c r="G107" s="458" t="s">
        <v>1174</v>
      </c>
      <c r="H107" s="458" t="s">
        <v>522</v>
      </c>
      <c r="I107" s="459" t="n">
        <v>41920</v>
      </c>
      <c r="J107" s="460" t="n">
        <v>10</v>
      </c>
      <c r="K107" s="634" t="s">
        <v>45</v>
      </c>
      <c r="L107" s="460" t="s">
        <v>58</v>
      </c>
      <c r="M107" s="463" t="n">
        <f aca="false">I107-D107</f>
        <v>1401</v>
      </c>
      <c r="N107" s="4"/>
      <c r="O107" s="4"/>
      <c r="P107" s="4"/>
      <c r="Q107" s="4"/>
      <c r="R107" s="4"/>
    </row>
    <row r="108" customFormat="false" ht="12.75" hidden="false" customHeight="true" outlineLevel="0" collapsed="false">
      <c r="A108" s="449" t="n">
        <v>10714</v>
      </c>
      <c r="B108" s="450" t="s">
        <v>16783</v>
      </c>
      <c r="C108" s="450" t="n">
        <v>2009</v>
      </c>
      <c r="D108" s="451" t="n">
        <v>40010</v>
      </c>
      <c r="E108" s="450" t="s">
        <v>16784</v>
      </c>
      <c r="F108" s="450" t="s">
        <v>699</v>
      </c>
      <c r="G108" s="450" t="s">
        <v>1174</v>
      </c>
      <c r="H108" s="450" t="s">
        <v>522</v>
      </c>
      <c r="I108" s="451" t="n">
        <v>41925</v>
      </c>
      <c r="J108" s="452" t="n">
        <v>10</v>
      </c>
      <c r="K108" s="631" t="s">
        <v>42</v>
      </c>
      <c r="L108" s="452" t="s">
        <v>60</v>
      </c>
      <c r="M108" s="455" t="n">
        <f aca="false">I108-D108</f>
        <v>1915</v>
      </c>
      <c r="N108" s="4"/>
      <c r="O108" s="4"/>
      <c r="P108" s="4"/>
      <c r="Q108" s="4"/>
      <c r="R108" s="4"/>
    </row>
    <row r="109" customFormat="false" ht="12.75" hidden="false" customHeight="true" outlineLevel="0" collapsed="false">
      <c r="A109" s="456" t="n">
        <v>10814</v>
      </c>
      <c r="B109" s="458" t="s">
        <v>16785</v>
      </c>
      <c r="C109" s="458" t="n">
        <v>2013</v>
      </c>
      <c r="D109" s="459" t="n">
        <v>41509</v>
      </c>
      <c r="E109" s="458" t="s">
        <v>16786</v>
      </c>
      <c r="F109" s="625" t="s">
        <v>6315</v>
      </c>
      <c r="G109" s="458" t="s">
        <v>130</v>
      </c>
      <c r="H109" s="458" t="s">
        <v>16264</v>
      </c>
      <c r="I109" s="459" t="n">
        <v>41925</v>
      </c>
      <c r="J109" s="460" t="n">
        <v>10</v>
      </c>
      <c r="K109" s="632" t="s">
        <v>50</v>
      </c>
      <c r="L109" s="460" t="s">
        <v>61</v>
      </c>
      <c r="M109" s="463" t="n">
        <f aca="false">I109-D109</f>
        <v>416</v>
      </c>
      <c r="N109" s="4"/>
      <c r="O109" s="4"/>
      <c r="P109" s="4"/>
      <c r="Q109" s="4"/>
      <c r="R109" s="4"/>
    </row>
    <row r="110" customFormat="false" ht="12.75" hidden="false" customHeight="true" outlineLevel="0" collapsed="false">
      <c r="A110" s="449" t="n">
        <v>10914</v>
      </c>
      <c r="B110" s="450" t="s">
        <v>16787</v>
      </c>
      <c r="C110" s="450" t="n">
        <v>2013</v>
      </c>
      <c r="D110" s="451" t="n">
        <v>41569</v>
      </c>
      <c r="E110" s="450" t="s">
        <v>16788</v>
      </c>
      <c r="F110" s="624" t="s">
        <v>288</v>
      </c>
      <c r="G110" s="450" t="s">
        <v>130</v>
      </c>
      <c r="H110" s="450" t="s">
        <v>15680</v>
      </c>
      <c r="I110" s="451" t="n">
        <v>41926</v>
      </c>
      <c r="J110" s="452" t="n">
        <v>10</v>
      </c>
      <c r="K110" s="632" t="s">
        <v>2407</v>
      </c>
      <c r="L110" s="452" t="s">
        <v>61</v>
      </c>
      <c r="M110" s="455" t="n">
        <f aca="false">I110-D110</f>
        <v>357</v>
      </c>
      <c r="N110" s="4"/>
      <c r="O110" s="4"/>
      <c r="P110" s="4"/>
      <c r="Q110" s="4"/>
      <c r="R110" s="4"/>
    </row>
    <row r="111" customFormat="false" ht="12.75" hidden="false" customHeight="true" outlineLevel="0" collapsed="false">
      <c r="A111" s="456" t="n">
        <v>11014</v>
      </c>
      <c r="B111" s="458" t="s">
        <v>16789</v>
      </c>
      <c r="C111" s="458" t="n">
        <v>2013</v>
      </c>
      <c r="D111" s="459" t="n">
        <v>41556</v>
      </c>
      <c r="E111" s="458" t="s">
        <v>16790</v>
      </c>
      <c r="F111" s="625" t="s">
        <v>288</v>
      </c>
      <c r="G111" s="458" t="s">
        <v>130</v>
      </c>
      <c r="H111" s="458" t="s">
        <v>16791</v>
      </c>
      <c r="I111" s="459" t="n">
        <v>41926</v>
      </c>
      <c r="J111" s="460" t="n">
        <v>10</v>
      </c>
      <c r="K111" s="632" t="s">
        <v>2407</v>
      </c>
      <c r="L111" s="460" t="s">
        <v>61</v>
      </c>
      <c r="M111" s="463" t="n">
        <f aca="false">I111-D111</f>
        <v>370</v>
      </c>
      <c r="N111" s="4"/>
      <c r="O111" s="4"/>
      <c r="P111" s="4"/>
      <c r="Q111" s="4"/>
      <c r="R111" s="4"/>
    </row>
    <row r="112" customFormat="false" ht="12.75" hidden="false" customHeight="true" outlineLevel="0" collapsed="false">
      <c r="A112" s="449" t="n">
        <v>11114</v>
      </c>
      <c r="B112" s="450" t="s">
        <v>16792</v>
      </c>
      <c r="C112" s="450" t="n">
        <v>2009</v>
      </c>
      <c r="D112" s="451" t="n">
        <v>40010</v>
      </c>
      <c r="E112" s="450" t="s">
        <v>16793</v>
      </c>
      <c r="F112" s="450" t="s">
        <v>16645</v>
      </c>
      <c r="G112" s="450" t="s">
        <v>1174</v>
      </c>
      <c r="H112" s="450" t="s">
        <v>3240</v>
      </c>
      <c r="I112" s="451" t="n">
        <v>41926</v>
      </c>
      <c r="J112" s="452" t="n">
        <v>10</v>
      </c>
      <c r="K112" s="633" t="s">
        <v>47</v>
      </c>
      <c r="L112" s="452" t="s">
        <v>60</v>
      </c>
      <c r="M112" s="455" t="n">
        <f aca="false">I112-D112</f>
        <v>1916</v>
      </c>
      <c r="N112" s="4"/>
      <c r="O112" s="4"/>
      <c r="P112" s="4"/>
      <c r="Q112" s="4"/>
      <c r="R112" s="4"/>
    </row>
    <row r="113" customFormat="false" ht="12.75" hidden="false" customHeight="true" outlineLevel="0" collapsed="false">
      <c r="A113" s="456" t="n">
        <v>11214</v>
      </c>
      <c r="B113" s="458" t="s">
        <v>16794</v>
      </c>
      <c r="C113" s="458" t="n">
        <v>2013</v>
      </c>
      <c r="D113" s="459" t="n">
        <v>41339</v>
      </c>
      <c r="E113" s="458" t="s">
        <v>16795</v>
      </c>
      <c r="F113" s="625" t="s">
        <v>288</v>
      </c>
      <c r="G113" s="458" t="s">
        <v>130</v>
      </c>
      <c r="H113" s="458" t="s">
        <v>15836</v>
      </c>
      <c r="I113" s="459" t="n">
        <v>41926</v>
      </c>
      <c r="J113" s="460" t="n">
        <v>10</v>
      </c>
      <c r="K113" s="632" t="s">
        <v>2407</v>
      </c>
      <c r="L113" s="460" t="s">
        <v>61</v>
      </c>
      <c r="M113" s="463" t="n">
        <f aca="false">I113-D113</f>
        <v>587</v>
      </c>
    </row>
    <row r="114" customFormat="false" ht="12.75" hidden="false" customHeight="true" outlineLevel="0" collapsed="false">
      <c r="A114" s="449" t="n">
        <v>11314</v>
      </c>
      <c r="B114" s="450" t="s">
        <v>16796</v>
      </c>
      <c r="C114" s="450" t="n">
        <v>2014</v>
      </c>
      <c r="D114" s="451" t="n">
        <v>41772</v>
      </c>
      <c r="E114" s="450" t="s">
        <v>16797</v>
      </c>
      <c r="F114" s="450" t="s">
        <v>4270</v>
      </c>
      <c r="G114" s="450" t="s">
        <v>1174</v>
      </c>
      <c r="H114" s="450" t="s">
        <v>2296</v>
      </c>
      <c r="I114" s="451" t="n">
        <v>41928</v>
      </c>
      <c r="J114" s="452" t="n">
        <v>10</v>
      </c>
      <c r="K114" s="631" t="s">
        <v>42</v>
      </c>
      <c r="L114" s="452" t="s">
        <v>60</v>
      </c>
      <c r="M114" s="455" t="n">
        <f aca="false">I114-D114</f>
        <v>156</v>
      </c>
    </row>
    <row r="115" customFormat="false" ht="12.75" hidden="false" customHeight="true" outlineLevel="0" collapsed="false">
      <c r="A115" s="456" t="n">
        <v>11414</v>
      </c>
      <c r="B115" s="458" t="s">
        <v>16798</v>
      </c>
      <c r="C115" s="458" t="n">
        <v>2013</v>
      </c>
      <c r="D115" s="459" t="n">
        <v>41323</v>
      </c>
      <c r="E115" s="458" t="s">
        <v>16799</v>
      </c>
      <c r="F115" s="458" t="s">
        <v>16764</v>
      </c>
      <c r="G115" s="458" t="s">
        <v>1174</v>
      </c>
      <c r="H115" s="458" t="s">
        <v>471</v>
      </c>
      <c r="I115" s="459" t="n">
        <v>41928</v>
      </c>
      <c r="J115" s="460" t="n">
        <v>10</v>
      </c>
      <c r="K115" s="633" t="s">
        <v>47</v>
      </c>
      <c r="L115" s="460" t="s">
        <v>60</v>
      </c>
      <c r="M115" s="463" t="n">
        <f aca="false">I115-D115</f>
        <v>605</v>
      </c>
    </row>
    <row r="116" customFormat="false" ht="12.75" hidden="false" customHeight="true" outlineLevel="0" collapsed="false">
      <c r="A116" s="449" t="n">
        <v>11514</v>
      </c>
      <c r="B116" s="450" t="s">
        <v>16800</v>
      </c>
      <c r="C116" s="450" t="n">
        <v>2010</v>
      </c>
      <c r="D116" s="451" t="n">
        <v>40193</v>
      </c>
      <c r="E116" s="450" t="s">
        <v>16801</v>
      </c>
      <c r="F116" s="450" t="s">
        <v>4956</v>
      </c>
      <c r="G116" s="450" t="s">
        <v>441</v>
      </c>
      <c r="H116" s="450" t="s">
        <v>310</v>
      </c>
      <c r="I116" s="451" t="n">
        <v>41928</v>
      </c>
      <c r="J116" s="452" t="n">
        <v>10</v>
      </c>
      <c r="K116" s="633" t="s">
        <v>47</v>
      </c>
      <c r="L116" s="452" t="s">
        <v>60</v>
      </c>
      <c r="M116" s="455" t="n">
        <f aca="false">I116-D116</f>
        <v>1735</v>
      </c>
    </row>
    <row r="117" customFormat="false" ht="12.75" hidden="false" customHeight="true" outlineLevel="0" collapsed="false">
      <c r="A117" s="456" t="n">
        <v>11614</v>
      </c>
      <c r="B117" s="458" t="s">
        <v>16802</v>
      </c>
      <c r="C117" s="458" t="n">
        <v>2014</v>
      </c>
      <c r="D117" s="459" t="n">
        <v>41772</v>
      </c>
      <c r="E117" s="458" t="s">
        <v>16803</v>
      </c>
      <c r="F117" s="458" t="s">
        <v>4270</v>
      </c>
      <c r="G117" s="458" t="s">
        <v>1174</v>
      </c>
      <c r="H117" s="458" t="s">
        <v>12073</v>
      </c>
      <c r="I117" s="459" t="n">
        <v>41933</v>
      </c>
      <c r="J117" s="460" t="n">
        <v>10</v>
      </c>
      <c r="K117" s="631" t="s">
        <v>42</v>
      </c>
      <c r="L117" s="460" t="s">
        <v>60</v>
      </c>
      <c r="M117" s="463" t="n">
        <f aca="false">I117-D117</f>
        <v>161</v>
      </c>
    </row>
    <row r="118" customFormat="false" ht="12.75" hidden="false" customHeight="true" outlineLevel="0" collapsed="false">
      <c r="A118" s="449" t="n">
        <v>11714</v>
      </c>
      <c r="B118" s="450" t="s">
        <v>16804</v>
      </c>
      <c r="C118" s="450" t="n">
        <v>2014</v>
      </c>
      <c r="D118" s="451" t="n">
        <v>41788</v>
      </c>
      <c r="E118" s="450" t="s">
        <v>16805</v>
      </c>
      <c r="F118" s="450" t="s">
        <v>4270</v>
      </c>
      <c r="G118" s="450" t="s">
        <v>1174</v>
      </c>
      <c r="H118" s="450" t="s">
        <v>15133</v>
      </c>
      <c r="I118" s="451" t="n">
        <v>41933</v>
      </c>
      <c r="J118" s="452" t="n">
        <v>10</v>
      </c>
      <c r="K118" s="631" t="s">
        <v>42</v>
      </c>
      <c r="L118" s="452" t="s">
        <v>60</v>
      </c>
      <c r="M118" s="455" t="n">
        <f aca="false">I118-D118</f>
        <v>145</v>
      </c>
    </row>
    <row r="119" customFormat="false" ht="12.75" hidden="false" customHeight="true" outlineLevel="0" collapsed="false">
      <c r="A119" s="456" t="n">
        <v>11814</v>
      </c>
      <c r="B119" s="458" t="s">
        <v>16806</v>
      </c>
      <c r="C119" s="458" t="n">
        <v>2010</v>
      </c>
      <c r="D119" s="459" t="n">
        <v>40210</v>
      </c>
      <c r="E119" s="458" t="s">
        <v>16807</v>
      </c>
      <c r="F119" s="458" t="s">
        <v>16808</v>
      </c>
      <c r="G119" s="458" t="s">
        <v>1174</v>
      </c>
      <c r="H119" s="458" t="s">
        <v>354</v>
      </c>
      <c r="I119" s="459" t="n">
        <v>41950</v>
      </c>
      <c r="J119" s="460" t="n">
        <v>11</v>
      </c>
      <c r="K119" s="633" t="s">
        <v>47</v>
      </c>
      <c r="L119" s="460" t="s">
        <v>60</v>
      </c>
      <c r="M119" s="463" t="n">
        <f aca="false">I119-D119</f>
        <v>1740</v>
      </c>
    </row>
    <row r="120" customFormat="false" ht="12.75" hidden="false" customHeight="true" outlineLevel="0" collapsed="false">
      <c r="A120" s="449" t="n">
        <v>11914</v>
      </c>
      <c r="B120" s="450" t="s">
        <v>16809</v>
      </c>
      <c r="C120" s="450" t="n">
        <v>2010</v>
      </c>
      <c r="D120" s="451" t="n">
        <v>40210</v>
      </c>
      <c r="E120" s="450" t="s">
        <v>16810</v>
      </c>
      <c r="F120" s="450" t="s">
        <v>16808</v>
      </c>
      <c r="G120" s="450" t="s">
        <v>1174</v>
      </c>
      <c r="H120" s="450" t="s">
        <v>2296</v>
      </c>
      <c r="I120" s="451" t="n">
        <v>41953</v>
      </c>
      <c r="J120" s="452" t="n">
        <v>11</v>
      </c>
      <c r="K120" s="633" t="s">
        <v>47</v>
      </c>
      <c r="L120" s="452" t="s">
        <v>60</v>
      </c>
      <c r="M120" s="455" t="n">
        <f aca="false">I120-D120</f>
        <v>1743</v>
      </c>
    </row>
    <row r="121" customFormat="false" ht="12.75" hidden="false" customHeight="true" outlineLevel="0" collapsed="false">
      <c r="A121" s="456" t="n">
        <v>12014</v>
      </c>
      <c r="B121" s="458" t="s">
        <v>16811</v>
      </c>
      <c r="C121" s="458" t="n">
        <v>2010</v>
      </c>
      <c r="D121" s="459" t="n">
        <v>40252</v>
      </c>
      <c r="E121" s="458" t="s">
        <v>16812</v>
      </c>
      <c r="F121" s="458" t="s">
        <v>3844</v>
      </c>
      <c r="G121" s="458" t="s">
        <v>441</v>
      </c>
      <c r="H121" s="458" t="s">
        <v>5230</v>
      </c>
      <c r="I121" s="459" t="n">
        <v>41953</v>
      </c>
      <c r="J121" s="460" t="n">
        <v>11</v>
      </c>
      <c r="K121" s="633" t="s">
        <v>47</v>
      </c>
      <c r="L121" s="460" t="s">
        <v>58</v>
      </c>
      <c r="M121" s="463" t="n">
        <f aca="false">I121-D121</f>
        <v>1701</v>
      </c>
    </row>
    <row r="122" customFormat="false" ht="12.75" hidden="false" customHeight="true" outlineLevel="0" collapsed="false">
      <c r="A122" s="449" t="n">
        <v>12114</v>
      </c>
      <c r="B122" s="450" t="s">
        <v>16813</v>
      </c>
      <c r="C122" s="450" t="n">
        <v>2010</v>
      </c>
      <c r="D122" s="451" t="n">
        <v>40455</v>
      </c>
      <c r="E122" s="450" t="s">
        <v>16814</v>
      </c>
      <c r="F122" s="450" t="s">
        <v>16667</v>
      </c>
      <c r="G122" s="450" t="s">
        <v>441</v>
      </c>
      <c r="H122" s="450" t="s">
        <v>1305</v>
      </c>
      <c r="I122" s="451" t="n">
        <v>41954</v>
      </c>
      <c r="J122" s="452" t="n">
        <v>11</v>
      </c>
      <c r="K122" s="633" t="s">
        <v>47</v>
      </c>
      <c r="L122" s="452" t="s">
        <v>58</v>
      </c>
      <c r="M122" s="455" t="n">
        <f aca="false">I122-D122</f>
        <v>1499</v>
      </c>
    </row>
    <row r="123" customFormat="false" ht="12.75" hidden="false" customHeight="true" outlineLevel="0" collapsed="false">
      <c r="A123" s="456" t="n">
        <v>12214</v>
      </c>
      <c r="B123" s="458" t="s">
        <v>16815</v>
      </c>
      <c r="C123" s="458" t="n">
        <v>2010</v>
      </c>
      <c r="D123" s="459" t="n">
        <v>40268</v>
      </c>
      <c r="E123" s="458" t="s">
        <v>16816</v>
      </c>
      <c r="F123" s="458" t="s">
        <v>16808</v>
      </c>
      <c r="G123" s="458" t="s">
        <v>1174</v>
      </c>
      <c r="H123" s="458" t="s">
        <v>223</v>
      </c>
      <c r="I123" s="459" t="n">
        <v>41954</v>
      </c>
      <c r="J123" s="460" t="n">
        <v>11</v>
      </c>
      <c r="K123" s="633" t="s">
        <v>47</v>
      </c>
      <c r="L123" s="460" t="s">
        <v>60</v>
      </c>
      <c r="M123" s="463" t="n">
        <f aca="false">I123-D123</f>
        <v>1686</v>
      </c>
    </row>
    <row r="124" customFormat="false" ht="12.75" hidden="false" customHeight="true" outlineLevel="0" collapsed="false">
      <c r="A124" s="449" t="n">
        <v>12314</v>
      </c>
      <c r="B124" s="450" t="s">
        <v>16817</v>
      </c>
      <c r="C124" s="450" t="n">
        <v>2010</v>
      </c>
      <c r="D124" s="451" t="n">
        <v>40540</v>
      </c>
      <c r="E124" s="450" t="s">
        <v>16818</v>
      </c>
      <c r="F124" s="450" t="s">
        <v>16808</v>
      </c>
      <c r="G124" s="450" t="s">
        <v>1174</v>
      </c>
      <c r="H124" s="450" t="s">
        <v>471</v>
      </c>
      <c r="I124" s="451" t="n">
        <v>41955</v>
      </c>
      <c r="J124" s="452" t="n">
        <v>11</v>
      </c>
      <c r="K124" s="633" t="s">
        <v>47</v>
      </c>
      <c r="L124" s="452" t="s">
        <v>60</v>
      </c>
      <c r="M124" s="455" t="n">
        <f aca="false">I124-D124</f>
        <v>1415</v>
      </c>
    </row>
    <row r="125" customFormat="false" ht="12.75" hidden="false" customHeight="true" outlineLevel="0" collapsed="false">
      <c r="A125" s="456" t="n">
        <v>12414</v>
      </c>
      <c r="B125" s="458" t="s">
        <v>16819</v>
      </c>
      <c r="C125" s="458" t="n">
        <v>2011</v>
      </c>
      <c r="D125" s="459" t="n">
        <v>40729</v>
      </c>
      <c r="E125" s="458" t="s">
        <v>16820</v>
      </c>
      <c r="F125" s="458" t="s">
        <v>15802</v>
      </c>
      <c r="G125" s="458" t="s">
        <v>1174</v>
      </c>
      <c r="H125" s="458" t="s">
        <v>310</v>
      </c>
      <c r="I125" s="459" t="n">
        <v>41955</v>
      </c>
      <c r="J125" s="460" t="n">
        <v>11</v>
      </c>
      <c r="K125" s="631" t="s">
        <v>42</v>
      </c>
      <c r="L125" s="460" t="s">
        <v>58</v>
      </c>
      <c r="M125" s="463" t="n">
        <f aca="false">I125-D125</f>
        <v>1226</v>
      </c>
    </row>
    <row r="126" customFormat="false" ht="12.75" hidden="false" customHeight="true" outlineLevel="0" collapsed="false">
      <c r="A126" s="449" t="n">
        <v>12514</v>
      </c>
      <c r="B126" s="450" t="s">
        <v>16821</v>
      </c>
      <c r="C126" s="450" t="n">
        <v>2011</v>
      </c>
      <c r="D126" s="451" t="n">
        <v>40766</v>
      </c>
      <c r="E126" s="450" t="s">
        <v>16822</v>
      </c>
      <c r="F126" s="450" t="s">
        <v>16808</v>
      </c>
      <c r="G126" s="450" t="s">
        <v>1174</v>
      </c>
      <c r="H126" s="450" t="s">
        <v>12073</v>
      </c>
      <c r="I126" s="451" t="n">
        <v>41960</v>
      </c>
      <c r="J126" s="452" t="n">
        <v>11</v>
      </c>
      <c r="K126" s="633" t="s">
        <v>47</v>
      </c>
      <c r="L126" s="452" t="s">
        <v>60</v>
      </c>
      <c r="M126" s="455" t="n">
        <f aca="false">I126-D126</f>
        <v>1194</v>
      </c>
    </row>
    <row r="127" customFormat="false" ht="12.75" hidden="false" customHeight="true" outlineLevel="0" collapsed="false">
      <c r="A127" s="456" t="n">
        <v>12614</v>
      </c>
      <c r="B127" s="458" t="s">
        <v>16823</v>
      </c>
      <c r="C127" s="458" t="n">
        <v>2010</v>
      </c>
      <c r="D127" s="459" t="n">
        <v>40498</v>
      </c>
      <c r="E127" s="458" t="s">
        <v>16824</v>
      </c>
      <c r="F127" s="458" t="s">
        <v>16808</v>
      </c>
      <c r="G127" s="458" t="s">
        <v>1174</v>
      </c>
      <c r="H127" s="458" t="s">
        <v>310</v>
      </c>
      <c r="I127" s="459" t="n">
        <v>41960</v>
      </c>
      <c r="J127" s="460" t="n">
        <v>11</v>
      </c>
      <c r="K127" s="633" t="s">
        <v>47</v>
      </c>
      <c r="L127" s="460" t="s">
        <v>60</v>
      </c>
      <c r="M127" s="463" t="n">
        <f aca="false">I127-D127</f>
        <v>1462</v>
      </c>
    </row>
    <row r="128" customFormat="false" ht="12.75" hidden="false" customHeight="true" outlineLevel="0" collapsed="false">
      <c r="A128" s="449" t="n">
        <v>12714</v>
      </c>
      <c r="B128" s="450" t="s">
        <v>16825</v>
      </c>
      <c r="C128" s="450" t="n">
        <v>2014</v>
      </c>
      <c r="D128" s="451" t="n">
        <v>41821</v>
      </c>
      <c r="E128" s="450" t="s">
        <v>16826</v>
      </c>
      <c r="F128" s="450" t="s">
        <v>4270</v>
      </c>
      <c r="G128" s="450" t="s">
        <v>1174</v>
      </c>
      <c r="H128" s="450" t="s">
        <v>223</v>
      </c>
      <c r="I128" s="451" t="n">
        <v>41962</v>
      </c>
      <c r="J128" s="452" t="n">
        <v>11</v>
      </c>
      <c r="K128" s="631" t="s">
        <v>42</v>
      </c>
      <c r="L128" s="452" t="s">
        <v>60</v>
      </c>
      <c r="M128" s="455" t="n">
        <f aca="false">I128-D128</f>
        <v>141</v>
      </c>
    </row>
    <row r="129" customFormat="false" ht="12.75" hidden="false" customHeight="true" outlineLevel="0" collapsed="false">
      <c r="A129" s="456" t="n">
        <v>12814</v>
      </c>
      <c r="B129" s="458" t="s">
        <v>16827</v>
      </c>
      <c r="C129" s="458" t="n">
        <v>2012</v>
      </c>
      <c r="D129" s="459" t="n">
        <v>41008</v>
      </c>
      <c r="E129" s="458" t="s">
        <v>16828</v>
      </c>
      <c r="F129" s="458" t="s">
        <v>16645</v>
      </c>
      <c r="G129" s="458" t="s">
        <v>1174</v>
      </c>
      <c r="H129" s="458" t="s">
        <v>1059</v>
      </c>
      <c r="I129" s="459" t="n">
        <v>41964</v>
      </c>
      <c r="J129" s="460" t="n">
        <v>11</v>
      </c>
      <c r="K129" s="633" t="s">
        <v>47</v>
      </c>
      <c r="L129" s="460" t="s">
        <v>60</v>
      </c>
      <c r="M129" s="463" t="n">
        <f aca="false">I129-D129</f>
        <v>956</v>
      </c>
    </row>
    <row r="130" customFormat="false" ht="12.75" hidden="false" customHeight="true" outlineLevel="0" collapsed="false">
      <c r="A130" s="449" t="n">
        <v>12914</v>
      </c>
      <c r="B130" s="450" t="s">
        <v>16829</v>
      </c>
      <c r="C130" s="450" t="n">
        <v>2010</v>
      </c>
      <c r="D130" s="451" t="n">
        <v>40255</v>
      </c>
      <c r="E130" s="450" t="s">
        <v>16830</v>
      </c>
      <c r="F130" s="450" t="s">
        <v>1338</v>
      </c>
      <c r="G130" s="450" t="s">
        <v>441</v>
      </c>
      <c r="H130" s="450" t="s">
        <v>16831</v>
      </c>
      <c r="I130" s="451" t="n">
        <v>41964</v>
      </c>
      <c r="J130" s="452" t="n">
        <v>11</v>
      </c>
      <c r="K130" s="633" t="s">
        <v>47</v>
      </c>
      <c r="L130" s="452" t="s">
        <v>61</v>
      </c>
      <c r="M130" s="455" t="n">
        <f aca="false">I130-D130</f>
        <v>1709</v>
      </c>
    </row>
    <row r="131" customFormat="false" ht="12.75" hidden="false" customHeight="true" outlineLevel="0" collapsed="false">
      <c r="A131" s="456" t="n">
        <v>13014</v>
      </c>
      <c r="B131" s="458" t="s">
        <v>16832</v>
      </c>
      <c r="C131" s="458" t="n">
        <v>2010</v>
      </c>
      <c r="D131" s="459" t="n">
        <v>40326</v>
      </c>
      <c r="E131" s="458" t="s">
        <v>16833</v>
      </c>
      <c r="F131" s="458" t="s">
        <v>3924</v>
      </c>
      <c r="G131" s="458" t="s">
        <v>1174</v>
      </c>
      <c r="H131" s="458" t="s">
        <v>6755</v>
      </c>
      <c r="I131" s="459" t="n">
        <v>41967</v>
      </c>
      <c r="J131" s="460" t="n">
        <v>11</v>
      </c>
      <c r="K131" s="631" t="s">
        <v>42</v>
      </c>
      <c r="L131" s="460" t="s">
        <v>58</v>
      </c>
      <c r="M131" s="463" t="n">
        <f aca="false">I131-D131</f>
        <v>1641</v>
      </c>
    </row>
    <row r="132" customFormat="false" ht="12.75" hidden="false" customHeight="true" outlineLevel="0" collapsed="false">
      <c r="A132" s="449" t="n">
        <v>13114</v>
      </c>
      <c r="B132" s="450" t="s">
        <v>16834</v>
      </c>
      <c r="C132" s="450" t="n">
        <v>2011</v>
      </c>
      <c r="D132" s="451" t="n">
        <v>40709</v>
      </c>
      <c r="E132" s="450" t="s">
        <v>16835</v>
      </c>
      <c r="F132" s="450" t="s">
        <v>699</v>
      </c>
      <c r="G132" s="450" t="s">
        <v>441</v>
      </c>
      <c r="H132" s="450" t="s">
        <v>471</v>
      </c>
      <c r="I132" s="451" t="n">
        <v>41969</v>
      </c>
      <c r="J132" s="452" t="n">
        <v>11</v>
      </c>
      <c r="K132" s="633" t="s">
        <v>47</v>
      </c>
      <c r="L132" s="452" t="s">
        <v>60</v>
      </c>
      <c r="M132" s="455" t="n">
        <f aca="false">I132-D132</f>
        <v>1260</v>
      </c>
    </row>
    <row r="133" customFormat="false" ht="12.75" hidden="false" customHeight="true" outlineLevel="0" collapsed="false">
      <c r="A133" s="456" t="n">
        <v>13214</v>
      </c>
      <c r="B133" s="458" t="s">
        <v>16836</v>
      </c>
      <c r="C133" s="458" t="n">
        <v>2009</v>
      </c>
      <c r="D133" s="459" t="n">
        <v>40163</v>
      </c>
      <c r="E133" s="458" t="s">
        <v>16837</v>
      </c>
      <c r="F133" s="458" t="s">
        <v>1097</v>
      </c>
      <c r="G133" s="458" t="s">
        <v>1174</v>
      </c>
      <c r="H133" s="458" t="s">
        <v>2296</v>
      </c>
      <c r="I133" s="459" t="n">
        <v>41970</v>
      </c>
      <c r="J133" s="460" t="n">
        <v>11</v>
      </c>
      <c r="K133" s="631" t="s">
        <v>42</v>
      </c>
      <c r="L133" s="460" t="s">
        <v>60</v>
      </c>
      <c r="M133" s="463" t="n">
        <f aca="false">I133-D133</f>
        <v>1807</v>
      </c>
    </row>
    <row r="134" customFormat="false" ht="12.75" hidden="false" customHeight="true" outlineLevel="0" collapsed="false">
      <c r="A134" s="449" t="n">
        <v>13314</v>
      </c>
      <c r="B134" s="450" t="s">
        <v>16838</v>
      </c>
      <c r="C134" s="450" t="n">
        <v>2009</v>
      </c>
      <c r="D134" s="451" t="n">
        <v>40109</v>
      </c>
      <c r="E134" s="450" t="s">
        <v>16839</v>
      </c>
      <c r="F134" s="450" t="s">
        <v>705</v>
      </c>
      <c r="G134" s="450" t="s">
        <v>1174</v>
      </c>
      <c r="H134" s="450" t="s">
        <v>354</v>
      </c>
      <c r="I134" s="451" t="n">
        <v>41975</v>
      </c>
      <c r="J134" s="452" t="n">
        <v>12</v>
      </c>
      <c r="K134" s="633" t="s">
        <v>47</v>
      </c>
      <c r="L134" s="452" t="s">
        <v>58</v>
      </c>
      <c r="M134" s="455" t="n">
        <f aca="false">I134-D134</f>
        <v>1866</v>
      </c>
    </row>
    <row r="135" customFormat="false" ht="12.75" hidden="false" customHeight="true" outlineLevel="0" collapsed="false">
      <c r="A135" s="456" t="n">
        <v>13414</v>
      </c>
      <c r="B135" s="458" t="s">
        <v>16840</v>
      </c>
      <c r="C135" s="458" t="n">
        <v>2009</v>
      </c>
      <c r="D135" s="459" t="n">
        <v>40116</v>
      </c>
      <c r="E135" s="458" t="s">
        <v>16841</v>
      </c>
      <c r="F135" s="458" t="s">
        <v>1693</v>
      </c>
      <c r="G135" s="458" t="s">
        <v>1174</v>
      </c>
      <c r="H135" s="458" t="s">
        <v>5230</v>
      </c>
      <c r="I135" s="459" t="n">
        <v>41976</v>
      </c>
      <c r="J135" s="460" t="n">
        <v>12</v>
      </c>
      <c r="K135" s="634" t="s">
        <v>45</v>
      </c>
      <c r="L135" s="460" t="s">
        <v>58</v>
      </c>
      <c r="M135" s="463" t="n">
        <f aca="false">I135-D135</f>
        <v>1860</v>
      </c>
    </row>
    <row r="136" customFormat="false" ht="12.75" hidden="false" customHeight="true" outlineLevel="0" collapsed="false">
      <c r="A136" s="449" t="n">
        <v>13514</v>
      </c>
      <c r="B136" s="450" t="s">
        <v>16842</v>
      </c>
      <c r="C136" s="450" t="n">
        <v>2012</v>
      </c>
      <c r="D136" s="451" t="n">
        <v>41047</v>
      </c>
      <c r="E136" s="450" t="s">
        <v>16843</v>
      </c>
      <c r="F136" s="450" t="s">
        <v>16844</v>
      </c>
      <c r="G136" s="450" t="s">
        <v>125</v>
      </c>
      <c r="H136" s="450" t="s">
        <v>1042</v>
      </c>
      <c r="I136" s="451" t="n">
        <v>41976</v>
      </c>
      <c r="J136" s="452" t="n">
        <v>12</v>
      </c>
      <c r="K136" s="631" t="s">
        <v>42</v>
      </c>
      <c r="L136" s="452" t="s">
        <v>61</v>
      </c>
      <c r="M136" s="455" t="n">
        <f aca="false">I136-D136</f>
        <v>929</v>
      </c>
    </row>
    <row r="137" customFormat="false" ht="12.75" hidden="false" customHeight="true" outlineLevel="0" collapsed="false">
      <c r="A137" s="456" t="n">
        <v>13614</v>
      </c>
      <c r="B137" s="458" t="s">
        <v>16845</v>
      </c>
      <c r="C137" s="458" t="n">
        <v>2012</v>
      </c>
      <c r="D137" s="459" t="n">
        <v>41095</v>
      </c>
      <c r="E137" s="458" t="s">
        <v>16846</v>
      </c>
      <c r="F137" s="458" t="s">
        <v>699</v>
      </c>
      <c r="G137" s="458" t="s">
        <v>441</v>
      </c>
      <c r="H137" s="458" t="s">
        <v>471</v>
      </c>
      <c r="I137" s="459" t="n">
        <v>41977</v>
      </c>
      <c r="J137" s="460" t="n">
        <v>12</v>
      </c>
      <c r="K137" s="633" t="s">
        <v>47</v>
      </c>
      <c r="L137" s="460" t="s">
        <v>60</v>
      </c>
      <c r="M137" s="463" t="n">
        <f aca="false">I137-D137</f>
        <v>882</v>
      </c>
    </row>
    <row r="138" customFormat="false" ht="12.75" hidden="false" customHeight="true" outlineLevel="0" collapsed="false">
      <c r="A138" s="449" t="n">
        <v>13714</v>
      </c>
      <c r="B138" s="450" t="s">
        <v>16847</v>
      </c>
      <c r="C138" s="450" t="n">
        <v>2012</v>
      </c>
      <c r="D138" s="451" t="n">
        <v>41095</v>
      </c>
      <c r="E138" s="450" t="s">
        <v>16848</v>
      </c>
      <c r="F138" s="450" t="s">
        <v>699</v>
      </c>
      <c r="G138" s="450" t="s">
        <v>441</v>
      </c>
      <c r="H138" s="450" t="s">
        <v>471</v>
      </c>
      <c r="I138" s="451" t="n">
        <v>41977</v>
      </c>
      <c r="J138" s="452" t="n">
        <v>12</v>
      </c>
      <c r="K138" s="633" t="s">
        <v>47</v>
      </c>
      <c r="L138" s="452" t="s">
        <v>60</v>
      </c>
      <c r="M138" s="455" t="n">
        <f aca="false">I138-D138</f>
        <v>882</v>
      </c>
    </row>
    <row r="139" customFormat="false" ht="12.75" hidden="false" customHeight="true" outlineLevel="0" collapsed="false">
      <c r="A139" s="456" t="n">
        <v>13814</v>
      </c>
      <c r="B139" s="458" t="s">
        <v>16849</v>
      </c>
      <c r="C139" s="458" t="n">
        <v>2008</v>
      </c>
      <c r="D139" s="459" t="n">
        <v>39752</v>
      </c>
      <c r="E139" s="458" t="s">
        <v>16850</v>
      </c>
      <c r="F139" s="458" t="s">
        <v>8232</v>
      </c>
      <c r="G139" s="458" t="s">
        <v>441</v>
      </c>
      <c r="H139" s="458" t="s">
        <v>192</v>
      </c>
      <c r="I139" s="459" t="n">
        <v>41977</v>
      </c>
      <c r="J139" s="460" t="n">
        <v>12</v>
      </c>
      <c r="K139" s="633" t="s">
        <v>47</v>
      </c>
      <c r="L139" s="460" t="s">
        <v>60</v>
      </c>
      <c r="M139" s="463" t="n">
        <f aca="false">I139-D139</f>
        <v>2225</v>
      </c>
    </row>
    <row r="140" customFormat="false" ht="12.75" hidden="false" customHeight="true" outlineLevel="0" collapsed="false">
      <c r="A140" s="449" t="n">
        <v>13914</v>
      </c>
      <c r="B140" s="450" t="s">
        <v>16851</v>
      </c>
      <c r="C140" s="450" t="n">
        <v>2009</v>
      </c>
      <c r="D140" s="451" t="n">
        <v>40163</v>
      </c>
      <c r="E140" s="450" t="s">
        <v>16852</v>
      </c>
      <c r="F140" s="450" t="s">
        <v>1097</v>
      </c>
      <c r="G140" s="450" t="s">
        <v>1174</v>
      </c>
      <c r="H140" s="450" t="s">
        <v>354</v>
      </c>
      <c r="I140" s="451" t="n">
        <v>41981</v>
      </c>
      <c r="J140" s="452" t="n">
        <v>12</v>
      </c>
      <c r="K140" s="631" t="s">
        <v>42</v>
      </c>
      <c r="L140" s="452" t="s">
        <v>60</v>
      </c>
      <c r="M140" s="455" t="n">
        <f aca="false">I140-D140</f>
        <v>1818</v>
      </c>
    </row>
    <row r="141" customFormat="false" ht="12.75" hidden="false" customHeight="true" outlineLevel="0" collapsed="false">
      <c r="A141" s="456" t="n">
        <v>14014</v>
      </c>
      <c r="B141" s="458" t="s">
        <v>16853</v>
      </c>
      <c r="C141" s="458" t="n">
        <v>2011</v>
      </c>
      <c r="D141" s="459" t="n">
        <v>40716</v>
      </c>
      <c r="E141" s="458" t="s">
        <v>16854</v>
      </c>
      <c r="F141" s="458" t="s">
        <v>1097</v>
      </c>
      <c r="G141" s="458" t="s">
        <v>1174</v>
      </c>
      <c r="H141" s="458" t="s">
        <v>184</v>
      </c>
      <c r="I141" s="459" t="n">
        <v>41981</v>
      </c>
      <c r="J141" s="460" t="n">
        <v>12</v>
      </c>
      <c r="K141" s="631" t="s">
        <v>42</v>
      </c>
      <c r="L141" s="460" t="s">
        <v>60</v>
      </c>
      <c r="M141" s="463" t="n">
        <f aca="false">I141-D141</f>
        <v>1265</v>
      </c>
    </row>
    <row r="142" customFormat="false" ht="12.75" hidden="false" customHeight="true" outlineLevel="0" collapsed="false">
      <c r="A142" s="449" t="n">
        <v>14114</v>
      </c>
      <c r="B142" s="450" t="s">
        <v>16855</v>
      </c>
      <c r="C142" s="450" t="n">
        <v>2010</v>
      </c>
      <c r="D142" s="451" t="n">
        <v>40301</v>
      </c>
      <c r="E142" s="450" t="s">
        <v>16856</v>
      </c>
      <c r="F142" s="450" t="s">
        <v>211</v>
      </c>
      <c r="G142" s="450" t="s">
        <v>1174</v>
      </c>
      <c r="H142" s="450" t="s">
        <v>310</v>
      </c>
      <c r="I142" s="451" t="n">
        <v>41981</v>
      </c>
      <c r="J142" s="452" t="n">
        <v>12</v>
      </c>
      <c r="K142" s="631" t="s">
        <v>42</v>
      </c>
      <c r="L142" s="452" t="s">
        <v>58</v>
      </c>
      <c r="M142" s="455" t="n">
        <f aca="false">I142-D142</f>
        <v>1680</v>
      </c>
    </row>
    <row r="143" customFormat="false" ht="12.75" hidden="false" customHeight="true" outlineLevel="0" collapsed="false">
      <c r="A143" s="456" t="n">
        <v>14214</v>
      </c>
      <c r="B143" s="458" t="s">
        <v>16857</v>
      </c>
      <c r="C143" s="458" t="n">
        <v>2011</v>
      </c>
      <c r="D143" s="459" t="n">
        <v>40612</v>
      </c>
      <c r="E143" s="458" t="s">
        <v>16858</v>
      </c>
      <c r="F143" s="458" t="s">
        <v>8232</v>
      </c>
      <c r="G143" s="458" t="s">
        <v>1174</v>
      </c>
      <c r="H143" s="458" t="s">
        <v>12763</v>
      </c>
      <c r="I143" s="459" t="n">
        <v>41983</v>
      </c>
      <c r="J143" s="460" t="n">
        <v>12</v>
      </c>
      <c r="K143" s="633" t="s">
        <v>47</v>
      </c>
      <c r="L143" s="460" t="s">
        <v>60</v>
      </c>
      <c r="M143" s="463" t="n">
        <f aca="false">I143-D143</f>
        <v>1371</v>
      </c>
    </row>
    <row r="144" customFormat="false" ht="12.75" hidden="false" customHeight="true" outlineLevel="0" collapsed="false">
      <c r="A144" s="449" t="n">
        <v>14314</v>
      </c>
      <c r="B144" s="450" t="s">
        <v>16859</v>
      </c>
      <c r="C144" s="450" t="n">
        <v>2008</v>
      </c>
      <c r="D144" s="451" t="n">
        <v>39633</v>
      </c>
      <c r="E144" s="450" t="s">
        <v>16860</v>
      </c>
      <c r="F144" s="450" t="s">
        <v>6089</v>
      </c>
      <c r="G144" s="450" t="s">
        <v>115</v>
      </c>
      <c r="H144" s="450" t="s">
        <v>10110</v>
      </c>
      <c r="I144" s="451" t="n">
        <v>41983</v>
      </c>
      <c r="J144" s="452" t="n">
        <v>12</v>
      </c>
      <c r="K144" s="633" t="s">
        <v>47</v>
      </c>
      <c r="L144" s="452" t="s">
        <v>58</v>
      </c>
      <c r="M144" s="455" t="n">
        <f aca="false">I144-D144</f>
        <v>2350</v>
      </c>
    </row>
    <row r="145" customFormat="false" ht="12.75" hidden="false" customHeight="true" outlineLevel="0" collapsed="false">
      <c r="A145" s="456" t="n">
        <v>14414</v>
      </c>
      <c r="B145" s="458" t="s">
        <v>16861</v>
      </c>
      <c r="C145" s="458" t="n">
        <v>2008</v>
      </c>
      <c r="D145" s="459" t="n">
        <v>39633</v>
      </c>
      <c r="E145" s="458" t="s">
        <v>16862</v>
      </c>
      <c r="F145" s="458" t="s">
        <v>6089</v>
      </c>
      <c r="G145" s="458" t="s">
        <v>115</v>
      </c>
      <c r="H145" s="458" t="s">
        <v>10110</v>
      </c>
      <c r="I145" s="459" t="n">
        <v>41983</v>
      </c>
      <c r="J145" s="460" t="n">
        <v>12</v>
      </c>
      <c r="K145" s="633" t="s">
        <v>47</v>
      </c>
      <c r="L145" s="460" t="s">
        <v>58</v>
      </c>
      <c r="M145" s="463" t="n">
        <f aca="false">I145-D145</f>
        <v>2350</v>
      </c>
    </row>
    <row r="146" customFormat="false" ht="12.75" hidden="false" customHeight="true" outlineLevel="0" collapsed="false">
      <c r="A146" s="449" t="n">
        <v>14514</v>
      </c>
      <c r="B146" s="450" t="s">
        <v>16863</v>
      </c>
      <c r="C146" s="450" t="n">
        <v>2010</v>
      </c>
      <c r="D146" s="451" t="n">
        <v>40336</v>
      </c>
      <c r="E146" s="450" t="s">
        <v>16864</v>
      </c>
      <c r="F146" s="450" t="s">
        <v>16667</v>
      </c>
      <c r="G146" s="450" t="s">
        <v>441</v>
      </c>
      <c r="H146" s="450" t="s">
        <v>1305</v>
      </c>
      <c r="I146" s="451" t="n">
        <v>41984</v>
      </c>
      <c r="J146" s="452" t="n">
        <v>12</v>
      </c>
      <c r="K146" s="633" t="s">
        <v>47</v>
      </c>
      <c r="L146" s="452" t="s">
        <v>58</v>
      </c>
      <c r="M146" s="455" t="n">
        <f aca="false">I146-D146</f>
        <v>1648</v>
      </c>
    </row>
    <row r="147" customFormat="false" ht="12.75" hidden="false" customHeight="true" outlineLevel="0" collapsed="false">
      <c r="A147" s="456" t="n">
        <v>14614</v>
      </c>
      <c r="B147" s="458" t="s">
        <v>16865</v>
      </c>
      <c r="C147" s="458" t="n">
        <v>2010</v>
      </c>
      <c r="D147" s="459" t="n">
        <v>40200</v>
      </c>
      <c r="E147" s="458" t="s">
        <v>16866</v>
      </c>
      <c r="F147" s="458" t="s">
        <v>705</v>
      </c>
      <c r="G147" s="458" t="s">
        <v>1174</v>
      </c>
      <c r="H147" s="458" t="s">
        <v>12073</v>
      </c>
      <c r="I147" s="459" t="n">
        <v>41984</v>
      </c>
      <c r="J147" s="460" t="n">
        <v>12</v>
      </c>
      <c r="K147" s="634" t="s">
        <v>45</v>
      </c>
      <c r="L147" s="460" t="s">
        <v>58</v>
      </c>
      <c r="M147" s="463" t="n">
        <f aca="false">I147-D147</f>
        <v>1784</v>
      </c>
    </row>
    <row r="148" customFormat="false" ht="12.75" hidden="false" customHeight="true" outlineLevel="0" collapsed="false">
      <c r="A148" s="449" t="n">
        <v>14714</v>
      </c>
      <c r="B148" s="450" t="s">
        <v>16867</v>
      </c>
      <c r="C148" s="450" t="n">
        <v>2011</v>
      </c>
      <c r="D148" s="451" t="n">
        <v>40555</v>
      </c>
      <c r="E148" s="450" t="s">
        <v>16868</v>
      </c>
      <c r="F148" s="450" t="s">
        <v>8232</v>
      </c>
      <c r="G148" s="450" t="s">
        <v>1174</v>
      </c>
      <c r="H148" s="450" t="s">
        <v>15992</v>
      </c>
      <c r="I148" s="451" t="n">
        <v>41985</v>
      </c>
      <c r="J148" s="452" t="n">
        <v>12</v>
      </c>
      <c r="K148" s="633" t="s">
        <v>47</v>
      </c>
      <c r="L148" s="452" t="s">
        <v>60</v>
      </c>
      <c r="M148" s="455" t="n">
        <f aca="false">I148-D148</f>
        <v>1430</v>
      </c>
    </row>
    <row r="149" customFormat="false" ht="12.75" hidden="false" customHeight="true" outlineLevel="0" collapsed="false">
      <c r="A149" s="456" t="n">
        <v>14814</v>
      </c>
      <c r="B149" s="458" t="s">
        <v>16869</v>
      </c>
      <c r="C149" s="458" t="n">
        <v>2012</v>
      </c>
      <c r="D149" s="459" t="n">
        <v>40935</v>
      </c>
      <c r="E149" s="458" t="s">
        <v>16870</v>
      </c>
      <c r="F149" s="458" t="s">
        <v>823</v>
      </c>
      <c r="G149" s="458" t="s">
        <v>441</v>
      </c>
      <c r="H149" s="458" t="s">
        <v>223</v>
      </c>
      <c r="I149" s="459" t="n">
        <v>41990</v>
      </c>
      <c r="J149" s="460" t="n">
        <v>12</v>
      </c>
      <c r="K149" s="633" t="s">
        <v>47</v>
      </c>
      <c r="L149" s="460" t="s">
        <v>60</v>
      </c>
      <c r="M149" s="463" t="n">
        <f aca="false">I149-D149</f>
        <v>1055</v>
      </c>
    </row>
    <row r="150" customFormat="false" ht="12.75" hidden="false" customHeight="true" outlineLevel="0" collapsed="false">
      <c r="A150" s="449" t="n">
        <v>14914</v>
      </c>
      <c r="B150" s="450" t="s">
        <v>16871</v>
      </c>
      <c r="C150" s="450" t="n">
        <v>2011</v>
      </c>
      <c r="D150" s="451" t="n">
        <v>40626</v>
      </c>
      <c r="E150" s="450" t="s">
        <v>16872</v>
      </c>
      <c r="F150" s="450" t="s">
        <v>1277</v>
      </c>
      <c r="G150" s="450" t="s">
        <v>1174</v>
      </c>
      <c r="H150" s="450" t="s">
        <v>12073</v>
      </c>
      <c r="I150" s="451" t="n">
        <v>41999</v>
      </c>
      <c r="J150" s="452" t="n">
        <v>12</v>
      </c>
      <c r="K150" s="634" t="s">
        <v>45</v>
      </c>
      <c r="L150" s="452" t="s">
        <v>58</v>
      </c>
      <c r="M150" s="455" t="n">
        <f aca="false">I150-D150</f>
        <v>1373</v>
      </c>
    </row>
  </sheetData>
  <autoFilter ref="A1:M151"/>
  <mergeCells count="76">
    <mergeCell ref="O2:P2"/>
    <mergeCell ref="O14:S15"/>
    <mergeCell ref="O16:S16"/>
    <mergeCell ref="O17:S17"/>
    <mergeCell ref="O18:S18"/>
    <mergeCell ref="O19:S19"/>
    <mergeCell ref="O20:S20"/>
    <mergeCell ref="O21:S21"/>
    <mergeCell ref="O22:S22"/>
    <mergeCell ref="O23:S23"/>
    <mergeCell ref="O24:S24"/>
    <mergeCell ref="O26:S27"/>
    <mergeCell ref="P28:R28"/>
    <mergeCell ref="P29:R29"/>
    <mergeCell ref="P30:R30"/>
    <mergeCell ref="P31:R31"/>
    <mergeCell ref="P32:R32"/>
    <mergeCell ref="P33:R33"/>
    <mergeCell ref="P34:R34"/>
    <mergeCell ref="P35:R35"/>
    <mergeCell ref="P36:R36"/>
    <mergeCell ref="P37:R37"/>
    <mergeCell ref="P38:R38"/>
    <mergeCell ref="P39:R39"/>
    <mergeCell ref="P40:R40"/>
    <mergeCell ref="P41:R41"/>
    <mergeCell ref="P42:R42"/>
    <mergeCell ref="O44:S45"/>
    <mergeCell ref="P46:R46"/>
    <mergeCell ref="P47:R47"/>
    <mergeCell ref="P48:R48"/>
    <mergeCell ref="P49:R49"/>
    <mergeCell ref="P50:R50"/>
    <mergeCell ref="P51:R51"/>
    <mergeCell ref="P52:R52"/>
    <mergeCell ref="P53:R53"/>
    <mergeCell ref="P54:R54"/>
    <mergeCell ref="P55:R55"/>
    <mergeCell ref="P56:R56"/>
    <mergeCell ref="P57:R57"/>
    <mergeCell ref="P58:R58"/>
    <mergeCell ref="P59:R59"/>
    <mergeCell ref="O61:T62"/>
    <mergeCell ref="O63:R63"/>
    <mergeCell ref="O64:R64"/>
    <mergeCell ref="O65:R65"/>
    <mergeCell ref="O66:R66"/>
    <mergeCell ref="O67:R67"/>
    <mergeCell ref="O68:R68"/>
    <mergeCell ref="O69:R69"/>
    <mergeCell ref="O70:R70"/>
    <mergeCell ref="O71:R71"/>
    <mergeCell ref="O72:R72"/>
    <mergeCell ref="O73:R73"/>
    <mergeCell ref="O74:R74"/>
    <mergeCell ref="O75:R75"/>
    <mergeCell ref="O76:R76"/>
    <mergeCell ref="O78:T79"/>
    <mergeCell ref="O80:R80"/>
    <mergeCell ref="O81:R81"/>
    <mergeCell ref="O82:R82"/>
    <mergeCell ref="O83:R83"/>
    <mergeCell ref="O84:R84"/>
    <mergeCell ref="O85:R85"/>
    <mergeCell ref="O87:R88"/>
    <mergeCell ref="P89:R89"/>
    <mergeCell ref="P90:R90"/>
    <mergeCell ref="P91:R91"/>
    <mergeCell ref="P92:R92"/>
    <mergeCell ref="P93:R93"/>
    <mergeCell ref="P94:R94"/>
    <mergeCell ref="P95:R95"/>
    <mergeCell ref="P96:R96"/>
    <mergeCell ref="P97:R97"/>
    <mergeCell ref="P98:R98"/>
    <mergeCell ref="P99:R99"/>
  </mergeCells>
  <printOptions headings="false" gridLines="false" gridLinesSet="true" horizontalCentered="false" verticalCentered="false"/>
  <pageMargins left="0.511805555555556" right="0.511805555555556" top="0.7875" bottom="0.78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1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B1" activeCellId="0" sqref="B1"/>
    </sheetView>
  </sheetViews>
  <sheetFormatPr defaultColWidth="14.2890625" defaultRowHeight="12.75" customHeight="false" zeroHeight="false" outlineLevelRow="0" outlineLevelCol="0"/>
  <cols>
    <col collapsed="false" customWidth="true" hidden="false" outlineLevel="0" max="1" min="1" style="0" width="15.58"/>
    <col collapsed="false" customWidth="true" hidden="false" outlineLevel="0" max="2" min="2" style="0" width="24.71"/>
    <col collapsed="false" customWidth="true" hidden="false" outlineLevel="0" max="3" min="3" style="0" width="21.71"/>
    <col collapsed="false" customWidth="true" hidden="false" outlineLevel="0" max="4" min="4" style="0" width="22"/>
    <col collapsed="false" customWidth="true" hidden="false" outlineLevel="0" max="5" min="5" style="0" width="38.29"/>
    <col collapsed="false" customWidth="true" hidden="false" outlineLevel="0" max="6" min="6" style="0" width="51.85"/>
    <col collapsed="false" customWidth="true" hidden="false" outlineLevel="0" max="7" min="7" style="0" width="13.29"/>
    <col collapsed="false" customWidth="true" hidden="false" outlineLevel="0" max="8" min="8" style="0" width="17.14"/>
    <col collapsed="false" customWidth="true" hidden="false" outlineLevel="0" max="9" min="9" style="0" width="25.57"/>
    <col collapsed="false" customWidth="true" hidden="false" outlineLevel="0" max="10" min="10" style="0" width="28.28"/>
    <col collapsed="false" customWidth="true" hidden="false" outlineLevel="0" max="11" min="11" style="0" width="60.57"/>
    <col collapsed="false" customWidth="true" hidden="false" outlineLevel="0" max="12" min="12" style="0" width="76.14"/>
    <col collapsed="false" customWidth="true" hidden="false" outlineLevel="0" max="13" min="13" style="0" width="53.43"/>
    <col collapsed="false" customWidth="true" hidden="false" outlineLevel="0" max="14" min="14" style="0" width="10"/>
    <col collapsed="false" customWidth="true" hidden="false" outlineLevel="0" max="15" min="15" style="0" width="27.14"/>
    <col collapsed="false" customWidth="true" hidden="false" outlineLevel="0" max="16" min="16" style="0" width="9.85"/>
    <col collapsed="false" customWidth="true" hidden="false" outlineLevel="0" max="17" min="17" style="0" width="3.42"/>
    <col collapsed="false" customWidth="true" hidden="false" outlineLevel="0" max="18" min="18" style="0" width="39"/>
    <col collapsed="false" customWidth="true" hidden="false" outlineLevel="0" max="19" min="19" style="0" width="62.85"/>
    <col collapsed="false" customWidth="true" hidden="false" outlineLevel="0" max="20" min="20" style="0" width="13.71"/>
    <col collapsed="false" customWidth="true" hidden="false" outlineLevel="0" max="21" min="21" style="0" width="9.14"/>
    <col collapsed="false" customWidth="true" hidden="true" outlineLevel="0" max="25" min="22" style="0" width="9.14"/>
    <col collapsed="false" customWidth="true" hidden="false" outlineLevel="0" max="26" min="26" style="0" width="8.71"/>
  </cols>
  <sheetData>
    <row r="1" customFormat="false" ht="12.75" hidden="false" customHeight="true" outlineLevel="0" collapsed="false">
      <c r="A1" s="582" t="s">
        <v>92</v>
      </c>
      <c r="B1" s="585" t="s">
        <v>93</v>
      </c>
      <c r="C1" s="585" t="s">
        <v>89</v>
      </c>
      <c r="D1" s="584" t="s">
        <v>94</v>
      </c>
      <c r="E1" s="585" t="s">
        <v>95</v>
      </c>
      <c r="F1" s="585" t="s">
        <v>96</v>
      </c>
      <c r="G1" s="585" t="s">
        <v>97</v>
      </c>
      <c r="H1" s="585" t="s">
        <v>98</v>
      </c>
      <c r="I1" s="584" t="s">
        <v>99</v>
      </c>
      <c r="J1" s="585" t="s">
        <v>62</v>
      </c>
      <c r="K1" s="586" t="s">
        <v>101</v>
      </c>
      <c r="L1" s="586" t="s">
        <v>102</v>
      </c>
      <c r="M1" s="279" t="s">
        <v>103</v>
      </c>
      <c r="N1" s="4"/>
      <c r="O1" s="4"/>
      <c r="P1" s="4"/>
      <c r="Q1" s="4"/>
      <c r="R1" s="4"/>
      <c r="S1" s="4"/>
    </row>
    <row r="2" customFormat="false" ht="12.75" hidden="false" customHeight="true" outlineLevel="0" collapsed="false">
      <c r="A2" s="449" t="n">
        <v>113</v>
      </c>
      <c r="B2" s="450" t="s">
        <v>16873</v>
      </c>
      <c r="C2" s="450" t="n">
        <v>2009</v>
      </c>
      <c r="D2" s="451" t="n">
        <v>39826</v>
      </c>
      <c r="E2" s="450" t="s">
        <v>16874</v>
      </c>
      <c r="F2" s="450" t="s">
        <v>699</v>
      </c>
      <c r="G2" s="450" t="s">
        <v>1174</v>
      </c>
      <c r="H2" s="450" t="s">
        <v>16875</v>
      </c>
      <c r="I2" s="451" t="n">
        <v>41277</v>
      </c>
      <c r="J2" s="452" t="n">
        <v>1</v>
      </c>
      <c r="K2" s="631" t="s">
        <v>42</v>
      </c>
      <c r="L2" s="452" t="s">
        <v>60</v>
      </c>
      <c r="M2" s="455" t="n">
        <f aca="false">I2-D2</f>
        <v>1451</v>
      </c>
      <c r="N2" s="4"/>
      <c r="O2" s="280" t="s">
        <v>16876</v>
      </c>
      <c r="P2" s="280"/>
      <c r="Q2" s="146"/>
      <c r="R2" s="146"/>
      <c r="S2" s="146"/>
    </row>
    <row r="3" customFormat="false" ht="12.75" hidden="false" customHeight="true" outlineLevel="0" collapsed="false">
      <c r="A3" s="456" t="n">
        <v>213</v>
      </c>
      <c r="B3" s="458" t="s">
        <v>16877</v>
      </c>
      <c r="C3" s="458" t="n">
        <v>2011</v>
      </c>
      <c r="D3" s="459" t="n">
        <v>40772</v>
      </c>
      <c r="E3" s="458" t="s">
        <v>16878</v>
      </c>
      <c r="F3" s="458" t="s">
        <v>4956</v>
      </c>
      <c r="G3" s="458" t="s">
        <v>1174</v>
      </c>
      <c r="H3" s="458" t="s">
        <v>354</v>
      </c>
      <c r="I3" s="459" t="n">
        <v>41283</v>
      </c>
      <c r="J3" s="460" t="n">
        <v>1</v>
      </c>
      <c r="K3" s="633" t="s">
        <v>47</v>
      </c>
      <c r="L3" s="458" t="s">
        <v>58</v>
      </c>
      <c r="M3" s="463" t="n">
        <f aca="false">I3-D3</f>
        <v>511</v>
      </c>
      <c r="N3" s="4"/>
      <c r="O3" s="281" t="s">
        <v>1182</v>
      </c>
      <c r="P3" s="281" t="n">
        <f aca="false">COUNTIF($G$2:$G$476,"PT")</f>
        <v>1</v>
      </c>
      <c r="Q3" s="146"/>
      <c r="R3" s="146"/>
      <c r="S3" s="146"/>
    </row>
    <row r="4" customFormat="false" ht="12.75" hidden="false" customHeight="true" outlineLevel="0" collapsed="false">
      <c r="A4" s="449" t="n">
        <v>313</v>
      </c>
      <c r="B4" s="450" t="s">
        <v>16879</v>
      </c>
      <c r="C4" s="450" t="n">
        <v>2009</v>
      </c>
      <c r="D4" s="451" t="n">
        <v>40147</v>
      </c>
      <c r="E4" s="450" t="s">
        <v>16880</v>
      </c>
      <c r="F4" s="450" t="s">
        <v>4956</v>
      </c>
      <c r="G4" s="450" t="s">
        <v>1174</v>
      </c>
      <c r="H4" s="450" t="s">
        <v>310</v>
      </c>
      <c r="I4" s="451" t="n">
        <v>41284</v>
      </c>
      <c r="J4" s="452" t="n">
        <v>1</v>
      </c>
      <c r="K4" s="633" t="s">
        <v>47</v>
      </c>
      <c r="L4" s="452" t="s">
        <v>58</v>
      </c>
      <c r="M4" s="455" t="n">
        <f aca="false">I4-D4</f>
        <v>1137</v>
      </c>
      <c r="N4" s="4"/>
      <c r="O4" s="282" t="s">
        <v>1188</v>
      </c>
      <c r="P4" s="282" t="n">
        <f aca="false">COUNTIF($G$2:$G$476,"PTN")</f>
        <v>2</v>
      </c>
      <c r="Q4" s="153"/>
      <c r="R4" s="153"/>
      <c r="S4" s="153"/>
    </row>
    <row r="5" customFormat="false" ht="12.75" hidden="false" customHeight="true" outlineLevel="0" collapsed="false">
      <c r="A5" s="456" t="n">
        <v>413</v>
      </c>
      <c r="B5" s="458" t="s">
        <v>16881</v>
      </c>
      <c r="C5" s="458" t="n">
        <v>2010</v>
      </c>
      <c r="D5" s="459" t="n">
        <v>40419</v>
      </c>
      <c r="E5" s="458" t="s">
        <v>16882</v>
      </c>
      <c r="F5" s="458" t="s">
        <v>1080</v>
      </c>
      <c r="G5" s="458" t="s">
        <v>441</v>
      </c>
      <c r="H5" s="458" t="s">
        <v>13006</v>
      </c>
      <c r="I5" s="459" t="n">
        <v>41285</v>
      </c>
      <c r="J5" s="460" t="n">
        <v>1</v>
      </c>
      <c r="K5" s="631" t="s">
        <v>42</v>
      </c>
      <c r="L5" s="458" t="s">
        <v>58</v>
      </c>
      <c r="M5" s="463" t="n">
        <f aca="false">I5-D5</f>
        <v>866</v>
      </c>
      <c r="N5" s="4"/>
      <c r="O5" s="283" t="s">
        <v>1192</v>
      </c>
      <c r="P5" s="283" t="n">
        <f aca="false">COUNTIF($G$2:$G$476,"PTE")</f>
        <v>45</v>
      </c>
      <c r="Q5" s="153"/>
      <c r="R5" s="153"/>
      <c r="S5" s="153"/>
    </row>
    <row r="6" customFormat="false" ht="12.75" hidden="false" customHeight="true" outlineLevel="0" collapsed="false">
      <c r="A6" s="449" t="n">
        <v>513</v>
      </c>
      <c r="B6" s="450" t="s">
        <v>16883</v>
      </c>
      <c r="C6" s="450" t="n">
        <v>2008</v>
      </c>
      <c r="D6" s="451" t="n">
        <v>39695</v>
      </c>
      <c r="E6" s="450" t="s">
        <v>16884</v>
      </c>
      <c r="F6" s="450" t="s">
        <v>699</v>
      </c>
      <c r="G6" s="450" t="s">
        <v>144</v>
      </c>
      <c r="H6" s="450" t="s">
        <v>285</v>
      </c>
      <c r="I6" s="451" t="n">
        <v>41291</v>
      </c>
      <c r="J6" s="452" t="n">
        <v>1</v>
      </c>
      <c r="K6" s="634" t="s">
        <v>45</v>
      </c>
      <c r="L6" s="452" t="s">
        <v>60</v>
      </c>
      <c r="M6" s="455" t="n">
        <f aca="false">I6-D6</f>
        <v>1596</v>
      </c>
      <c r="N6" s="4"/>
      <c r="O6" s="282" t="s">
        <v>8</v>
      </c>
      <c r="P6" s="282" t="n">
        <f aca="false">COUNTIF($G$2:$G$476,"Pré-Mistura")</f>
        <v>0</v>
      </c>
      <c r="Q6" s="153"/>
      <c r="R6" s="153"/>
      <c r="S6" s="153"/>
    </row>
    <row r="7" customFormat="false" ht="12.75" hidden="false" customHeight="true" outlineLevel="0" collapsed="false">
      <c r="A7" s="456" t="n">
        <v>613</v>
      </c>
      <c r="B7" s="458" t="s">
        <v>16885</v>
      </c>
      <c r="C7" s="458" t="n">
        <v>2012</v>
      </c>
      <c r="D7" s="459" t="n">
        <v>41079</v>
      </c>
      <c r="E7" s="458" t="s">
        <v>16886</v>
      </c>
      <c r="F7" s="625" t="s">
        <v>6303</v>
      </c>
      <c r="G7" s="458" t="s">
        <v>130</v>
      </c>
      <c r="H7" s="458" t="s">
        <v>10999</v>
      </c>
      <c r="I7" s="459" t="n">
        <v>41292</v>
      </c>
      <c r="J7" s="460" t="n">
        <v>1</v>
      </c>
      <c r="K7" s="632" t="s">
        <v>50</v>
      </c>
      <c r="L7" s="458" t="s">
        <v>61</v>
      </c>
      <c r="M7" s="463" t="n">
        <f aca="false">I7-D7</f>
        <v>213</v>
      </c>
      <c r="N7" s="4"/>
      <c r="O7" s="283" t="s">
        <v>110</v>
      </c>
      <c r="P7" s="283" t="n">
        <f aca="false">COUNTIF($G$2:$G$476,"PF")</f>
        <v>18</v>
      </c>
      <c r="Q7" s="153"/>
      <c r="R7" s="153"/>
      <c r="S7" s="153"/>
    </row>
    <row r="8" customFormat="false" ht="12.75" hidden="false" customHeight="true" outlineLevel="0" collapsed="false">
      <c r="A8" s="449" t="n">
        <v>713</v>
      </c>
      <c r="B8" s="450" t="s">
        <v>16887</v>
      </c>
      <c r="C8" s="450" t="n">
        <v>2012</v>
      </c>
      <c r="D8" s="451" t="n">
        <v>41226</v>
      </c>
      <c r="E8" s="450" t="s">
        <v>16888</v>
      </c>
      <c r="F8" s="624" t="s">
        <v>288</v>
      </c>
      <c r="G8" s="450" t="s">
        <v>130</v>
      </c>
      <c r="H8" s="450" t="s">
        <v>16889</v>
      </c>
      <c r="I8" s="451" t="n">
        <v>41292</v>
      </c>
      <c r="J8" s="452" t="n">
        <v>1</v>
      </c>
      <c r="K8" s="632" t="s">
        <v>2407</v>
      </c>
      <c r="L8" s="452" t="s">
        <v>61</v>
      </c>
      <c r="M8" s="455" t="n">
        <f aca="false">I8-D8</f>
        <v>66</v>
      </c>
      <c r="N8" s="4"/>
      <c r="O8" s="282" t="s">
        <v>115</v>
      </c>
      <c r="P8" s="282" t="n">
        <f aca="false">COUNTIF($G$2:$G$476,"PFN")</f>
        <v>3</v>
      </c>
      <c r="Q8" s="153"/>
      <c r="R8" s="153"/>
      <c r="S8" s="153"/>
    </row>
    <row r="9" customFormat="false" ht="12.75" hidden="false" customHeight="true" outlineLevel="0" collapsed="false">
      <c r="A9" s="456" t="n">
        <v>813</v>
      </c>
      <c r="B9" s="458" t="s">
        <v>16890</v>
      </c>
      <c r="C9" s="458" t="n">
        <v>2009</v>
      </c>
      <c r="D9" s="459" t="n">
        <v>39843</v>
      </c>
      <c r="E9" s="458" t="s">
        <v>16891</v>
      </c>
      <c r="F9" s="458" t="s">
        <v>569</v>
      </c>
      <c r="G9" s="458" t="s">
        <v>1174</v>
      </c>
      <c r="H9" s="458" t="s">
        <v>16875</v>
      </c>
      <c r="I9" s="459" t="n">
        <v>41292</v>
      </c>
      <c r="J9" s="460" t="n">
        <v>1</v>
      </c>
      <c r="K9" s="633" t="s">
        <v>47</v>
      </c>
      <c r="L9" s="458" t="s">
        <v>58</v>
      </c>
      <c r="M9" s="463" t="n">
        <f aca="false">I9-D9</f>
        <v>1449</v>
      </c>
      <c r="N9" s="4"/>
      <c r="O9" s="283" t="s">
        <v>120</v>
      </c>
      <c r="P9" s="283" t="n">
        <f aca="false">COUNTIF($G$2:$G$476,"PF/PTE")</f>
        <v>30</v>
      </c>
      <c r="Q9" s="153"/>
      <c r="R9" s="153"/>
      <c r="S9" s="153"/>
    </row>
    <row r="10" customFormat="false" ht="12.75" hidden="false" customHeight="true" outlineLevel="0" collapsed="false">
      <c r="A10" s="449" t="n">
        <v>913</v>
      </c>
      <c r="B10" s="450" t="s">
        <v>16892</v>
      </c>
      <c r="C10" s="450" t="n">
        <v>2011</v>
      </c>
      <c r="D10" s="451" t="n">
        <v>40574</v>
      </c>
      <c r="E10" s="450" t="s">
        <v>16893</v>
      </c>
      <c r="F10" s="450" t="s">
        <v>5401</v>
      </c>
      <c r="G10" s="450" t="s">
        <v>1174</v>
      </c>
      <c r="H10" s="450" t="s">
        <v>1567</v>
      </c>
      <c r="I10" s="451" t="n">
        <v>41292</v>
      </c>
      <c r="J10" s="452" t="n">
        <v>1</v>
      </c>
      <c r="K10" s="633" t="s">
        <v>47</v>
      </c>
      <c r="L10" s="452" t="s">
        <v>60</v>
      </c>
      <c r="M10" s="455" t="n">
        <f aca="false">I10-D10</f>
        <v>718</v>
      </c>
      <c r="N10" s="4"/>
      <c r="O10" s="282" t="s">
        <v>125</v>
      </c>
      <c r="P10" s="282" t="n">
        <f aca="false">COUNTIF($G$2:$G$476,"Bio")</f>
        <v>6</v>
      </c>
      <c r="Q10" s="153"/>
      <c r="R10" s="153"/>
      <c r="S10" s="153"/>
    </row>
    <row r="11" customFormat="false" ht="12.75" hidden="false" customHeight="true" outlineLevel="0" collapsed="false">
      <c r="A11" s="456" t="n">
        <v>1013</v>
      </c>
      <c r="B11" s="458" t="s">
        <v>16894</v>
      </c>
      <c r="C11" s="458" t="n">
        <v>2008</v>
      </c>
      <c r="D11" s="459" t="n">
        <v>39771</v>
      </c>
      <c r="E11" s="458" t="s">
        <v>16895</v>
      </c>
      <c r="F11" s="458" t="s">
        <v>1635</v>
      </c>
      <c r="G11" s="458" t="s">
        <v>115</v>
      </c>
      <c r="H11" s="458" t="s">
        <v>1791</v>
      </c>
      <c r="I11" s="459" t="n">
        <v>41302</v>
      </c>
      <c r="J11" s="460" t="n">
        <v>1</v>
      </c>
      <c r="K11" s="633" t="s">
        <v>47</v>
      </c>
      <c r="L11" s="458" t="s">
        <v>60</v>
      </c>
      <c r="M11" s="463" t="n">
        <f aca="false">I11-D11</f>
        <v>1531</v>
      </c>
      <c r="N11" s="4"/>
      <c r="O11" s="284" t="s">
        <v>130</v>
      </c>
      <c r="P11" s="284" t="n">
        <f aca="false">COUNTIF($G$2:$G$476,"Bio/Org")</f>
        <v>5</v>
      </c>
      <c r="Q11" s="153"/>
      <c r="R11" s="153"/>
      <c r="S11" s="153"/>
    </row>
    <row r="12" customFormat="false" ht="12.75" hidden="false" customHeight="true" outlineLevel="0" collapsed="false">
      <c r="A12" s="449" t="n">
        <v>1113</v>
      </c>
      <c r="B12" s="450" t="s">
        <v>16896</v>
      </c>
      <c r="C12" s="450" t="n">
        <v>2011</v>
      </c>
      <c r="D12" s="451" t="n">
        <v>40836</v>
      </c>
      <c r="E12" s="450" t="s">
        <v>16897</v>
      </c>
      <c r="F12" s="624" t="s">
        <v>288</v>
      </c>
      <c r="G12" s="450" t="s">
        <v>130</v>
      </c>
      <c r="H12" s="450" t="s">
        <v>16898</v>
      </c>
      <c r="I12" s="451" t="n">
        <v>41303</v>
      </c>
      <c r="J12" s="452" t="n">
        <v>1</v>
      </c>
      <c r="K12" s="632" t="s">
        <v>2407</v>
      </c>
      <c r="L12" s="452" t="s">
        <v>61</v>
      </c>
      <c r="M12" s="455" t="n">
        <f aca="false">I12-D12</f>
        <v>467</v>
      </c>
      <c r="N12" s="4"/>
      <c r="O12" s="285" t="s">
        <v>140</v>
      </c>
      <c r="P12" s="286" t="n">
        <f aca="false">SUM(P3:P11)</f>
        <v>110</v>
      </c>
      <c r="Q12" s="153"/>
      <c r="R12" s="153"/>
      <c r="S12" s="153"/>
    </row>
    <row r="13" customFormat="false" ht="12.75" hidden="false" customHeight="true" outlineLevel="0" collapsed="false">
      <c r="A13" s="456" t="n">
        <v>1213</v>
      </c>
      <c r="B13" s="458" t="s">
        <v>16899</v>
      </c>
      <c r="C13" s="458" t="n">
        <v>2010</v>
      </c>
      <c r="D13" s="459" t="n">
        <v>40186</v>
      </c>
      <c r="E13" s="458" t="s">
        <v>16900</v>
      </c>
      <c r="F13" s="458" t="s">
        <v>699</v>
      </c>
      <c r="G13" s="458" t="s">
        <v>1174</v>
      </c>
      <c r="H13" s="458" t="s">
        <v>471</v>
      </c>
      <c r="I13" s="459" t="n">
        <v>41311</v>
      </c>
      <c r="J13" s="460" t="n">
        <v>2</v>
      </c>
      <c r="K13" s="631" t="s">
        <v>42</v>
      </c>
      <c r="L13" s="458" t="s">
        <v>60</v>
      </c>
      <c r="M13" s="463" t="n">
        <f aca="false">I13-D13</f>
        <v>1125</v>
      </c>
      <c r="N13" s="4"/>
      <c r="O13" s="153"/>
      <c r="P13" s="153"/>
      <c r="Q13" s="153"/>
      <c r="R13" s="287"/>
      <c r="S13" s="287"/>
    </row>
    <row r="14" customFormat="false" ht="13.5" hidden="false" customHeight="true" outlineLevel="0" collapsed="false">
      <c r="A14" s="449" t="n">
        <v>1313</v>
      </c>
      <c r="B14" s="450" t="s">
        <v>16901</v>
      </c>
      <c r="C14" s="450" t="n">
        <v>2011</v>
      </c>
      <c r="D14" s="451" t="n">
        <v>40765</v>
      </c>
      <c r="E14" s="450" t="s">
        <v>16902</v>
      </c>
      <c r="F14" s="450" t="s">
        <v>1277</v>
      </c>
      <c r="G14" s="450" t="s">
        <v>441</v>
      </c>
      <c r="H14" s="450" t="s">
        <v>16875</v>
      </c>
      <c r="I14" s="451" t="n">
        <v>41319</v>
      </c>
      <c r="J14" s="452" t="n">
        <v>2</v>
      </c>
      <c r="K14" s="634" t="s">
        <v>45</v>
      </c>
      <c r="L14" s="452" t="s">
        <v>58</v>
      </c>
      <c r="M14" s="455" t="n">
        <f aca="false">I14-D14</f>
        <v>554</v>
      </c>
      <c r="N14" s="4"/>
      <c r="O14" s="411" t="s">
        <v>151</v>
      </c>
      <c r="P14" s="411"/>
      <c r="Q14" s="411"/>
      <c r="R14" s="411"/>
      <c r="S14" s="411"/>
    </row>
    <row r="15" customFormat="false" ht="14.25" hidden="false" customHeight="true" outlineLevel="0" collapsed="false">
      <c r="A15" s="456" t="n">
        <v>1413</v>
      </c>
      <c r="B15" s="458" t="s">
        <v>16903</v>
      </c>
      <c r="C15" s="458" t="n">
        <v>2010</v>
      </c>
      <c r="D15" s="459" t="n">
        <v>40315</v>
      </c>
      <c r="E15" s="458" t="s">
        <v>16904</v>
      </c>
      <c r="F15" s="458" t="s">
        <v>4956</v>
      </c>
      <c r="G15" s="458" t="s">
        <v>1174</v>
      </c>
      <c r="H15" s="458" t="s">
        <v>5230</v>
      </c>
      <c r="I15" s="459" t="n">
        <v>41320</v>
      </c>
      <c r="J15" s="460" t="n">
        <v>2</v>
      </c>
      <c r="K15" s="633" t="s">
        <v>47</v>
      </c>
      <c r="L15" s="458" t="s">
        <v>58</v>
      </c>
      <c r="M15" s="463" t="n">
        <f aca="false">I15-D15</f>
        <v>1005</v>
      </c>
      <c r="N15" s="4"/>
      <c r="O15" s="411"/>
      <c r="P15" s="411"/>
      <c r="Q15" s="411"/>
      <c r="R15" s="411"/>
      <c r="S15" s="411"/>
    </row>
    <row r="16" customFormat="false" ht="12.75" hidden="false" customHeight="true" outlineLevel="0" collapsed="false">
      <c r="A16" s="449" t="n">
        <v>1513</v>
      </c>
      <c r="B16" s="450" t="s">
        <v>16905</v>
      </c>
      <c r="C16" s="450" t="n">
        <v>2010</v>
      </c>
      <c r="D16" s="451" t="n">
        <v>40259</v>
      </c>
      <c r="E16" s="450" t="s">
        <v>16906</v>
      </c>
      <c r="F16" s="450" t="s">
        <v>16907</v>
      </c>
      <c r="G16" s="450" t="s">
        <v>441</v>
      </c>
      <c r="H16" s="450" t="s">
        <v>14761</v>
      </c>
      <c r="I16" s="451" t="n">
        <v>41331</v>
      </c>
      <c r="J16" s="452" t="n">
        <v>2</v>
      </c>
      <c r="K16" s="631" t="s">
        <v>42</v>
      </c>
      <c r="L16" s="452" t="s">
        <v>58</v>
      </c>
      <c r="M16" s="455" t="n">
        <f aca="false">I16-D16</f>
        <v>1072</v>
      </c>
      <c r="N16" s="4"/>
      <c r="O16" s="412" t="s">
        <v>2194</v>
      </c>
      <c r="P16" s="412"/>
      <c r="Q16" s="412"/>
      <c r="R16" s="412"/>
      <c r="S16" s="412"/>
    </row>
    <row r="17" customFormat="false" ht="12.75" hidden="false" customHeight="true" outlineLevel="0" collapsed="false">
      <c r="A17" s="456" t="n">
        <v>1613</v>
      </c>
      <c r="B17" s="458" t="s">
        <v>16908</v>
      </c>
      <c r="C17" s="458" t="n">
        <v>2010</v>
      </c>
      <c r="D17" s="459" t="n">
        <v>40379</v>
      </c>
      <c r="E17" s="458" t="s">
        <v>16909</v>
      </c>
      <c r="F17" s="458" t="s">
        <v>176</v>
      </c>
      <c r="G17" s="458" t="s">
        <v>441</v>
      </c>
      <c r="H17" s="458" t="s">
        <v>16910</v>
      </c>
      <c r="I17" s="459" t="n">
        <v>41331</v>
      </c>
      <c r="J17" s="460" t="n">
        <v>2</v>
      </c>
      <c r="K17" s="634" t="s">
        <v>45</v>
      </c>
      <c r="L17" s="458" t="s">
        <v>60</v>
      </c>
      <c r="M17" s="463" t="n">
        <f aca="false">I17-D17</f>
        <v>952</v>
      </c>
      <c r="N17" s="4"/>
      <c r="O17" s="413" t="s">
        <v>2198</v>
      </c>
      <c r="P17" s="413"/>
      <c r="Q17" s="413"/>
      <c r="R17" s="413"/>
      <c r="S17" s="413"/>
    </row>
    <row r="18" customFormat="false" ht="12.75" hidden="false" customHeight="true" outlineLevel="0" collapsed="false">
      <c r="A18" s="449" t="n">
        <v>1713</v>
      </c>
      <c r="B18" s="450" t="s">
        <v>16911</v>
      </c>
      <c r="C18" s="450" t="n">
        <v>2011</v>
      </c>
      <c r="D18" s="451" t="n">
        <v>40764</v>
      </c>
      <c r="E18" s="450" t="s">
        <v>16912</v>
      </c>
      <c r="F18" s="450" t="s">
        <v>180</v>
      </c>
      <c r="G18" s="450" t="s">
        <v>1174</v>
      </c>
      <c r="H18" s="450" t="s">
        <v>354</v>
      </c>
      <c r="I18" s="451" t="n">
        <v>41340</v>
      </c>
      <c r="J18" s="452" t="n">
        <v>3</v>
      </c>
      <c r="K18" s="633" t="s">
        <v>47</v>
      </c>
      <c r="L18" s="452" t="s">
        <v>58</v>
      </c>
      <c r="M18" s="455" t="n">
        <f aca="false">I18-D18</f>
        <v>576</v>
      </c>
      <c r="N18" s="4"/>
      <c r="O18" s="414" t="s">
        <v>2203</v>
      </c>
      <c r="P18" s="414"/>
      <c r="Q18" s="414"/>
      <c r="R18" s="414"/>
      <c r="S18" s="414"/>
    </row>
    <row r="19" customFormat="false" ht="12.75" hidden="false" customHeight="true" outlineLevel="0" collapsed="false">
      <c r="A19" s="456" t="n">
        <v>1813</v>
      </c>
      <c r="B19" s="458" t="s">
        <v>16913</v>
      </c>
      <c r="C19" s="458" t="n">
        <v>2010</v>
      </c>
      <c r="D19" s="459" t="n">
        <v>40361</v>
      </c>
      <c r="E19" s="458" t="s">
        <v>16914</v>
      </c>
      <c r="F19" s="458" t="s">
        <v>180</v>
      </c>
      <c r="G19" s="458" t="s">
        <v>1174</v>
      </c>
      <c r="H19" s="458" t="s">
        <v>3727</v>
      </c>
      <c r="I19" s="459" t="n">
        <v>41340</v>
      </c>
      <c r="J19" s="460" t="n">
        <v>3</v>
      </c>
      <c r="K19" s="633" t="s">
        <v>47</v>
      </c>
      <c r="L19" s="458" t="s">
        <v>58</v>
      </c>
      <c r="M19" s="463" t="n">
        <f aca="false">I19-D19</f>
        <v>979</v>
      </c>
      <c r="N19" s="4"/>
      <c r="O19" s="413" t="s">
        <v>2207</v>
      </c>
      <c r="P19" s="413"/>
      <c r="Q19" s="413"/>
      <c r="R19" s="413"/>
      <c r="S19" s="413"/>
    </row>
    <row r="20" customFormat="false" ht="12.75" hidden="false" customHeight="true" outlineLevel="0" collapsed="false">
      <c r="A20" s="449" t="n">
        <v>1913</v>
      </c>
      <c r="B20" s="450" t="s">
        <v>16915</v>
      </c>
      <c r="C20" s="450" t="n">
        <v>2010</v>
      </c>
      <c r="D20" s="451" t="n">
        <v>40326</v>
      </c>
      <c r="E20" s="450" t="s">
        <v>16916</v>
      </c>
      <c r="F20" s="450" t="s">
        <v>180</v>
      </c>
      <c r="G20" s="450" t="s">
        <v>1174</v>
      </c>
      <c r="H20" s="450" t="s">
        <v>6755</v>
      </c>
      <c r="I20" s="451" t="n">
        <v>41340</v>
      </c>
      <c r="J20" s="452" t="n">
        <v>3</v>
      </c>
      <c r="K20" s="633" t="s">
        <v>47</v>
      </c>
      <c r="L20" s="452" t="s">
        <v>58</v>
      </c>
      <c r="M20" s="455" t="n">
        <f aca="false">I20-D20</f>
        <v>1014</v>
      </c>
      <c r="N20" s="4"/>
      <c r="O20" s="414" t="s">
        <v>2211</v>
      </c>
      <c r="P20" s="414"/>
      <c r="Q20" s="414"/>
      <c r="R20" s="414"/>
      <c r="S20" s="414"/>
    </row>
    <row r="21" customFormat="false" ht="12.75" hidden="false" customHeight="true" outlineLevel="0" collapsed="false">
      <c r="A21" s="456" t="n">
        <v>2013</v>
      </c>
      <c r="B21" s="458" t="s">
        <v>16917</v>
      </c>
      <c r="C21" s="458" t="n">
        <v>2008</v>
      </c>
      <c r="D21" s="459" t="n">
        <v>39800</v>
      </c>
      <c r="E21" s="458" t="s">
        <v>16918</v>
      </c>
      <c r="F21" s="458" t="s">
        <v>5401</v>
      </c>
      <c r="G21" s="458" t="s">
        <v>441</v>
      </c>
      <c r="H21" s="458" t="s">
        <v>2677</v>
      </c>
      <c r="I21" s="459" t="n">
        <v>41341</v>
      </c>
      <c r="J21" s="460" t="n">
        <v>3</v>
      </c>
      <c r="K21" s="634" t="s">
        <v>45</v>
      </c>
      <c r="L21" s="458" t="s">
        <v>60</v>
      </c>
      <c r="M21" s="463" t="n">
        <f aca="false">I21-D21</f>
        <v>1541</v>
      </c>
      <c r="N21" s="4"/>
      <c r="O21" s="413" t="s">
        <v>2215</v>
      </c>
      <c r="P21" s="413"/>
      <c r="Q21" s="413"/>
      <c r="R21" s="413"/>
      <c r="S21" s="413"/>
    </row>
    <row r="22" customFormat="false" ht="12.75" hidden="false" customHeight="true" outlineLevel="0" collapsed="false">
      <c r="A22" s="449" t="n">
        <v>2113</v>
      </c>
      <c r="B22" s="450" t="s">
        <v>16919</v>
      </c>
      <c r="C22" s="450" t="n">
        <v>2009</v>
      </c>
      <c r="D22" s="451" t="n">
        <v>39890</v>
      </c>
      <c r="E22" s="450" t="s">
        <v>16920</v>
      </c>
      <c r="F22" s="450" t="s">
        <v>3444</v>
      </c>
      <c r="G22" s="450" t="s">
        <v>441</v>
      </c>
      <c r="H22" s="450" t="s">
        <v>373</v>
      </c>
      <c r="I22" s="451" t="n">
        <v>41344</v>
      </c>
      <c r="J22" s="452" t="n">
        <v>3</v>
      </c>
      <c r="K22" s="631" t="s">
        <v>42</v>
      </c>
      <c r="L22" s="452" t="s">
        <v>58</v>
      </c>
      <c r="M22" s="455" t="n">
        <f aca="false">I22-D22</f>
        <v>1454</v>
      </c>
      <c r="N22" s="4"/>
      <c r="O22" s="414" t="s">
        <v>2220</v>
      </c>
      <c r="P22" s="414"/>
      <c r="Q22" s="414"/>
      <c r="R22" s="414"/>
      <c r="S22" s="414"/>
    </row>
    <row r="23" customFormat="false" ht="12.75" hidden="false" customHeight="true" outlineLevel="0" collapsed="false">
      <c r="A23" s="456" t="n">
        <v>2213</v>
      </c>
      <c r="B23" s="458" t="s">
        <v>16921</v>
      </c>
      <c r="C23" s="458" t="n">
        <v>2007</v>
      </c>
      <c r="D23" s="459" t="n">
        <v>39309</v>
      </c>
      <c r="E23" s="458" t="s">
        <v>16922</v>
      </c>
      <c r="F23" s="458" t="s">
        <v>1211</v>
      </c>
      <c r="G23" s="458" t="s">
        <v>144</v>
      </c>
      <c r="H23" s="458" t="s">
        <v>2421</v>
      </c>
      <c r="I23" s="459" t="n">
        <v>41355</v>
      </c>
      <c r="J23" s="460" t="n">
        <v>3</v>
      </c>
      <c r="K23" s="631" t="s">
        <v>42</v>
      </c>
      <c r="L23" s="458" t="s">
        <v>60</v>
      </c>
      <c r="M23" s="463" t="n">
        <f aca="false">I23-D23</f>
        <v>2046</v>
      </c>
      <c r="N23" s="4"/>
      <c r="O23" s="413" t="s">
        <v>2225</v>
      </c>
      <c r="P23" s="413"/>
      <c r="Q23" s="413"/>
      <c r="R23" s="413"/>
      <c r="S23" s="413"/>
    </row>
    <row r="24" customFormat="false" ht="12.75" hidden="false" customHeight="true" outlineLevel="0" collapsed="false">
      <c r="A24" s="449" t="n">
        <v>2313</v>
      </c>
      <c r="B24" s="450" t="s">
        <v>16923</v>
      </c>
      <c r="C24" s="450" t="n">
        <v>2007</v>
      </c>
      <c r="D24" s="451" t="n">
        <v>39206</v>
      </c>
      <c r="E24" s="450" t="s">
        <v>16924</v>
      </c>
      <c r="F24" s="450" t="s">
        <v>16925</v>
      </c>
      <c r="G24" s="450" t="s">
        <v>144</v>
      </c>
      <c r="H24" s="450" t="s">
        <v>16926</v>
      </c>
      <c r="I24" s="451" t="n">
        <v>41355</v>
      </c>
      <c r="J24" s="452" t="n">
        <v>3</v>
      </c>
      <c r="K24" s="631" t="s">
        <v>42</v>
      </c>
      <c r="L24" s="452" t="s">
        <v>58</v>
      </c>
      <c r="M24" s="455" t="n">
        <f aca="false">I24-D24</f>
        <v>2149</v>
      </c>
      <c r="N24" s="4"/>
      <c r="O24" s="415" t="s">
        <v>2229</v>
      </c>
      <c r="P24" s="415"/>
      <c r="Q24" s="415"/>
      <c r="R24" s="415"/>
      <c r="S24" s="415"/>
    </row>
    <row r="25" customFormat="false" ht="12.75" hidden="false" customHeight="true" outlineLevel="0" collapsed="false">
      <c r="A25" s="456" t="n">
        <v>2413</v>
      </c>
      <c r="B25" s="458" t="s">
        <v>16927</v>
      </c>
      <c r="C25" s="458" t="n">
        <v>2008</v>
      </c>
      <c r="D25" s="459" t="n">
        <v>39743</v>
      </c>
      <c r="E25" s="458" t="s">
        <v>16928</v>
      </c>
      <c r="F25" s="458" t="s">
        <v>16929</v>
      </c>
      <c r="G25" s="458" t="s">
        <v>144</v>
      </c>
      <c r="H25" s="458" t="s">
        <v>119</v>
      </c>
      <c r="I25" s="459" t="n">
        <v>41359</v>
      </c>
      <c r="J25" s="460" t="n">
        <v>3</v>
      </c>
      <c r="K25" s="633" t="s">
        <v>47</v>
      </c>
      <c r="L25" s="458" t="s">
        <v>58</v>
      </c>
      <c r="M25" s="463" t="n">
        <f aca="false">I25-D25</f>
        <v>1616</v>
      </c>
      <c r="N25" s="4"/>
      <c r="O25" s="153"/>
      <c r="P25" s="153"/>
      <c r="Q25" s="153"/>
      <c r="R25" s="153"/>
      <c r="S25" s="153"/>
    </row>
    <row r="26" customFormat="false" ht="13.5" hidden="false" customHeight="true" outlineLevel="0" collapsed="false">
      <c r="A26" s="449" t="n">
        <v>2513</v>
      </c>
      <c r="B26" s="450" t="s">
        <v>16930</v>
      </c>
      <c r="C26" s="450" t="n">
        <v>2009</v>
      </c>
      <c r="D26" s="451" t="n">
        <v>40176</v>
      </c>
      <c r="E26" s="450" t="s">
        <v>16931</v>
      </c>
      <c r="F26" s="450" t="s">
        <v>15802</v>
      </c>
      <c r="G26" s="450" t="s">
        <v>1174</v>
      </c>
      <c r="H26" s="450" t="s">
        <v>471</v>
      </c>
      <c r="I26" s="451" t="n">
        <v>41366</v>
      </c>
      <c r="J26" s="452" t="n">
        <v>4</v>
      </c>
      <c r="K26" s="631" t="s">
        <v>42</v>
      </c>
      <c r="L26" s="452" t="s">
        <v>58</v>
      </c>
      <c r="M26" s="455" t="n">
        <f aca="false">I26-D26</f>
        <v>1190</v>
      </c>
      <c r="N26" s="4"/>
      <c r="O26" s="326" t="s">
        <v>185</v>
      </c>
      <c r="P26" s="326"/>
      <c r="Q26" s="326"/>
      <c r="R26" s="326"/>
      <c r="S26" s="326"/>
    </row>
    <row r="27" customFormat="false" ht="13.5" hidden="false" customHeight="true" outlineLevel="0" collapsed="false">
      <c r="A27" s="456" t="n">
        <v>2613</v>
      </c>
      <c r="B27" s="458" t="s">
        <v>16932</v>
      </c>
      <c r="C27" s="458" t="n">
        <v>2007</v>
      </c>
      <c r="D27" s="459" t="n">
        <v>39155</v>
      </c>
      <c r="E27" s="458" t="s">
        <v>16933</v>
      </c>
      <c r="F27" s="458" t="s">
        <v>13231</v>
      </c>
      <c r="G27" s="458" t="s">
        <v>1188</v>
      </c>
      <c r="H27" s="458" t="s">
        <v>1109</v>
      </c>
      <c r="I27" s="459" t="n">
        <v>41381</v>
      </c>
      <c r="J27" s="460" t="n">
        <v>4</v>
      </c>
      <c r="K27" s="633" t="s">
        <v>47</v>
      </c>
      <c r="L27" s="458" t="s">
        <v>60</v>
      </c>
      <c r="M27" s="463" t="n">
        <f aca="false">I27-D27</f>
        <v>2226</v>
      </c>
      <c r="N27" s="4"/>
      <c r="O27" s="326"/>
      <c r="P27" s="326"/>
      <c r="Q27" s="326"/>
      <c r="R27" s="326"/>
      <c r="S27" s="326"/>
    </row>
    <row r="28" customFormat="false" ht="12.75" hidden="false" customHeight="true" outlineLevel="0" collapsed="false">
      <c r="A28" s="449" t="n">
        <v>2713</v>
      </c>
      <c r="B28" s="450" t="s">
        <v>16934</v>
      </c>
      <c r="C28" s="450" t="n">
        <v>2008</v>
      </c>
      <c r="D28" s="451" t="n">
        <v>39736</v>
      </c>
      <c r="E28" s="450" t="s">
        <v>16935</v>
      </c>
      <c r="F28" s="450" t="s">
        <v>1609</v>
      </c>
      <c r="G28" s="450" t="s">
        <v>1174</v>
      </c>
      <c r="H28" s="450" t="s">
        <v>11658</v>
      </c>
      <c r="I28" s="451" t="n">
        <v>41381</v>
      </c>
      <c r="J28" s="452" t="n">
        <v>4</v>
      </c>
      <c r="K28" s="631" t="s">
        <v>42</v>
      </c>
      <c r="L28" s="452" t="s">
        <v>57</v>
      </c>
      <c r="M28" s="455" t="n">
        <f aca="false">I28-D28</f>
        <v>1645</v>
      </c>
      <c r="N28" s="4"/>
      <c r="O28" s="309" t="s">
        <v>39</v>
      </c>
      <c r="P28" s="416" t="s">
        <v>40</v>
      </c>
      <c r="Q28" s="416"/>
      <c r="R28" s="416"/>
      <c r="S28" s="313" t="s">
        <v>41</v>
      </c>
    </row>
    <row r="29" customFormat="false" ht="12.75" hidden="false" customHeight="true" outlineLevel="0" collapsed="false">
      <c r="A29" s="456" t="n">
        <v>2813</v>
      </c>
      <c r="B29" s="458" t="s">
        <v>16936</v>
      </c>
      <c r="C29" s="458" t="n">
        <v>2010</v>
      </c>
      <c r="D29" s="459" t="n">
        <v>40315</v>
      </c>
      <c r="E29" s="458" t="s">
        <v>16937</v>
      </c>
      <c r="F29" s="458" t="s">
        <v>180</v>
      </c>
      <c r="G29" s="458" t="s">
        <v>1174</v>
      </c>
      <c r="H29" s="458" t="s">
        <v>5230</v>
      </c>
      <c r="I29" s="459" t="n">
        <v>41382</v>
      </c>
      <c r="J29" s="460" t="n">
        <v>4</v>
      </c>
      <c r="K29" s="633" t="s">
        <v>47</v>
      </c>
      <c r="L29" s="458" t="s">
        <v>58</v>
      </c>
      <c r="M29" s="463" t="n">
        <f aca="false">I29-D29</f>
        <v>1067</v>
      </c>
      <c r="N29" s="4"/>
      <c r="O29" s="283" t="n">
        <v>2001</v>
      </c>
      <c r="P29" s="314" t="n">
        <f aca="false">COUNTIF($C$2:$C$503,"2001")</f>
        <v>0</v>
      </c>
      <c r="Q29" s="314"/>
      <c r="R29" s="314"/>
      <c r="S29" s="315" t="n">
        <f aca="false">P29/P42</f>
        <v>0</v>
      </c>
    </row>
    <row r="30" customFormat="false" ht="13.5" hidden="false" customHeight="true" outlineLevel="0" collapsed="false">
      <c r="A30" s="449" t="n">
        <v>2913</v>
      </c>
      <c r="B30" s="450" t="s">
        <v>16938</v>
      </c>
      <c r="C30" s="450" t="n">
        <v>2011</v>
      </c>
      <c r="D30" s="451" t="n">
        <v>40907</v>
      </c>
      <c r="E30" s="450" t="s">
        <v>16939</v>
      </c>
      <c r="F30" s="450" t="s">
        <v>699</v>
      </c>
      <c r="G30" s="450" t="s">
        <v>441</v>
      </c>
      <c r="H30" s="450" t="s">
        <v>5230</v>
      </c>
      <c r="I30" s="451" t="n">
        <v>41383</v>
      </c>
      <c r="J30" s="452" t="n">
        <v>4</v>
      </c>
      <c r="K30" s="633" t="s">
        <v>47</v>
      </c>
      <c r="L30" s="452" t="s">
        <v>60</v>
      </c>
      <c r="M30" s="455" t="n">
        <f aca="false">I30-D30</f>
        <v>476</v>
      </c>
      <c r="N30" s="4"/>
      <c r="O30" s="282" t="n">
        <v>2002</v>
      </c>
      <c r="P30" s="282" t="n">
        <f aca="false">COUNTIF($C$2:$C$503,"2002")</f>
        <v>0</v>
      </c>
      <c r="Q30" s="282"/>
      <c r="R30" s="282"/>
      <c r="S30" s="316" t="n">
        <f aca="false">(P30/P42)</f>
        <v>0</v>
      </c>
    </row>
    <row r="31" customFormat="false" ht="13.5" hidden="false" customHeight="true" outlineLevel="0" collapsed="false">
      <c r="A31" s="456" t="n">
        <v>3013</v>
      </c>
      <c r="B31" s="458" t="s">
        <v>16940</v>
      </c>
      <c r="C31" s="458" t="n">
        <v>2010</v>
      </c>
      <c r="D31" s="459" t="n">
        <v>40389</v>
      </c>
      <c r="E31" s="458" t="s">
        <v>16941</v>
      </c>
      <c r="F31" s="458" t="s">
        <v>191</v>
      </c>
      <c r="G31" s="458" t="s">
        <v>144</v>
      </c>
      <c r="H31" s="458" t="s">
        <v>2421</v>
      </c>
      <c r="I31" s="459" t="n">
        <v>41383</v>
      </c>
      <c r="J31" s="460" t="n">
        <v>4</v>
      </c>
      <c r="K31" s="633" t="s">
        <v>47</v>
      </c>
      <c r="L31" s="458" t="s">
        <v>58</v>
      </c>
      <c r="M31" s="463" t="n">
        <f aca="false">I31-D31</f>
        <v>994</v>
      </c>
      <c r="N31" s="4"/>
      <c r="O31" s="283" t="n">
        <v>2003</v>
      </c>
      <c r="P31" s="283" t="n">
        <f aca="false">COUNTIF($C$2:$C$503,"2003")</f>
        <v>0</v>
      </c>
      <c r="Q31" s="283"/>
      <c r="R31" s="283"/>
      <c r="S31" s="315" t="n">
        <f aca="false">(P31/P42)</f>
        <v>0</v>
      </c>
    </row>
    <row r="32" customFormat="false" ht="12.75" hidden="false" customHeight="true" outlineLevel="0" collapsed="false">
      <c r="A32" s="449" t="n">
        <v>3113</v>
      </c>
      <c r="B32" s="450" t="s">
        <v>16942</v>
      </c>
      <c r="C32" s="450" t="n">
        <v>2007</v>
      </c>
      <c r="D32" s="451" t="n">
        <v>39230</v>
      </c>
      <c r="E32" s="450" t="s">
        <v>16943</v>
      </c>
      <c r="F32" s="450" t="s">
        <v>16944</v>
      </c>
      <c r="G32" s="450" t="s">
        <v>144</v>
      </c>
      <c r="H32" s="450" t="s">
        <v>1109</v>
      </c>
      <c r="I32" s="451" t="n">
        <v>41383</v>
      </c>
      <c r="J32" s="452" t="n">
        <v>4</v>
      </c>
      <c r="K32" s="633" t="s">
        <v>47</v>
      </c>
      <c r="L32" s="452" t="s">
        <v>58</v>
      </c>
      <c r="M32" s="455" t="n">
        <f aca="false">I32-D32</f>
        <v>2153</v>
      </c>
      <c r="N32" s="4"/>
      <c r="O32" s="282" t="n">
        <v>2004</v>
      </c>
      <c r="P32" s="282" t="n">
        <f aca="false">COUNTIF($C$2:$C$503,"2004")</f>
        <v>0</v>
      </c>
      <c r="Q32" s="282"/>
      <c r="R32" s="282"/>
      <c r="S32" s="316" t="n">
        <f aca="false">(P32/P42)</f>
        <v>0</v>
      </c>
    </row>
    <row r="33" customFormat="false" ht="12.75" hidden="false" customHeight="true" outlineLevel="0" collapsed="false">
      <c r="A33" s="456" t="n">
        <v>3213</v>
      </c>
      <c r="B33" s="458" t="s">
        <v>16945</v>
      </c>
      <c r="C33" s="458" t="n">
        <v>2010</v>
      </c>
      <c r="D33" s="459" t="n">
        <v>40480</v>
      </c>
      <c r="E33" s="458" t="s">
        <v>16946</v>
      </c>
      <c r="F33" s="458" t="s">
        <v>5401</v>
      </c>
      <c r="G33" s="458" t="s">
        <v>441</v>
      </c>
      <c r="H33" s="458" t="s">
        <v>12573</v>
      </c>
      <c r="I33" s="459" t="n">
        <v>41386</v>
      </c>
      <c r="J33" s="460" t="n">
        <v>4</v>
      </c>
      <c r="K33" s="633" t="s">
        <v>47</v>
      </c>
      <c r="L33" s="458" t="s">
        <v>60</v>
      </c>
      <c r="M33" s="463" t="n">
        <f aca="false">I33-D33</f>
        <v>906</v>
      </c>
      <c r="N33" s="4"/>
      <c r="O33" s="283" t="n">
        <v>2005</v>
      </c>
      <c r="P33" s="283" t="n">
        <f aca="false">COUNTIF($C$2:$C$503,"2005")</f>
        <v>0</v>
      </c>
      <c r="Q33" s="283"/>
      <c r="R33" s="283"/>
      <c r="S33" s="315" t="n">
        <f aca="false">(P33/P42)</f>
        <v>0</v>
      </c>
    </row>
    <row r="34" customFormat="false" ht="12.75" hidden="false" customHeight="true" outlineLevel="0" collapsed="false">
      <c r="A34" s="449" t="n">
        <v>3313</v>
      </c>
      <c r="B34" s="450" t="s">
        <v>16947</v>
      </c>
      <c r="C34" s="450" t="n">
        <v>2010</v>
      </c>
      <c r="D34" s="451" t="n">
        <v>40252</v>
      </c>
      <c r="E34" s="450" t="s">
        <v>16948</v>
      </c>
      <c r="F34" s="450" t="s">
        <v>333</v>
      </c>
      <c r="G34" s="450" t="s">
        <v>1174</v>
      </c>
      <c r="H34" s="450" t="s">
        <v>1305</v>
      </c>
      <c r="I34" s="451" t="n">
        <v>41386</v>
      </c>
      <c r="J34" s="452" t="n">
        <v>4</v>
      </c>
      <c r="K34" s="633" t="s">
        <v>47</v>
      </c>
      <c r="L34" s="452" t="s">
        <v>60</v>
      </c>
      <c r="M34" s="455" t="n">
        <f aca="false">I34-D34</f>
        <v>1134</v>
      </c>
      <c r="N34" s="4"/>
      <c r="O34" s="282" t="n">
        <v>2006</v>
      </c>
      <c r="P34" s="282" t="n">
        <f aca="false">COUNTIF($C$2:$C$503,"2006")</f>
        <v>1</v>
      </c>
      <c r="Q34" s="282"/>
      <c r="R34" s="282"/>
      <c r="S34" s="316" t="n">
        <f aca="false">P34/P42</f>
        <v>0.00909090909090909</v>
      </c>
    </row>
    <row r="35" customFormat="false" ht="12.75" hidden="false" customHeight="true" outlineLevel="0" collapsed="false">
      <c r="A35" s="456" t="n">
        <v>3413</v>
      </c>
      <c r="B35" s="458" t="s">
        <v>16949</v>
      </c>
      <c r="C35" s="458" t="n">
        <v>2007</v>
      </c>
      <c r="D35" s="459" t="n">
        <v>39247</v>
      </c>
      <c r="E35" s="458" t="s">
        <v>16950</v>
      </c>
      <c r="F35" s="458" t="s">
        <v>13231</v>
      </c>
      <c r="G35" s="458" t="s">
        <v>115</v>
      </c>
      <c r="H35" s="458" t="s">
        <v>1109</v>
      </c>
      <c r="I35" s="459" t="n">
        <v>41386</v>
      </c>
      <c r="J35" s="460" t="n">
        <v>4</v>
      </c>
      <c r="K35" s="634" t="s">
        <v>45</v>
      </c>
      <c r="L35" s="458" t="s">
        <v>58</v>
      </c>
      <c r="M35" s="463" t="n">
        <f aca="false">I35-D35</f>
        <v>2139</v>
      </c>
      <c r="N35" s="4"/>
      <c r="O35" s="283" t="n">
        <v>2007</v>
      </c>
      <c r="P35" s="283" t="n">
        <f aca="false">COUNTIF($C$2:$C$503,"2007")</f>
        <v>9</v>
      </c>
      <c r="Q35" s="283"/>
      <c r="R35" s="283"/>
      <c r="S35" s="315" t="n">
        <f aca="false">(P35/P42)</f>
        <v>0.0818181818181818</v>
      </c>
    </row>
    <row r="36" customFormat="false" ht="12.75" hidden="false" customHeight="true" outlineLevel="0" collapsed="false">
      <c r="A36" s="449" t="n">
        <v>3513</v>
      </c>
      <c r="B36" s="450" t="s">
        <v>16951</v>
      </c>
      <c r="C36" s="450" t="n">
        <v>2009</v>
      </c>
      <c r="D36" s="451" t="n">
        <v>40051</v>
      </c>
      <c r="E36" s="450" t="s">
        <v>16952</v>
      </c>
      <c r="F36" s="450" t="s">
        <v>16953</v>
      </c>
      <c r="G36" s="450" t="s">
        <v>144</v>
      </c>
      <c r="H36" s="450" t="s">
        <v>1109</v>
      </c>
      <c r="I36" s="451" t="n">
        <v>41387</v>
      </c>
      <c r="J36" s="452" t="n">
        <v>4</v>
      </c>
      <c r="K36" s="631" t="s">
        <v>42</v>
      </c>
      <c r="L36" s="452" t="s">
        <v>58</v>
      </c>
      <c r="M36" s="455" t="n">
        <f aca="false">I36-D36</f>
        <v>1336</v>
      </c>
      <c r="N36" s="4"/>
      <c r="O36" s="282" t="n">
        <v>2008</v>
      </c>
      <c r="P36" s="282" t="n">
        <f aca="false">COUNTIF($C$2:$C$503,"2008")</f>
        <v>14</v>
      </c>
      <c r="Q36" s="282"/>
      <c r="R36" s="282"/>
      <c r="S36" s="316" t="n">
        <f aca="false">(P36/P42)</f>
        <v>0.127272727272727</v>
      </c>
    </row>
    <row r="37" customFormat="false" ht="12.75" hidden="false" customHeight="true" outlineLevel="0" collapsed="false">
      <c r="A37" s="456" t="n">
        <v>3613</v>
      </c>
      <c r="B37" s="458" t="s">
        <v>16954</v>
      </c>
      <c r="C37" s="458" t="n">
        <v>2010</v>
      </c>
      <c r="D37" s="459" t="n">
        <v>40248</v>
      </c>
      <c r="E37" s="458" t="s">
        <v>16955</v>
      </c>
      <c r="F37" s="458" t="s">
        <v>16956</v>
      </c>
      <c r="G37" s="458" t="s">
        <v>441</v>
      </c>
      <c r="H37" s="458" t="s">
        <v>16610</v>
      </c>
      <c r="I37" s="459" t="n">
        <v>41390</v>
      </c>
      <c r="J37" s="460" t="n">
        <v>4</v>
      </c>
      <c r="K37" s="634" t="s">
        <v>45</v>
      </c>
      <c r="L37" s="458" t="s">
        <v>58</v>
      </c>
      <c r="M37" s="463" t="n">
        <f aca="false">I37-D37</f>
        <v>1142</v>
      </c>
      <c r="N37" s="4"/>
      <c r="O37" s="283" t="n">
        <v>2009</v>
      </c>
      <c r="P37" s="283" t="n">
        <f aca="false">COUNTIF($C$2:$C$503,"2009")</f>
        <v>25</v>
      </c>
      <c r="Q37" s="283"/>
      <c r="R37" s="283"/>
      <c r="S37" s="315" t="n">
        <f aca="false">(P37/P42)</f>
        <v>0.227272727272727</v>
      </c>
    </row>
    <row r="38" customFormat="false" ht="12.75" hidden="false" customHeight="true" outlineLevel="0" collapsed="false">
      <c r="A38" s="449" t="n">
        <v>3713</v>
      </c>
      <c r="B38" s="450" t="s">
        <v>16957</v>
      </c>
      <c r="C38" s="450" t="n">
        <v>2010</v>
      </c>
      <c r="D38" s="451" t="n">
        <v>40403</v>
      </c>
      <c r="E38" s="450" t="s">
        <v>16958</v>
      </c>
      <c r="F38" s="450" t="s">
        <v>1357</v>
      </c>
      <c r="G38" s="450" t="s">
        <v>1174</v>
      </c>
      <c r="H38" s="450" t="s">
        <v>6480</v>
      </c>
      <c r="I38" s="451" t="n">
        <v>41390</v>
      </c>
      <c r="J38" s="452" t="n">
        <v>4</v>
      </c>
      <c r="K38" s="631" t="s">
        <v>42</v>
      </c>
      <c r="L38" s="452" t="s">
        <v>60</v>
      </c>
      <c r="M38" s="455" t="n">
        <f aca="false">I38-D38</f>
        <v>987</v>
      </c>
      <c r="N38" s="4"/>
      <c r="O38" s="282" t="n">
        <v>2010</v>
      </c>
      <c r="P38" s="282" t="n">
        <f aca="false">COUNTIF($C$2:$C$503,"2010")</f>
        <v>40</v>
      </c>
      <c r="Q38" s="282"/>
      <c r="R38" s="282"/>
      <c r="S38" s="316" t="n">
        <f aca="false">(P38/P42)</f>
        <v>0.363636363636364</v>
      </c>
    </row>
    <row r="39" customFormat="false" ht="12.75" hidden="false" customHeight="true" outlineLevel="0" collapsed="false">
      <c r="A39" s="456" t="n">
        <v>3813</v>
      </c>
      <c r="B39" s="458" t="s">
        <v>16959</v>
      </c>
      <c r="C39" s="458" t="n">
        <v>2010</v>
      </c>
      <c r="D39" s="459" t="n">
        <v>40280</v>
      </c>
      <c r="E39" s="458" t="s">
        <v>16960</v>
      </c>
      <c r="F39" s="458" t="s">
        <v>1817</v>
      </c>
      <c r="G39" s="458" t="s">
        <v>441</v>
      </c>
      <c r="H39" s="458" t="s">
        <v>14761</v>
      </c>
      <c r="I39" s="459" t="n">
        <v>41393</v>
      </c>
      <c r="J39" s="460" t="n">
        <v>4</v>
      </c>
      <c r="K39" s="631" t="s">
        <v>42</v>
      </c>
      <c r="L39" s="458" t="s">
        <v>58</v>
      </c>
      <c r="M39" s="463" t="n">
        <f aca="false">I39-D39</f>
        <v>1113</v>
      </c>
      <c r="N39" s="4"/>
      <c r="O39" s="283" t="n">
        <v>2011</v>
      </c>
      <c r="P39" s="283" t="n">
        <f aca="false">COUNTIF($C$2:$C$503,"2011")</f>
        <v>14</v>
      </c>
      <c r="Q39" s="283"/>
      <c r="R39" s="283"/>
      <c r="S39" s="315" t="n">
        <f aca="false">(P39/P42)</f>
        <v>0.127272727272727</v>
      </c>
    </row>
    <row r="40" customFormat="false" ht="12.75" hidden="false" customHeight="true" outlineLevel="0" collapsed="false">
      <c r="A40" s="449" t="n">
        <v>3913</v>
      </c>
      <c r="B40" s="450" t="s">
        <v>16961</v>
      </c>
      <c r="C40" s="450" t="n">
        <v>2009</v>
      </c>
      <c r="D40" s="451" t="n">
        <v>39988</v>
      </c>
      <c r="E40" s="450" t="s">
        <v>16962</v>
      </c>
      <c r="F40" s="450" t="s">
        <v>699</v>
      </c>
      <c r="G40" s="450" t="s">
        <v>1174</v>
      </c>
      <c r="H40" s="450" t="s">
        <v>223</v>
      </c>
      <c r="I40" s="451" t="n">
        <v>41408</v>
      </c>
      <c r="J40" s="452" t="n">
        <v>5</v>
      </c>
      <c r="K40" s="631" t="s">
        <v>42</v>
      </c>
      <c r="L40" s="452" t="s">
        <v>60</v>
      </c>
      <c r="M40" s="455" t="n">
        <f aca="false">I40-D40</f>
        <v>1420</v>
      </c>
      <c r="N40" s="4"/>
      <c r="O40" s="282" t="n">
        <v>2012</v>
      </c>
      <c r="P40" s="282" t="n">
        <f aca="false">COUNTIF($C$2:$C$503,"2012")</f>
        <v>7</v>
      </c>
      <c r="Q40" s="282"/>
      <c r="R40" s="282"/>
      <c r="S40" s="316" t="n">
        <f aca="false">(P40/P42)</f>
        <v>0.0636363636363636</v>
      </c>
    </row>
    <row r="41" customFormat="false" ht="12.75" hidden="false" customHeight="true" outlineLevel="0" collapsed="false">
      <c r="A41" s="456" t="n">
        <v>4013</v>
      </c>
      <c r="B41" s="458" t="s">
        <v>16963</v>
      </c>
      <c r="C41" s="458" t="n">
        <v>2010</v>
      </c>
      <c r="D41" s="459" t="n">
        <v>40301</v>
      </c>
      <c r="E41" s="458" t="s">
        <v>16964</v>
      </c>
      <c r="F41" s="458" t="s">
        <v>1693</v>
      </c>
      <c r="G41" s="458" t="s">
        <v>1174</v>
      </c>
      <c r="H41" s="458" t="s">
        <v>310</v>
      </c>
      <c r="I41" s="459" t="n">
        <v>41410</v>
      </c>
      <c r="J41" s="460" t="n">
        <v>5</v>
      </c>
      <c r="K41" s="634" t="s">
        <v>45</v>
      </c>
      <c r="L41" s="458" t="s">
        <v>58</v>
      </c>
      <c r="M41" s="463" t="n">
        <f aca="false">I41-D41</f>
        <v>1109</v>
      </c>
      <c r="N41" s="4"/>
      <c r="O41" s="283" t="n">
        <v>2013</v>
      </c>
      <c r="P41" s="283" t="n">
        <f aca="false">COUNTIF($C$2:$C$503,"2013")</f>
        <v>0</v>
      </c>
      <c r="Q41" s="283"/>
      <c r="R41" s="283"/>
      <c r="S41" s="315" t="n">
        <f aca="false">(P41/P42)</f>
        <v>0</v>
      </c>
    </row>
    <row r="42" customFormat="false" ht="13.5" hidden="false" customHeight="true" outlineLevel="0" collapsed="false">
      <c r="A42" s="449" t="n">
        <v>4113</v>
      </c>
      <c r="B42" s="450" t="s">
        <v>16965</v>
      </c>
      <c r="C42" s="450" t="n">
        <v>2010</v>
      </c>
      <c r="D42" s="451" t="n">
        <v>40344</v>
      </c>
      <c r="E42" s="450" t="s">
        <v>16966</v>
      </c>
      <c r="F42" s="450" t="s">
        <v>1156</v>
      </c>
      <c r="G42" s="450" t="s">
        <v>1174</v>
      </c>
      <c r="H42" s="450" t="s">
        <v>310</v>
      </c>
      <c r="I42" s="451" t="n">
        <v>41410</v>
      </c>
      <c r="J42" s="452" t="n">
        <v>5</v>
      </c>
      <c r="K42" s="634" t="s">
        <v>45</v>
      </c>
      <c r="L42" s="452" t="s">
        <v>57</v>
      </c>
      <c r="M42" s="455" t="n">
        <f aca="false">I42-D42</f>
        <v>1066</v>
      </c>
      <c r="N42" s="4"/>
      <c r="O42" s="323" t="s">
        <v>56</v>
      </c>
      <c r="P42" s="418" t="n">
        <f aca="false">SUM(P29:R41)</f>
        <v>110</v>
      </c>
      <c r="Q42" s="418"/>
      <c r="R42" s="418"/>
      <c r="S42" s="325" t="n">
        <f aca="false">SUM(S29:S41)</f>
        <v>1</v>
      </c>
    </row>
    <row r="43" customFormat="false" ht="13.5" hidden="false" customHeight="true" outlineLevel="0" collapsed="false">
      <c r="A43" s="456" t="n">
        <v>4213</v>
      </c>
      <c r="B43" s="458" t="s">
        <v>16967</v>
      </c>
      <c r="C43" s="458" t="n">
        <v>2011</v>
      </c>
      <c r="D43" s="459" t="n">
        <v>40827</v>
      </c>
      <c r="E43" s="458" t="s">
        <v>16968</v>
      </c>
      <c r="F43" s="625" t="s">
        <v>9785</v>
      </c>
      <c r="G43" s="458" t="s">
        <v>125</v>
      </c>
      <c r="H43" s="458" t="s">
        <v>16969</v>
      </c>
      <c r="I43" s="459" t="n">
        <v>41410</v>
      </c>
      <c r="J43" s="460" t="n">
        <v>5</v>
      </c>
      <c r="K43" s="632" t="s">
        <v>50</v>
      </c>
      <c r="L43" s="458" t="s">
        <v>61</v>
      </c>
      <c r="M43" s="463" t="n">
        <f aca="false">I43-D43</f>
        <v>583</v>
      </c>
      <c r="N43" s="4"/>
      <c r="O43" s="153"/>
      <c r="P43" s="153"/>
      <c r="Q43" s="153"/>
      <c r="R43" s="153"/>
      <c r="S43" s="153"/>
    </row>
    <row r="44" customFormat="false" ht="13.5" hidden="false" customHeight="true" outlineLevel="0" collapsed="false">
      <c r="A44" s="449" t="n">
        <v>4313</v>
      </c>
      <c r="B44" s="450" t="s">
        <v>16970</v>
      </c>
      <c r="C44" s="450" t="n">
        <v>2007</v>
      </c>
      <c r="D44" s="451" t="n">
        <v>39119</v>
      </c>
      <c r="E44" s="450" t="s">
        <v>16971</v>
      </c>
      <c r="F44" s="450" t="s">
        <v>361</v>
      </c>
      <c r="G44" s="450" t="s">
        <v>144</v>
      </c>
      <c r="H44" s="450" t="s">
        <v>119</v>
      </c>
      <c r="I44" s="451" t="n">
        <v>41422</v>
      </c>
      <c r="J44" s="452" t="n">
        <v>5</v>
      </c>
      <c r="K44" s="633" t="s">
        <v>47</v>
      </c>
      <c r="L44" s="452" t="s">
        <v>58</v>
      </c>
      <c r="M44" s="455" t="n">
        <f aca="false">I44-D44</f>
        <v>2303</v>
      </c>
      <c r="N44" s="4"/>
      <c r="O44" s="326" t="s">
        <v>272</v>
      </c>
      <c r="P44" s="326"/>
      <c r="Q44" s="326"/>
      <c r="R44" s="326"/>
      <c r="S44" s="326"/>
    </row>
    <row r="45" customFormat="false" ht="13.5" hidden="false" customHeight="true" outlineLevel="0" collapsed="false">
      <c r="A45" s="456" t="n">
        <v>4413</v>
      </c>
      <c r="B45" s="458" t="s">
        <v>16972</v>
      </c>
      <c r="C45" s="458" t="n">
        <v>2010</v>
      </c>
      <c r="D45" s="459" t="n">
        <v>40358</v>
      </c>
      <c r="E45" s="458" t="s">
        <v>16973</v>
      </c>
      <c r="F45" s="458" t="s">
        <v>16974</v>
      </c>
      <c r="G45" s="458" t="s">
        <v>1174</v>
      </c>
      <c r="H45" s="458" t="s">
        <v>2283</v>
      </c>
      <c r="I45" s="459" t="n">
        <v>41425</v>
      </c>
      <c r="J45" s="460" t="n">
        <v>5</v>
      </c>
      <c r="K45" s="633" t="s">
        <v>47</v>
      </c>
      <c r="L45" s="458" t="s">
        <v>58</v>
      </c>
      <c r="M45" s="463" t="n">
        <f aca="false">I45-D45</f>
        <v>1067</v>
      </c>
      <c r="N45" s="4"/>
      <c r="O45" s="326"/>
      <c r="P45" s="326"/>
      <c r="Q45" s="326"/>
      <c r="R45" s="326"/>
      <c r="S45" s="326"/>
    </row>
    <row r="46" customFormat="false" ht="12.75" hidden="false" customHeight="true" outlineLevel="0" collapsed="false">
      <c r="A46" s="449" t="n">
        <v>4513</v>
      </c>
      <c r="B46" s="450" t="s">
        <v>16975</v>
      </c>
      <c r="C46" s="450" t="n">
        <v>2009</v>
      </c>
      <c r="D46" s="451" t="n">
        <v>40091</v>
      </c>
      <c r="E46" s="450" t="s">
        <v>16976</v>
      </c>
      <c r="F46" s="450" t="s">
        <v>1277</v>
      </c>
      <c r="G46" s="450" t="s">
        <v>1174</v>
      </c>
      <c r="H46" s="450" t="s">
        <v>2677</v>
      </c>
      <c r="I46" s="451" t="n">
        <v>41425</v>
      </c>
      <c r="J46" s="452" t="n">
        <v>5</v>
      </c>
      <c r="K46" s="634" t="s">
        <v>45</v>
      </c>
      <c r="L46" s="452" t="s">
        <v>58</v>
      </c>
      <c r="M46" s="455" t="n">
        <f aca="false">I46-D46</f>
        <v>1334</v>
      </c>
      <c r="N46" s="4"/>
      <c r="O46" s="309" t="s">
        <v>100</v>
      </c>
      <c r="P46" s="416" t="s">
        <v>40</v>
      </c>
      <c r="Q46" s="416"/>
      <c r="R46" s="416"/>
      <c r="S46" s="313" t="s">
        <v>41</v>
      </c>
    </row>
    <row r="47" customFormat="false" ht="12.75" hidden="false" customHeight="true" outlineLevel="0" collapsed="false">
      <c r="A47" s="456" t="n">
        <v>4613</v>
      </c>
      <c r="B47" s="458" t="s">
        <v>16977</v>
      </c>
      <c r="C47" s="458" t="n">
        <v>2009</v>
      </c>
      <c r="D47" s="459" t="n">
        <v>39946</v>
      </c>
      <c r="E47" s="458" t="s">
        <v>16978</v>
      </c>
      <c r="F47" s="458" t="s">
        <v>699</v>
      </c>
      <c r="G47" s="458" t="s">
        <v>441</v>
      </c>
      <c r="H47" s="458" t="s">
        <v>5230</v>
      </c>
      <c r="I47" s="459" t="n">
        <v>41429</v>
      </c>
      <c r="J47" s="460" t="n">
        <v>6</v>
      </c>
      <c r="K47" s="633" t="s">
        <v>47</v>
      </c>
      <c r="L47" s="458" t="s">
        <v>60</v>
      </c>
      <c r="M47" s="463" t="n">
        <f aca="false">I47-D47</f>
        <v>1483</v>
      </c>
      <c r="N47" s="4"/>
      <c r="O47" s="314" t="s">
        <v>63</v>
      </c>
      <c r="P47" s="314" t="n">
        <f aca="false">COUNTIF($J$2:$J$476,"1")</f>
        <v>11</v>
      </c>
      <c r="Q47" s="314"/>
      <c r="R47" s="314"/>
      <c r="S47" s="469" t="n">
        <f aca="false">(P47/P59)</f>
        <v>0.1</v>
      </c>
    </row>
    <row r="48" customFormat="false" ht="12.75" hidden="false" customHeight="true" outlineLevel="0" collapsed="false">
      <c r="A48" s="449" t="n">
        <v>4713</v>
      </c>
      <c r="B48" s="450" t="s">
        <v>16979</v>
      </c>
      <c r="C48" s="450" t="n">
        <v>2008</v>
      </c>
      <c r="D48" s="451" t="n">
        <v>39475</v>
      </c>
      <c r="E48" s="450" t="s">
        <v>16980</v>
      </c>
      <c r="F48" s="450" t="s">
        <v>780</v>
      </c>
      <c r="G48" s="450" t="s">
        <v>441</v>
      </c>
      <c r="H48" s="450" t="s">
        <v>354</v>
      </c>
      <c r="I48" s="451" t="n">
        <v>41429</v>
      </c>
      <c r="J48" s="452" t="n">
        <v>6</v>
      </c>
      <c r="K48" s="632" t="s">
        <v>50</v>
      </c>
      <c r="L48" s="452" t="s">
        <v>60</v>
      </c>
      <c r="M48" s="455" t="n">
        <f aca="false">I48-D48</f>
        <v>1954</v>
      </c>
      <c r="N48" s="4"/>
      <c r="O48" s="282" t="s">
        <v>64</v>
      </c>
      <c r="P48" s="282" t="n">
        <f aca="false">COUNTIF($J$2:$J$476,"2")</f>
        <v>5</v>
      </c>
      <c r="Q48" s="282"/>
      <c r="R48" s="282"/>
      <c r="S48" s="316" t="n">
        <f aca="false">(P48/P59)</f>
        <v>0.0454545454545455</v>
      </c>
    </row>
    <row r="49" customFormat="false" ht="12.75" hidden="false" customHeight="true" outlineLevel="0" collapsed="false">
      <c r="A49" s="456" t="n">
        <v>4813</v>
      </c>
      <c r="B49" s="458" t="s">
        <v>16981</v>
      </c>
      <c r="C49" s="458" t="n">
        <v>2010</v>
      </c>
      <c r="D49" s="459" t="n">
        <v>40424</v>
      </c>
      <c r="E49" s="458" t="s">
        <v>16982</v>
      </c>
      <c r="F49" s="458" t="s">
        <v>5401</v>
      </c>
      <c r="G49" s="458" t="s">
        <v>441</v>
      </c>
      <c r="H49" s="458" t="s">
        <v>16013</v>
      </c>
      <c r="I49" s="459" t="n">
        <v>41431</v>
      </c>
      <c r="J49" s="460" t="n">
        <v>6</v>
      </c>
      <c r="K49" s="633" t="s">
        <v>47</v>
      </c>
      <c r="L49" s="458" t="s">
        <v>60</v>
      </c>
      <c r="M49" s="463" t="n">
        <f aca="false">I49-D49</f>
        <v>1007</v>
      </c>
      <c r="N49" s="4"/>
      <c r="O49" s="283" t="s">
        <v>66</v>
      </c>
      <c r="P49" s="283" t="n">
        <f aca="false">COUNTIF($J$2:$J$476,"3")</f>
        <v>8</v>
      </c>
      <c r="Q49" s="283"/>
      <c r="R49" s="283"/>
      <c r="S49" s="315" t="n">
        <f aca="false">(P49/P59)</f>
        <v>0.0727272727272727</v>
      </c>
      <c r="T49" s="153"/>
    </row>
    <row r="50" customFormat="false" ht="12.75" hidden="false" customHeight="true" outlineLevel="0" collapsed="false">
      <c r="A50" s="449" t="n">
        <v>4913</v>
      </c>
      <c r="B50" s="450" t="s">
        <v>16983</v>
      </c>
      <c r="C50" s="450" t="n">
        <v>2010</v>
      </c>
      <c r="D50" s="451" t="n">
        <v>40441</v>
      </c>
      <c r="E50" s="450" t="s">
        <v>16984</v>
      </c>
      <c r="F50" s="450" t="s">
        <v>5401</v>
      </c>
      <c r="G50" s="450" t="s">
        <v>441</v>
      </c>
      <c r="H50" s="450" t="s">
        <v>16013</v>
      </c>
      <c r="I50" s="451" t="n">
        <v>41449</v>
      </c>
      <c r="J50" s="452" t="n">
        <v>6</v>
      </c>
      <c r="K50" s="633" t="s">
        <v>47</v>
      </c>
      <c r="L50" s="452" t="s">
        <v>60</v>
      </c>
      <c r="M50" s="455" t="n">
        <f aca="false">I50-D50</f>
        <v>1008</v>
      </c>
      <c r="N50" s="4"/>
      <c r="O50" s="282" t="s">
        <v>67</v>
      </c>
      <c r="P50" s="282" t="n">
        <f aca="false">COUNTIF($J$2:$J$476,"4")</f>
        <v>14</v>
      </c>
      <c r="Q50" s="282"/>
      <c r="R50" s="282"/>
      <c r="S50" s="316" t="n">
        <f aca="false">(P50/P59)</f>
        <v>0.127272727272727</v>
      </c>
      <c r="T50" s="153"/>
    </row>
    <row r="51" customFormat="false" ht="12.75" hidden="false" customHeight="true" outlineLevel="0" collapsed="false">
      <c r="A51" s="456" t="n">
        <v>5013</v>
      </c>
      <c r="B51" s="458" t="s">
        <v>16985</v>
      </c>
      <c r="C51" s="458" t="n">
        <v>2010</v>
      </c>
      <c r="D51" s="459" t="n">
        <v>40375</v>
      </c>
      <c r="E51" s="458" t="s">
        <v>16986</v>
      </c>
      <c r="F51" s="458" t="s">
        <v>1357</v>
      </c>
      <c r="G51" s="458" t="s">
        <v>1174</v>
      </c>
      <c r="H51" s="458" t="s">
        <v>3240</v>
      </c>
      <c r="I51" s="459" t="n">
        <v>41449</v>
      </c>
      <c r="J51" s="460" t="n">
        <v>6</v>
      </c>
      <c r="K51" s="631" t="s">
        <v>42</v>
      </c>
      <c r="L51" s="458" t="s">
        <v>60</v>
      </c>
      <c r="M51" s="463" t="n">
        <f aca="false">I51-D51</f>
        <v>1074</v>
      </c>
      <c r="N51" s="4"/>
      <c r="O51" s="283" t="s">
        <v>68</v>
      </c>
      <c r="P51" s="283" t="n">
        <f aca="false">COUNTIF($J$2:$J$476,"5")</f>
        <v>7</v>
      </c>
      <c r="Q51" s="283"/>
      <c r="R51" s="283"/>
      <c r="S51" s="315" t="n">
        <f aca="false">(P51/P59)</f>
        <v>0.0636363636363636</v>
      </c>
      <c r="T51" s="153"/>
    </row>
    <row r="52" customFormat="false" ht="12.75" hidden="false" customHeight="true" outlineLevel="0" collapsed="false">
      <c r="A52" s="449" t="n">
        <v>5113</v>
      </c>
      <c r="B52" s="450" t="s">
        <v>16987</v>
      </c>
      <c r="C52" s="450" t="n">
        <v>2010</v>
      </c>
      <c r="D52" s="451" t="n">
        <v>40319</v>
      </c>
      <c r="E52" s="450" t="s">
        <v>16988</v>
      </c>
      <c r="F52" s="450" t="s">
        <v>699</v>
      </c>
      <c r="G52" s="450" t="s">
        <v>1174</v>
      </c>
      <c r="H52" s="450" t="s">
        <v>12763</v>
      </c>
      <c r="I52" s="451" t="n">
        <v>41451</v>
      </c>
      <c r="J52" s="452" t="n">
        <v>6</v>
      </c>
      <c r="K52" s="631" t="s">
        <v>42</v>
      </c>
      <c r="L52" s="452" t="s">
        <v>60</v>
      </c>
      <c r="M52" s="455" t="n">
        <f aca="false">I52-D52</f>
        <v>1132</v>
      </c>
      <c r="N52" s="4"/>
      <c r="O52" s="282" t="s">
        <v>70</v>
      </c>
      <c r="P52" s="282" t="n">
        <f aca="false">COUNTIF($J$2:$J$476,"6")</f>
        <v>10</v>
      </c>
      <c r="Q52" s="282"/>
      <c r="R52" s="282"/>
      <c r="S52" s="316" t="n">
        <f aca="false">(P52/P59)</f>
        <v>0.0909090909090909</v>
      </c>
      <c r="T52" s="153"/>
    </row>
    <row r="53" customFormat="false" ht="12.75" hidden="false" customHeight="true" outlineLevel="0" collapsed="false">
      <c r="A53" s="456" t="n">
        <v>5213</v>
      </c>
      <c r="B53" s="458" t="s">
        <v>16989</v>
      </c>
      <c r="C53" s="458" t="n">
        <v>2010</v>
      </c>
      <c r="D53" s="459" t="n">
        <v>40438</v>
      </c>
      <c r="E53" s="458" t="s">
        <v>16990</v>
      </c>
      <c r="F53" s="458" t="s">
        <v>1609</v>
      </c>
      <c r="G53" s="458" t="s">
        <v>1174</v>
      </c>
      <c r="H53" s="458" t="s">
        <v>1072</v>
      </c>
      <c r="I53" s="459" t="n">
        <v>41451</v>
      </c>
      <c r="J53" s="460" t="n">
        <v>6</v>
      </c>
      <c r="K53" s="631" t="s">
        <v>42</v>
      </c>
      <c r="L53" s="458" t="s">
        <v>57</v>
      </c>
      <c r="M53" s="463" t="n">
        <f aca="false">I53-D53</f>
        <v>1013</v>
      </c>
      <c r="N53" s="4"/>
      <c r="O53" s="283" t="s">
        <v>72</v>
      </c>
      <c r="P53" s="283" t="n">
        <f aca="false">COUNTIF($J$2:$J$476,"7")</f>
        <v>11</v>
      </c>
      <c r="Q53" s="283"/>
      <c r="R53" s="283"/>
      <c r="S53" s="315" t="n">
        <f aca="false">(P53/P59)</f>
        <v>0.1</v>
      </c>
      <c r="T53" s="153"/>
    </row>
    <row r="54" customFormat="false" ht="12.75" hidden="false" customHeight="true" outlineLevel="0" collapsed="false">
      <c r="A54" s="449" t="n">
        <v>5313</v>
      </c>
      <c r="B54" s="450" t="s">
        <v>16991</v>
      </c>
      <c r="C54" s="450" t="n">
        <v>2008</v>
      </c>
      <c r="D54" s="451" t="n">
        <v>39695</v>
      </c>
      <c r="E54" s="450" t="s">
        <v>16992</v>
      </c>
      <c r="F54" s="450" t="s">
        <v>1243</v>
      </c>
      <c r="G54" s="450" t="s">
        <v>144</v>
      </c>
      <c r="H54" s="450" t="s">
        <v>119</v>
      </c>
      <c r="I54" s="451" t="n">
        <v>41453</v>
      </c>
      <c r="J54" s="452" t="n">
        <v>6</v>
      </c>
      <c r="K54" s="634" t="s">
        <v>45</v>
      </c>
      <c r="L54" s="452" t="s">
        <v>60</v>
      </c>
      <c r="M54" s="455" t="n">
        <f aca="false">I54-D54</f>
        <v>1758</v>
      </c>
      <c r="N54" s="4"/>
      <c r="O54" s="282" t="s">
        <v>74</v>
      </c>
      <c r="P54" s="282" t="n">
        <f aca="false">COUNTIF($J$2:$J$476,"8")</f>
        <v>12</v>
      </c>
      <c r="Q54" s="282"/>
      <c r="R54" s="282"/>
      <c r="S54" s="316" t="n">
        <f aca="false">(P54/P59)</f>
        <v>0.109090909090909</v>
      </c>
      <c r="T54" s="153"/>
    </row>
    <row r="55" customFormat="false" ht="12.75" hidden="false" customHeight="true" outlineLevel="0" collapsed="false">
      <c r="A55" s="456" t="n">
        <v>5413</v>
      </c>
      <c r="B55" s="458" t="s">
        <v>16993</v>
      </c>
      <c r="C55" s="458" t="n">
        <v>2007</v>
      </c>
      <c r="D55" s="459" t="n">
        <v>39414</v>
      </c>
      <c r="E55" s="458" t="s">
        <v>16994</v>
      </c>
      <c r="F55" s="458" t="s">
        <v>3091</v>
      </c>
      <c r="G55" s="458" t="s">
        <v>1174</v>
      </c>
      <c r="H55" s="458" t="s">
        <v>223</v>
      </c>
      <c r="I55" s="459" t="n">
        <v>41453</v>
      </c>
      <c r="J55" s="460" t="n">
        <v>6</v>
      </c>
      <c r="K55" s="633" t="s">
        <v>47</v>
      </c>
      <c r="L55" s="458" t="s">
        <v>58</v>
      </c>
      <c r="M55" s="463" t="n">
        <f aca="false">I55-D55</f>
        <v>2039</v>
      </c>
      <c r="N55" s="4"/>
      <c r="O55" s="283" t="s">
        <v>76</v>
      </c>
      <c r="P55" s="283" t="n">
        <f aca="false">COUNTIF($J$2:$J$476,"9")</f>
        <v>11</v>
      </c>
      <c r="Q55" s="283"/>
      <c r="R55" s="283"/>
      <c r="S55" s="315" t="n">
        <f aca="false">(P55/P59)</f>
        <v>0.1</v>
      </c>
      <c r="T55" s="153"/>
    </row>
    <row r="56" customFormat="false" ht="12.75" hidden="false" customHeight="true" outlineLevel="0" collapsed="false">
      <c r="A56" s="449" t="n">
        <v>5513</v>
      </c>
      <c r="B56" s="450" t="s">
        <v>16995</v>
      </c>
      <c r="C56" s="450" t="n">
        <v>2009</v>
      </c>
      <c r="D56" s="451" t="n">
        <v>39892</v>
      </c>
      <c r="E56" s="450" t="s">
        <v>16996</v>
      </c>
      <c r="F56" s="450" t="s">
        <v>3924</v>
      </c>
      <c r="G56" s="450" t="s">
        <v>1174</v>
      </c>
      <c r="H56" s="450" t="s">
        <v>354</v>
      </c>
      <c r="I56" s="451" t="n">
        <v>41453</v>
      </c>
      <c r="J56" s="452" t="n">
        <v>6</v>
      </c>
      <c r="K56" s="634" t="s">
        <v>45</v>
      </c>
      <c r="L56" s="452" t="s">
        <v>58</v>
      </c>
      <c r="M56" s="455" t="n">
        <f aca="false">I56-D56</f>
        <v>1561</v>
      </c>
      <c r="N56" s="4"/>
      <c r="O56" s="282" t="s">
        <v>78</v>
      </c>
      <c r="P56" s="282" t="n">
        <f aca="false">COUNTIF($J$2:$J$476,"10")</f>
        <v>7</v>
      </c>
      <c r="Q56" s="282"/>
      <c r="R56" s="282"/>
      <c r="S56" s="316" t="n">
        <f aca="false">(P56/P59)</f>
        <v>0.0636363636363636</v>
      </c>
      <c r="T56" s="153"/>
    </row>
    <row r="57" customFormat="false" ht="12.75" hidden="false" customHeight="true" outlineLevel="0" collapsed="false">
      <c r="A57" s="456" t="n">
        <v>5613</v>
      </c>
      <c r="B57" s="458" t="s">
        <v>16997</v>
      </c>
      <c r="C57" s="458" t="n">
        <v>2010</v>
      </c>
      <c r="D57" s="459" t="n">
        <v>40501</v>
      </c>
      <c r="E57" s="458" t="s">
        <v>16998</v>
      </c>
      <c r="F57" s="458" t="s">
        <v>780</v>
      </c>
      <c r="G57" s="458" t="s">
        <v>1174</v>
      </c>
      <c r="H57" s="458" t="s">
        <v>12073</v>
      </c>
      <c r="I57" s="459" t="n">
        <v>41456</v>
      </c>
      <c r="J57" s="460" t="n">
        <v>7</v>
      </c>
      <c r="K57" s="634" t="s">
        <v>45</v>
      </c>
      <c r="L57" s="458" t="s">
        <v>60</v>
      </c>
      <c r="M57" s="463" t="n">
        <f aca="false">I57-D57</f>
        <v>955</v>
      </c>
      <c r="N57" s="4"/>
      <c r="O57" s="283" t="s">
        <v>80</v>
      </c>
      <c r="P57" s="283" t="n">
        <f aca="false">COUNTIF($J$2:$J$476,"11")</f>
        <v>10</v>
      </c>
      <c r="Q57" s="283"/>
      <c r="R57" s="283"/>
      <c r="S57" s="315" t="n">
        <f aca="false">(P57/P59)</f>
        <v>0.0909090909090909</v>
      </c>
      <c r="T57" s="153"/>
    </row>
    <row r="58" customFormat="false" ht="12.75" hidden="false" customHeight="true" outlineLevel="0" collapsed="false">
      <c r="A58" s="449" t="n">
        <v>5713</v>
      </c>
      <c r="B58" s="450" t="s">
        <v>16999</v>
      </c>
      <c r="C58" s="450" t="n">
        <v>2011</v>
      </c>
      <c r="D58" s="451" t="n">
        <v>40668</v>
      </c>
      <c r="E58" s="450" t="s">
        <v>17000</v>
      </c>
      <c r="F58" s="624" t="s">
        <v>17001</v>
      </c>
      <c r="G58" s="450" t="s">
        <v>125</v>
      </c>
      <c r="H58" s="450" t="s">
        <v>3472</v>
      </c>
      <c r="I58" s="451" t="n">
        <v>41456</v>
      </c>
      <c r="J58" s="452" t="n">
        <v>7</v>
      </c>
      <c r="K58" s="632" t="s">
        <v>50</v>
      </c>
      <c r="L58" s="452" t="s">
        <v>61</v>
      </c>
      <c r="M58" s="455" t="n">
        <f aca="false">I58-D58</f>
        <v>788</v>
      </c>
      <c r="N58" s="4"/>
      <c r="O58" s="336" t="s">
        <v>82</v>
      </c>
      <c r="P58" s="282" t="n">
        <f aca="false">COUNTIF($J$2:$J$476,"12")</f>
        <v>4</v>
      </c>
      <c r="Q58" s="282"/>
      <c r="R58" s="282"/>
      <c r="S58" s="470" t="n">
        <f aca="false">(P58/P59)</f>
        <v>0.0363636363636364</v>
      </c>
      <c r="T58" s="153"/>
    </row>
    <row r="59" customFormat="false" ht="12.75" hidden="false" customHeight="true" outlineLevel="0" collapsed="false">
      <c r="A59" s="456" t="n">
        <v>5813</v>
      </c>
      <c r="B59" s="458" t="s">
        <v>17002</v>
      </c>
      <c r="C59" s="458" t="n">
        <v>2011</v>
      </c>
      <c r="D59" s="459" t="n">
        <v>40778</v>
      </c>
      <c r="E59" s="458" t="s">
        <v>17003</v>
      </c>
      <c r="F59" s="458" t="s">
        <v>549</v>
      </c>
      <c r="G59" s="458" t="s">
        <v>441</v>
      </c>
      <c r="H59" s="458" t="s">
        <v>1059</v>
      </c>
      <c r="I59" s="459" t="n">
        <v>41456</v>
      </c>
      <c r="J59" s="460" t="n">
        <v>7</v>
      </c>
      <c r="K59" s="634" t="s">
        <v>45</v>
      </c>
      <c r="L59" s="458" t="s">
        <v>58</v>
      </c>
      <c r="M59" s="463" t="n">
        <f aca="false">I59-D59</f>
        <v>678</v>
      </c>
      <c r="N59" s="4"/>
      <c r="O59" s="323" t="s">
        <v>54</v>
      </c>
      <c r="P59" s="418" t="n">
        <f aca="false">SUM(P47:R58)</f>
        <v>110</v>
      </c>
      <c r="Q59" s="418"/>
      <c r="R59" s="418"/>
      <c r="S59" s="325" t="n">
        <f aca="false">SUM(S47:S58)</f>
        <v>1</v>
      </c>
      <c r="T59" s="153"/>
    </row>
    <row r="60" customFormat="false" ht="12.75" hidden="false" customHeight="true" outlineLevel="0" collapsed="false">
      <c r="A60" s="449" t="n">
        <v>5913</v>
      </c>
      <c r="B60" s="450" t="s">
        <v>17004</v>
      </c>
      <c r="C60" s="450" t="n">
        <v>2010</v>
      </c>
      <c r="D60" s="451" t="n">
        <v>40534</v>
      </c>
      <c r="E60" s="450" t="s">
        <v>17005</v>
      </c>
      <c r="F60" s="450" t="s">
        <v>168</v>
      </c>
      <c r="G60" s="450" t="s">
        <v>1174</v>
      </c>
      <c r="H60" s="450" t="s">
        <v>2677</v>
      </c>
      <c r="I60" s="451" t="n">
        <v>41456</v>
      </c>
      <c r="J60" s="452" t="n">
        <v>7</v>
      </c>
      <c r="K60" s="631" t="s">
        <v>42</v>
      </c>
      <c r="L60" s="452" t="s">
        <v>58</v>
      </c>
      <c r="M60" s="455" t="n">
        <f aca="false">I60-D60</f>
        <v>922</v>
      </c>
      <c r="N60" s="4"/>
      <c r="O60" s="153"/>
      <c r="P60" s="153"/>
      <c r="Q60" s="153"/>
      <c r="R60" s="153"/>
      <c r="S60" s="153"/>
      <c r="T60" s="153"/>
    </row>
    <row r="61" customFormat="false" ht="13.5" hidden="false" customHeight="true" outlineLevel="0" collapsed="false">
      <c r="A61" s="456" t="n">
        <v>6013</v>
      </c>
      <c r="B61" s="458" t="s">
        <v>17006</v>
      </c>
      <c r="C61" s="458" t="n">
        <v>2010</v>
      </c>
      <c r="D61" s="459" t="n">
        <v>40464</v>
      </c>
      <c r="E61" s="458" t="s">
        <v>17007</v>
      </c>
      <c r="F61" s="458" t="s">
        <v>1357</v>
      </c>
      <c r="G61" s="458" t="s">
        <v>1174</v>
      </c>
      <c r="H61" s="458" t="s">
        <v>12073</v>
      </c>
      <c r="I61" s="459" t="n">
        <v>41457</v>
      </c>
      <c r="J61" s="460" t="n">
        <v>7</v>
      </c>
      <c r="K61" s="631" t="s">
        <v>42</v>
      </c>
      <c r="L61" s="458" t="s">
        <v>60</v>
      </c>
      <c r="M61" s="463" t="n">
        <f aca="false">I61-D61</f>
        <v>993</v>
      </c>
      <c r="N61" s="4"/>
      <c r="O61" s="339" t="s">
        <v>335</v>
      </c>
      <c r="P61" s="339"/>
      <c r="Q61" s="339"/>
      <c r="R61" s="339"/>
      <c r="S61" s="339"/>
      <c r="T61" s="339"/>
    </row>
    <row r="62" customFormat="false" ht="13.5" hidden="false" customHeight="true" outlineLevel="0" collapsed="false">
      <c r="A62" s="449" t="n">
        <v>6113</v>
      </c>
      <c r="B62" s="450" t="s">
        <v>17008</v>
      </c>
      <c r="C62" s="450" t="n">
        <v>2010</v>
      </c>
      <c r="D62" s="451" t="n">
        <v>40399</v>
      </c>
      <c r="E62" s="450" t="s">
        <v>17009</v>
      </c>
      <c r="F62" s="450" t="s">
        <v>1357</v>
      </c>
      <c r="G62" s="450" t="s">
        <v>1174</v>
      </c>
      <c r="H62" s="450" t="s">
        <v>310</v>
      </c>
      <c r="I62" s="451" t="n">
        <v>41457</v>
      </c>
      <c r="J62" s="452" t="n">
        <v>7</v>
      </c>
      <c r="K62" s="631" t="s">
        <v>42</v>
      </c>
      <c r="L62" s="452" t="s">
        <v>60</v>
      </c>
      <c r="M62" s="455" t="n">
        <f aca="false">I62-D62</f>
        <v>1058</v>
      </c>
      <c r="N62" s="4"/>
      <c r="O62" s="339"/>
      <c r="P62" s="339"/>
      <c r="Q62" s="339"/>
      <c r="R62" s="339"/>
      <c r="S62" s="339"/>
      <c r="T62" s="339"/>
    </row>
    <row r="63" customFormat="false" ht="12.75" hidden="false" customHeight="true" outlineLevel="0" collapsed="false">
      <c r="A63" s="456" t="n">
        <v>6213</v>
      </c>
      <c r="B63" s="458" t="s">
        <v>17010</v>
      </c>
      <c r="C63" s="458" t="n">
        <v>2009</v>
      </c>
      <c r="D63" s="459" t="n">
        <v>39988</v>
      </c>
      <c r="E63" s="458" t="s">
        <v>17011</v>
      </c>
      <c r="F63" s="458" t="s">
        <v>17012</v>
      </c>
      <c r="G63" s="458" t="s">
        <v>144</v>
      </c>
      <c r="H63" s="458" t="s">
        <v>1791</v>
      </c>
      <c r="I63" s="459" t="n">
        <v>41460</v>
      </c>
      <c r="J63" s="460" t="n">
        <v>7</v>
      </c>
      <c r="K63" s="634" t="s">
        <v>45</v>
      </c>
      <c r="L63" s="458" t="s">
        <v>58</v>
      </c>
      <c r="M63" s="463" t="n">
        <f aca="false">I63-D63</f>
        <v>1472</v>
      </c>
      <c r="N63" s="4"/>
      <c r="O63" s="340" t="s">
        <v>38</v>
      </c>
      <c r="P63" s="340"/>
      <c r="Q63" s="340"/>
      <c r="R63" s="340"/>
      <c r="S63" s="341" t="s">
        <v>343</v>
      </c>
      <c r="T63" s="342" t="s">
        <v>41</v>
      </c>
    </row>
    <row r="64" customFormat="false" ht="12.75" hidden="false" customHeight="true" outlineLevel="0" collapsed="false">
      <c r="A64" s="449" t="n">
        <v>6313</v>
      </c>
      <c r="B64" s="450" t="s">
        <v>17013</v>
      </c>
      <c r="C64" s="450" t="n">
        <v>2009</v>
      </c>
      <c r="D64" s="451" t="n">
        <v>40000</v>
      </c>
      <c r="E64" s="450" t="s">
        <v>17014</v>
      </c>
      <c r="F64" s="450" t="s">
        <v>446</v>
      </c>
      <c r="G64" s="450" t="s">
        <v>441</v>
      </c>
      <c r="H64" s="450" t="s">
        <v>1042</v>
      </c>
      <c r="I64" s="451" t="n">
        <v>41467</v>
      </c>
      <c r="J64" s="452" t="n">
        <v>7</v>
      </c>
      <c r="K64" s="633" t="s">
        <v>47</v>
      </c>
      <c r="L64" s="452" t="s">
        <v>60</v>
      </c>
      <c r="M64" s="455" t="n">
        <f aca="false">I64-D64</f>
        <v>1467</v>
      </c>
      <c r="N64" s="4"/>
      <c r="O64" s="471" t="s">
        <v>42</v>
      </c>
      <c r="P64" s="471"/>
      <c r="Q64" s="471"/>
      <c r="R64" s="471"/>
      <c r="S64" s="471" t="n">
        <f aca="false">COUNTIF($K$2:$K$476,"I - Extremamente tóxico")</f>
        <v>31</v>
      </c>
      <c r="T64" s="472" t="n">
        <f aca="false">(S64/S76)</f>
        <v>0.281818181818182</v>
      </c>
    </row>
    <row r="65" customFormat="false" ht="12.75" hidden="false" customHeight="true" outlineLevel="0" collapsed="false">
      <c r="A65" s="456" t="n">
        <v>6413</v>
      </c>
      <c r="B65" s="458" t="s">
        <v>17015</v>
      </c>
      <c r="C65" s="458" t="n">
        <v>2008</v>
      </c>
      <c r="D65" s="459" t="n">
        <v>39697</v>
      </c>
      <c r="E65" s="458" t="s">
        <v>17016</v>
      </c>
      <c r="F65" s="458" t="s">
        <v>1357</v>
      </c>
      <c r="G65" s="458" t="s">
        <v>441</v>
      </c>
      <c r="H65" s="458" t="s">
        <v>16610</v>
      </c>
      <c r="I65" s="459" t="n">
        <v>41473</v>
      </c>
      <c r="J65" s="460" t="n">
        <v>7</v>
      </c>
      <c r="K65" s="631" t="s">
        <v>42</v>
      </c>
      <c r="L65" s="458" t="s">
        <v>58</v>
      </c>
      <c r="M65" s="463" t="n">
        <f aca="false">I65-D65</f>
        <v>1776</v>
      </c>
      <c r="N65" s="4"/>
      <c r="O65" s="345" t="s">
        <v>43</v>
      </c>
      <c r="P65" s="345"/>
      <c r="Q65" s="345"/>
      <c r="R65" s="345"/>
      <c r="S65" s="345" t="n">
        <f aca="false">COUNTIF($K$2:$K$476,"Categoria 1 - Produto Extremamente Tóxico")</f>
        <v>0</v>
      </c>
      <c r="T65" s="473" t="n">
        <f aca="false">(S65/S76)</f>
        <v>0</v>
      </c>
    </row>
    <row r="66" customFormat="false" ht="12.75" hidden="false" customHeight="true" outlineLevel="0" collapsed="false">
      <c r="A66" s="449" t="n">
        <v>6513</v>
      </c>
      <c r="B66" s="450" t="s">
        <v>17017</v>
      </c>
      <c r="C66" s="450" t="n">
        <v>2007</v>
      </c>
      <c r="D66" s="451" t="n">
        <v>39281</v>
      </c>
      <c r="E66" s="450" t="s">
        <v>17018</v>
      </c>
      <c r="F66" s="450" t="s">
        <v>4270</v>
      </c>
      <c r="G66" s="450" t="s">
        <v>441</v>
      </c>
      <c r="H66" s="450" t="s">
        <v>14391</v>
      </c>
      <c r="I66" s="451" t="n">
        <v>41473</v>
      </c>
      <c r="J66" s="452" t="n">
        <v>7</v>
      </c>
      <c r="K66" s="631" t="s">
        <v>42</v>
      </c>
      <c r="L66" s="452" t="s">
        <v>58</v>
      </c>
      <c r="M66" s="455" t="n">
        <f aca="false">I66-D66</f>
        <v>2192</v>
      </c>
      <c r="N66" s="4"/>
      <c r="O66" s="345" t="s">
        <v>44</v>
      </c>
      <c r="P66" s="345"/>
      <c r="Q66" s="345"/>
      <c r="R66" s="345"/>
      <c r="S66" s="345" t="n">
        <f aca="false">COUNTIF($K$2:$K$476,"Categoria 2 - Produto Altamente Tóxico")</f>
        <v>0</v>
      </c>
      <c r="T66" s="473" t="n">
        <f aca="false">(S66/S76)</f>
        <v>0</v>
      </c>
    </row>
    <row r="67" customFormat="false" ht="12.75" hidden="false" customHeight="true" outlineLevel="0" collapsed="false">
      <c r="A67" s="456" t="n">
        <v>6613</v>
      </c>
      <c r="B67" s="458" t="s">
        <v>17019</v>
      </c>
      <c r="C67" s="458" t="n">
        <v>2008</v>
      </c>
      <c r="D67" s="459" t="n">
        <v>39787</v>
      </c>
      <c r="E67" s="458" t="s">
        <v>17020</v>
      </c>
      <c r="F67" s="458" t="s">
        <v>780</v>
      </c>
      <c r="G67" s="458" t="s">
        <v>441</v>
      </c>
      <c r="H67" s="458" t="s">
        <v>223</v>
      </c>
      <c r="I67" s="459" t="n">
        <v>41477</v>
      </c>
      <c r="J67" s="460" t="n">
        <v>7</v>
      </c>
      <c r="K67" s="631" t="s">
        <v>42</v>
      </c>
      <c r="L67" s="458" t="s">
        <v>58</v>
      </c>
      <c r="M67" s="463" t="n">
        <f aca="false">I67-D67</f>
        <v>1690</v>
      </c>
      <c r="N67" s="4"/>
      <c r="O67" s="349" t="s">
        <v>45</v>
      </c>
      <c r="P67" s="349"/>
      <c r="Q67" s="349"/>
      <c r="R67" s="349"/>
      <c r="S67" s="349" t="n">
        <f aca="false">COUNTIF($K$2:$K$476,"II - Altamente tóxico")</f>
        <v>22</v>
      </c>
      <c r="T67" s="474" t="n">
        <f aca="false">(S67/S76)</f>
        <v>0.2</v>
      </c>
    </row>
    <row r="68" customFormat="false" ht="12.75" hidden="false" customHeight="true" outlineLevel="0" collapsed="false">
      <c r="A68" s="449" t="n">
        <v>6713</v>
      </c>
      <c r="B68" s="450" t="s">
        <v>17021</v>
      </c>
      <c r="C68" s="450" t="n">
        <v>2008</v>
      </c>
      <c r="D68" s="451" t="n">
        <v>39804</v>
      </c>
      <c r="E68" s="450" t="s">
        <v>17022</v>
      </c>
      <c r="F68" s="450" t="s">
        <v>1243</v>
      </c>
      <c r="G68" s="450" t="s">
        <v>144</v>
      </c>
      <c r="H68" s="450" t="s">
        <v>119</v>
      </c>
      <c r="I68" s="451" t="n">
        <v>41494</v>
      </c>
      <c r="J68" s="452" t="n">
        <v>8</v>
      </c>
      <c r="K68" s="634" t="s">
        <v>45</v>
      </c>
      <c r="L68" s="452" t="s">
        <v>60</v>
      </c>
      <c r="M68" s="455" t="n">
        <f aca="false">I68-D68</f>
        <v>1690</v>
      </c>
      <c r="N68" s="4"/>
      <c r="O68" s="349" t="s">
        <v>46</v>
      </c>
      <c r="P68" s="349"/>
      <c r="Q68" s="349"/>
      <c r="R68" s="349"/>
      <c r="S68" s="349" t="n">
        <f aca="false">COUNTIF($K$2:$K$476,"Categoria 3 - Produto Moderadamente Tóxico")</f>
        <v>0</v>
      </c>
      <c r="T68" s="474" t="n">
        <f aca="false">(S68/S76)</f>
        <v>0</v>
      </c>
    </row>
    <row r="69" customFormat="false" ht="12.75" hidden="false" customHeight="true" outlineLevel="0" collapsed="false">
      <c r="A69" s="456" t="n">
        <v>6813</v>
      </c>
      <c r="B69" s="458" t="s">
        <v>17023</v>
      </c>
      <c r="C69" s="458" t="n">
        <v>2012</v>
      </c>
      <c r="D69" s="459" t="n">
        <v>41095</v>
      </c>
      <c r="E69" s="458" t="s">
        <v>17024</v>
      </c>
      <c r="F69" s="458" t="s">
        <v>15670</v>
      </c>
      <c r="G69" s="458" t="s">
        <v>130</v>
      </c>
      <c r="H69" s="458" t="s">
        <v>17025</v>
      </c>
      <c r="I69" s="459" t="n">
        <v>41495</v>
      </c>
      <c r="J69" s="460" t="n">
        <v>8</v>
      </c>
      <c r="K69" s="632" t="s">
        <v>50</v>
      </c>
      <c r="L69" s="458" t="s">
        <v>61</v>
      </c>
      <c r="M69" s="463" t="n">
        <f aca="false">I69-D69</f>
        <v>400</v>
      </c>
      <c r="N69" s="4"/>
      <c r="O69" s="351" t="s">
        <v>47</v>
      </c>
      <c r="P69" s="351"/>
      <c r="Q69" s="351"/>
      <c r="R69" s="351"/>
      <c r="S69" s="351" t="n">
        <f aca="false">COUNTIF($K$2:$K$476,"III - Medianamente tóxico")</f>
        <v>47</v>
      </c>
      <c r="T69" s="475" t="n">
        <f aca="false">(S69/S76)</f>
        <v>0.427272727272727</v>
      </c>
    </row>
    <row r="70" customFormat="false" ht="12.75" hidden="false" customHeight="true" outlineLevel="0" collapsed="false">
      <c r="A70" s="449" t="n">
        <v>6913</v>
      </c>
      <c r="B70" s="450" t="s">
        <v>17026</v>
      </c>
      <c r="C70" s="450" t="n">
        <v>2012</v>
      </c>
      <c r="D70" s="451" t="n">
        <v>41095</v>
      </c>
      <c r="E70" s="450" t="s">
        <v>17027</v>
      </c>
      <c r="F70" s="450" t="s">
        <v>15670</v>
      </c>
      <c r="G70" s="450" t="s">
        <v>130</v>
      </c>
      <c r="H70" s="450" t="s">
        <v>17025</v>
      </c>
      <c r="I70" s="451" t="n">
        <v>41495</v>
      </c>
      <c r="J70" s="452" t="n">
        <v>8</v>
      </c>
      <c r="K70" s="632" t="s">
        <v>50</v>
      </c>
      <c r="L70" s="452" t="s">
        <v>61</v>
      </c>
      <c r="M70" s="455" t="n">
        <f aca="false">I70-D70</f>
        <v>400</v>
      </c>
      <c r="N70" s="4"/>
      <c r="O70" s="351" t="s">
        <v>48</v>
      </c>
      <c r="P70" s="351"/>
      <c r="Q70" s="351"/>
      <c r="R70" s="351"/>
      <c r="S70" s="351" t="n">
        <f aca="false">COUNTIF($K$2:$K$476,"Categoria 4 - Produto Pouco Tóxico")</f>
        <v>0</v>
      </c>
      <c r="T70" s="475" t="n">
        <f aca="false">(S70/S76)</f>
        <v>0</v>
      </c>
    </row>
    <row r="71" customFormat="false" ht="12.75" hidden="false" customHeight="true" outlineLevel="0" collapsed="false">
      <c r="A71" s="456" t="n">
        <v>7013</v>
      </c>
      <c r="B71" s="458" t="s">
        <v>17028</v>
      </c>
      <c r="C71" s="458" t="n">
        <v>2009</v>
      </c>
      <c r="D71" s="459" t="n">
        <v>39923</v>
      </c>
      <c r="E71" s="458" t="s">
        <v>17029</v>
      </c>
      <c r="F71" s="458" t="s">
        <v>699</v>
      </c>
      <c r="G71" s="458" t="s">
        <v>441</v>
      </c>
      <c r="H71" s="458" t="s">
        <v>5230</v>
      </c>
      <c r="I71" s="459" t="n">
        <v>41495</v>
      </c>
      <c r="J71" s="460" t="n">
        <v>8</v>
      </c>
      <c r="K71" s="633" t="s">
        <v>47</v>
      </c>
      <c r="L71" s="458" t="s">
        <v>60</v>
      </c>
      <c r="M71" s="463" t="n">
        <f aca="false">I71-D71</f>
        <v>1572</v>
      </c>
      <c r="N71" s="4"/>
      <c r="O71" s="351" t="s">
        <v>49</v>
      </c>
      <c r="P71" s="351"/>
      <c r="Q71" s="351"/>
      <c r="R71" s="351"/>
      <c r="S71" s="351" t="n">
        <f aca="false">COUNTIF($K$2:$K$476,"Categoria 5 - Produto Improvável de Causar Dano Agudo")</f>
        <v>0</v>
      </c>
      <c r="T71" s="475" t="n">
        <f aca="false">(S71/S76)</f>
        <v>0</v>
      </c>
    </row>
    <row r="72" customFormat="false" ht="13.5" hidden="false" customHeight="true" outlineLevel="0" collapsed="false">
      <c r="A72" s="449" t="n">
        <v>7113</v>
      </c>
      <c r="B72" s="450" t="s">
        <v>17030</v>
      </c>
      <c r="C72" s="450" t="n">
        <v>2009</v>
      </c>
      <c r="D72" s="451" t="n">
        <v>40100</v>
      </c>
      <c r="E72" s="450" t="s">
        <v>17031</v>
      </c>
      <c r="F72" s="450" t="s">
        <v>3844</v>
      </c>
      <c r="G72" s="450" t="s">
        <v>1174</v>
      </c>
      <c r="H72" s="450" t="s">
        <v>6480</v>
      </c>
      <c r="I72" s="451" t="n">
        <v>41498</v>
      </c>
      <c r="J72" s="452" t="n">
        <v>8</v>
      </c>
      <c r="K72" s="633" t="s">
        <v>47</v>
      </c>
      <c r="L72" s="452" t="s">
        <v>58</v>
      </c>
      <c r="M72" s="455" t="n">
        <f aca="false">I72-D72</f>
        <v>1398</v>
      </c>
      <c r="N72" s="4"/>
      <c r="O72" s="353" t="s">
        <v>50</v>
      </c>
      <c r="P72" s="353"/>
      <c r="Q72" s="353"/>
      <c r="R72" s="353"/>
      <c r="S72" s="353" t="n">
        <f aca="false">COUNTIF($K$2:$K$476,"IV - Pouco tóxico")</f>
        <v>7</v>
      </c>
      <c r="T72" s="476" t="n">
        <f aca="false">(S72/S76)</f>
        <v>0.0636363636363636</v>
      </c>
    </row>
    <row r="73" customFormat="false" ht="12.75" hidden="false" customHeight="true" outlineLevel="0" collapsed="false">
      <c r="A73" s="456" t="n">
        <v>7213</v>
      </c>
      <c r="B73" s="458" t="s">
        <v>17032</v>
      </c>
      <c r="C73" s="458" t="n">
        <v>2010</v>
      </c>
      <c r="D73" s="459" t="n">
        <v>40263</v>
      </c>
      <c r="E73" s="458" t="s">
        <v>17033</v>
      </c>
      <c r="F73" s="458" t="s">
        <v>3844</v>
      </c>
      <c r="G73" s="458" t="s">
        <v>1174</v>
      </c>
      <c r="H73" s="458" t="s">
        <v>3240</v>
      </c>
      <c r="I73" s="459" t="n">
        <v>41498</v>
      </c>
      <c r="J73" s="460" t="n">
        <v>8</v>
      </c>
      <c r="K73" s="633" t="s">
        <v>47</v>
      </c>
      <c r="L73" s="458" t="s">
        <v>58</v>
      </c>
      <c r="M73" s="463" t="n">
        <f aca="false">I73-D73</f>
        <v>1235</v>
      </c>
      <c r="N73" s="4"/>
      <c r="O73" s="353" t="s">
        <v>51</v>
      </c>
      <c r="P73" s="353"/>
      <c r="Q73" s="353"/>
      <c r="R73" s="353"/>
      <c r="S73" s="353" t="n">
        <f aca="false">COUNTIF($K$2:$K$476,"Não classificado - Produto não classificado")</f>
        <v>0</v>
      </c>
      <c r="T73" s="476" t="n">
        <f aca="false">(S73/S76)</f>
        <v>0</v>
      </c>
    </row>
    <row r="74" customFormat="false" ht="12.75" hidden="false" customHeight="true" outlineLevel="0" collapsed="false">
      <c r="A74" s="449" t="n">
        <v>7313</v>
      </c>
      <c r="B74" s="450" t="s">
        <v>17034</v>
      </c>
      <c r="C74" s="450" t="n">
        <v>2009</v>
      </c>
      <c r="D74" s="451" t="n">
        <v>40011</v>
      </c>
      <c r="E74" s="450" t="s">
        <v>17035</v>
      </c>
      <c r="F74" s="450" t="s">
        <v>569</v>
      </c>
      <c r="G74" s="450" t="s">
        <v>1174</v>
      </c>
      <c r="H74" s="450" t="s">
        <v>15408</v>
      </c>
      <c r="I74" s="451" t="n">
        <v>41499</v>
      </c>
      <c r="J74" s="452" t="n">
        <v>8</v>
      </c>
      <c r="K74" s="633" t="s">
        <v>47</v>
      </c>
      <c r="L74" s="452" t="s">
        <v>58</v>
      </c>
      <c r="M74" s="455" t="n">
        <f aca="false">I74-D74</f>
        <v>1488</v>
      </c>
      <c r="N74" s="4"/>
      <c r="O74" s="353" t="s">
        <v>2407</v>
      </c>
      <c r="P74" s="353"/>
      <c r="Q74" s="353"/>
      <c r="R74" s="353"/>
      <c r="S74" s="353" t="n">
        <f aca="false">COUNTIF($K$2:$K$476,"Não determinada devido à natureza do produto (Inimigos naturais)")</f>
        <v>3</v>
      </c>
      <c r="T74" s="476" t="n">
        <f aca="false">(S74/S76)</f>
        <v>0.0272727272727273</v>
      </c>
    </row>
    <row r="75" customFormat="false" ht="12.75" hidden="false" customHeight="true" outlineLevel="0" collapsed="false">
      <c r="A75" s="456" t="n">
        <v>7413</v>
      </c>
      <c r="B75" s="458" t="s">
        <v>17036</v>
      </c>
      <c r="C75" s="458" t="n">
        <v>2008</v>
      </c>
      <c r="D75" s="459" t="n">
        <v>39771</v>
      </c>
      <c r="E75" s="458" t="s">
        <v>17037</v>
      </c>
      <c r="F75" s="458" t="s">
        <v>5401</v>
      </c>
      <c r="G75" s="458" t="s">
        <v>441</v>
      </c>
      <c r="H75" s="458" t="s">
        <v>2677</v>
      </c>
      <c r="I75" s="459" t="n">
        <v>41499</v>
      </c>
      <c r="J75" s="460" t="n">
        <v>8</v>
      </c>
      <c r="K75" s="633" t="s">
        <v>47</v>
      </c>
      <c r="L75" s="458" t="s">
        <v>60</v>
      </c>
      <c r="M75" s="463" t="n">
        <f aca="false">I75-D75</f>
        <v>1728</v>
      </c>
      <c r="N75" s="4"/>
      <c r="O75" s="478" t="s">
        <v>53</v>
      </c>
      <c r="P75" s="478"/>
      <c r="Q75" s="478"/>
      <c r="R75" s="478"/>
      <c r="S75" s="478" t="n">
        <f aca="false">COUNTIF($K$2:$K$476,"O perfil toxicológico foi considerado equivalente ao produto técnico de referência")</f>
        <v>0</v>
      </c>
      <c r="T75" s="479" t="n">
        <f aca="false">(S75/S76)</f>
        <v>0</v>
      </c>
    </row>
    <row r="76" customFormat="false" ht="12.75" hidden="false" customHeight="true" outlineLevel="0" collapsed="false">
      <c r="A76" s="449" t="n">
        <v>7513</v>
      </c>
      <c r="B76" s="450" t="s">
        <v>17038</v>
      </c>
      <c r="C76" s="450" t="n">
        <v>2009</v>
      </c>
      <c r="D76" s="451" t="n">
        <v>39987</v>
      </c>
      <c r="E76" s="450" t="s">
        <v>17039</v>
      </c>
      <c r="F76" s="450" t="s">
        <v>15945</v>
      </c>
      <c r="G76" s="450" t="s">
        <v>1174</v>
      </c>
      <c r="H76" s="450" t="s">
        <v>223</v>
      </c>
      <c r="I76" s="451" t="n">
        <v>41505</v>
      </c>
      <c r="J76" s="452" t="n">
        <v>8</v>
      </c>
      <c r="K76" s="634" t="s">
        <v>45</v>
      </c>
      <c r="L76" s="452" t="s">
        <v>58</v>
      </c>
      <c r="M76" s="455" t="n">
        <f aca="false">I76-D76</f>
        <v>1518</v>
      </c>
      <c r="N76" s="4"/>
      <c r="O76" s="419" t="s">
        <v>54</v>
      </c>
      <c r="P76" s="419"/>
      <c r="Q76" s="419"/>
      <c r="R76" s="419"/>
      <c r="S76" s="363" t="n">
        <f aca="false">SUM(S64:S75)</f>
        <v>110</v>
      </c>
      <c r="T76" s="364" t="n">
        <f aca="false">(S76/S76)</f>
        <v>1</v>
      </c>
    </row>
    <row r="77" customFormat="false" ht="12.75" hidden="false" customHeight="true" outlineLevel="0" collapsed="false">
      <c r="A77" s="456" t="n">
        <v>7613</v>
      </c>
      <c r="B77" s="458" t="s">
        <v>17040</v>
      </c>
      <c r="C77" s="458" t="n">
        <v>2006</v>
      </c>
      <c r="D77" s="459" t="n">
        <v>39072</v>
      </c>
      <c r="E77" s="458" t="s">
        <v>17041</v>
      </c>
      <c r="F77" s="458" t="s">
        <v>1211</v>
      </c>
      <c r="G77" s="458" t="s">
        <v>1474</v>
      </c>
      <c r="H77" s="458" t="s">
        <v>2421</v>
      </c>
      <c r="I77" s="459" t="n">
        <v>41508</v>
      </c>
      <c r="J77" s="460" t="n">
        <v>8</v>
      </c>
      <c r="K77" s="633" t="s">
        <v>47</v>
      </c>
      <c r="L77" s="458" t="s">
        <v>60</v>
      </c>
      <c r="M77" s="463" t="n">
        <f aca="false">I77-D77</f>
        <v>2436</v>
      </c>
      <c r="N77" s="4"/>
      <c r="O77" s="153"/>
      <c r="P77" s="153"/>
      <c r="Q77" s="153"/>
      <c r="R77" s="153"/>
      <c r="S77" s="153"/>
      <c r="T77" s="153"/>
    </row>
    <row r="78" customFormat="false" ht="13.5" hidden="false" customHeight="true" outlineLevel="0" collapsed="false">
      <c r="A78" s="449" t="n">
        <v>7713</v>
      </c>
      <c r="B78" s="450" t="s">
        <v>17042</v>
      </c>
      <c r="C78" s="450" t="n">
        <v>2009</v>
      </c>
      <c r="D78" s="451" t="n">
        <v>39895</v>
      </c>
      <c r="E78" s="450" t="s">
        <v>17043</v>
      </c>
      <c r="F78" s="450" t="s">
        <v>1243</v>
      </c>
      <c r="G78" s="450" t="s">
        <v>144</v>
      </c>
      <c r="H78" s="450" t="s">
        <v>119</v>
      </c>
      <c r="I78" s="451" t="n">
        <v>41508</v>
      </c>
      <c r="J78" s="452" t="n">
        <v>8</v>
      </c>
      <c r="K78" s="634" t="s">
        <v>45</v>
      </c>
      <c r="L78" s="452" t="s">
        <v>60</v>
      </c>
      <c r="M78" s="455" t="n">
        <f aca="false">I78-D78</f>
        <v>1613</v>
      </c>
      <c r="N78" s="4"/>
      <c r="O78" s="339" t="s">
        <v>102</v>
      </c>
      <c r="P78" s="339"/>
      <c r="Q78" s="339"/>
      <c r="R78" s="339"/>
      <c r="S78" s="339"/>
      <c r="T78" s="339"/>
    </row>
    <row r="79" customFormat="false" ht="12.75" hidden="false" customHeight="true" outlineLevel="0" collapsed="false">
      <c r="A79" s="456" t="n">
        <v>7813</v>
      </c>
      <c r="B79" s="458" t="s">
        <v>17044</v>
      </c>
      <c r="C79" s="458" t="n">
        <v>2010</v>
      </c>
      <c r="D79" s="459" t="n">
        <v>40512</v>
      </c>
      <c r="E79" s="458" t="s">
        <v>17045</v>
      </c>
      <c r="F79" s="458" t="s">
        <v>1357</v>
      </c>
      <c r="G79" s="458" t="s">
        <v>1174</v>
      </c>
      <c r="H79" s="458" t="s">
        <v>1042</v>
      </c>
      <c r="I79" s="459" t="n">
        <v>41508</v>
      </c>
      <c r="J79" s="460" t="n">
        <v>8</v>
      </c>
      <c r="K79" s="631" t="s">
        <v>42</v>
      </c>
      <c r="L79" s="458" t="s">
        <v>60</v>
      </c>
      <c r="M79" s="463" t="n">
        <f aca="false">I79-D79</f>
        <v>996</v>
      </c>
      <c r="N79" s="4"/>
      <c r="O79" s="339"/>
      <c r="P79" s="339"/>
      <c r="Q79" s="339"/>
      <c r="R79" s="339"/>
      <c r="S79" s="339"/>
      <c r="T79" s="339"/>
    </row>
    <row r="80" customFormat="false" ht="12.75" hidden="false" customHeight="true" outlineLevel="0" collapsed="false">
      <c r="A80" s="449" t="n">
        <v>7913</v>
      </c>
      <c r="B80" s="450" t="s">
        <v>17046</v>
      </c>
      <c r="C80" s="450" t="n">
        <v>2009</v>
      </c>
      <c r="D80" s="451" t="n">
        <v>39898</v>
      </c>
      <c r="E80" s="450" t="s">
        <v>17047</v>
      </c>
      <c r="F80" s="450" t="s">
        <v>569</v>
      </c>
      <c r="G80" s="450" t="s">
        <v>441</v>
      </c>
      <c r="H80" s="450" t="s">
        <v>350</v>
      </c>
      <c r="I80" s="451" t="n">
        <v>41522</v>
      </c>
      <c r="J80" s="452" t="n">
        <v>9</v>
      </c>
      <c r="K80" s="634" t="s">
        <v>45</v>
      </c>
      <c r="L80" s="452" t="s">
        <v>58</v>
      </c>
      <c r="M80" s="455" t="n">
        <f aca="false">I80-D80</f>
        <v>1624</v>
      </c>
      <c r="N80" s="4"/>
      <c r="O80" s="340" t="s">
        <v>38</v>
      </c>
      <c r="P80" s="340"/>
      <c r="Q80" s="340"/>
      <c r="R80" s="340"/>
      <c r="S80" s="374" t="s">
        <v>343</v>
      </c>
      <c r="T80" s="375" t="s">
        <v>41</v>
      </c>
    </row>
    <row r="81" customFormat="false" ht="14.25" hidden="false" customHeight="true" outlineLevel="0" collapsed="false">
      <c r="A81" s="456" t="n">
        <v>8013</v>
      </c>
      <c r="B81" s="458" t="s">
        <v>17048</v>
      </c>
      <c r="C81" s="458" t="n">
        <v>2012</v>
      </c>
      <c r="D81" s="459" t="n">
        <v>41100</v>
      </c>
      <c r="E81" s="458" t="s">
        <v>17049</v>
      </c>
      <c r="F81" s="625" t="s">
        <v>288</v>
      </c>
      <c r="G81" s="458" t="s">
        <v>125</v>
      </c>
      <c r="H81" s="458" t="s">
        <v>6426</v>
      </c>
      <c r="I81" s="459" t="n">
        <v>41527</v>
      </c>
      <c r="J81" s="460" t="n">
        <v>9</v>
      </c>
      <c r="K81" s="632" t="s">
        <v>2407</v>
      </c>
      <c r="L81" s="458" t="s">
        <v>61</v>
      </c>
      <c r="M81" s="463" t="n">
        <f aca="false">I81-D81</f>
        <v>427</v>
      </c>
      <c r="N81" s="4"/>
      <c r="O81" s="480" t="s">
        <v>57</v>
      </c>
      <c r="P81" s="480"/>
      <c r="Q81" s="480"/>
      <c r="R81" s="480"/>
      <c r="S81" s="536" t="n">
        <f aca="false">COUNTIF($L$2:$L$476,"I - Produto altamente perigoso ao meio ambiente")</f>
        <v>6</v>
      </c>
      <c r="T81" s="377" t="n">
        <f aca="false">(S81/S85)</f>
        <v>0.0545454545454545</v>
      </c>
    </row>
    <row r="82" customFormat="false" ht="13.5" hidden="false" customHeight="true" outlineLevel="0" collapsed="false">
      <c r="A82" s="449" t="n">
        <v>8113</v>
      </c>
      <c r="B82" s="450" t="s">
        <v>17050</v>
      </c>
      <c r="C82" s="450" t="n">
        <v>2010</v>
      </c>
      <c r="D82" s="451" t="n">
        <v>40203</v>
      </c>
      <c r="E82" s="450" t="s">
        <v>17051</v>
      </c>
      <c r="F82" s="450" t="s">
        <v>17052</v>
      </c>
      <c r="G82" s="450" t="s">
        <v>144</v>
      </c>
      <c r="H82" s="450" t="s">
        <v>14761</v>
      </c>
      <c r="I82" s="451" t="n">
        <v>41529</v>
      </c>
      <c r="J82" s="452" t="n">
        <v>9</v>
      </c>
      <c r="K82" s="633" t="s">
        <v>47</v>
      </c>
      <c r="L82" s="452" t="s">
        <v>58</v>
      </c>
      <c r="M82" s="455" t="n">
        <f aca="false">I82-D82</f>
        <v>1326</v>
      </c>
      <c r="N82" s="4"/>
      <c r="O82" s="378" t="s">
        <v>58</v>
      </c>
      <c r="P82" s="378"/>
      <c r="Q82" s="378"/>
      <c r="R82" s="378"/>
      <c r="S82" s="537" t="n">
        <f aca="false">COUNTIF($L$2:$L$476,"II - Produto muito perigoso ao meio ambiente")</f>
        <v>51</v>
      </c>
      <c r="T82" s="379" t="n">
        <f aca="false">(S82/S85)</f>
        <v>0.463636363636364</v>
      </c>
    </row>
    <row r="83" customFormat="false" ht="13.5" hidden="false" customHeight="true" outlineLevel="0" collapsed="false">
      <c r="A83" s="456" t="n">
        <v>8213</v>
      </c>
      <c r="B83" s="458" t="s">
        <v>17053</v>
      </c>
      <c r="C83" s="458" t="n">
        <v>2010</v>
      </c>
      <c r="D83" s="459" t="n">
        <v>40296</v>
      </c>
      <c r="E83" s="458" t="s">
        <v>17054</v>
      </c>
      <c r="F83" s="458" t="s">
        <v>17055</v>
      </c>
      <c r="G83" s="458" t="s">
        <v>144</v>
      </c>
      <c r="H83" s="458" t="s">
        <v>697</v>
      </c>
      <c r="I83" s="459" t="n">
        <v>41530</v>
      </c>
      <c r="J83" s="460" t="n">
        <v>9</v>
      </c>
      <c r="K83" s="631" t="s">
        <v>42</v>
      </c>
      <c r="L83" s="458" t="s">
        <v>58</v>
      </c>
      <c r="M83" s="463" t="n">
        <f aca="false">I83-D83</f>
        <v>1234</v>
      </c>
      <c r="N83" s="4"/>
      <c r="O83" s="380" t="s">
        <v>60</v>
      </c>
      <c r="P83" s="380"/>
      <c r="Q83" s="380"/>
      <c r="R83" s="380"/>
      <c r="S83" s="536" t="n">
        <f aca="false">COUNTIF($L$2:$L$476,"III - Produto perigoso ao meio ambiente")</f>
        <v>41</v>
      </c>
      <c r="T83" s="377" t="n">
        <f aca="false">(S83/S85)</f>
        <v>0.372727272727273</v>
      </c>
    </row>
    <row r="84" customFormat="false" ht="14.25" hidden="false" customHeight="true" outlineLevel="0" collapsed="false">
      <c r="A84" s="449" t="n">
        <v>8313</v>
      </c>
      <c r="B84" s="450" t="s">
        <v>17056</v>
      </c>
      <c r="C84" s="450" t="n">
        <v>2010</v>
      </c>
      <c r="D84" s="451" t="n">
        <v>40399</v>
      </c>
      <c r="E84" s="450" t="s">
        <v>17057</v>
      </c>
      <c r="F84" s="450" t="s">
        <v>3844</v>
      </c>
      <c r="G84" s="450" t="s">
        <v>1174</v>
      </c>
      <c r="H84" s="450" t="s">
        <v>310</v>
      </c>
      <c r="I84" s="451" t="n">
        <v>41533</v>
      </c>
      <c r="J84" s="452" t="n">
        <v>9</v>
      </c>
      <c r="K84" s="633" t="s">
        <v>47</v>
      </c>
      <c r="L84" s="452" t="s">
        <v>58</v>
      </c>
      <c r="M84" s="455" t="n">
        <f aca="false">I84-D84</f>
        <v>1134</v>
      </c>
      <c r="N84" s="4"/>
      <c r="O84" s="378" t="s">
        <v>61</v>
      </c>
      <c r="P84" s="378"/>
      <c r="Q84" s="378"/>
      <c r="R84" s="378"/>
      <c r="S84" s="537" t="n">
        <f aca="false">COUNTIF($L$2:$L$476,"IV - Produto pouco perigoso ao meio ambiente")</f>
        <v>12</v>
      </c>
      <c r="T84" s="379" t="n">
        <f aca="false">(S84/S85)</f>
        <v>0.109090909090909</v>
      </c>
    </row>
    <row r="85" customFormat="false" ht="12.75" hidden="false" customHeight="true" outlineLevel="0" collapsed="false">
      <c r="A85" s="456" t="n">
        <v>8413</v>
      </c>
      <c r="B85" s="458" t="s">
        <v>17058</v>
      </c>
      <c r="C85" s="458" t="n">
        <v>2011</v>
      </c>
      <c r="D85" s="459" t="n">
        <v>40562</v>
      </c>
      <c r="E85" s="458" t="s">
        <v>17059</v>
      </c>
      <c r="F85" s="625" t="s">
        <v>6303</v>
      </c>
      <c r="G85" s="458" t="s">
        <v>125</v>
      </c>
      <c r="H85" s="458" t="s">
        <v>17060</v>
      </c>
      <c r="I85" s="459" t="n">
        <v>41533</v>
      </c>
      <c r="J85" s="460" t="n">
        <v>9</v>
      </c>
      <c r="K85" s="631" t="s">
        <v>42</v>
      </c>
      <c r="L85" s="458" t="s">
        <v>61</v>
      </c>
      <c r="M85" s="463" t="n">
        <f aca="false">I85-D85</f>
        <v>971</v>
      </c>
      <c r="N85" s="4"/>
      <c r="O85" s="340" t="s">
        <v>54</v>
      </c>
      <c r="P85" s="340"/>
      <c r="Q85" s="340"/>
      <c r="R85" s="340"/>
      <c r="S85" s="363" t="n">
        <f aca="false">SUM(S81:S84)</f>
        <v>110</v>
      </c>
      <c r="T85" s="364" t="n">
        <f aca="false">(S85/S85)</f>
        <v>1</v>
      </c>
    </row>
    <row r="86" customFormat="false" ht="12.75" hidden="false" customHeight="true" outlineLevel="0" collapsed="false">
      <c r="A86" s="449" t="n">
        <v>8513</v>
      </c>
      <c r="B86" s="450" t="s">
        <v>17061</v>
      </c>
      <c r="C86" s="450" t="n">
        <v>2011</v>
      </c>
      <c r="D86" s="451" t="n">
        <v>40651</v>
      </c>
      <c r="E86" s="450" t="s">
        <v>17062</v>
      </c>
      <c r="F86" s="450" t="s">
        <v>1609</v>
      </c>
      <c r="G86" s="450" t="s">
        <v>441</v>
      </c>
      <c r="H86" s="450" t="s">
        <v>223</v>
      </c>
      <c r="I86" s="451" t="n">
        <v>41533</v>
      </c>
      <c r="J86" s="452" t="n">
        <v>9</v>
      </c>
      <c r="K86" s="634" t="s">
        <v>45</v>
      </c>
      <c r="L86" s="452" t="s">
        <v>57</v>
      </c>
      <c r="M86" s="455" t="n">
        <f aca="false">I86-D86</f>
        <v>882</v>
      </c>
      <c r="N86" s="4"/>
      <c r="O86" s="153"/>
      <c r="P86" s="153"/>
      <c r="Q86" s="153"/>
      <c r="R86" s="153"/>
      <c r="S86" s="153"/>
      <c r="T86" s="153"/>
    </row>
    <row r="87" customFormat="false" ht="14.25" hidden="false" customHeight="true" outlineLevel="0" collapsed="false">
      <c r="A87" s="456" t="n">
        <v>8613</v>
      </c>
      <c r="B87" s="458" t="s">
        <v>17063</v>
      </c>
      <c r="C87" s="458" t="n">
        <v>2010</v>
      </c>
      <c r="D87" s="459" t="n">
        <v>40365</v>
      </c>
      <c r="E87" s="458" t="s">
        <v>17064</v>
      </c>
      <c r="F87" s="458" t="s">
        <v>17065</v>
      </c>
      <c r="G87" s="458" t="s">
        <v>125</v>
      </c>
      <c r="H87" s="458" t="s">
        <v>5907</v>
      </c>
      <c r="I87" s="459" t="n">
        <v>41534</v>
      </c>
      <c r="J87" s="460" t="n">
        <v>9</v>
      </c>
      <c r="K87" s="634" t="s">
        <v>45</v>
      </c>
      <c r="L87" s="458" t="s">
        <v>61</v>
      </c>
      <c r="M87" s="463" t="n">
        <f aca="false">I87-D87</f>
        <v>1169</v>
      </c>
      <c r="N87" s="4"/>
      <c r="O87" s="421" t="s">
        <v>425</v>
      </c>
      <c r="P87" s="421"/>
      <c r="Q87" s="421"/>
      <c r="R87" s="421"/>
      <c r="S87" s="153"/>
      <c r="T87" s="153"/>
    </row>
    <row r="88" customFormat="false" ht="12.75" hidden="false" customHeight="true" outlineLevel="0" collapsed="false">
      <c r="A88" s="449" t="n">
        <v>8713</v>
      </c>
      <c r="B88" s="450" t="s">
        <v>17066</v>
      </c>
      <c r="C88" s="450" t="n">
        <v>2010</v>
      </c>
      <c r="D88" s="451" t="n">
        <v>40256</v>
      </c>
      <c r="E88" s="450" t="s">
        <v>17067</v>
      </c>
      <c r="F88" s="450" t="s">
        <v>1424</v>
      </c>
      <c r="G88" s="450" t="s">
        <v>1188</v>
      </c>
      <c r="H88" s="450" t="s">
        <v>1791</v>
      </c>
      <c r="I88" s="451" t="n">
        <v>41540</v>
      </c>
      <c r="J88" s="452" t="n">
        <v>9</v>
      </c>
      <c r="K88" s="633" t="s">
        <v>47</v>
      </c>
      <c r="L88" s="452" t="s">
        <v>58</v>
      </c>
      <c r="M88" s="455" t="n">
        <f aca="false">I88-D88</f>
        <v>1284</v>
      </c>
      <c r="N88" s="4"/>
      <c r="O88" s="421"/>
      <c r="P88" s="421"/>
      <c r="Q88" s="421"/>
      <c r="R88" s="421"/>
      <c r="S88" s="153"/>
      <c r="T88" s="153"/>
    </row>
    <row r="89" customFormat="false" ht="15" hidden="false" customHeight="true" outlineLevel="0" collapsed="false">
      <c r="A89" s="456" t="n">
        <v>8813</v>
      </c>
      <c r="B89" s="458" t="s">
        <v>17068</v>
      </c>
      <c r="C89" s="458" t="n">
        <v>2010</v>
      </c>
      <c r="D89" s="459" t="n">
        <v>40477</v>
      </c>
      <c r="E89" s="458" t="s">
        <v>17069</v>
      </c>
      <c r="F89" s="458" t="s">
        <v>17070</v>
      </c>
      <c r="G89" s="458" t="s">
        <v>115</v>
      </c>
      <c r="H89" s="458" t="s">
        <v>1791</v>
      </c>
      <c r="I89" s="459" t="n">
        <v>41540</v>
      </c>
      <c r="J89" s="460" t="n">
        <v>9</v>
      </c>
      <c r="K89" s="633" t="s">
        <v>47</v>
      </c>
      <c r="L89" s="458" t="s">
        <v>58</v>
      </c>
      <c r="M89" s="463" t="n">
        <f aca="false">I89-D89</f>
        <v>1063</v>
      </c>
      <c r="N89" s="4"/>
      <c r="O89" s="390" t="s">
        <v>69</v>
      </c>
      <c r="P89" s="422" t="s">
        <v>433</v>
      </c>
      <c r="Q89" s="422"/>
      <c r="R89" s="422"/>
      <c r="S89" s="153"/>
      <c r="T89" s="153"/>
    </row>
    <row r="90" customFormat="false" ht="12.75" hidden="false" customHeight="true" outlineLevel="0" collapsed="false">
      <c r="A90" s="449" t="n">
        <v>8913</v>
      </c>
      <c r="B90" s="450" t="s">
        <v>17071</v>
      </c>
      <c r="C90" s="450" t="n">
        <v>2008</v>
      </c>
      <c r="D90" s="451" t="n">
        <v>39799</v>
      </c>
      <c r="E90" s="450" t="s">
        <v>17072</v>
      </c>
      <c r="F90" s="450" t="s">
        <v>5401</v>
      </c>
      <c r="G90" s="450" t="s">
        <v>441</v>
      </c>
      <c r="H90" s="450" t="s">
        <v>2677</v>
      </c>
      <c r="I90" s="451" t="n">
        <v>41541</v>
      </c>
      <c r="J90" s="452" t="n">
        <v>9</v>
      </c>
      <c r="K90" s="633" t="s">
        <v>47</v>
      </c>
      <c r="L90" s="452" t="s">
        <v>60</v>
      </c>
      <c r="M90" s="455" t="n">
        <f aca="false">I90-D90</f>
        <v>1742</v>
      </c>
      <c r="N90" s="4"/>
      <c r="O90" s="394" t="s">
        <v>1474</v>
      </c>
      <c r="P90" s="481" t="n">
        <f aca="false">AVERAGEIF(G2:G476,"PT",M2:M476)</f>
        <v>2436</v>
      </c>
      <c r="Q90" s="481"/>
      <c r="R90" s="481"/>
      <c r="S90" s="153"/>
      <c r="T90" s="153"/>
    </row>
    <row r="91" customFormat="false" ht="12.75" hidden="false" customHeight="true" outlineLevel="0" collapsed="false">
      <c r="A91" s="456" t="n">
        <v>9013</v>
      </c>
      <c r="B91" s="458" t="s">
        <v>17073</v>
      </c>
      <c r="C91" s="458" t="n">
        <v>2011</v>
      </c>
      <c r="D91" s="459" t="n">
        <v>40732</v>
      </c>
      <c r="E91" s="458" t="s">
        <v>17074</v>
      </c>
      <c r="F91" s="458" t="s">
        <v>8232</v>
      </c>
      <c r="G91" s="458" t="s">
        <v>1174</v>
      </c>
      <c r="H91" s="458" t="s">
        <v>12763</v>
      </c>
      <c r="I91" s="459" t="n">
        <v>41550</v>
      </c>
      <c r="J91" s="460" t="n">
        <v>10</v>
      </c>
      <c r="K91" s="631" t="s">
        <v>42</v>
      </c>
      <c r="L91" s="458" t="s">
        <v>60</v>
      </c>
      <c r="M91" s="463" t="n">
        <f aca="false">I91-D91</f>
        <v>818</v>
      </c>
      <c r="N91" s="4"/>
      <c r="O91" s="396" t="s">
        <v>1188</v>
      </c>
      <c r="P91" s="482" t="n">
        <f aca="false">AVERAGEIF(G2:G477,"PTN",M2:M477)</f>
        <v>1755</v>
      </c>
      <c r="Q91" s="482"/>
      <c r="R91" s="482"/>
      <c r="S91" s="153"/>
      <c r="T91" s="153"/>
    </row>
    <row r="92" customFormat="false" ht="12.75" hidden="false" customHeight="true" outlineLevel="0" collapsed="false">
      <c r="A92" s="449" t="n">
        <v>9113</v>
      </c>
      <c r="B92" s="450" t="s">
        <v>17075</v>
      </c>
      <c r="C92" s="450" t="n">
        <v>2009</v>
      </c>
      <c r="D92" s="451" t="n">
        <v>40042</v>
      </c>
      <c r="E92" s="450" t="s">
        <v>17076</v>
      </c>
      <c r="F92" s="450" t="s">
        <v>705</v>
      </c>
      <c r="G92" s="450" t="s">
        <v>1174</v>
      </c>
      <c r="H92" s="450" t="s">
        <v>350</v>
      </c>
      <c r="I92" s="451" t="n">
        <v>41551</v>
      </c>
      <c r="J92" s="452" t="n">
        <v>10</v>
      </c>
      <c r="K92" s="633" t="s">
        <v>47</v>
      </c>
      <c r="L92" s="452" t="s">
        <v>58</v>
      </c>
      <c r="M92" s="455" t="n">
        <f aca="false">I92-D92</f>
        <v>1509</v>
      </c>
      <c r="N92" s="4"/>
      <c r="O92" s="394" t="s">
        <v>1174</v>
      </c>
      <c r="P92" s="481" t="n">
        <f aca="false">AVERAGEIF(G2:G476,"PTE",M2:M476)</f>
        <v>1170.95555555556</v>
      </c>
      <c r="Q92" s="481"/>
      <c r="R92" s="481"/>
      <c r="S92" s="153"/>
      <c r="T92" s="153"/>
    </row>
    <row r="93" customFormat="false" ht="12.75" hidden="false" customHeight="true" outlineLevel="0" collapsed="false">
      <c r="A93" s="456" t="n">
        <v>9213</v>
      </c>
      <c r="B93" s="458" t="s">
        <v>17077</v>
      </c>
      <c r="C93" s="458" t="n">
        <v>2010</v>
      </c>
      <c r="D93" s="459" t="n">
        <v>40492</v>
      </c>
      <c r="E93" s="458" t="s">
        <v>17078</v>
      </c>
      <c r="F93" s="458" t="s">
        <v>8232</v>
      </c>
      <c r="G93" s="458" t="s">
        <v>1174</v>
      </c>
      <c r="H93" s="458" t="s">
        <v>12763</v>
      </c>
      <c r="I93" s="459" t="n">
        <v>41551</v>
      </c>
      <c r="J93" s="460" t="n">
        <v>10</v>
      </c>
      <c r="K93" s="631" t="s">
        <v>42</v>
      </c>
      <c r="L93" s="458" t="s">
        <v>60</v>
      </c>
      <c r="M93" s="463" t="n">
        <f aca="false">I93-D93</f>
        <v>1059</v>
      </c>
      <c r="N93" s="4"/>
      <c r="O93" s="396" t="s">
        <v>8</v>
      </c>
      <c r="P93" s="482" t="e">
        <f aca="false">AVERAGEIF(G2:G476,"Pré-Mistura",M2:M476)</f>
        <v>#DIV/0!</v>
      </c>
      <c r="Q93" s="482"/>
      <c r="R93" s="482"/>
      <c r="S93" s="153"/>
      <c r="T93" s="153"/>
    </row>
    <row r="94" customFormat="false" ht="12.75" hidden="false" customHeight="true" outlineLevel="0" collapsed="false">
      <c r="A94" s="449" t="n">
        <v>9313</v>
      </c>
      <c r="B94" s="450" t="s">
        <v>17079</v>
      </c>
      <c r="C94" s="450" t="n">
        <v>2009</v>
      </c>
      <c r="D94" s="451" t="n">
        <v>40058</v>
      </c>
      <c r="E94" s="450" t="s">
        <v>17080</v>
      </c>
      <c r="F94" s="450" t="s">
        <v>379</v>
      </c>
      <c r="G94" s="450" t="s">
        <v>1174</v>
      </c>
      <c r="H94" s="450" t="s">
        <v>3240</v>
      </c>
      <c r="I94" s="451" t="n">
        <v>41551</v>
      </c>
      <c r="J94" s="452" t="n">
        <v>10</v>
      </c>
      <c r="K94" s="634" t="s">
        <v>45</v>
      </c>
      <c r="L94" s="452" t="s">
        <v>60</v>
      </c>
      <c r="M94" s="455" t="n">
        <f aca="false">I94-D94</f>
        <v>1493</v>
      </c>
      <c r="N94" s="4"/>
      <c r="O94" s="394" t="s">
        <v>144</v>
      </c>
      <c r="P94" s="481" t="n">
        <f aca="false">AVERAGEIF(G2:G476,"PF",M2:M476)</f>
        <v>1610.88888888889</v>
      </c>
      <c r="Q94" s="481"/>
      <c r="R94" s="481"/>
      <c r="S94" s="153"/>
      <c r="T94" s="153"/>
    </row>
    <row r="95" customFormat="false" ht="12.75" hidden="false" customHeight="true" outlineLevel="0" collapsed="false">
      <c r="A95" s="456" t="n">
        <v>9413</v>
      </c>
      <c r="B95" s="458" t="s">
        <v>17081</v>
      </c>
      <c r="C95" s="458" t="n">
        <v>2008</v>
      </c>
      <c r="D95" s="459" t="n">
        <v>39750</v>
      </c>
      <c r="E95" s="458" t="s">
        <v>17082</v>
      </c>
      <c r="F95" s="458" t="s">
        <v>1827</v>
      </c>
      <c r="G95" s="458" t="s">
        <v>1174</v>
      </c>
      <c r="H95" s="458" t="s">
        <v>16610</v>
      </c>
      <c r="I95" s="459" t="n">
        <v>41554</v>
      </c>
      <c r="J95" s="460" t="n">
        <v>10</v>
      </c>
      <c r="K95" s="631" t="s">
        <v>42</v>
      </c>
      <c r="L95" s="458" t="s">
        <v>60</v>
      </c>
      <c r="M95" s="463" t="n">
        <f aca="false">I95-D95</f>
        <v>1804</v>
      </c>
      <c r="N95" s="4"/>
      <c r="O95" s="396" t="s">
        <v>115</v>
      </c>
      <c r="P95" s="482" t="n">
        <f aca="false">AVERAGEIF(G2:G476,"PFN",M2:M476)</f>
        <v>1577.66666666667</v>
      </c>
      <c r="Q95" s="482"/>
      <c r="R95" s="482"/>
      <c r="S95" s="153"/>
      <c r="T95" s="153"/>
    </row>
    <row r="96" customFormat="false" ht="12.75" hidden="false" customHeight="true" outlineLevel="0" collapsed="false">
      <c r="A96" s="449" t="n">
        <v>9513</v>
      </c>
      <c r="B96" s="450" t="s">
        <v>17083</v>
      </c>
      <c r="C96" s="450" t="n">
        <v>2007</v>
      </c>
      <c r="D96" s="451" t="n">
        <v>39246</v>
      </c>
      <c r="E96" s="450" t="s">
        <v>17084</v>
      </c>
      <c r="F96" s="450" t="s">
        <v>17085</v>
      </c>
      <c r="G96" s="450" t="s">
        <v>125</v>
      </c>
      <c r="H96" s="450" t="s">
        <v>17086</v>
      </c>
      <c r="I96" s="451" t="n">
        <v>41556</v>
      </c>
      <c r="J96" s="452" t="n">
        <v>10</v>
      </c>
      <c r="K96" s="632" t="s">
        <v>50</v>
      </c>
      <c r="L96" s="452" t="s">
        <v>61</v>
      </c>
      <c r="M96" s="455" t="n">
        <f aca="false">I96-D96</f>
        <v>2310</v>
      </c>
      <c r="N96" s="4"/>
      <c r="O96" s="394" t="s">
        <v>441</v>
      </c>
      <c r="P96" s="481" t="n">
        <f aca="false">AVERAGEIF(G2:G476,"PF/PTE",M2:M476)</f>
        <v>1280.83333333333</v>
      </c>
      <c r="Q96" s="481"/>
      <c r="R96" s="481"/>
      <c r="S96" s="153"/>
      <c r="T96" s="153"/>
    </row>
    <row r="97" customFormat="false" ht="12.75" hidden="false" customHeight="true" outlineLevel="0" collapsed="false">
      <c r="A97" s="456" t="n">
        <v>9613</v>
      </c>
      <c r="B97" s="458" t="s">
        <v>17087</v>
      </c>
      <c r="C97" s="458" t="n">
        <v>2009</v>
      </c>
      <c r="D97" s="459" t="n">
        <v>39911</v>
      </c>
      <c r="E97" s="458" t="s">
        <v>17088</v>
      </c>
      <c r="F97" s="458" t="s">
        <v>17089</v>
      </c>
      <c r="G97" s="458" t="s">
        <v>144</v>
      </c>
      <c r="H97" s="458" t="s">
        <v>119</v>
      </c>
      <c r="I97" s="459" t="n">
        <v>41569</v>
      </c>
      <c r="J97" s="460" t="n">
        <v>10</v>
      </c>
      <c r="K97" s="631" t="s">
        <v>42</v>
      </c>
      <c r="L97" s="458" t="s">
        <v>57</v>
      </c>
      <c r="M97" s="463" t="n">
        <f aca="false">I97-D97</f>
        <v>1658</v>
      </c>
      <c r="N97" s="4"/>
      <c r="O97" s="396" t="s">
        <v>125</v>
      </c>
      <c r="P97" s="482" t="n">
        <f aca="false">AVERAGEIF(G2:G476,"Bio",M2:M476)</f>
        <v>1041.33333333333</v>
      </c>
      <c r="Q97" s="482"/>
      <c r="R97" s="482"/>
    </row>
    <row r="98" customFormat="false" ht="12.75" hidden="false" customHeight="true" outlineLevel="0" collapsed="false">
      <c r="A98" s="449" t="n">
        <v>9713</v>
      </c>
      <c r="B98" s="450" t="s">
        <v>17090</v>
      </c>
      <c r="C98" s="450" t="n">
        <v>2008</v>
      </c>
      <c r="D98" s="451" t="n">
        <v>39758</v>
      </c>
      <c r="E98" s="450" t="s">
        <v>17091</v>
      </c>
      <c r="F98" s="450" t="s">
        <v>16929</v>
      </c>
      <c r="G98" s="450" t="s">
        <v>144</v>
      </c>
      <c r="H98" s="450" t="s">
        <v>119</v>
      </c>
      <c r="I98" s="451" t="n">
        <v>41582</v>
      </c>
      <c r="J98" s="452" t="n">
        <v>11</v>
      </c>
      <c r="K98" s="633" t="s">
        <v>47</v>
      </c>
      <c r="L98" s="452" t="s">
        <v>58</v>
      </c>
      <c r="M98" s="455" t="n">
        <f aca="false">I98-D98</f>
        <v>1824</v>
      </c>
      <c r="N98" s="4"/>
      <c r="O98" s="394" t="s">
        <v>130</v>
      </c>
      <c r="P98" s="481" t="n">
        <f aca="false">AVERAGEIF(G2:G476,"Bio/Org",M2:M476)</f>
        <v>309.2</v>
      </c>
      <c r="Q98" s="481"/>
      <c r="R98" s="481"/>
    </row>
    <row r="99" customFormat="false" ht="12.75" hidden="false" customHeight="true" outlineLevel="0" collapsed="false">
      <c r="A99" s="456" t="n">
        <v>9813</v>
      </c>
      <c r="B99" s="458" t="s">
        <v>17092</v>
      </c>
      <c r="C99" s="458" t="n">
        <v>2009</v>
      </c>
      <c r="D99" s="459" t="n">
        <v>40085</v>
      </c>
      <c r="E99" s="458" t="s">
        <v>17093</v>
      </c>
      <c r="F99" s="458" t="s">
        <v>3101</v>
      </c>
      <c r="G99" s="458" t="s">
        <v>1174</v>
      </c>
      <c r="H99" s="458" t="s">
        <v>184</v>
      </c>
      <c r="I99" s="459" t="n">
        <v>41582</v>
      </c>
      <c r="J99" s="460" t="n">
        <v>11</v>
      </c>
      <c r="K99" s="633" t="s">
        <v>47</v>
      </c>
      <c r="L99" s="458" t="s">
        <v>61</v>
      </c>
      <c r="M99" s="463" t="n">
        <f aca="false">I99-D99</f>
        <v>1497</v>
      </c>
      <c r="N99" s="4"/>
      <c r="O99" s="398" t="s">
        <v>86</v>
      </c>
      <c r="P99" s="399" t="n">
        <f aca="false">AVERAGE(M2:M494)</f>
        <v>1259.88181818182</v>
      </c>
      <c r="Q99" s="399"/>
      <c r="R99" s="399"/>
    </row>
    <row r="100" customFormat="false" ht="12.75" hidden="false" customHeight="true" outlineLevel="0" collapsed="false">
      <c r="A100" s="449" t="n">
        <v>9913</v>
      </c>
      <c r="B100" s="450" t="s">
        <v>17094</v>
      </c>
      <c r="C100" s="450" t="n">
        <v>2010</v>
      </c>
      <c r="D100" s="451" t="n">
        <v>40245</v>
      </c>
      <c r="E100" s="450" t="s">
        <v>17095</v>
      </c>
      <c r="F100" s="450" t="s">
        <v>446</v>
      </c>
      <c r="G100" s="450" t="s">
        <v>1174</v>
      </c>
      <c r="H100" s="450" t="s">
        <v>354</v>
      </c>
      <c r="I100" s="451" t="n">
        <v>41583</v>
      </c>
      <c r="J100" s="452" t="n">
        <v>11</v>
      </c>
      <c r="K100" s="633" t="s">
        <v>47</v>
      </c>
      <c r="L100" s="452" t="s">
        <v>58</v>
      </c>
      <c r="M100" s="455" t="n">
        <f aca="false">I100-D100</f>
        <v>1338</v>
      </c>
      <c r="N100" s="4"/>
      <c r="O100" s="4"/>
      <c r="P100" s="4"/>
      <c r="Q100" s="4"/>
      <c r="R100" s="4"/>
    </row>
    <row r="101" customFormat="false" ht="12.75" hidden="false" customHeight="true" outlineLevel="0" collapsed="false">
      <c r="A101" s="456" t="n">
        <v>10013</v>
      </c>
      <c r="B101" s="458" t="s">
        <v>17096</v>
      </c>
      <c r="C101" s="458" t="n">
        <v>2011</v>
      </c>
      <c r="D101" s="459" t="n">
        <v>40774</v>
      </c>
      <c r="E101" s="458" t="s">
        <v>17097</v>
      </c>
      <c r="F101" s="458" t="s">
        <v>5401</v>
      </c>
      <c r="G101" s="458" t="s">
        <v>441</v>
      </c>
      <c r="H101" s="458" t="s">
        <v>184</v>
      </c>
      <c r="I101" s="459" t="n">
        <v>41586</v>
      </c>
      <c r="J101" s="460" t="n">
        <v>11</v>
      </c>
      <c r="K101" s="633" t="s">
        <v>47</v>
      </c>
      <c r="L101" s="458" t="s">
        <v>60</v>
      </c>
      <c r="M101" s="463" t="n">
        <f aca="false">I101-D101</f>
        <v>812</v>
      </c>
      <c r="N101" s="4"/>
      <c r="O101" s="4"/>
      <c r="P101" s="4"/>
      <c r="Q101" s="4"/>
      <c r="R101" s="4"/>
    </row>
    <row r="102" customFormat="false" ht="12.75" hidden="false" customHeight="true" outlineLevel="0" collapsed="false">
      <c r="A102" s="449" t="n">
        <v>10113</v>
      </c>
      <c r="B102" s="450" t="s">
        <v>17098</v>
      </c>
      <c r="C102" s="450" t="n">
        <v>2011</v>
      </c>
      <c r="D102" s="451" t="n">
        <v>40805</v>
      </c>
      <c r="E102" s="450" t="s">
        <v>17099</v>
      </c>
      <c r="F102" s="450" t="s">
        <v>5401</v>
      </c>
      <c r="G102" s="450" t="s">
        <v>441</v>
      </c>
      <c r="H102" s="450" t="s">
        <v>184</v>
      </c>
      <c r="I102" s="451" t="n">
        <v>41586</v>
      </c>
      <c r="J102" s="452" t="n">
        <v>11</v>
      </c>
      <c r="K102" s="633" t="s">
        <v>47</v>
      </c>
      <c r="L102" s="452" t="s">
        <v>60</v>
      </c>
      <c r="M102" s="455" t="n">
        <f aca="false">I102-D102</f>
        <v>781</v>
      </c>
      <c r="N102" s="4"/>
      <c r="O102" s="4"/>
      <c r="P102" s="4"/>
      <c r="Q102" s="4"/>
      <c r="R102" s="4"/>
    </row>
    <row r="103" customFormat="false" ht="12.75" hidden="false" customHeight="true" outlineLevel="0" collapsed="false">
      <c r="A103" s="456" t="n">
        <v>10213</v>
      </c>
      <c r="B103" s="458" t="s">
        <v>17100</v>
      </c>
      <c r="C103" s="458" t="n">
        <v>2009</v>
      </c>
      <c r="D103" s="459" t="n">
        <v>39896</v>
      </c>
      <c r="E103" s="458" t="s">
        <v>17101</v>
      </c>
      <c r="F103" s="458" t="s">
        <v>214</v>
      </c>
      <c r="G103" s="458" t="s">
        <v>441</v>
      </c>
      <c r="H103" s="458" t="s">
        <v>16910</v>
      </c>
      <c r="I103" s="459" t="n">
        <v>41591</v>
      </c>
      <c r="J103" s="460" t="n">
        <v>11</v>
      </c>
      <c r="K103" s="631" t="s">
        <v>42</v>
      </c>
      <c r="L103" s="458" t="s">
        <v>60</v>
      </c>
      <c r="M103" s="463" t="n">
        <f aca="false">I103-D103</f>
        <v>1695</v>
      </c>
      <c r="N103" s="4"/>
      <c r="O103" s="4"/>
      <c r="P103" s="4"/>
      <c r="Q103" s="4"/>
      <c r="R103" s="4"/>
    </row>
    <row r="104" customFormat="false" ht="12.75" hidden="false" customHeight="true" outlineLevel="0" collapsed="false">
      <c r="A104" s="449" t="n">
        <v>10313</v>
      </c>
      <c r="B104" s="450" t="s">
        <v>17102</v>
      </c>
      <c r="C104" s="450" t="n">
        <v>2010</v>
      </c>
      <c r="D104" s="451" t="n">
        <v>40343</v>
      </c>
      <c r="E104" s="450" t="s">
        <v>17103</v>
      </c>
      <c r="F104" s="450" t="s">
        <v>569</v>
      </c>
      <c r="G104" s="450" t="s">
        <v>441</v>
      </c>
      <c r="H104" s="450" t="s">
        <v>16910</v>
      </c>
      <c r="I104" s="451" t="n">
        <v>41592</v>
      </c>
      <c r="J104" s="452" t="n">
        <v>11</v>
      </c>
      <c r="K104" s="634" t="s">
        <v>45</v>
      </c>
      <c r="L104" s="452" t="s">
        <v>58</v>
      </c>
      <c r="M104" s="455" t="n">
        <f aca="false">I104-D104</f>
        <v>1249</v>
      </c>
      <c r="N104" s="4"/>
      <c r="O104" s="4"/>
      <c r="P104" s="4"/>
      <c r="Q104" s="4"/>
      <c r="R104" s="4"/>
    </row>
    <row r="105" customFormat="false" ht="12.75" hidden="false" customHeight="true" outlineLevel="0" collapsed="false">
      <c r="A105" s="456" t="n">
        <v>10413</v>
      </c>
      <c r="B105" s="458" t="s">
        <v>17104</v>
      </c>
      <c r="C105" s="458" t="n">
        <v>2012</v>
      </c>
      <c r="D105" s="459" t="n">
        <v>41239</v>
      </c>
      <c r="E105" s="458" t="s">
        <v>17105</v>
      </c>
      <c r="F105" s="458" t="s">
        <v>9647</v>
      </c>
      <c r="G105" s="458" t="s">
        <v>1174</v>
      </c>
      <c r="H105" s="458" t="s">
        <v>693</v>
      </c>
      <c r="I105" s="459" t="n">
        <v>41592</v>
      </c>
      <c r="J105" s="460" t="n">
        <v>11</v>
      </c>
      <c r="K105" s="633" t="s">
        <v>47</v>
      </c>
      <c r="L105" s="458" t="s">
        <v>60</v>
      </c>
      <c r="M105" s="463" t="n">
        <f aca="false">I105-D105</f>
        <v>353</v>
      </c>
      <c r="N105" s="4"/>
      <c r="O105" s="4"/>
      <c r="P105" s="4"/>
      <c r="Q105" s="4"/>
      <c r="R105" s="4"/>
    </row>
    <row r="106" customFormat="false" ht="12.75" hidden="false" customHeight="true" outlineLevel="0" collapsed="false">
      <c r="A106" s="449" t="n">
        <v>10513</v>
      </c>
      <c r="B106" s="450" t="s">
        <v>17106</v>
      </c>
      <c r="C106" s="450" t="n">
        <v>2012</v>
      </c>
      <c r="D106" s="451" t="n">
        <v>40987</v>
      </c>
      <c r="E106" s="450" t="s">
        <v>17107</v>
      </c>
      <c r="F106" s="450" t="s">
        <v>9647</v>
      </c>
      <c r="G106" s="450" t="s">
        <v>1174</v>
      </c>
      <c r="H106" s="450" t="s">
        <v>1059</v>
      </c>
      <c r="I106" s="451" t="n">
        <v>41603</v>
      </c>
      <c r="J106" s="452" t="n">
        <v>11</v>
      </c>
      <c r="K106" s="633" t="s">
        <v>47</v>
      </c>
      <c r="L106" s="452" t="s">
        <v>60</v>
      </c>
      <c r="M106" s="455" t="n">
        <f aca="false">I106-D106</f>
        <v>616</v>
      </c>
      <c r="N106" s="4"/>
      <c r="O106" s="4"/>
      <c r="P106" s="4"/>
      <c r="Q106" s="4"/>
      <c r="R106" s="4"/>
    </row>
    <row r="107" customFormat="false" ht="12.75" hidden="false" customHeight="true" outlineLevel="0" collapsed="false">
      <c r="A107" s="456" t="n">
        <v>10613</v>
      </c>
      <c r="B107" s="458" t="s">
        <v>17108</v>
      </c>
      <c r="C107" s="458" t="n">
        <v>2010</v>
      </c>
      <c r="D107" s="459" t="n">
        <v>40297</v>
      </c>
      <c r="E107" s="458" t="s">
        <v>17109</v>
      </c>
      <c r="F107" s="458" t="s">
        <v>1916</v>
      </c>
      <c r="G107" s="458" t="s">
        <v>441</v>
      </c>
      <c r="H107" s="458" t="s">
        <v>1059</v>
      </c>
      <c r="I107" s="459" t="n">
        <v>41603</v>
      </c>
      <c r="J107" s="460" t="n">
        <v>11</v>
      </c>
      <c r="K107" s="631" t="s">
        <v>42</v>
      </c>
      <c r="L107" s="458" t="s">
        <v>57</v>
      </c>
      <c r="M107" s="463" t="n">
        <f aca="false">I107-D107</f>
        <v>1306</v>
      </c>
      <c r="N107" s="4"/>
      <c r="O107" s="4"/>
      <c r="P107" s="4"/>
      <c r="Q107" s="4"/>
      <c r="R107" s="4"/>
    </row>
    <row r="108" customFormat="false" ht="12.75" hidden="false" customHeight="true" outlineLevel="0" collapsed="false">
      <c r="A108" s="449" t="n">
        <v>10713</v>
      </c>
      <c r="B108" s="450" t="s">
        <v>17110</v>
      </c>
      <c r="C108" s="450" t="n">
        <v>2009</v>
      </c>
      <c r="D108" s="451" t="n">
        <v>39905</v>
      </c>
      <c r="E108" s="450" t="s">
        <v>17111</v>
      </c>
      <c r="F108" s="450" t="s">
        <v>449</v>
      </c>
      <c r="G108" s="450" t="s">
        <v>1174</v>
      </c>
      <c r="H108" s="450" t="s">
        <v>16610</v>
      </c>
      <c r="I108" s="451" t="n">
        <v>41611</v>
      </c>
      <c r="J108" s="452" t="n">
        <v>12</v>
      </c>
      <c r="K108" s="633" t="s">
        <v>47</v>
      </c>
      <c r="L108" s="452" t="s">
        <v>58</v>
      </c>
      <c r="M108" s="455" t="n">
        <f aca="false">I108-D108</f>
        <v>1706</v>
      </c>
      <c r="N108" s="4"/>
      <c r="O108" s="4"/>
      <c r="P108" s="4"/>
      <c r="Q108" s="4"/>
      <c r="R108" s="4"/>
    </row>
    <row r="109" customFormat="false" ht="12.75" hidden="false" customHeight="true" outlineLevel="0" collapsed="false">
      <c r="A109" s="456" t="n">
        <v>10813</v>
      </c>
      <c r="B109" s="458" t="s">
        <v>17112</v>
      </c>
      <c r="C109" s="458" t="n">
        <v>2010</v>
      </c>
      <c r="D109" s="459" t="n">
        <v>40464</v>
      </c>
      <c r="E109" s="458" t="s">
        <v>17113</v>
      </c>
      <c r="F109" s="458" t="s">
        <v>17114</v>
      </c>
      <c r="G109" s="458" t="s">
        <v>144</v>
      </c>
      <c r="H109" s="458" t="s">
        <v>1109</v>
      </c>
      <c r="I109" s="459" t="n">
        <v>41613</v>
      </c>
      <c r="J109" s="460" t="n">
        <v>12</v>
      </c>
      <c r="K109" s="633" t="s">
        <v>47</v>
      </c>
      <c r="L109" s="458" t="s">
        <v>58</v>
      </c>
      <c r="M109" s="463" t="n">
        <f aca="false">I109-D109</f>
        <v>1149</v>
      </c>
      <c r="N109" s="4"/>
      <c r="O109" s="4"/>
      <c r="P109" s="4"/>
      <c r="Q109" s="4"/>
      <c r="R109" s="4"/>
    </row>
    <row r="110" customFormat="false" ht="12.75" hidden="false" customHeight="true" outlineLevel="0" collapsed="false">
      <c r="A110" s="449" t="n">
        <v>10913</v>
      </c>
      <c r="B110" s="450" t="s">
        <v>17115</v>
      </c>
      <c r="C110" s="450" t="n">
        <v>2010</v>
      </c>
      <c r="D110" s="451" t="n">
        <v>40534</v>
      </c>
      <c r="E110" s="450" t="s">
        <v>17116</v>
      </c>
      <c r="F110" s="450" t="s">
        <v>17114</v>
      </c>
      <c r="G110" s="450" t="s">
        <v>144</v>
      </c>
      <c r="H110" s="450" t="s">
        <v>1109</v>
      </c>
      <c r="I110" s="451" t="n">
        <v>41613</v>
      </c>
      <c r="J110" s="452" t="n">
        <v>12</v>
      </c>
      <c r="K110" s="633" t="s">
        <v>47</v>
      </c>
      <c r="L110" s="452" t="s">
        <v>58</v>
      </c>
      <c r="M110" s="455" t="n">
        <f aca="false">I110-D110</f>
        <v>1079</v>
      </c>
      <c r="N110" s="4"/>
      <c r="O110" s="4"/>
      <c r="P110" s="4"/>
      <c r="Q110" s="4"/>
      <c r="R110" s="4"/>
    </row>
    <row r="111" customFormat="false" ht="12.75" hidden="false" customHeight="true" outlineLevel="0" collapsed="false">
      <c r="A111" s="456" t="n">
        <v>11013</v>
      </c>
      <c r="B111" s="458" t="s">
        <v>17117</v>
      </c>
      <c r="C111" s="458" t="n">
        <v>2009</v>
      </c>
      <c r="D111" s="459" t="n">
        <v>39923</v>
      </c>
      <c r="E111" s="458" t="s">
        <v>17118</v>
      </c>
      <c r="F111" s="458" t="s">
        <v>699</v>
      </c>
      <c r="G111" s="458" t="s">
        <v>441</v>
      </c>
      <c r="H111" s="458" t="s">
        <v>12073</v>
      </c>
      <c r="I111" s="459" t="n">
        <v>41626</v>
      </c>
      <c r="J111" s="460" t="n">
        <v>12</v>
      </c>
      <c r="K111" s="633" t="s">
        <v>47</v>
      </c>
      <c r="L111" s="458" t="s">
        <v>58</v>
      </c>
      <c r="M111" s="463" t="n">
        <f aca="false">I111-D111</f>
        <v>1703</v>
      </c>
      <c r="N111" s="4"/>
      <c r="O111" s="4"/>
      <c r="P111" s="4"/>
      <c r="Q111" s="4"/>
      <c r="R111" s="4"/>
    </row>
  </sheetData>
  <autoFilter ref="A1:M1"/>
  <mergeCells count="76">
    <mergeCell ref="O2:P2"/>
    <mergeCell ref="O14:S15"/>
    <mergeCell ref="O16:S16"/>
    <mergeCell ref="O17:S17"/>
    <mergeCell ref="O18:S18"/>
    <mergeCell ref="O19:S19"/>
    <mergeCell ref="O20:S20"/>
    <mergeCell ref="O21:S21"/>
    <mergeCell ref="O22:S22"/>
    <mergeCell ref="O23:S23"/>
    <mergeCell ref="O24:S24"/>
    <mergeCell ref="O26:S27"/>
    <mergeCell ref="P28:R28"/>
    <mergeCell ref="P29:R29"/>
    <mergeCell ref="P30:R30"/>
    <mergeCell ref="P31:R31"/>
    <mergeCell ref="P32:R32"/>
    <mergeCell ref="P33:R33"/>
    <mergeCell ref="P34:R34"/>
    <mergeCell ref="P35:R35"/>
    <mergeCell ref="P36:R36"/>
    <mergeCell ref="P37:R37"/>
    <mergeCell ref="P38:R38"/>
    <mergeCell ref="P39:R39"/>
    <mergeCell ref="P40:R40"/>
    <mergeCell ref="P41:R41"/>
    <mergeCell ref="P42:R42"/>
    <mergeCell ref="O44:S45"/>
    <mergeCell ref="P46:R46"/>
    <mergeCell ref="P47:R47"/>
    <mergeCell ref="P48:R48"/>
    <mergeCell ref="P49:R49"/>
    <mergeCell ref="P50:R50"/>
    <mergeCell ref="P51:R51"/>
    <mergeCell ref="P52:R52"/>
    <mergeCell ref="P53:R53"/>
    <mergeCell ref="P54:R54"/>
    <mergeCell ref="P55:R55"/>
    <mergeCell ref="P56:R56"/>
    <mergeCell ref="P57:R57"/>
    <mergeCell ref="P58:R58"/>
    <mergeCell ref="P59:R59"/>
    <mergeCell ref="O61:T62"/>
    <mergeCell ref="O63:R63"/>
    <mergeCell ref="O64:R64"/>
    <mergeCell ref="O65:R65"/>
    <mergeCell ref="O66:R66"/>
    <mergeCell ref="O67:R67"/>
    <mergeCell ref="O68:R68"/>
    <mergeCell ref="O69:R69"/>
    <mergeCell ref="O70:R70"/>
    <mergeCell ref="O71:R71"/>
    <mergeCell ref="O72:R72"/>
    <mergeCell ref="O73:R73"/>
    <mergeCell ref="O74:R74"/>
    <mergeCell ref="O75:R75"/>
    <mergeCell ref="O76:R76"/>
    <mergeCell ref="O78:T79"/>
    <mergeCell ref="O80:R80"/>
    <mergeCell ref="O81:R81"/>
    <mergeCell ref="O82:R82"/>
    <mergeCell ref="O83:R83"/>
    <mergeCell ref="O84:R84"/>
    <mergeCell ref="O85:R85"/>
    <mergeCell ref="O87:R88"/>
    <mergeCell ref="P89:R89"/>
    <mergeCell ref="P90:R90"/>
    <mergeCell ref="P91:R91"/>
    <mergeCell ref="P92:R92"/>
    <mergeCell ref="P93:R93"/>
    <mergeCell ref="P94:R94"/>
    <mergeCell ref="P95:R95"/>
    <mergeCell ref="P96:R96"/>
    <mergeCell ref="P97:R97"/>
    <mergeCell ref="P98:R98"/>
    <mergeCell ref="P99:R9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6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B1" activeCellId="0" sqref="B1"/>
    </sheetView>
  </sheetViews>
  <sheetFormatPr defaultColWidth="14.2890625" defaultRowHeight="12.75" customHeight="false" zeroHeight="false" outlineLevelRow="0" outlineLevelCol="0"/>
  <cols>
    <col collapsed="false" customWidth="true" hidden="false" outlineLevel="0" max="1" min="1" style="0" width="17.29"/>
    <col collapsed="false" customWidth="true" hidden="false" outlineLevel="0" max="2" min="2" style="0" width="25.57"/>
    <col collapsed="false" customWidth="true" hidden="false" outlineLevel="0" max="3" min="3" style="0" width="23.85"/>
    <col collapsed="false" customWidth="true" hidden="false" outlineLevel="0" max="4" min="4" style="0" width="24.57"/>
    <col collapsed="false" customWidth="true" hidden="false" outlineLevel="0" max="5" min="5" style="0" width="34.43"/>
    <col collapsed="false" customWidth="true" hidden="false" outlineLevel="0" max="6" min="6" style="0" width="33.85"/>
    <col collapsed="false" customWidth="true" hidden="false" outlineLevel="0" max="7" min="7" style="0" width="12.14"/>
    <col collapsed="false" customWidth="true" hidden="false" outlineLevel="0" max="8" min="8" style="0" width="37.85"/>
    <col collapsed="false" customWidth="true" hidden="false" outlineLevel="0" max="9" min="9" style="0" width="24"/>
    <col collapsed="false" customWidth="true" hidden="false" outlineLevel="0" max="10" min="10" style="0" width="29.71"/>
    <col collapsed="false" customWidth="true" hidden="false" outlineLevel="0" max="11" min="11" style="0" width="60.57"/>
    <col collapsed="false" customWidth="true" hidden="false" outlineLevel="0" max="12" min="12" style="0" width="70.29"/>
    <col collapsed="false" customWidth="true" hidden="false" outlineLevel="0" max="13" min="13" style="0" width="45"/>
    <col collapsed="false" customWidth="true" hidden="false" outlineLevel="0" max="14" min="14" style="0" width="10"/>
    <col collapsed="false" customWidth="true" hidden="false" outlineLevel="0" max="15" min="15" style="0" width="27.14"/>
    <col collapsed="false" customWidth="true" hidden="false" outlineLevel="0" max="16" min="16" style="0" width="9.85"/>
    <col collapsed="false" customWidth="true" hidden="false" outlineLevel="0" max="17" min="17" style="0" width="3.42"/>
    <col collapsed="false" customWidth="true" hidden="false" outlineLevel="0" max="18" min="18" style="0" width="39"/>
    <col collapsed="false" customWidth="true" hidden="false" outlineLevel="0" max="19" min="19" style="0" width="62.85"/>
    <col collapsed="false" customWidth="true" hidden="false" outlineLevel="0" max="20" min="20" style="0" width="13.71"/>
    <col collapsed="false" customWidth="true" hidden="false" outlineLevel="0" max="26" min="21" style="0" width="8.71"/>
  </cols>
  <sheetData>
    <row r="1" customFormat="false" ht="12.75" hidden="false" customHeight="true" outlineLevel="0" collapsed="false">
      <c r="A1" s="640" t="s">
        <v>92</v>
      </c>
      <c r="B1" s="641" t="s">
        <v>93</v>
      </c>
      <c r="C1" s="641" t="s">
        <v>89</v>
      </c>
      <c r="D1" s="642" t="s">
        <v>94</v>
      </c>
      <c r="E1" s="641" t="s">
        <v>95</v>
      </c>
      <c r="F1" s="641" t="s">
        <v>96</v>
      </c>
      <c r="G1" s="641" t="s">
        <v>97</v>
      </c>
      <c r="H1" s="641" t="s">
        <v>98</v>
      </c>
      <c r="I1" s="642" t="s">
        <v>99</v>
      </c>
      <c r="J1" s="641" t="s">
        <v>62</v>
      </c>
      <c r="K1" s="643" t="s">
        <v>101</v>
      </c>
      <c r="L1" s="643" t="s">
        <v>102</v>
      </c>
      <c r="M1" s="644" t="s">
        <v>103</v>
      </c>
      <c r="N1" s="4"/>
      <c r="O1" s="4"/>
      <c r="P1" s="4"/>
      <c r="Q1" s="4"/>
      <c r="R1" s="4"/>
      <c r="S1" s="4"/>
    </row>
    <row r="2" customFormat="false" ht="12.75" hidden="false" customHeight="true" outlineLevel="0" collapsed="false">
      <c r="A2" s="449" t="n">
        <v>112</v>
      </c>
      <c r="B2" s="450" t="s">
        <v>17119</v>
      </c>
      <c r="C2" s="450" t="n">
        <v>2008</v>
      </c>
      <c r="D2" s="451" t="n">
        <v>39700</v>
      </c>
      <c r="E2" s="450" t="s">
        <v>17120</v>
      </c>
      <c r="F2" s="450" t="s">
        <v>5572</v>
      </c>
      <c r="G2" s="450" t="s">
        <v>441</v>
      </c>
      <c r="H2" s="450" t="s">
        <v>184</v>
      </c>
      <c r="I2" s="451" t="n">
        <v>40911</v>
      </c>
      <c r="J2" s="452" t="n">
        <v>1</v>
      </c>
      <c r="K2" s="632" t="s">
        <v>50</v>
      </c>
      <c r="L2" s="452" t="s">
        <v>60</v>
      </c>
      <c r="M2" s="455" t="n">
        <f aca="false">I2-D2</f>
        <v>1211</v>
      </c>
      <c r="N2" s="4"/>
      <c r="O2" s="280" t="s">
        <v>17121</v>
      </c>
      <c r="P2" s="280"/>
      <c r="Q2" s="146"/>
      <c r="R2" s="146"/>
      <c r="S2" s="146"/>
    </row>
    <row r="3" customFormat="false" ht="12.75" hidden="false" customHeight="true" outlineLevel="0" collapsed="false">
      <c r="A3" s="456" t="n">
        <v>212</v>
      </c>
      <c r="B3" s="458" t="s">
        <v>17122</v>
      </c>
      <c r="C3" s="458" t="n">
        <v>1999</v>
      </c>
      <c r="D3" s="459" t="n">
        <v>36507</v>
      </c>
      <c r="E3" s="458" t="s">
        <v>17123</v>
      </c>
      <c r="F3" s="458" t="s">
        <v>705</v>
      </c>
      <c r="G3" s="458" t="s">
        <v>441</v>
      </c>
      <c r="H3" s="458" t="s">
        <v>2283</v>
      </c>
      <c r="I3" s="459" t="n">
        <v>40911</v>
      </c>
      <c r="J3" s="460" t="n">
        <v>1</v>
      </c>
      <c r="K3" s="634" t="s">
        <v>45</v>
      </c>
      <c r="L3" s="460" t="s">
        <v>60</v>
      </c>
      <c r="M3" s="463" t="n">
        <f aca="false">I3-D3</f>
        <v>4404</v>
      </c>
      <c r="N3" s="4"/>
      <c r="O3" s="281" t="s">
        <v>1182</v>
      </c>
      <c r="P3" s="281" t="n">
        <f aca="false">COUNTIF($G$2:$G$476,"PT")</f>
        <v>0</v>
      </c>
      <c r="Q3" s="146"/>
      <c r="R3" s="146"/>
      <c r="S3" s="146"/>
    </row>
    <row r="4" customFormat="false" ht="12.75" hidden="false" customHeight="true" outlineLevel="0" collapsed="false">
      <c r="A4" s="449" t="n">
        <v>312</v>
      </c>
      <c r="B4" s="450" t="s">
        <v>17124</v>
      </c>
      <c r="C4" s="450" t="n">
        <v>2008</v>
      </c>
      <c r="D4" s="451" t="n">
        <v>39597</v>
      </c>
      <c r="E4" s="450" t="s">
        <v>17125</v>
      </c>
      <c r="F4" s="450" t="s">
        <v>699</v>
      </c>
      <c r="G4" s="450" t="s">
        <v>441</v>
      </c>
      <c r="H4" s="450" t="s">
        <v>17126</v>
      </c>
      <c r="I4" s="451" t="n">
        <v>40917</v>
      </c>
      <c r="J4" s="452" t="n">
        <v>1</v>
      </c>
      <c r="K4" s="633" t="s">
        <v>47</v>
      </c>
      <c r="L4" s="452" t="s">
        <v>60</v>
      </c>
      <c r="M4" s="455" t="n">
        <f aca="false">I4-D4</f>
        <v>1320</v>
      </c>
      <c r="N4" s="4"/>
      <c r="O4" s="282" t="s">
        <v>1188</v>
      </c>
      <c r="P4" s="282" t="n">
        <f aca="false">COUNTIF($G$2:$G$476,"PTN")</f>
        <v>1</v>
      </c>
      <c r="Q4" s="153"/>
      <c r="R4" s="153"/>
      <c r="S4" s="153"/>
    </row>
    <row r="5" customFormat="false" ht="12.75" hidden="false" customHeight="true" outlineLevel="0" collapsed="false">
      <c r="A5" s="456" t="n">
        <v>412</v>
      </c>
      <c r="B5" s="458" t="s">
        <v>17127</v>
      </c>
      <c r="C5" s="458" t="n">
        <v>2009</v>
      </c>
      <c r="D5" s="459" t="n">
        <v>39832</v>
      </c>
      <c r="E5" s="458" t="s">
        <v>17128</v>
      </c>
      <c r="F5" s="458" t="s">
        <v>365</v>
      </c>
      <c r="G5" s="458" t="s">
        <v>1174</v>
      </c>
      <c r="H5" s="458" t="s">
        <v>16610</v>
      </c>
      <c r="I5" s="459" t="n">
        <v>40918</v>
      </c>
      <c r="J5" s="460" t="n">
        <v>1</v>
      </c>
      <c r="K5" s="634" t="s">
        <v>45</v>
      </c>
      <c r="L5" s="460" t="s">
        <v>60</v>
      </c>
      <c r="M5" s="463" t="n">
        <f aca="false">I5-D5</f>
        <v>1086</v>
      </c>
      <c r="N5" s="4"/>
      <c r="O5" s="283" t="s">
        <v>1192</v>
      </c>
      <c r="P5" s="283" t="n">
        <f aca="false">COUNTIF($G$2:$G$476,"PTE")</f>
        <v>64</v>
      </c>
      <c r="Q5" s="153"/>
      <c r="R5" s="153"/>
      <c r="S5" s="153"/>
    </row>
    <row r="6" customFormat="false" ht="12.75" hidden="false" customHeight="true" outlineLevel="0" collapsed="false">
      <c r="A6" s="449" t="n">
        <v>512</v>
      </c>
      <c r="B6" s="450" t="s">
        <v>17129</v>
      </c>
      <c r="C6" s="450" t="n">
        <v>2007</v>
      </c>
      <c r="D6" s="451" t="n">
        <v>39351</v>
      </c>
      <c r="E6" s="450" t="s">
        <v>17130</v>
      </c>
      <c r="F6" s="450" t="s">
        <v>17131</v>
      </c>
      <c r="G6" s="450" t="s">
        <v>125</v>
      </c>
      <c r="H6" s="450" t="s">
        <v>17132</v>
      </c>
      <c r="I6" s="451" t="n">
        <v>40919</v>
      </c>
      <c r="J6" s="452" t="n">
        <v>1</v>
      </c>
      <c r="K6" s="633" t="s">
        <v>47</v>
      </c>
      <c r="L6" s="452" t="s">
        <v>61</v>
      </c>
      <c r="M6" s="455" t="n">
        <f aca="false">I6-D6</f>
        <v>1568</v>
      </c>
      <c r="N6" s="4"/>
      <c r="O6" s="282" t="s">
        <v>8</v>
      </c>
      <c r="P6" s="282" t="n">
        <f aca="false">COUNTIF($G$2:$G$476,"Pré-Mistura")</f>
        <v>0</v>
      </c>
      <c r="Q6" s="153"/>
      <c r="R6" s="153"/>
      <c r="S6" s="153"/>
    </row>
    <row r="7" customFormat="false" ht="12.75" hidden="false" customHeight="true" outlineLevel="0" collapsed="false">
      <c r="A7" s="456" t="n">
        <v>612</v>
      </c>
      <c r="B7" s="458" t="s">
        <v>17133</v>
      </c>
      <c r="C7" s="458" t="n">
        <v>2008</v>
      </c>
      <c r="D7" s="459" t="n">
        <v>39576</v>
      </c>
      <c r="E7" s="458" t="s">
        <v>17134</v>
      </c>
      <c r="F7" s="458" t="s">
        <v>168</v>
      </c>
      <c r="G7" s="458" t="s">
        <v>441</v>
      </c>
      <c r="H7" s="458" t="s">
        <v>693</v>
      </c>
      <c r="I7" s="459" t="n">
        <v>40919</v>
      </c>
      <c r="J7" s="460" t="n">
        <v>1</v>
      </c>
      <c r="K7" s="631" t="s">
        <v>42</v>
      </c>
      <c r="L7" s="460" t="s">
        <v>58</v>
      </c>
      <c r="M7" s="463" t="n">
        <f aca="false">I7-D7</f>
        <v>1343</v>
      </c>
      <c r="N7" s="4"/>
      <c r="O7" s="283" t="s">
        <v>110</v>
      </c>
      <c r="P7" s="283" t="n">
        <f aca="false">COUNTIF($G$2:$G$476,"PF")</f>
        <v>10</v>
      </c>
      <c r="Q7" s="153"/>
      <c r="R7" s="153"/>
      <c r="S7" s="153"/>
    </row>
    <row r="8" customFormat="false" ht="12.75" hidden="false" customHeight="true" outlineLevel="0" collapsed="false">
      <c r="A8" s="449" t="n">
        <v>712</v>
      </c>
      <c r="B8" s="450" t="s">
        <v>17135</v>
      </c>
      <c r="C8" s="450" t="n">
        <v>2009</v>
      </c>
      <c r="D8" s="451" t="n">
        <v>39898</v>
      </c>
      <c r="E8" s="450" t="s">
        <v>17136</v>
      </c>
      <c r="F8" s="450" t="s">
        <v>180</v>
      </c>
      <c r="G8" s="450" t="s">
        <v>441</v>
      </c>
      <c r="H8" s="450" t="s">
        <v>350</v>
      </c>
      <c r="I8" s="451" t="n">
        <v>40921</v>
      </c>
      <c r="J8" s="452" t="n">
        <v>1</v>
      </c>
      <c r="K8" s="634" t="s">
        <v>45</v>
      </c>
      <c r="L8" s="452" t="s">
        <v>58</v>
      </c>
      <c r="M8" s="455" t="n">
        <f aca="false">I8-D8</f>
        <v>1023</v>
      </c>
      <c r="N8" s="4"/>
      <c r="O8" s="282" t="s">
        <v>115</v>
      </c>
      <c r="P8" s="282" t="n">
        <f aca="false">COUNTIF($G$2:$G$476,"PFN")</f>
        <v>1</v>
      </c>
      <c r="Q8" s="153"/>
      <c r="R8" s="153"/>
      <c r="S8" s="153"/>
    </row>
    <row r="9" customFormat="false" ht="12.75" hidden="false" customHeight="true" outlineLevel="0" collapsed="false">
      <c r="A9" s="456" t="n">
        <v>812</v>
      </c>
      <c r="B9" s="458" t="s">
        <v>17137</v>
      </c>
      <c r="C9" s="458" t="n">
        <v>2009</v>
      </c>
      <c r="D9" s="459" t="n">
        <v>40109</v>
      </c>
      <c r="E9" s="458" t="s">
        <v>17138</v>
      </c>
      <c r="F9" s="458" t="s">
        <v>3844</v>
      </c>
      <c r="G9" s="458" t="s">
        <v>441</v>
      </c>
      <c r="H9" s="458" t="s">
        <v>350</v>
      </c>
      <c r="I9" s="459" t="n">
        <v>40925</v>
      </c>
      <c r="J9" s="460" t="n">
        <v>1</v>
      </c>
      <c r="K9" s="634" t="s">
        <v>45</v>
      </c>
      <c r="L9" s="460" t="s">
        <v>58</v>
      </c>
      <c r="M9" s="463" t="n">
        <f aca="false">I9-D9</f>
        <v>816</v>
      </c>
      <c r="N9" s="4"/>
      <c r="O9" s="283" t="s">
        <v>120</v>
      </c>
      <c r="P9" s="283" t="n">
        <f aca="false">COUNTIF($G$2:$G$476,"PF/PTE")</f>
        <v>75</v>
      </c>
      <c r="Q9" s="153"/>
      <c r="R9" s="153"/>
      <c r="S9" s="153"/>
    </row>
    <row r="10" customFormat="false" ht="12.75" hidden="false" customHeight="true" outlineLevel="0" collapsed="false">
      <c r="A10" s="449" t="n">
        <v>912</v>
      </c>
      <c r="B10" s="450" t="s">
        <v>17139</v>
      </c>
      <c r="C10" s="450" t="n">
        <v>2008</v>
      </c>
      <c r="D10" s="451" t="n">
        <v>39731</v>
      </c>
      <c r="E10" s="450" t="s">
        <v>17140</v>
      </c>
      <c r="F10" s="450" t="s">
        <v>17141</v>
      </c>
      <c r="G10" s="450" t="s">
        <v>144</v>
      </c>
      <c r="H10" s="450" t="s">
        <v>119</v>
      </c>
      <c r="I10" s="451" t="n">
        <v>40928</v>
      </c>
      <c r="J10" s="452" t="n">
        <v>1</v>
      </c>
      <c r="K10" s="631" t="s">
        <v>42</v>
      </c>
      <c r="L10" s="452" t="s">
        <v>58</v>
      </c>
      <c r="M10" s="455" t="n">
        <f aca="false">I10-D10</f>
        <v>1197</v>
      </c>
      <c r="N10" s="4"/>
      <c r="O10" s="282" t="s">
        <v>125</v>
      </c>
      <c r="P10" s="282" t="n">
        <f aca="false">COUNTIF($G$2:$G$476,"Bio")</f>
        <v>5</v>
      </c>
      <c r="Q10" s="153"/>
      <c r="R10" s="153"/>
      <c r="S10" s="153"/>
    </row>
    <row r="11" customFormat="false" ht="12.75" hidden="false" customHeight="true" outlineLevel="0" collapsed="false">
      <c r="A11" s="456" t="n">
        <v>1012</v>
      </c>
      <c r="B11" s="458" t="s">
        <v>17142</v>
      </c>
      <c r="C11" s="458" t="n">
        <v>2008</v>
      </c>
      <c r="D11" s="459" t="n">
        <v>39749</v>
      </c>
      <c r="E11" s="458" t="s">
        <v>17143</v>
      </c>
      <c r="F11" s="458" t="s">
        <v>379</v>
      </c>
      <c r="G11" s="458" t="s">
        <v>441</v>
      </c>
      <c r="H11" s="458" t="s">
        <v>5230</v>
      </c>
      <c r="I11" s="459" t="n">
        <v>40935</v>
      </c>
      <c r="J11" s="460" t="n">
        <v>1</v>
      </c>
      <c r="K11" s="631" t="s">
        <v>42</v>
      </c>
      <c r="L11" s="460" t="s">
        <v>58</v>
      </c>
      <c r="M11" s="463" t="n">
        <f aca="false">I11-D11</f>
        <v>1186</v>
      </c>
      <c r="N11" s="4"/>
      <c r="O11" s="284" t="s">
        <v>130</v>
      </c>
      <c r="P11" s="284" t="n">
        <f aca="false">COUNTIF($G$2:$G$476,"Bio/Org")</f>
        <v>12</v>
      </c>
      <c r="Q11" s="153"/>
      <c r="R11" s="153"/>
      <c r="S11" s="153"/>
    </row>
    <row r="12" customFormat="false" ht="12.75" hidden="false" customHeight="true" outlineLevel="0" collapsed="false">
      <c r="A12" s="449" t="n">
        <v>1112</v>
      </c>
      <c r="B12" s="450" t="s">
        <v>17144</v>
      </c>
      <c r="C12" s="450" t="n">
        <v>2009</v>
      </c>
      <c r="D12" s="451" t="n">
        <v>39912</v>
      </c>
      <c r="E12" s="450" t="s">
        <v>17145</v>
      </c>
      <c r="F12" s="450" t="s">
        <v>1277</v>
      </c>
      <c r="G12" s="450" t="s">
        <v>1174</v>
      </c>
      <c r="H12" s="450" t="s">
        <v>16610</v>
      </c>
      <c r="I12" s="451" t="n">
        <v>40941</v>
      </c>
      <c r="J12" s="452" t="n">
        <v>2</v>
      </c>
      <c r="K12" s="634" t="s">
        <v>45</v>
      </c>
      <c r="L12" s="452" t="s">
        <v>58</v>
      </c>
      <c r="M12" s="455" t="n">
        <f aca="false">I12-D12</f>
        <v>1029</v>
      </c>
      <c r="N12" s="4"/>
      <c r="O12" s="285" t="s">
        <v>140</v>
      </c>
      <c r="P12" s="286" t="n">
        <f aca="false">SUM(P3:P11)</f>
        <v>168</v>
      </c>
      <c r="Q12" s="153"/>
      <c r="R12" s="153"/>
      <c r="S12" s="153"/>
    </row>
    <row r="13" customFormat="false" ht="13.5" hidden="false" customHeight="true" outlineLevel="0" collapsed="false">
      <c r="A13" s="456" t="n">
        <v>1212</v>
      </c>
      <c r="B13" s="458" t="s">
        <v>17146</v>
      </c>
      <c r="C13" s="458" t="n">
        <v>2008</v>
      </c>
      <c r="D13" s="459" t="n">
        <v>39665</v>
      </c>
      <c r="E13" s="458" t="s">
        <v>17147</v>
      </c>
      <c r="F13" s="458" t="s">
        <v>1080</v>
      </c>
      <c r="G13" s="458" t="s">
        <v>1174</v>
      </c>
      <c r="H13" s="458" t="s">
        <v>1072</v>
      </c>
      <c r="I13" s="459" t="n">
        <v>40941</v>
      </c>
      <c r="J13" s="460" t="n">
        <v>2</v>
      </c>
      <c r="K13" s="632" t="s">
        <v>50</v>
      </c>
      <c r="L13" s="460" t="s">
        <v>61</v>
      </c>
      <c r="M13" s="463" t="n">
        <f aca="false">I13-D13</f>
        <v>1276</v>
      </c>
      <c r="N13" s="4"/>
      <c r="O13" s="153"/>
      <c r="P13" s="153"/>
      <c r="Q13" s="153"/>
      <c r="R13" s="287"/>
      <c r="S13" s="287"/>
    </row>
    <row r="14" customFormat="false" ht="14.25" hidden="false" customHeight="true" outlineLevel="0" collapsed="false">
      <c r="A14" s="449" t="n">
        <v>1312</v>
      </c>
      <c r="B14" s="450" t="s">
        <v>17148</v>
      </c>
      <c r="C14" s="450" t="n">
        <v>2010</v>
      </c>
      <c r="D14" s="451" t="n">
        <v>40403</v>
      </c>
      <c r="E14" s="450" t="s">
        <v>17149</v>
      </c>
      <c r="F14" s="624" t="s">
        <v>17150</v>
      </c>
      <c r="G14" s="450" t="s">
        <v>125</v>
      </c>
      <c r="H14" s="450" t="s">
        <v>17151</v>
      </c>
      <c r="I14" s="451" t="n">
        <v>40941</v>
      </c>
      <c r="J14" s="452" t="n">
        <v>2</v>
      </c>
      <c r="K14" s="634" t="s">
        <v>45</v>
      </c>
      <c r="L14" s="452" t="s">
        <v>58</v>
      </c>
      <c r="M14" s="455" t="n">
        <f aca="false">I14-D14</f>
        <v>538</v>
      </c>
      <c r="N14" s="4"/>
      <c r="O14" s="411" t="s">
        <v>151</v>
      </c>
      <c r="P14" s="411"/>
      <c r="Q14" s="411"/>
      <c r="R14" s="411"/>
      <c r="S14" s="411"/>
    </row>
    <row r="15" customFormat="false" ht="14.25" hidden="false" customHeight="true" outlineLevel="0" collapsed="false">
      <c r="A15" s="456" t="n">
        <v>1412</v>
      </c>
      <c r="B15" s="458" t="s">
        <v>17152</v>
      </c>
      <c r="C15" s="458" t="n">
        <v>2010</v>
      </c>
      <c r="D15" s="459" t="n">
        <v>40520</v>
      </c>
      <c r="E15" s="458" t="s">
        <v>17153</v>
      </c>
      <c r="F15" s="458" t="s">
        <v>1277</v>
      </c>
      <c r="G15" s="458" t="s">
        <v>1174</v>
      </c>
      <c r="H15" s="458" t="s">
        <v>16610</v>
      </c>
      <c r="I15" s="459" t="n">
        <v>40948</v>
      </c>
      <c r="J15" s="460" t="n">
        <v>2</v>
      </c>
      <c r="K15" s="631" t="s">
        <v>42</v>
      </c>
      <c r="L15" s="460" t="s">
        <v>57</v>
      </c>
      <c r="M15" s="463" t="n">
        <f aca="false">I15-D15</f>
        <v>428</v>
      </c>
      <c r="N15" s="4"/>
      <c r="O15" s="411"/>
      <c r="P15" s="411"/>
      <c r="Q15" s="411"/>
      <c r="R15" s="411"/>
      <c r="S15" s="411"/>
    </row>
    <row r="16" customFormat="false" ht="12.75" hidden="false" customHeight="true" outlineLevel="0" collapsed="false">
      <c r="A16" s="449" t="n">
        <v>1512</v>
      </c>
      <c r="B16" s="450" t="s">
        <v>17154</v>
      </c>
      <c r="C16" s="450" t="n">
        <v>2009</v>
      </c>
      <c r="D16" s="451" t="n">
        <v>39864</v>
      </c>
      <c r="E16" s="450" t="s">
        <v>17155</v>
      </c>
      <c r="F16" s="450" t="s">
        <v>1916</v>
      </c>
      <c r="G16" s="450" t="s">
        <v>441</v>
      </c>
      <c r="H16" s="450" t="s">
        <v>350</v>
      </c>
      <c r="I16" s="451" t="n">
        <v>40953</v>
      </c>
      <c r="J16" s="452" t="n">
        <v>2</v>
      </c>
      <c r="K16" s="631" t="s">
        <v>42</v>
      </c>
      <c r="L16" s="452" t="s">
        <v>58</v>
      </c>
      <c r="M16" s="455" t="n">
        <f aca="false">I16-D16</f>
        <v>1089</v>
      </c>
      <c r="N16" s="4"/>
      <c r="O16" s="412" t="s">
        <v>2194</v>
      </c>
      <c r="P16" s="412"/>
      <c r="Q16" s="412"/>
      <c r="R16" s="412"/>
      <c r="S16" s="412"/>
    </row>
    <row r="17" customFormat="false" ht="12.75" hidden="false" customHeight="true" outlineLevel="0" collapsed="false">
      <c r="A17" s="456" t="n">
        <v>1612</v>
      </c>
      <c r="B17" s="458" t="s">
        <v>17156</v>
      </c>
      <c r="C17" s="458" t="n">
        <v>2008</v>
      </c>
      <c r="D17" s="459" t="n">
        <v>39580</v>
      </c>
      <c r="E17" s="458" t="s">
        <v>17157</v>
      </c>
      <c r="F17" s="458" t="s">
        <v>168</v>
      </c>
      <c r="G17" s="458" t="s">
        <v>441</v>
      </c>
      <c r="H17" s="458" t="s">
        <v>693</v>
      </c>
      <c r="I17" s="459" t="n">
        <v>40954</v>
      </c>
      <c r="J17" s="460" t="n">
        <v>2</v>
      </c>
      <c r="K17" s="631" t="s">
        <v>42</v>
      </c>
      <c r="L17" s="460" t="s">
        <v>58</v>
      </c>
      <c r="M17" s="463" t="n">
        <f aca="false">I17-D17</f>
        <v>1374</v>
      </c>
      <c r="N17" s="4"/>
      <c r="O17" s="413" t="s">
        <v>2198</v>
      </c>
      <c r="P17" s="413"/>
      <c r="Q17" s="413"/>
      <c r="R17" s="413"/>
      <c r="S17" s="413"/>
    </row>
    <row r="18" customFormat="false" ht="12.75" hidden="false" customHeight="true" outlineLevel="0" collapsed="false">
      <c r="A18" s="449" t="n">
        <v>1712</v>
      </c>
      <c r="B18" s="450" t="s">
        <v>17158</v>
      </c>
      <c r="C18" s="450" t="n">
        <v>2009</v>
      </c>
      <c r="D18" s="451" t="n">
        <v>39832</v>
      </c>
      <c r="E18" s="450" t="s">
        <v>17159</v>
      </c>
      <c r="F18" s="450" t="s">
        <v>1262</v>
      </c>
      <c r="G18" s="450" t="s">
        <v>1174</v>
      </c>
      <c r="H18" s="450" t="s">
        <v>16610</v>
      </c>
      <c r="I18" s="451" t="n">
        <v>40954</v>
      </c>
      <c r="J18" s="452" t="n">
        <v>2</v>
      </c>
      <c r="K18" s="633" t="s">
        <v>47</v>
      </c>
      <c r="L18" s="452" t="s">
        <v>58</v>
      </c>
      <c r="M18" s="455" t="n">
        <f aca="false">I18-D18</f>
        <v>1122</v>
      </c>
      <c r="N18" s="4"/>
      <c r="O18" s="414" t="s">
        <v>2203</v>
      </c>
      <c r="P18" s="414"/>
      <c r="Q18" s="414"/>
      <c r="R18" s="414"/>
      <c r="S18" s="414"/>
    </row>
    <row r="19" customFormat="false" ht="12.75" hidden="false" customHeight="true" outlineLevel="0" collapsed="false">
      <c r="A19" s="456" t="n">
        <v>1812</v>
      </c>
      <c r="B19" s="458" t="s">
        <v>17160</v>
      </c>
      <c r="C19" s="458" t="n">
        <v>2007</v>
      </c>
      <c r="D19" s="459" t="n">
        <v>39428</v>
      </c>
      <c r="E19" s="458" t="s">
        <v>17161</v>
      </c>
      <c r="F19" s="458" t="s">
        <v>699</v>
      </c>
      <c r="G19" s="458" t="s">
        <v>441</v>
      </c>
      <c r="H19" s="458" t="s">
        <v>4045</v>
      </c>
      <c r="I19" s="459" t="n">
        <v>40955</v>
      </c>
      <c r="J19" s="460" t="n">
        <v>2</v>
      </c>
      <c r="K19" s="631" t="s">
        <v>42</v>
      </c>
      <c r="L19" s="460" t="s">
        <v>60</v>
      </c>
      <c r="M19" s="463" t="n">
        <f aca="false">I19-D19</f>
        <v>1527</v>
      </c>
      <c r="N19" s="4"/>
      <c r="O19" s="413" t="s">
        <v>2207</v>
      </c>
      <c r="P19" s="413"/>
      <c r="Q19" s="413"/>
      <c r="R19" s="413"/>
      <c r="S19" s="413"/>
    </row>
    <row r="20" customFormat="false" ht="12.75" hidden="false" customHeight="true" outlineLevel="0" collapsed="false">
      <c r="A20" s="449" t="n">
        <v>1912</v>
      </c>
      <c r="B20" s="450" t="s">
        <v>17162</v>
      </c>
      <c r="C20" s="450" t="n">
        <v>2009</v>
      </c>
      <c r="D20" s="451" t="n">
        <v>39864</v>
      </c>
      <c r="E20" s="450" t="s">
        <v>17163</v>
      </c>
      <c r="F20" s="450" t="s">
        <v>17164</v>
      </c>
      <c r="G20" s="450" t="s">
        <v>144</v>
      </c>
      <c r="H20" s="450" t="s">
        <v>373</v>
      </c>
      <c r="I20" s="451" t="n">
        <v>40968</v>
      </c>
      <c r="J20" s="452" t="n">
        <v>2</v>
      </c>
      <c r="K20" s="633" t="s">
        <v>47</v>
      </c>
      <c r="L20" s="452" t="s">
        <v>58</v>
      </c>
      <c r="M20" s="455" t="n">
        <f aca="false">I20-D20</f>
        <v>1104</v>
      </c>
      <c r="N20" s="4"/>
      <c r="O20" s="414" t="s">
        <v>2211</v>
      </c>
      <c r="P20" s="414"/>
      <c r="Q20" s="414"/>
      <c r="R20" s="414"/>
      <c r="S20" s="414"/>
    </row>
    <row r="21" customFormat="false" ht="12.75" hidden="false" customHeight="true" outlineLevel="0" collapsed="false">
      <c r="A21" s="456" t="n">
        <v>2012</v>
      </c>
      <c r="B21" s="458" t="s">
        <v>17165</v>
      </c>
      <c r="C21" s="458" t="n">
        <v>2008</v>
      </c>
      <c r="D21" s="459" t="n">
        <v>39744</v>
      </c>
      <c r="E21" s="458" t="s">
        <v>17166</v>
      </c>
      <c r="F21" s="458" t="s">
        <v>699</v>
      </c>
      <c r="G21" s="458" t="s">
        <v>1174</v>
      </c>
      <c r="H21" s="458" t="s">
        <v>11658</v>
      </c>
      <c r="I21" s="459" t="n">
        <v>40968</v>
      </c>
      <c r="J21" s="460" t="n">
        <v>2</v>
      </c>
      <c r="K21" s="631" t="s">
        <v>42</v>
      </c>
      <c r="L21" s="460" t="s">
        <v>60</v>
      </c>
      <c r="M21" s="463" t="n">
        <f aca="false">I21-D21</f>
        <v>1224</v>
      </c>
      <c r="N21" s="4"/>
      <c r="O21" s="413" t="s">
        <v>2215</v>
      </c>
      <c r="P21" s="413"/>
      <c r="Q21" s="413"/>
      <c r="R21" s="413"/>
      <c r="S21" s="413"/>
    </row>
    <row r="22" customFormat="false" ht="12.75" hidden="false" customHeight="true" outlineLevel="0" collapsed="false">
      <c r="A22" s="449" t="n">
        <v>2112</v>
      </c>
      <c r="B22" s="450" t="s">
        <v>17167</v>
      </c>
      <c r="C22" s="450" t="n">
        <v>2009</v>
      </c>
      <c r="D22" s="451" t="n">
        <v>40102</v>
      </c>
      <c r="E22" s="450" t="s">
        <v>17168</v>
      </c>
      <c r="F22" s="450" t="s">
        <v>180</v>
      </c>
      <c r="G22" s="450" t="s">
        <v>1174</v>
      </c>
      <c r="H22" s="450" t="s">
        <v>471</v>
      </c>
      <c r="I22" s="451" t="n">
        <v>40968</v>
      </c>
      <c r="J22" s="452" t="n">
        <v>2</v>
      </c>
      <c r="K22" s="633" t="s">
        <v>47</v>
      </c>
      <c r="L22" s="452" t="s">
        <v>60</v>
      </c>
      <c r="M22" s="455" t="n">
        <f aca="false">I22-D22</f>
        <v>866</v>
      </c>
      <c r="N22" s="4"/>
      <c r="O22" s="414" t="s">
        <v>2220</v>
      </c>
      <c r="P22" s="414"/>
      <c r="Q22" s="414"/>
      <c r="R22" s="414"/>
      <c r="S22" s="414"/>
    </row>
    <row r="23" customFormat="false" ht="12.75" hidden="false" customHeight="true" outlineLevel="0" collapsed="false">
      <c r="A23" s="456" t="n">
        <v>2212</v>
      </c>
      <c r="B23" s="458" t="s">
        <v>17169</v>
      </c>
      <c r="C23" s="458" t="n">
        <v>2011</v>
      </c>
      <c r="D23" s="459" t="n">
        <v>40857</v>
      </c>
      <c r="E23" s="458" t="s">
        <v>17170</v>
      </c>
      <c r="F23" s="625" t="s">
        <v>288</v>
      </c>
      <c r="G23" s="458" t="s">
        <v>130</v>
      </c>
      <c r="H23" s="458" t="s">
        <v>17171</v>
      </c>
      <c r="I23" s="459" t="n">
        <v>40974</v>
      </c>
      <c r="J23" s="460" t="n">
        <v>3</v>
      </c>
      <c r="K23" s="632" t="s">
        <v>2407</v>
      </c>
      <c r="L23" s="460" t="s">
        <v>61</v>
      </c>
      <c r="M23" s="463" t="n">
        <f aca="false">I23-D23</f>
        <v>117</v>
      </c>
      <c r="N23" s="4"/>
      <c r="O23" s="413" t="s">
        <v>2225</v>
      </c>
      <c r="P23" s="413"/>
      <c r="Q23" s="413"/>
      <c r="R23" s="413"/>
      <c r="S23" s="413"/>
    </row>
    <row r="24" customFormat="false" ht="13.5" hidden="false" customHeight="true" outlineLevel="0" collapsed="false">
      <c r="A24" s="449" t="n">
        <v>2312</v>
      </c>
      <c r="B24" s="450" t="s">
        <v>17172</v>
      </c>
      <c r="C24" s="450" t="n">
        <v>2005</v>
      </c>
      <c r="D24" s="451" t="n">
        <v>38632</v>
      </c>
      <c r="E24" s="450" t="s">
        <v>17173</v>
      </c>
      <c r="F24" s="450" t="s">
        <v>705</v>
      </c>
      <c r="G24" s="450" t="s">
        <v>441</v>
      </c>
      <c r="H24" s="450" t="s">
        <v>2283</v>
      </c>
      <c r="I24" s="451" t="n">
        <v>40988</v>
      </c>
      <c r="J24" s="452" t="n">
        <v>3</v>
      </c>
      <c r="K24" s="634" t="s">
        <v>45</v>
      </c>
      <c r="L24" s="452" t="s">
        <v>60</v>
      </c>
      <c r="M24" s="455" t="n">
        <f aca="false">I24-D24</f>
        <v>2356</v>
      </c>
      <c r="N24" s="4"/>
      <c r="O24" s="415" t="s">
        <v>2229</v>
      </c>
      <c r="P24" s="415"/>
      <c r="Q24" s="415"/>
      <c r="R24" s="415"/>
      <c r="S24" s="415"/>
    </row>
    <row r="25" customFormat="false" ht="12.75" hidden="false" customHeight="true" outlineLevel="0" collapsed="false">
      <c r="A25" s="456" t="n">
        <v>2412</v>
      </c>
      <c r="B25" s="458" t="s">
        <v>17174</v>
      </c>
      <c r="C25" s="458" t="n">
        <v>2008</v>
      </c>
      <c r="D25" s="459" t="n">
        <v>39798</v>
      </c>
      <c r="E25" s="458" t="s">
        <v>17175</v>
      </c>
      <c r="F25" s="458" t="s">
        <v>1609</v>
      </c>
      <c r="G25" s="458" t="s">
        <v>441</v>
      </c>
      <c r="H25" s="458" t="s">
        <v>2677</v>
      </c>
      <c r="I25" s="459" t="n">
        <v>40983</v>
      </c>
      <c r="J25" s="460" t="n">
        <v>3</v>
      </c>
      <c r="K25" s="631" t="s">
        <v>42</v>
      </c>
      <c r="L25" s="460" t="s">
        <v>57</v>
      </c>
      <c r="M25" s="463" t="n">
        <f aca="false">I25-D25</f>
        <v>1185</v>
      </c>
      <c r="N25" s="4"/>
      <c r="O25" s="153"/>
      <c r="P25" s="153"/>
      <c r="Q25" s="153"/>
      <c r="R25" s="153"/>
      <c r="S25" s="153"/>
    </row>
    <row r="26" customFormat="false" ht="13.5" hidden="false" customHeight="true" outlineLevel="0" collapsed="false">
      <c r="A26" s="449" t="n">
        <v>2512</v>
      </c>
      <c r="B26" s="450" t="s">
        <v>17176</v>
      </c>
      <c r="C26" s="450" t="n">
        <v>2009</v>
      </c>
      <c r="D26" s="451" t="n">
        <v>40065</v>
      </c>
      <c r="E26" s="450" t="s">
        <v>17177</v>
      </c>
      <c r="F26" s="450" t="s">
        <v>17178</v>
      </c>
      <c r="G26" s="450" t="s">
        <v>441</v>
      </c>
      <c r="H26" s="450" t="s">
        <v>1266</v>
      </c>
      <c r="I26" s="451" t="n">
        <v>40988</v>
      </c>
      <c r="J26" s="452" t="n">
        <v>3</v>
      </c>
      <c r="K26" s="631" t="s">
        <v>42</v>
      </c>
      <c r="L26" s="452" t="s">
        <v>58</v>
      </c>
      <c r="M26" s="455" t="n">
        <f aca="false">I26-D26</f>
        <v>923</v>
      </c>
      <c r="N26" s="4"/>
      <c r="O26" s="326" t="s">
        <v>185</v>
      </c>
      <c r="P26" s="326"/>
      <c r="Q26" s="326"/>
      <c r="R26" s="326"/>
      <c r="S26" s="326"/>
    </row>
    <row r="27" customFormat="false" ht="13.5" hidden="false" customHeight="true" outlineLevel="0" collapsed="false">
      <c r="A27" s="456" t="n">
        <v>2612</v>
      </c>
      <c r="B27" s="458" t="s">
        <v>17179</v>
      </c>
      <c r="C27" s="458" t="n">
        <v>2009</v>
      </c>
      <c r="D27" s="459" t="n">
        <v>40070</v>
      </c>
      <c r="E27" s="458" t="s">
        <v>17180</v>
      </c>
      <c r="F27" s="458" t="s">
        <v>17178</v>
      </c>
      <c r="G27" s="458" t="s">
        <v>441</v>
      </c>
      <c r="H27" s="458" t="s">
        <v>1266</v>
      </c>
      <c r="I27" s="459" t="n">
        <v>40988</v>
      </c>
      <c r="J27" s="460" t="n">
        <v>3</v>
      </c>
      <c r="K27" s="631" t="s">
        <v>42</v>
      </c>
      <c r="L27" s="460" t="s">
        <v>58</v>
      </c>
      <c r="M27" s="463" t="n">
        <f aca="false">I27-D27</f>
        <v>918</v>
      </c>
      <c r="N27" s="4"/>
      <c r="O27" s="326"/>
      <c r="P27" s="326"/>
      <c r="Q27" s="326"/>
      <c r="R27" s="326"/>
      <c r="S27" s="326"/>
    </row>
    <row r="28" customFormat="false" ht="12.75" hidden="false" customHeight="true" outlineLevel="0" collapsed="false">
      <c r="A28" s="449" t="n">
        <v>2712</v>
      </c>
      <c r="B28" s="450" t="s">
        <v>17181</v>
      </c>
      <c r="C28" s="450" t="n">
        <v>2011</v>
      </c>
      <c r="D28" s="451" t="n">
        <v>40653</v>
      </c>
      <c r="E28" s="450" t="s">
        <v>17182</v>
      </c>
      <c r="F28" s="450" t="s">
        <v>1277</v>
      </c>
      <c r="G28" s="450" t="s">
        <v>1174</v>
      </c>
      <c r="H28" s="450" t="s">
        <v>310</v>
      </c>
      <c r="I28" s="451" t="n">
        <v>40988</v>
      </c>
      <c r="J28" s="452" t="n">
        <v>3</v>
      </c>
      <c r="K28" s="634" t="s">
        <v>45</v>
      </c>
      <c r="L28" s="452" t="s">
        <v>58</v>
      </c>
      <c r="M28" s="455" t="n">
        <f aca="false">I28-D28</f>
        <v>335</v>
      </c>
      <c r="N28" s="4"/>
      <c r="O28" s="309" t="s">
        <v>39</v>
      </c>
      <c r="P28" s="416" t="s">
        <v>40</v>
      </c>
      <c r="Q28" s="416"/>
      <c r="R28" s="416"/>
      <c r="S28" s="313" t="s">
        <v>41</v>
      </c>
    </row>
    <row r="29" customFormat="false" ht="12.75" hidden="false" customHeight="true" outlineLevel="0" collapsed="false">
      <c r="A29" s="456" t="n">
        <v>2812</v>
      </c>
      <c r="B29" s="458" t="s">
        <v>17183</v>
      </c>
      <c r="C29" s="458" t="n">
        <v>2007</v>
      </c>
      <c r="D29" s="459" t="n">
        <v>39099</v>
      </c>
      <c r="E29" s="458" t="s">
        <v>17184</v>
      </c>
      <c r="F29" s="458" t="s">
        <v>1277</v>
      </c>
      <c r="G29" s="458" t="s">
        <v>144</v>
      </c>
      <c r="H29" s="458" t="s">
        <v>3493</v>
      </c>
      <c r="I29" s="459" t="n">
        <v>40994</v>
      </c>
      <c r="J29" s="460" t="n">
        <v>3</v>
      </c>
      <c r="K29" s="634" t="s">
        <v>45</v>
      </c>
      <c r="L29" s="460" t="s">
        <v>58</v>
      </c>
      <c r="M29" s="463" t="n">
        <f aca="false">I29-D29</f>
        <v>1895</v>
      </c>
      <c r="N29" s="4"/>
      <c r="O29" s="283" t="n">
        <v>2000</v>
      </c>
      <c r="P29" s="283" t="n">
        <f aca="false">COUNTIF($C$2:$C$503,"2000")</f>
        <v>0</v>
      </c>
      <c r="Q29" s="283"/>
      <c r="R29" s="283"/>
      <c r="S29" s="315" t="n">
        <f aca="false">P29/P42</f>
        <v>0</v>
      </c>
    </row>
    <row r="30" customFormat="false" ht="12.75" hidden="false" customHeight="true" outlineLevel="0" collapsed="false">
      <c r="A30" s="449" t="n">
        <v>2912</v>
      </c>
      <c r="B30" s="450" t="s">
        <v>17185</v>
      </c>
      <c r="C30" s="450" t="n">
        <v>2007</v>
      </c>
      <c r="D30" s="451" t="n">
        <v>39223</v>
      </c>
      <c r="E30" s="450" t="s">
        <v>17186</v>
      </c>
      <c r="F30" s="450" t="s">
        <v>1277</v>
      </c>
      <c r="G30" s="450" t="s">
        <v>144</v>
      </c>
      <c r="H30" s="450" t="s">
        <v>3493</v>
      </c>
      <c r="I30" s="451" t="n">
        <v>40994</v>
      </c>
      <c r="J30" s="452" t="n">
        <v>3</v>
      </c>
      <c r="K30" s="634" t="s">
        <v>45</v>
      </c>
      <c r="L30" s="452" t="s">
        <v>58</v>
      </c>
      <c r="M30" s="455" t="n">
        <f aca="false">I30-D30</f>
        <v>1771</v>
      </c>
      <c r="N30" s="4"/>
      <c r="O30" s="282" t="n">
        <v>2001</v>
      </c>
      <c r="P30" s="282" t="n">
        <f aca="false">COUNTIF($C$2:$C$503,"2001")</f>
        <v>0</v>
      </c>
      <c r="Q30" s="282"/>
      <c r="R30" s="282"/>
      <c r="S30" s="316" t="n">
        <f aca="false">P30/P42</f>
        <v>0</v>
      </c>
    </row>
    <row r="31" customFormat="false" ht="12.75" hidden="false" customHeight="true" outlineLevel="0" collapsed="false">
      <c r="A31" s="456" t="n">
        <v>3012</v>
      </c>
      <c r="B31" s="458" t="s">
        <v>17187</v>
      </c>
      <c r="C31" s="458" t="n">
        <v>2007</v>
      </c>
      <c r="D31" s="459" t="n">
        <v>39099</v>
      </c>
      <c r="E31" s="458" t="s">
        <v>17188</v>
      </c>
      <c r="F31" s="458" t="s">
        <v>1277</v>
      </c>
      <c r="G31" s="458" t="s">
        <v>144</v>
      </c>
      <c r="H31" s="458" t="s">
        <v>3493</v>
      </c>
      <c r="I31" s="459" t="n">
        <v>40994</v>
      </c>
      <c r="J31" s="460" t="n">
        <v>3</v>
      </c>
      <c r="K31" s="634" t="s">
        <v>45</v>
      </c>
      <c r="L31" s="460" t="s">
        <v>58</v>
      </c>
      <c r="M31" s="463" t="n">
        <f aca="false">I31-D31</f>
        <v>1895</v>
      </c>
      <c r="N31" s="4"/>
      <c r="O31" s="283" t="n">
        <v>2002</v>
      </c>
      <c r="P31" s="283" t="n">
        <f aca="false">COUNTIF($C$2:$C$503,"2002")</f>
        <v>0</v>
      </c>
      <c r="Q31" s="283"/>
      <c r="R31" s="283"/>
      <c r="S31" s="315" t="n">
        <f aca="false">P31/P42</f>
        <v>0</v>
      </c>
    </row>
    <row r="32" customFormat="false" ht="12.75" hidden="false" customHeight="true" outlineLevel="0" collapsed="false">
      <c r="A32" s="449" t="n">
        <v>3112</v>
      </c>
      <c r="B32" s="450" t="s">
        <v>17189</v>
      </c>
      <c r="C32" s="450" t="n">
        <v>2007</v>
      </c>
      <c r="D32" s="451" t="n">
        <v>39099</v>
      </c>
      <c r="E32" s="450" t="s">
        <v>17190</v>
      </c>
      <c r="F32" s="450" t="s">
        <v>1277</v>
      </c>
      <c r="G32" s="450" t="s">
        <v>144</v>
      </c>
      <c r="H32" s="450" t="s">
        <v>3493</v>
      </c>
      <c r="I32" s="451" t="n">
        <v>40994</v>
      </c>
      <c r="J32" s="452" t="n">
        <v>3</v>
      </c>
      <c r="K32" s="634" t="s">
        <v>45</v>
      </c>
      <c r="L32" s="452" t="s">
        <v>58</v>
      </c>
      <c r="M32" s="455" t="n">
        <f aca="false">I32-D32</f>
        <v>1895</v>
      </c>
      <c r="N32" s="4"/>
      <c r="O32" s="282" t="n">
        <v>2003</v>
      </c>
      <c r="P32" s="282" t="n">
        <f aca="false">COUNTIF($C$2:$C$503,"2003")</f>
        <v>0</v>
      </c>
      <c r="Q32" s="282"/>
      <c r="R32" s="282"/>
      <c r="S32" s="316" t="n">
        <f aca="false">P32/P42</f>
        <v>0</v>
      </c>
    </row>
    <row r="33" customFormat="false" ht="12.75" hidden="false" customHeight="true" outlineLevel="0" collapsed="false">
      <c r="A33" s="456" t="n">
        <v>3212</v>
      </c>
      <c r="B33" s="458" t="s">
        <v>17191</v>
      </c>
      <c r="C33" s="458" t="n">
        <v>2008</v>
      </c>
      <c r="D33" s="459" t="n">
        <v>39744</v>
      </c>
      <c r="E33" s="458" t="s">
        <v>17192</v>
      </c>
      <c r="F33" s="458" t="s">
        <v>5401</v>
      </c>
      <c r="G33" s="458" t="s">
        <v>441</v>
      </c>
      <c r="H33" s="458" t="s">
        <v>2677</v>
      </c>
      <c r="I33" s="459" t="n">
        <v>40994</v>
      </c>
      <c r="J33" s="460" t="n">
        <v>3</v>
      </c>
      <c r="K33" s="634" t="s">
        <v>45</v>
      </c>
      <c r="L33" s="460" t="s">
        <v>60</v>
      </c>
      <c r="M33" s="463" t="n">
        <f aca="false">I33-D33</f>
        <v>1250</v>
      </c>
      <c r="N33" s="4"/>
      <c r="O33" s="283" t="n">
        <v>2004</v>
      </c>
      <c r="P33" s="283" t="n">
        <f aca="false">COUNTIF($C$2:$C$503,"2004")</f>
        <v>0</v>
      </c>
      <c r="Q33" s="283"/>
      <c r="R33" s="283"/>
      <c r="S33" s="315" t="n">
        <f aca="false">P33/P42</f>
        <v>0</v>
      </c>
    </row>
    <row r="34" customFormat="false" ht="12.75" hidden="false" customHeight="true" outlineLevel="0" collapsed="false">
      <c r="A34" s="449" t="n">
        <v>3312</v>
      </c>
      <c r="B34" s="450" t="s">
        <v>17193</v>
      </c>
      <c r="C34" s="450" t="n">
        <v>2010</v>
      </c>
      <c r="D34" s="451" t="n">
        <v>40245</v>
      </c>
      <c r="E34" s="450" t="s">
        <v>17194</v>
      </c>
      <c r="F34" s="450" t="s">
        <v>17195</v>
      </c>
      <c r="G34" s="450" t="s">
        <v>441</v>
      </c>
      <c r="H34" s="450" t="s">
        <v>14761</v>
      </c>
      <c r="I34" s="451" t="n">
        <v>40994</v>
      </c>
      <c r="J34" s="452" t="n">
        <v>3</v>
      </c>
      <c r="K34" s="633" t="s">
        <v>47</v>
      </c>
      <c r="L34" s="452" t="s">
        <v>58</v>
      </c>
      <c r="M34" s="455" t="n">
        <f aca="false">I34-D34</f>
        <v>749</v>
      </c>
      <c r="N34" s="4"/>
      <c r="O34" s="282" t="n">
        <v>2005</v>
      </c>
      <c r="P34" s="282" t="n">
        <f aca="false">COUNTIF($C$2:$C$503,"2005")</f>
        <v>1</v>
      </c>
      <c r="Q34" s="282"/>
      <c r="R34" s="282"/>
      <c r="S34" s="316" t="n">
        <f aca="false">P34/P42</f>
        <v>0.00598802395209581</v>
      </c>
    </row>
    <row r="35" customFormat="false" ht="12.75" hidden="false" customHeight="true" outlineLevel="0" collapsed="false">
      <c r="A35" s="456" t="n">
        <v>3412</v>
      </c>
      <c r="B35" s="458" t="s">
        <v>17196</v>
      </c>
      <c r="C35" s="458" t="n">
        <v>2010</v>
      </c>
      <c r="D35" s="459" t="n">
        <v>40245</v>
      </c>
      <c r="E35" s="458" t="s">
        <v>17197</v>
      </c>
      <c r="F35" s="458" t="s">
        <v>17195</v>
      </c>
      <c r="G35" s="458" t="s">
        <v>441</v>
      </c>
      <c r="H35" s="458" t="s">
        <v>14761</v>
      </c>
      <c r="I35" s="459" t="n">
        <v>40994</v>
      </c>
      <c r="J35" s="460" t="n">
        <v>3</v>
      </c>
      <c r="K35" s="633" t="s">
        <v>47</v>
      </c>
      <c r="L35" s="460" t="s">
        <v>58</v>
      </c>
      <c r="M35" s="463" t="n">
        <f aca="false">I35-D35</f>
        <v>749</v>
      </c>
      <c r="N35" s="4"/>
      <c r="O35" s="283" t="n">
        <v>2006</v>
      </c>
      <c r="P35" s="283" t="n">
        <f aca="false">COUNTIF($C$2:$C$503,"2006")</f>
        <v>1</v>
      </c>
      <c r="Q35" s="283"/>
      <c r="R35" s="283"/>
      <c r="S35" s="315" t="n">
        <f aca="false">P35/P42</f>
        <v>0.00598802395209581</v>
      </c>
    </row>
    <row r="36" customFormat="false" ht="12.75" hidden="false" customHeight="true" outlineLevel="0" collapsed="false">
      <c r="A36" s="449" t="n">
        <v>3512</v>
      </c>
      <c r="B36" s="450" t="s">
        <v>17198</v>
      </c>
      <c r="C36" s="450" t="n">
        <v>2007</v>
      </c>
      <c r="D36" s="451" t="n">
        <v>39223</v>
      </c>
      <c r="E36" s="450" t="s">
        <v>17199</v>
      </c>
      <c r="F36" s="450" t="s">
        <v>1277</v>
      </c>
      <c r="G36" s="450" t="s">
        <v>144</v>
      </c>
      <c r="H36" s="450" t="s">
        <v>3493</v>
      </c>
      <c r="I36" s="451" t="n">
        <v>40994</v>
      </c>
      <c r="J36" s="452" t="n">
        <v>3</v>
      </c>
      <c r="K36" s="634" t="s">
        <v>45</v>
      </c>
      <c r="L36" s="452" t="s">
        <v>58</v>
      </c>
      <c r="M36" s="455" t="n">
        <f aca="false">I36-D36</f>
        <v>1771</v>
      </c>
      <c r="N36" s="4"/>
      <c r="O36" s="282" t="n">
        <v>2007</v>
      </c>
      <c r="P36" s="282" t="n">
        <f aca="false">COUNTIF($C$2:$C$503,"2007")</f>
        <v>13</v>
      </c>
      <c r="Q36" s="282"/>
      <c r="R36" s="282"/>
      <c r="S36" s="316" t="n">
        <f aca="false">(P36/P42)</f>
        <v>0.0778443113772455</v>
      </c>
    </row>
    <row r="37" customFormat="false" ht="12.75" hidden="false" customHeight="true" outlineLevel="0" collapsed="false">
      <c r="A37" s="456" t="n">
        <v>3612</v>
      </c>
      <c r="B37" s="458" t="s">
        <v>17200</v>
      </c>
      <c r="C37" s="458" t="n">
        <v>2009</v>
      </c>
      <c r="D37" s="459" t="n">
        <v>40000</v>
      </c>
      <c r="E37" s="458" t="s">
        <v>17201</v>
      </c>
      <c r="F37" s="458" t="s">
        <v>699</v>
      </c>
      <c r="G37" s="458" t="s">
        <v>1174</v>
      </c>
      <c r="H37" s="458" t="s">
        <v>15992</v>
      </c>
      <c r="I37" s="459" t="n">
        <v>40994</v>
      </c>
      <c r="J37" s="460" t="n">
        <v>3</v>
      </c>
      <c r="K37" s="631" t="s">
        <v>42</v>
      </c>
      <c r="L37" s="460" t="s">
        <v>60</v>
      </c>
      <c r="M37" s="463" t="n">
        <f aca="false">I37-D37</f>
        <v>994</v>
      </c>
      <c r="N37" s="4"/>
      <c r="O37" s="283" t="n">
        <v>2008</v>
      </c>
      <c r="P37" s="283" t="n">
        <f aca="false">COUNTIF($C$2:$C$503,"2008")</f>
        <v>31</v>
      </c>
      <c r="Q37" s="283"/>
      <c r="R37" s="283"/>
      <c r="S37" s="315" t="n">
        <f aca="false">(P37/P42)</f>
        <v>0.18562874251497</v>
      </c>
    </row>
    <row r="38" customFormat="false" ht="12.75" hidden="false" customHeight="true" outlineLevel="0" collapsed="false">
      <c r="A38" s="449" t="n">
        <v>3712</v>
      </c>
      <c r="B38" s="450" t="s">
        <v>17202</v>
      </c>
      <c r="C38" s="450" t="n">
        <v>2010</v>
      </c>
      <c r="D38" s="451" t="n">
        <v>40239</v>
      </c>
      <c r="E38" s="450" t="s">
        <v>17203</v>
      </c>
      <c r="F38" s="450" t="s">
        <v>5401</v>
      </c>
      <c r="G38" s="450" t="s">
        <v>1174</v>
      </c>
      <c r="H38" s="450" t="s">
        <v>1266</v>
      </c>
      <c r="I38" s="451" t="n">
        <v>40998</v>
      </c>
      <c r="J38" s="452" t="n">
        <v>3</v>
      </c>
      <c r="K38" s="633" t="s">
        <v>47</v>
      </c>
      <c r="L38" s="452" t="s">
        <v>60</v>
      </c>
      <c r="M38" s="455" t="n">
        <f aca="false">I38-D38</f>
        <v>759</v>
      </c>
      <c r="N38" s="4"/>
      <c r="O38" s="282" t="n">
        <v>2009</v>
      </c>
      <c r="P38" s="282" t="n">
        <f aca="false">COUNTIF($C$2:$C$503,"2009")</f>
        <v>59</v>
      </c>
      <c r="Q38" s="282"/>
      <c r="R38" s="282"/>
      <c r="S38" s="316" t="n">
        <f aca="false">(P38/P42)</f>
        <v>0.353293413173653</v>
      </c>
    </row>
    <row r="39" customFormat="false" ht="12.75" hidden="false" customHeight="true" outlineLevel="0" collapsed="false">
      <c r="A39" s="456" t="n">
        <v>3812</v>
      </c>
      <c r="B39" s="458" t="s">
        <v>17204</v>
      </c>
      <c r="C39" s="458" t="n">
        <v>2010</v>
      </c>
      <c r="D39" s="459" t="n">
        <v>40389</v>
      </c>
      <c r="E39" s="458" t="s">
        <v>17205</v>
      </c>
      <c r="F39" s="458" t="s">
        <v>699</v>
      </c>
      <c r="G39" s="458" t="s">
        <v>441</v>
      </c>
      <c r="H39" s="458" t="s">
        <v>706</v>
      </c>
      <c r="I39" s="459" t="n">
        <v>41001</v>
      </c>
      <c r="J39" s="460" t="n">
        <v>4</v>
      </c>
      <c r="K39" s="634" t="s">
        <v>45</v>
      </c>
      <c r="L39" s="460" t="s">
        <v>60</v>
      </c>
      <c r="M39" s="463" t="n">
        <f aca="false">I39-D39</f>
        <v>612</v>
      </c>
      <c r="N39" s="4"/>
      <c r="O39" s="283" t="n">
        <v>2010</v>
      </c>
      <c r="P39" s="283" t="n">
        <f aca="false">COUNTIF($C$2:$C$503,"2010")</f>
        <v>38</v>
      </c>
      <c r="Q39" s="283"/>
      <c r="R39" s="283"/>
      <c r="S39" s="315" t="n">
        <f aca="false">(P39/P42)</f>
        <v>0.227544910179641</v>
      </c>
    </row>
    <row r="40" customFormat="false" ht="14.25" hidden="false" customHeight="true" outlineLevel="0" collapsed="false">
      <c r="A40" s="449" t="n">
        <v>3912</v>
      </c>
      <c r="B40" s="450" t="s">
        <v>17206</v>
      </c>
      <c r="C40" s="450" t="n">
        <v>2010</v>
      </c>
      <c r="D40" s="451" t="n">
        <v>40206</v>
      </c>
      <c r="E40" s="450" t="s">
        <v>17207</v>
      </c>
      <c r="F40" s="450" t="s">
        <v>823</v>
      </c>
      <c r="G40" s="450" t="s">
        <v>1174</v>
      </c>
      <c r="H40" s="450" t="s">
        <v>1059</v>
      </c>
      <c r="I40" s="451" t="n">
        <v>41001</v>
      </c>
      <c r="J40" s="452" t="n">
        <v>4</v>
      </c>
      <c r="K40" s="633" t="s">
        <v>47</v>
      </c>
      <c r="L40" s="452" t="s">
        <v>58</v>
      </c>
      <c r="M40" s="455" t="n">
        <f aca="false">I40-D40</f>
        <v>795</v>
      </c>
      <c r="N40" s="4"/>
      <c r="O40" s="282" t="n">
        <v>2011</v>
      </c>
      <c r="P40" s="282" t="n">
        <f aca="false">COUNTIF($C$2:$C$503,"2011")</f>
        <v>19</v>
      </c>
      <c r="Q40" s="282"/>
      <c r="R40" s="282"/>
      <c r="S40" s="316" t="n">
        <f aca="false">(P40/P42)</f>
        <v>0.11377245508982</v>
      </c>
    </row>
    <row r="41" customFormat="false" ht="14.25" hidden="false" customHeight="true" outlineLevel="0" collapsed="false">
      <c r="A41" s="456" t="n">
        <v>4012</v>
      </c>
      <c r="B41" s="458" t="s">
        <v>17208</v>
      </c>
      <c r="C41" s="458" t="n">
        <v>2010</v>
      </c>
      <c r="D41" s="459" t="n">
        <v>40375</v>
      </c>
      <c r="E41" s="458" t="s">
        <v>17209</v>
      </c>
      <c r="F41" s="458" t="s">
        <v>699</v>
      </c>
      <c r="G41" s="458" t="s">
        <v>441</v>
      </c>
      <c r="H41" s="458" t="s">
        <v>706</v>
      </c>
      <c r="I41" s="459" t="n">
        <v>41002</v>
      </c>
      <c r="J41" s="460" t="n">
        <v>4</v>
      </c>
      <c r="K41" s="634" t="s">
        <v>45</v>
      </c>
      <c r="L41" s="460" t="s">
        <v>60</v>
      </c>
      <c r="M41" s="463" t="n">
        <f aca="false">I41-D41</f>
        <v>627</v>
      </c>
      <c r="N41" s="4"/>
      <c r="O41" s="283" t="n">
        <v>2012</v>
      </c>
      <c r="P41" s="283" t="n">
        <f aca="false">COUNTIF($C$2:$C$503,"2012")</f>
        <v>5</v>
      </c>
      <c r="Q41" s="283"/>
      <c r="R41" s="283"/>
      <c r="S41" s="315" t="n">
        <f aca="false">(P41/P42)</f>
        <v>0.029940119760479</v>
      </c>
    </row>
    <row r="42" customFormat="false" ht="12.75" hidden="false" customHeight="true" outlineLevel="0" collapsed="false">
      <c r="A42" s="449" t="n">
        <v>4112</v>
      </c>
      <c r="B42" s="450" t="s">
        <v>17210</v>
      </c>
      <c r="C42" s="450" t="n">
        <v>2009</v>
      </c>
      <c r="D42" s="451" t="n">
        <v>40175</v>
      </c>
      <c r="E42" s="450" t="s">
        <v>17211</v>
      </c>
      <c r="F42" s="450" t="s">
        <v>13523</v>
      </c>
      <c r="G42" s="450" t="s">
        <v>441</v>
      </c>
      <c r="H42" s="450" t="s">
        <v>1109</v>
      </c>
      <c r="I42" s="451" t="n">
        <v>41002</v>
      </c>
      <c r="J42" s="452" t="n">
        <v>4</v>
      </c>
      <c r="K42" s="634" t="s">
        <v>45</v>
      </c>
      <c r="L42" s="452" t="s">
        <v>60</v>
      </c>
      <c r="M42" s="455" t="n">
        <f aca="false">I42-D42</f>
        <v>827</v>
      </c>
      <c r="N42" s="4"/>
      <c r="O42" s="323" t="s">
        <v>56</v>
      </c>
      <c r="P42" s="418" t="n">
        <f aca="false">SUM(P29:R41)</f>
        <v>167</v>
      </c>
      <c r="Q42" s="418"/>
      <c r="R42" s="418"/>
      <c r="S42" s="325" t="n">
        <f aca="false">SUM(S29:S41)</f>
        <v>1</v>
      </c>
    </row>
    <row r="43" customFormat="false" ht="12.75" hidden="false" customHeight="true" outlineLevel="0" collapsed="false">
      <c r="A43" s="456" t="n">
        <v>4212</v>
      </c>
      <c r="B43" s="458" t="s">
        <v>17212</v>
      </c>
      <c r="C43" s="458" t="n">
        <v>2010</v>
      </c>
      <c r="D43" s="459" t="n">
        <v>40325</v>
      </c>
      <c r="E43" s="458" t="s">
        <v>17213</v>
      </c>
      <c r="F43" s="625" t="s">
        <v>6303</v>
      </c>
      <c r="G43" s="458" t="s">
        <v>125</v>
      </c>
      <c r="H43" s="458" t="s">
        <v>3472</v>
      </c>
      <c r="I43" s="459" t="n">
        <v>41009</v>
      </c>
      <c r="J43" s="460" t="n">
        <v>4</v>
      </c>
      <c r="K43" s="632" t="s">
        <v>50</v>
      </c>
      <c r="L43" s="460" t="s">
        <v>61</v>
      </c>
      <c r="M43" s="463" t="n">
        <f aca="false">I43-D43</f>
        <v>684</v>
      </c>
      <c r="N43" s="4"/>
      <c r="O43" s="153"/>
      <c r="P43" s="153"/>
      <c r="Q43" s="153"/>
      <c r="R43" s="153"/>
      <c r="S43" s="153"/>
    </row>
    <row r="44" customFormat="false" ht="13.5" hidden="false" customHeight="true" outlineLevel="0" collapsed="false">
      <c r="A44" s="449" t="n">
        <v>4312</v>
      </c>
      <c r="B44" s="450" t="s">
        <v>17214</v>
      </c>
      <c r="C44" s="450" t="n">
        <v>2008</v>
      </c>
      <c r="D44" s="451" t="n">
        <v>39785</v>
      </c>
      <c r="E44" s="450" t="s">
        <v>17215</v>
      </c>
      <c r="F44" s="450" t="s">
        <v>569</v>
      </c>
      <c r="G44" s="450" t="s">
        <v>1174</v>
      </c>
      <c r="H44" s="450" t="s">
        <v>350</v>
      </c>
      <c r="I44" s="451" t="n">
        <v>41009</v>
      </c>
      <c r="J44" s="452" t="n">
        <v>4</v>
      </c>
      <c r="K44" s="632" t="s">
        <v>50</v>
      </c>
      <c r="L44" s="452" t="s">
        <v>58</v>
      </c>
      <c r="M44" s="455" t="n">
        <f aca="false">I44-D44</f>
        <v>1224</v>
      </c>
      <c r="N44" s="4"/>
      <c r="O44" s="326" t="s">
        <v>272</v>
      </c>
      <c r="P44" s="326"/>
      <c r="Q44" s="326"/>
      <c r="R44" s="326"/>
      <c r="S44" s="326"/>
    </row>
    <row r="45" customFormat="false" ht="13.5" hidden="false" customHeight="true" outlineLevel="0" collapsed="false">
      <c r="A45" s="456" t="n">
        <v>4412</v>
      </c>
      <c r="B45" s="458" t="s">
        <v>17216</v>
      </c>
      <c r="C45" s="458" t="n">
        <v>2007</v>
      </c>
      <c r="D45" s="459" t="n">
        <v>39331</v>
      </c>
      <c r="E45" s="458" t="s">
        <v>17217</v>
      </c>
      <c r="F45" s="458" t="s">
        <v>1196</v>
      </c>
      <c r="G45" s="458" t="s">
        <v>441</v>
      </c>
      <c r="H45" s="458" t="s">
        <v>2283</v>
      </c>
      <c r="I45" s="459" t="n">
        <v>41011</v>
      </c>
      <c r="J45" s="460" t="n">
        <v>4</v>
      </c>
      <c r="K45" s="634" t="s">
        <v>45</v>
      </c>
      <c r="L45" s="460" t="s">
        <v>60</v>
      </c>
      <c r="M45" s="463" t="n">
        <f aca="false">I45-D45</f>
        <v>1680</v>
      </c>
      <c r="N45" s="4"/>
      <c r="O45" s="326"/>
      <c r="P45" s="326"/>
      <c r="Q45" s="326"/>
      <c r="R45" s="326"/>
      <c r="S45" s="326"/>
    </row>
    <row r="46" customFormat="false" ht="12.75" hidden="false" customHeight="true" outlineLevel="0" collapsed="false">
      <c r="A46" s="449" t="n">
        <v>4512</v>
      </c>
      <c r="B46" s="450" t="s">
        <v>17218</v>
      </c>
      <c r="C46" s="450" t="n">
        <v>2009</v>
      </c>
      <c r="D46" s="451" t="n">
        <v>40022</v>
      </c>
      <c r="E46" s="450" t="s">
        <v>17219</v>
      </c>
      <c r="F46" s="450" t="s">
        <v>569</v>
      </c>
      <c r="G46" s="450" t="s">
        <v>1174</v>
      </c>
      <c r="H46" s="450" t="s">
        <v>6480</v>
      </c>
      <c r="I46" s="451" t="n">
        <v>41011</v>
      </c>
      <c r="J46" s="452" t="n">
        <v>4</v>
      </c>
      <c r="K46" s="633" t="s">
        <v>47</v>
      </c>
      <c r="L46" s="452" t="s">
        <v>58</v>
      </c>
      <c r="M46" s="455" t="n">
        <f aca="false">I46-D46</f>
        <v>989</v>
      </c>
      <c r="N46" s="4"/>
      <c r="O46" s="309" t="s">
        <v>100</v>
      </c>
      <c r="P46" s="416" t="s">
        <v>40</v>
      </c>
      <c r="Q46" s="416"/>
      <c r="R46" s="416"/>
      <c r="S46" s="313" t="s">
        <v>41</v>
      </c>
    </row>
    <row r="47" customFormat="false" ht="12.75" hidden="false" customHeight="true" outlineLevel="0" collapsed="false">
      <c r="A47" s="456" t="n">
        <v>4612</v>
      </c>
      <c r="B47" s="458" t="s">
        <v>17220</v>
      </c>
      <c r="C47" s="458" t="n">
        <v>2009</v>
      </c>
      <c r="D47" s="459" t="n">
        <v>39987</v>
      </c>
      <c r="E47" s="458" t="s">
        <v>17221</v>
      </c>
      <c r="F47" s="458" t="s">
        <v>569</v>
      </c>
      <c r="G47" s="458" t="s">
        <v>1174</v>
      </c>
      <c r="H47" s="458" t="s">
        <v>3240</v>
      </c>
      <c r="I47" s="459" t="n">
        <v>41011</v>
      </c>
      <c r="J47" s="460" t="n">
        <v>4</v>
      </c>
      <c r="K47" s="633" t="s">
        <v>47</v>
      </c>
      <c r="L47" s="460" t="s">
        <v>58</v>
      </c>
      <c r="M47" s="463" t="n">
        <f aca="false">I47-D47</f>
        <v>1024</v>
      </c>
      <c r="N47" s="4"/>
      <c r="O47" s="314" t="s">
        <v>63</v>
      </c>
      <c r="P47" s="314" t="n">
        <f aca="false">COUNTIF($J$2:$J$476,"1")</f>
        <v>10</v>
      </c>
      <c r="Q47" s="314"/>
      <c r="R47" s="314"/>
      <c r="S47" s="469" t="n">
        <f aca="false">(P47/P59)</f>
        <v>0.0595238095238095</v>
      </c>
    </row>
    <row r="48" customFormat="false" ht="12.75" hidden="false" customHeight="true" outlineLevel="0" collapsed="false">
      <c r="A48" s="449" t="n">
        <v>4712</v>
      </c>
      <c r="B48" s="450" t="s">
        <v>17222</v>
      </c>
      <c r="C48" s="450" t="n">
        <v>2011</v>
      </c>
      <c r="D48" s="451" t="n">
        <v>40785</v>
      </c>
      <c r="E48" s="450" t="s">
        <v>17223</v>
      </c>
      <c r="F48" s="624" t="s">
        <v>17224</v>
      </c>
      <c r="G48" s="450" t="s">
        <v>130</v>
      </c>
      <c r="H48" s="450" t="s">
        <v>17225</v>
      </c>
      <c r="I48" s="451" t="n">
        <v>41017</v>
      </c>
      <c r="J48" s="452" t="n">
        <v>4</v>
      </c>
      <c r="K48" s="632" t="s">
        <v>50</v>
      </c>
      <c r="L48" s="452" t="s">
        <v>61</v>
      </c>
      <c r="M48" s="455" t="n">
        <f aca="false">I48-D48</f>
        <v>232</v>
      </c>
      <c r="N48" s="4"/>
      <c r="O48" s="282" t="s">
        <v>64</v>
      </c>
      <c r="P48" s="282" t="n">
        <f aca="false">COUNTIF($J$2:$J$476,"2")</f>
        <v>11</v>
      </c>
      <c r="Q48" s="282"/>
      <c r="R48" s="282"/>
      <c r="S48" s="316" t="n">
        <f aca="false">(P48/P59)</f>
        <v>0.0654761904761905</v>
      </c>
    </row>
    <row r="49" customFormat="false" ht="12.75" hidden="false" customHeight="true" outlineLevel="0" collapsed="false">
      <c r="A49" s="456" t="n">
        <v>4812</v>
      </c>
      <c r="B49" s="458" t="s">
        <v>17226</v>
      </c>
      <c r="C49" s="458" t="n">
        <v>2008</v>
      </c>
      <c r="D49" s="459" t="n">
        <v>39503</v>
      </c>
      <c r="E49" s="458" t="s">
        <v>17227</v>
      </c>
      <c r="F49" s="458" t="s">
        <v>17228</v>
      </c>
      <c r="G49" s="458" t="s">
        <v>441</v>
      </c>
      <c r="H49" s="458" t="s">
        <v>1791</v>
      </c>
      <c r="I49" s="459" t="n">
        <v>41018</v>
      </c>
      <c r="J49" s="460" t="n">
        <v>4</v>
      </c>
      <c r="K49" s="631" t="s">
        <v>42</v>
      </c>
      <c r="L49" s="460" t="s">
        <v>58</v>
      </c>
      <c r="M49" s="463" t="n">
        <f aca="false">I49-D49</f>
        <v>1515</v>
      </c>
      <c r="N49" s="4"/>
      <c r="O49" s="283" t="s">
        <v>66</v>
      </c>
      <c r="P49" s="283" t="n">
        <f aca="false">COUNTIF($J$2:$J$476,"3")</f>
        <v>16</v>
      </c>
      <c r="Q49" s="283"/>
      <c r="R49" s="283"/>
      <c r="S49" s="315" t="n">
        <f aca="false">(P49/P59)</f>
        <v>0.0952380952380952</v>
      </c>
      <c r="T49" s="153"/>
    </row>
    <row r="50" customFormat="false" ht="12.75" hidden="false" customHeight="true" outlineLevel="0" collapsed="false">
      <c r="A50" s="449" t="n">
        <v>4912</v>
      </c>
      <c r="B50" s="450" t="s">
        <v>17229</v>
      </c>
      <c r="C50" s="450" t="n">
        <v>2008</v>
      </c>
      <c r="D50" s="451" t="n">
        <v>39469</v>
      </c>
      <c r="E50" s="450" t="s">
        <v>17230</v>
      </c>
      <c r="F50" s="450" t="s">
        <v>17228</v>
      </c>
      <c r="G50" s="450" t="s">
        <v>441</v>
      </c>
      <c r="H50" s="450" t="s">
        <v>1791</v>
      </c>
      <c r="I50" s="451" t="n">
        <v>41025</v>
      </c>
      <c r="J50" s="452" t="n">
        <v>4</v>
      </c>
      <c r="K50" s="631" t="s">
        <v>42</v>
      </c>
      <c r="L50" s="452" t="s">
        <v>58</v>
      </c>
      <c r="M50" s="455" t="n">
        <f aca="false">I50-D50</f>
        <v>1556</v>
      </c>
      <c r="N50" s="4"/>
      <c r="O50" s="282" t="s">
        <v>67</v>
      </c>
      <c r="P50" s="282" t="n">
        <f aca="false">COUNTIF($J$2:$J$476,"4")</f>
        <v>20</v>
      </c>
      <c r="Q50" s="282"/>
      <c r="R50" s="282"/>
      <c r="S50" s="316" t="n">
        <f aca="false">(P50/P59)</f>
        <v>0.119047619047619</v>
      </c>
      <c r="T50" s="153"/>
    </row>
    <row r="51" customFormat="false" ht="12.75" hidden="false" customHeight="true" outlineLevel="0" collapsed="false">
      <c r="A51" s="456" t="n">
        <v>5012</v>
      </c>
      <c r="B51" s="458" t="s">
        <v>17231</v>
      </c>
      <c r="C51" s="458" t="n">
        <v>2009</v>
      </c>
      <c r="D51" s="459" t="n">
        <v>39895</v>
      </c>
      <c r="E51" s="458" t="s">
        <v>17232</v>
      </c>
      <c r="F51" s="458" t="s">
        <v>4956</v>
      </c>
      <c r="G51" s="458" t="s">
        <v>1174</v>
      </c>
      <c r="H51" s="458" t="s">
        <v>350</v>
      </c>
      <c r="I51" s="459" t="n">
        <v>41026</v>
      </c>
      <c r="J51" s="460" t="n">
        <v>4</v>
      </c>
      <c r="K51" s="633" t="s">
        <v>47</v>
      </c>
      <c r="L51" s="460" t="s">
        <v>58</v>
      </c>
      <c r="M51" s="463" t="n">
        <f aca="false">I51-D51</f>
        <v>1131</v>
      </c>
      <c r="N51" s="4"/>
      <c r="O51" s="283" t="s">
        <v>68</v>
      </c>
      <c r="P51" s="283" t="n">
        <f aca="false">COUNTIF($J$2:$J$476,"5")</f>
        <v>17</v>
      </c>
      <c r="Q51" s="283"/>
      <c r="R51" s="283"/>
      <c r="S51" s="315" t="n">
        <f aca="false">(P51/P59)</f>
        <v>0.101190476190476</v>
      </c>
      <c r="T51" s="153"/>
    </row>
    <row r="52" customFormat="false" ht="12.75" hidden="false" customHeight="true" outlineLevel="0" collapsed="false">
      <c r="A52" s="449" t="n">
        <v>5112</v>
      </c>
      <c r="B52" s="450" t="s">
        <v>17220</v>
      </c>
      <c r="C52" s="450" t="n">
        <v>2009</v>
      </c>
      <c r="D52" s="451" t="n">
        <v>39986</v>
      </c>
      <c r="E52" s="450" t="s">
        <v>17233</v>
      </c>
      <c r="F52" s="450" t="s">
        <v>4956</v>
      </c>
      <c r="G52" s="450" t="s">
        <v>1174</v>
      </c>
      <c r="H52" s="450" t="s">
        <v>471</v>
      </c>
      <c r="I52" s="451" t="n">
        <v>41026</v>
      </c>
      <c r="J52" s="452" t="n">
        <v>4</v>
      </c>
      <c r="K52" s="633" t="s">
        <v>47</v>
      </c>
      <c r="L52" s="452" t="s">
        <v>58</v>
      </c>
      <c r="M52" s="455" t="n">
        <f aca="false">I52-D52</f>
        <v>1040</v>
      </c>
      <c r="N52" s="4"/>
      <c r="O52" s="282" t="s">
        <v>70</v>
      </c>
      <c r="P52" s="282" t="n">
        <f aca="false">COUNTIF($J$2:$J$476,"6")</f>
        <v>8</v>
      </c>
      <c r="Q52" s="282"/>
      <c r="R52" s="282"/>
      <c r="S52" s="316" t="n">
        <f aca="false">(P52/P59)</f>
        <v>0.0476190476190476</v>
      </c>
      <c r="T52" s="153"/>
    </row>
    <row r="53" customFormat="false" ht="12.75" hidden="false" customHeight="true" outlineLevel="0" collapsed="false">
      <c r="A53" s="456" t="n">
        <v>5212</v>
      </c>
      <c r="B53" s="458" t="s">
        <v>17234</v>
      </c>
      <c r="C53" s="458" t="n">
        <v>2009</v>
      </c>
      <c r="D53" s="459" t="n">
        <v>39862</v>
      </c>
      <c r="E53" s="458" t="s">
        <v>17235</v>
      </c>
      <c r="F53" s="458" t="s">
        <v>365</v>
      </c>
      <c r="G53" s="458" t="s">
        <v>441</v>
      </c>
      <c r="H53" s="458" t="s">
        <v>350</v>
      </c>
      <c r="I53" s="459" t="n">
        <v>41026</v>
      </c>
      <c r="J53" s="460" t="n">
        <v>4</v>
      </c>
      <c r="K53" s="634" t="s">
        <v>45</v>
      </c>
      <c r="L53" s="460" t="s">
        <v>60</v>
      </c>
      <c r="M53" s="463" t="n">
        <f aca="false">I53-D53</f>
        <v>1164</v>
      </c>
      <c r="N53" s="4"/>
      <c r="O53" s="283" t="s">
        <v>72</v>
      </c>
      <c r="P53" s="283" t="n">
        <f aca="false">COUNTIF($J$2:$J$476,"7")</f>
        <v>14</v>
      </c>
      <c r="Q53" s="283"/>
      <c r="R53" s="283"/>
      <c r="S53" s="315" t="n">
        <f aca="false">(P53/P59)</f>
        <v>0.0833333333333333</v>
      </c>
      <c r="T53" s="153"/>
    </row>
    <row r="54" customFormat="false" ht="12.75" hidden="false" customHeight="true" outlineLevel="0" collapsed="false">
      <c r="A54" s="449" t="n">
        <v>5312</v>
      </c>
      <c r="B54" s="450" t="s">
        <v>17236</v>
      </c>
      <c r="C54" s="450" t="n">
        <v>2009</v>
      </c>
      <c r="D54" s="451" t="n">
        <v>39825</v>
      </c>
      <c r="E54" s="450" t="s">
        <v>17237</v>
      </c>
      <c r="F54" s="450" t="s">
        <v>8232</v>
      </c>
      <c r="G54" s="450" t="s">
        <v>441</v>
      </c>
      <c r="H54" s="450" t="s">
        <v>6480</v>
      </c>
      <c r="I54" s="451" t="n">
        <v>41029</v>
      </c>
      <c r="J54" s="452" t="n">
        <v>4</v>
      </c>
      <c r="K54" s="634" t="s">
        <v>45</v>
      </c>
      <c r="L54" s="452" t="s">
        <v>60</v>
      </c>
      <c r="M54" s="455" t="n">
        <f aca="false">I54-D54</f>
        <v>1204</v>
      </c>
      <c r="N54" s="4"/>
      <c r="O54" s="282" t="s">
        <v>74</v>
      </c>
      <c r="P54" s="282" t="n">
        <f aca="false">COUNTIF($J$2:$J$476,"8")</f>
        <v>20</v>
      </c>
      <c r="Q54" s="282"/>
      <c r="R54" s="282"/>
      <c r="S54" s="316" t="n">
        <f aca="false">(P54/P59)</f>
        <v>0.119047619047619</v>
      </c>
      <c r="T54" s="153"/>
    </row>
    <row r="55" customFormat="false" ht="12.75" hidden="false" customHeight="true" outlineLevel="0" collapsed="false">
      <c r="A55" s="456" t="n">
        <v>5412</v>
      </c>
      <c r="B55" s="458" t="s">
        <v>17238</v>
      </c>
      <c r="C55" s="458" t="n">
        <v>2009</v>
      </c>
      <c r="D55" s="459" t="n">
        <v>39883</v>
      </c>
      <c r="E55" s="458" t="s">
        <v>17239</v>
      </c>
      <c r="F55" s="458" t="s">
        <v>3844</v>
      </c>
      <c r="G55" s="458" t="s">
        <v>1174</v>
      </c>
      <c r="H55" s="458" t="s">
        <v>184</v>
      </c>
      <c r="I55" s="459" t="n">
        <v>41029</v>
      </c>
      <c r="J55" s="460" t="n">
        <v>4</v>
      </c>
      <c r="K55" s="633" t="s">
        <v>47</v>
      </c>
      <c r="L55" s="460" t="s">
        <v>58</v>
      </c>
      <c r="M55" s="463" t="n">
        <f aca="false">I55-D55</f>
        <v>1146</v>
      </c>
      <c r="N55" s="4"/>
      <c r="O55" s="283" t="s">
        <v>76</v>
      </c>
      <c r="P55" s="283" t="n">
        <f aca="false">COUNTIF($J$2:$J$476,"9")</f>
        <v>11</v>
      </c>
      <c r="Q55" s="283"/>
      <c r="R55" s="283"/>
      <c r="S55" s="315" t="n">
        <f aca="false">(P55/P59)</f>
        <v>0.0654761904761905</v>
      </c>
      <c r="T55" s="153"/>
    </row>
    <row r="56" customFormat="false" ht="12.75" hidden="false" customHeight="true" outlineLevel="0" collapsed="false">
      <c r="A56" s="449" t="n">
        <v>5512</v>
      </c>
      <c r="B56" s="450" t="s">
        <v>17240</v>
      </c>
      <c r="C56" s="450" t="n">
        <v>2009</v>
      </c>
      <c r="D56" s="451" t="n">
        <v>39892</v>
      </c>
      <c r="E56" s="450" t="s">
        <v>17241</v>
      </c>
      <c r="F56" s="450" t="s">
        <v>3844</v>
      </c>
      <c r="G56" s="450" t="s">
        <v>1174</v>
      </c>
      <c r="H56" s="450" t="s">
        <v>1266</v>
      </c>
      <c r="I56" s="451" t="n">
        <v>41029</v>
      </c>
      <c r="J56" s="452" t="n">
        <v>4</v>
      </c>
      <c r="K56" s="633" t="s">
        <v>47</v>
      </c>
      <c r="L56" s="452" t="s">
        <v>58</v>
      </c>
      <c r="M56" s="455" t="n">
        <f aca="false">I56-D56</f>
        <v>1137</v>
      </c>
      <c r="N56" s="4"/>
      <c r="O56" s="282" t="s">
        <v>78</v>
      </c>
      <c r="P56" s="282" t="n">
        <f aca="false">COUNTIF($J$2:$J$476,"10")</f>
        <v>9</v>
      </c>
      <c r="Q56" s="282"/>
      <c r="R56" s="282"/>
      <c r="S56" s="316" t="n">
        <f aca="false">(P56/P59)</f>
        <v>0.0535714285714286</v>
      </c>
      <c r="T56" s="153"/>
    </row>
    <row r="57" customFormat="false" ht="12.75" hidden="false" customHeight="true" outlineLevel="0" collapsed="false">
      <c r="A57" s="456" t="n">
        <v>5612</v>
      </c>
      <c r="B57" s="458" t="s">
        <v>17242</v>
      </c>
      <c r="C57" s="458" t="n">
        <v>2009</v>
      </c>
      <c r="D57" s="459" t="n">
        <v>39989</v>
      </c>
      <c r="E57" s="458" t="s">
        <v>17243</v>
      </c>
      <c r="F57" s="458" t="s">
        <v>3844</v>
      </c>
      <c r="G57" s="458" t="s">
        <v>1174</v>
      </c>
      <c r="H57" s="458" t="s">
        <v>6570</v>
      </c>
      <c r="I57" s="459" t="n">
        <v>41029</v>
      </c>
      <c r="J57" s="460" t="n">
        <v>4</v>
      </c>
      <c r="K57" s="633" t="s">
        <v>47</v>
      </c>
      <c r="L57" s="460" t="s">
        <v>58</v>
      </c>
      <c r="M57" s="463" t="n">
        <f aca="false">I57-D57</f>
        <v>1040</v>
      </c>
      <c r="N57" s="4"/>
      <c r="O57" s="283" t="s">
        <v>80</v>
      </c>
      <c r="P57" s="283" t="n">
        <f aca="false">COUNTIF($J$2:$J$476,"11")</f>
        <v>9</v>
      </c>
      <c r="Q57" s="283"/>
      <c r="R57" s="283"/>
      <c r="S57" s="315" t="n">
        <f aca="false">(P57/P59)</f>
        <v>0.0535714285714286</v>
      </c>
      <c r="T57" s="153"/>
    </row>
    <row r="58" customFormat="false" ht="12.75" hidden="false" customHeight="true" outlineLevel="0" collapsed="false">
      <c r="A58" s="449" t="n">
        <v>5712</v>
      </c>
      <c r="B58" s="450" t="s">
        <v>17244</v>
      </c>
      <c r="C58" s="450" t="n">
        <v>2009</v>
      </c>
      <c r="D58" s="451" t="n">
        <v>40226</v>
      </c>
      <c r="E58" s="450" t="s">
        <v>17245</v>
      </c>
      <c r="F58" s="450" t="s">
        <v>699</v>
      </c>
      <c r="G58" s="450" t="s">
        <v>441</v>
      </c>
      <c r="H58" s="450" t="s">
        <v>192</v>
      </c>
      <c r="I58" s="451" t="n">
        <v>41029</v>
      </c>
      <c r="J58" s="452" t="n">
        <v>4</v>
      </c>
      <c r="K58" s="633" t="s">
        <v>47</v>
      </c>
      <c r="L58" s="452" t="s">
        <v>60</v>
      </c>
      <c r="M58" s="455" t="n">
        <f aca="false">I58-D58</f>
        <v>803</v>
      </c>
      <c r="N58" s="4"/>
      <c r="O58" s="336" t="s">
        <v>82</v>
      </c>
      <c r="P58" s="282" t="n">
        <f aca="false">COUNTIF($J$2:$J$476,"12")</f>
        <v>23</v>
      </c>
      <c r="Q58" s="282"/>
      <c r="R58" s="282"/>
      <c r="S58" s="470" t="n">
        <f aca="false">(P58/P59)</f>
        <v>0.136904761904762</v>
      </c>
      <c r="T58" s="153"/>
    </row>
    <row r="59" customFormat="false" ht="12.75" hidden="false" customHeight="true" outlineLevel="0" collapsed="false">
      <c r="A59" s="456" t="n">
        <v>5812</v>
      </c>
      <c r="B59" s="458" t="s">
        <v>17246</v>
      </c>
      <c r="C59" s="458" t="n">
        <v>2009</v>
      </c>
      <c r="D59" s="459" t="n">
        <v>39911</v>
      </c>
      <c r="E59" s="458" t="s">
        <v>17247</v>
      </c>
      <c r="F59" s="458" t="s">
        <v>1277</v>
      </c>
      <c r="G59" s="458" t="s">
        <v>1174</v>
      </c>
      <c r="H59" s="458" t="s">
        <v>706</v>
      </c>
      <c r="I59" s="459" t="n">
        <v>41030</v>
      </c>
      <c r="J59" s="460" t="n">
        <v>5</v>
      </c>
      <c r="K59" s="634" t="s">
        <v>45</v>
      </c>
      <c r="L59" s="460" t="s">
        <v>58</v>
      </c>
      <c r="M59" s="463" t="n">
        <f aca="false">I59-D59</f>
        <v>1119</v>
      </c>
      <c r="N59" s="4"/>
      <c r="O59" s="323" t="s">
        <v>54</v>
      </c>
      <c r="P59" s="418" t="n">
        <f aca="false">SUM(P47:R58)</f>
        <v>168</v>
      </c>
      <c r="Q59" s="418"/>
      <c r="R59" s="418"/>
      <c r="S59" s="325" t="n">
        <f aca="false">SUM(S47:S58)</f>
        <v>1</v>
      </c>
      <c r="T59" s="153"/>
    </row>
    <row r="60" customFormat="false" ht="12.75" hidden="false" customHeight="true" outlineLevel="0" collapsed="false">
      <c r="A60" s="449" t="n">
        <v>5912</v>
      </c>
      <c r="B60" s="450" t="s">
        <v>17248</v>
      </c>
      <c r="C60" s="450" t="n">
        <v>2009</v>
      </c>
      <c r="D60" s="451" t="n">
        <v>39951</v>
      </c>
      <c r="E60" s="450" t="s">
        <v>17249</v>
      </c>
      <c r="F60" s="450" t="s">
        <v>1277</v>
      </c>
      <c r="G60" s="450" t="s">
        <v>1174</v>
      </c>
      <c r="H60" s="450" t="s">
        <v>706</v>
      </c>
      <c r="I60" s="451" t="n">
        <v>41030</v>
      </c>
      <c r="J60" s="452" t="n">
        <v>5</v>
      </c>
      <c r="K60" s="634" t="s">
        <v>45</v>
      </c>
      <c r="L60" s="452" t="s">
        <v>58</v>
      </c>
      <c r="M60" s="455" t="n">
        <f aca="false">I60-D60</f>
        <v>1079</v>
      </c>
      <c r="N60" s="4"/>
      <c r="O60" s="153"/>
      <c r="P60" s="153"/>
      <c r="Q60" s="153"/>
      <c r="R60" s="153"/>
      <c r="S60" s="153"/>
      <c r="T60" s="153"/>
    </row>
    <row r="61" customFormat="false" ht="13.5" hidden="false" customHeight="true" outlineLevel="0" collapsed="false">
      <c r="A61" s="456" t="n">
        <v>6012</v>
      </c>
      <c r="B61" s="458" t="s">
        <v>17250</v>
      </c>
      <c r="C61" s="458" t="n">
        <v>2009</v>
      </c>
      <c r="D61" s="459" t="n">
        <v>39947</v>
      </c>
      <c r="E61" s="458" t="s">
        <v>17251</v>
      </c>
      <c r="F61" s="458" t="s">
        <v>1277</v>
      </c>
      <c r="G61" s="458" t="s">
        <v>1174</v>
      </c>
      <c r="H61" s="458" t="s">
        <v>706</v>
      </c>
      <c r="I61" s="459" t="n">
        <v>41030</v>
      </c>
      <c r="J61" s="460" t="n">
        <v>5</v>
      </c>
      <c r="K61" s="634" t="s">
        <v>45</v>
      </c>
      <c r="L61" s="460" t="s">
        <v>58</v>
      </c>
      <c r="M61" s="463" t="n">
        <f aca="false">I61-D61</f>
        <v>1083</v>
      </c>
      <c r="N61" s="4"/>
      <c r="O61" s="339" t="s">
        <v>335</v>
      </c>
      <c r="P61" s="339"/>
      <c r="Q61" s="339"/>
      <c r="R61" s="339"/>
      <c r="S61" s="339"/>
      <c r="T61" s="339"/>
    </row>
    <row r="62" customFormat="false" ht="12.75" hidden="false" customHeight="true" outlineLevel="0" collapsed="false">
      <c r="A62" s="449" t="n">
        <v>6112</v>
      </c>
      <c r="B62" s="450" t="s">
        <v>17252</v>
      </c>
      <c r="C62" s="450" t="n">
        <v>2010</v>
      </c>
      <c r="D62" s="451" t="n">
        <v>40256</v>
      </c>
      <c r="E62" s="450" t="s">
        <v>17253</v>
      </c>
      <c r="F62" s="450" t="s">
        <v>17254</v>
      </c>
      <c r="G62" s="450" t="s">
        <v>441</v>
      </c>
      <c r="H62" s="450" t="s">
        <v>14761</v>
      </c>
      <c r="I62" s="451" t="n">
        <v>41032</v>
      </c>
      <c r="J62" s="452" t="n">
        <v>5</v>
      </c>
      <c r="K62" s="631" t="s">
        <v>42</v>
      </c>
      <c r="L62" s="452" t="s">
        <v>58</v>
      </c>
      <c r="M62" s="455" t="n">
        <f aca="false">I62-D62</f>
        <v>776</v>
      </c>
      <c r="N62" s="4"/>
      <c r="O62" s="339"/>
      <c r="P62" s="339"/>
      <c r="Q62" s="339"/>
      <c r="R62" s="339"/>
      <c r="S62" s="339"/>
      <c r="T62" s="339"/>
    </row>
    <row r="63" customFormat="false" ht="12.75" hidden="false" customHeight="true" outlineLevel="0" collapsed="false">
      <c r="A63" s="456" t="n">
        <v>6212</v>
      </c>
      <c r="B63" s="458" t="s">
        <v>17255</v>
      </c>
      <c r="C63" s="458" t="n">
        <v>2009</v>
      </c>
      <c r="D63" s="459" t="n">
        <v>40109</v>
      </c>
      <c r="E63" s="458" t="s">
        <v>17256</v>
      </c>
      <c r="F63" s="458" t="s">
        <v>449</v>
      </c>
      <c r="G63" s="458" t="s">
        <v>1174</v>
      </c>
      <c r="H63" s="458" t="s">
        <v>5230</v>
      </c>
      <c r="I63" s="459" t="n">
        <v>41043</v>
      </c>
      <c r="J63" s="460" t="n">
        <v>5</v>
      </c>
      <c r="K63" s="633" t="s">
        <v>47</v>
      </c>
      <c r="L63" s="460" t="s">
        <v>58</v>
      </c>
      <c r="M63" s="463" t="n">
        <f aca="false">I63-D63</f>
        <v>934</v>
      </c>
      <c r="N63" s="4"/>
      <c r="O63" s="340" t="s">
        <v>38</v>
      </c>
      <c r="P63" s="340"/>
      <c r="Q63" s="340"/>
      <c r="R63" s="340"/>
      <c r="S63" s="341" t="s">
        <v>343</v>
      </c>
      <c r="T63" s="342" t="s">
        <v>41</v>
      </c>
    </row>
    <row r="64" customFormat="false" ht="12.75" hidden="false" customHeight="true" outlineLevel="0" collapsed="false">
      <c r="A64" s="449" t="n">
        <v>6312</v>
      </c>
      <c r="B64" s="450" t="s">
        <v>17257</v>
      </c>
      <c r="C64" s="450" t="n">
        <v>2008</v>
      </c>
      <c r="D64" s="451" t="n">
        <v>39554</v>
      </c>
      <c r="E64" s="450" t="s">
        <v>17258</v>
      </c>
      <c r="F64" s="450" t="s">
        <v>705</v>
      </c>
      <c r="G64" s="450" t="s">
        <v>441</v>
      </c>
      <c r="H64" s="450" t="s">
        <v>223</v>
      </c>
      <c r="I64" s="451" t="n">
        <v>41043</v>
      </c>
      <c r="J64" s="452" t="n">
        <v>5</v>
      </c>
      <c r="K64" s="633" t="s">
        <v>47</v>
      </c>
      <c r="L64" s="452" t="s">
        <v>58</v>
      </c>
      <c r="M64" s="455" t="n">
        <f aca="false">I64-D64</f>
        <v>1489</v>
      </c>
      <c r="N64" s="4"/>
      <c r="O64" s="471" t="s">
        <v>42</v>
      </c>
      <c r="P64" s="471"/>
      <c r="Q64" s="471"/>
      <c r="R64" s="471"/>
      <c r="S64" s="471" t="n">
        <f aca="false">COUNTIF($K$2:$K$476,"I - Extremamente tóxico")</f>
        <v>57</v>
      </c>
      <c r="T64" s="472" t="n">
        <f aca="false">(S64/S76)</f>
        <v>0.339285714285714</v>
      </c>
    </row>
    <row r="65" customFormat="false" ht="12.75" hidden="false" customHeight="true" outlineLevel="0" collapsed="false">
      <c r="A65" s="456" t="n">
        <v>6412</v>
      </c>
      <c r="B65" s="458" t="s">
        <v>17259</v>
      </c>
      <c r="C65" s="458" t="n">
        <v>2009</v>
      </c>
      <c r="D65" s="459" t="n">
        <v>39955</v>
      </c>
      <c r="E65" s="458" t="s">
        <v>17260</v>
      </c>
      <c r="F65" s="458" t="s">
        <v>699</v>
      </c>
      <c r="G65" s="458" t="s">
        <v>441</v>
      </c>
      <c r="H65" s="458" t="s">
        <v>706</v>
      </c>
      <c r="I65" s="459" t="n">
        <v>41044</v>
      </c>
      <c r="J65" s="460" t="n">
        <v>5</v>
      </c>
      <c r="K65" s="634" t="s">
        <v>45</v>
      </c>
      <c r="L65" s="460" t="s">
        <v>60</v>
      </c>
      <c r="M65" s="463" t="n">
        <f aca="false">I65-D65</f>
        <v>1089</v>
      </c>
      <c r="N65" s="4"/>
      <c r="O65" s="345" t="s">
        <v>43</v>
      </c>
      <c r="P65" s="345"/>
      <c r="Q65" s="345"/>
      <c r="R65" s="345"/>
      <c r="S65" s="345" t="n">
        <f aca="false">COUNTIF($K$2:$K$476,"Categoria 1 - Produto Extremamente Tóxico")</f>
        <v>0</v>
      </c>
      <c r="T65" s="473" t="n">
        <f aca="false">(S65/S76)</f>
        <v>0</v>
      </c>
    </row>
    <row r="66" customFormat="false" ht="12.75" hidden="false" customHeight="true" outlineLevel="0" collapsed="false">
      <c r="A66" s="449" t="n">
        <v>6512</v>
      </c>
      <c r="B66" s="450" t="s">
        <v>17261</v>
      </c>
      <c r="C66" s="450" t="n">
        <v>2009</v>
      </c>
      <c r="D66" s="451" t="n">
        <v>40169</v>
      </c>
      <c r="E66" s="450" t="s">
        <v>17262</v>
      </c>
      <c r="F66" s="450" t="s">
        <v>365</v>
      </c>
      <c r="G66" s="450" t="s">
        <v>1174</v>
      </c>
      <c r="H66" s="450" t="s">
        <v>14391</v>
      </c>
      <c r="I66" s="451" t="n">
        <v>41045</v>
      </c>
      <c r="J66" s="452" t="n">
        <v>5</v>
      </c>
      <c r="K66" s="634" t="s">
        <v>45</v>
      </c>
      <c r="L66" s="452" t="s">
        <v>60</v>
      </c>
      <c r="M66" s="455" t="n">
        <f aca="false">I66-D66</f>
        <v>876</v>
      </c>
      <c r="N66" s="4"/>
      <c r="O66" s="345" t="s">
        <v>44</v>
      </c>
      <c r="P66" s="345"/>
      <c r="Q66" s="345"/>
      <c r="R66" s="345"/>
      <c r="S66" s="345" t="n">
        <f aca="false">COUNTIF($K$2:$K$476,"Categoria 2 - Produto Altamente Tóxico")</f>
        <v>0</v>
      </c>
      <c r="T66" s="473" t="n">
        <f aca="false">(S66/S76)</f>
        <v>0</v>
      </c>
    </row>
    <row r="67" customFormat="false" ht="12.75" hidden="false" customHeight="true" outlineLevel="0" collapsed="false">
      <c r="A67" s="456" t="n">
        <v>6612</v>
      </c>
      <c r="B67" s="458" t="s">
        <v>17263</v>
      </c>
      <c r="C67" s="458" t="n">
        <v>2009</v>
      </c>
      <c r="D67" s="459" t="n">
        <v>40147</v>
      </c>
      <c r="E67" s="458" t="s">
        <v>17264</v>
      </c>
      <c r="F67" s="458" t="s">
        <v>180</v>
      </c>
      <c r="G67" s="458" t="s">
        <v>1174</v>
      </c>
      <c r="H67" s="458" t="s">
        <v>310</v>
      </c>
      <c r="I67" s="459" t="n">
        <v>41047</v>
      </c>
      <c r="J67" s="460" t="n">
        <v>5</v>
      </c>
      <c r="K67" s="633" t="s">
        <v>47</v>
      </c>
      <c r="L67" s="460" t="s">
        <v>58</v>
      </c>
      <c r="M67" s="463" t="n">
        <f aca="false">I67-D67</f>
        <v>900</v>
      </c>
      <c r="N67" s="4"/>
      <c r="O67" s="349" t="s">
        <v>45</v>
      </c>
      <c r="P67" s="349"/>
      <c r="Q67" s="349"/>
      <c r="R67" s="349"/>
      <c r="S67" s="349" t="n">
        <f aca="false">COUNTIF($K$2:$K$476,"II - Altamente tóxico")</f>
        <v>44</v>
      </c>
      <c r="T67" s="474" t="n">
        <f aca="false">(S67/S76)</f>
        <v>0.261904761904762</v>
      </c>
    </row>
    <row r="68" customFormat="false" ht="12.75" hidden="false" customHeight="true" outlineLevel="0" collapsed="false">
      <c r="A68" s="449" t="n">
        <v>6712</v>
      </c>
      <c r="B68" s="450" t="s">
        <v>17265</v>
      </c>
      <c r="C68" s="450" t="n">
        <v>2010</v>
      </c>
      <c r="D68" s="451" t="n">
        <v>40527</v>
      </c>
      <c r="E68" s="450" t="s">
        <v>17266</v>
      </c>
      <c r="F68" s="450" t="s">
        <v>365</v>
      </c>
      <c r="G68" s="450" t="s">
        <v>1174</v>
      </c>
      <c r="H68" s="450" t="s">
        <v>2147</v>
      </c>
      <c r="I68" s="451" t="n">
        <v>41051</v>
      </c>
      <c r="J68" s="452" t="n">
        <v>5</v>
      </c>
      <c r="K68" s="634" t="s">
        <v>45</v>
      </c>
      <c r="L68" s="452" t="s">
        <v>60</v>
      </c>
      <c r="M68" s="455" t="n">
        <f aca="false">I68-D68</f>
        <v>524</v>
      </c>
      <c r="N68" s="4"/>
      <c r="O68" s="349" t="s">
        <v>46</v>
      </c>
      <c r="P68" s="349"/>
      <c r="Q68" s="349"/>
      <c r="R68" s="349"/>
      <c r="S68" s="349" t="n">
        <f aca="false">COUNTIF($K$2:$K$476,"Categoria 3 - Produto Moderadamente Tóxico")</f>
        <v>0</v>
      </c>
      <c r="T68" s="474" t="n">
        <f aca="false">(S68/S76)</f>
        <v>0</v>
      </c>
    </row>
    <row r="69" customFormat="false" ht="12.75" hidden="false" customHeight="true" outlineLevel="0" collapsed="false">
      <c r="A69" s="456" t="n">
        <v>6812</v>
      </c>
      <c r="B69" s="458" t="s">
        <v>17267</v>
      </c>
      <c r="C69" s="458" t="n">
        <v>2012</v>
      </c>
      <c r="D69" s="459" t="n">
        <v>40914</v>
      </c>
      <c r="E69" s="458" t="s">
        <v>17268</v>
      </c>
      <c r="F69" s="625" t="s">
        <v>4087</v>
      </c>
      <c r="G69" s="458" t="s">
        <v>130</v>
      </c>
      <c r="H69" s="458" t="s">
        <v>17269</v>
      </c>
      <c r="I69" s="459" t="n">
        <v>41057</v>
      </c>
      <c r="J69" s="460" t="n">
        <v>5</v>
      </c>
      <c r="K69" s="632" t="s">
        <v>2407</v>
      </c>
      <c r="L69" s="460" t="s">
        <v>61</v>
      </c>
      <c r="M69" s="463" t="n">
        <f aca="false">I69-D69</f>
        <v>143</v>
      </c>
      <c r="N69" s="4"/>
      <c r="O69" s="351" t="s">
        <v>47</v>
      </c>
      <c r="P69" s="351"/>
      <c r="Q69" s="351"/>
      <c r="R69" s="351"/>
      <c r="S69" s="351" t="n">
        <f aca="false">COUNTIF($K$2:$K$476,"III - Medianamente tóxico")</f>
        <v>50</v>
      </c>
      <c r="T69" s="475" t="n">
        <f aca="false">(S69/S76)</f>
        <v>0.297619047619048</v>
      </c>
    </row>
    <row r="70" customFormat="false" ht="12.75" hidden="false" customHeight="true" outlineLevel="0" collapsed="false">
      <c r="A70" s="449" t="n">
        <v>6912</v>
      </c>
      <c r="B70" s="450" t="s">
        <v>17270</v>
      </c>
      <c r="C70" s="450" t="n">
        <v>2011</v>
      </c>
      <c r="D70" s="451" t="n">
        <v>40899</v>
      </c>
      <c r="E70" s="450" t="s">
        <v>17271</v>
      </c>
      <c r="F70" s="450" t="s">
        <v>1277</v>
      </c>
      <c r="G70" s="450" t="s">
        <v>441</v>
      </c>
      <c r="H70" s="450" t="s">
        <v>350</v>
      </c>
      <c r="I70" s="451" t="n">
        <v>41057</v>
      </c>
      <c r="J70" s="452" t="n">
        <v>5</v>
      </c>
      <c r="K70" s="631" t="s">
        <v>42</v>
      </c>
      <c r="L70" s="452" t="s">
        <v>58</v>
      </c>
      <c r="M70" s="455" t="n">
        <f aca="false">I70-D70</f>
        <v>158</v>
      </c>
      <c r="N70" s="4"/>
      <c r="O70" s="351" t="s">
        <v>48</v>
      </c>
      <c r="P70" s="351"/>
      <c r="Q70" s="351"/>
      <c r="R70" s="351"/>
      <c r="S70" s="351" t="n">
        <f aca="false">COUNTIF($K$2:$K$476,"Categoria 4 - Produto Pouco Tóxico")</f>
        <v>0</v>
      </c>
      <c r="T70" s="475" t="n">
        <f aca="false">(S70/S76)</f>
        <v>0</v>
      </c>
    </row>
    <row r="71" customFormat="false" ht="12.75" hidden="false" customHeight="true" outlineLevel="0" collapsed="false">
      <c r="A71" s="456" t="n">
        <v>7012</v>
      </c>
      <c r="B71" s="458" t="s">
        <v>17272</v>
      </c>
      <c r="C71" s="458" t="n">
        <v>2009</v>
      </c>
      <c r="D71" s="459" t="n">
        <v>39912</v>
      </c>
      <c r="E71" s="458" t="s">
        <v>17273</v>
      </c>
      <c r="F71" s="458" t="s">
        <v>16636</v>
      </c>
      <c r="G71" s="458" t="s">
        <v>441</v>
      </c>
      <c r="H71" s="458" t="s">
        <v>6633</v>
      </c>
      <c r="I71" s="459" t="n">
        <v>41058</v>
      </c>
      <c r="J71" s="460" t="n">
        <v>5</v>
      </c>
      <c r="K71" s="633" t="s">
        <v>47</v>
      </c>
      <c r="L71" s="460" t="s">
        <v>60</v>
      </c>
      <c r="M71" s="463" t="n">
        <f aca="false">I71-D71</f>
        <v>1146</v>
      </c>
      <c r="N71" s="4"/>
      <c r="O71" s="351" t="s">
        <v>49</v>
      </c>
      <c r="P71" s="351"/>
      <c r="Q71" s="351"/>
      <c r="R71" s="351"/>
      <c r="S71" s="351" t="n">
        <f aca="false">COUNTIF($K$2:$K$476,"Categoria 5 - Produto Improvável de Causar Dano Agudo")</f>
        <v>0</v>
      </c>
      <c r="T71" s="475" t="n">
        <f aca="false">(S71/S76)</f>
        <v>0</v>
      </c>
    </row>
    <row r="72" customFormat="false" ht="12.75" hidden="false" customHeight="true" outlineLevel="0" collapsed="false">
      <c r="A72" s="449" t="n">
        <v>7112</v>
      </c>
      <c r="B72" s="450" t="s">
        <v>17274</v>
      </c>
      <c r="C72" s="450" t="n">
        <v>2010</v>
      </c>
      <c r="D72" s="451" t="n">
        <v>40344</v>
      </c>
      <c r="E72" s="450" t="s">
        <v>17275</v>
      </c>
      <c r="F72" s="450" t="s">
        <v>823</v>
      </c>
      <c r="G72" s="450" t="s">
        <v>1174</v>
      </c>
      <c r="H72" s="450" t="s">
        <v>310</v>
      </c>
      <c r="I72" s="451" t="n">
        <v>41058</v>
      </c>
      <c r="J72" s="452" t="n">
        <v>5</v>
      </c>
      <c r="K72" s="634" t="s">
        <v>45</v>
      </c>
      <c r="L72" s="452" t="s">
        <v>58</v>
      </c>
      <c r="M72" s="455" t="n">
        <f aca="false">I72-D72</f>
        <v>714</v>
      </c>
      <c r="N72" s="4"/>
      <c r="O72" s="353" t="s">
        <v>50</v>
      </c>
      <c r="P72" s="353"/>
      <c r="Q72" s="353"/>
      <c r="R72" s="353"/>
      <c r="S72" s="353" t="n">
        <f aca="false">COUNTIF($K$2:$K$476,"IV - Pouco tóxico")</f>
        <v>6</v>
      </c>
      <c r="T72" s="476" t="n">
        <f aca="false">(S72/S76)</f>
        <v>0.0357142857142857</v>
      </c>
    </row>
    <row r="73" customFormat="false" ht="12.75" hidden="false" customHeight="true" outlineLevel="0" collapsed="false">
      <c r="A73" s="456" t="n">
        <v>7212</v>
      </c>
      <c r="B73" s="458" t="s">
        <v>17276</v>
      </c>
      <c r="C73" s="458" t="n">
        <v>2011</v>
      </c>
      <c r="D73" s="459" t="n">
        <v>40870</v>
      </c>
      <c r="E73" s="458" t="s">
        <v>17277</v>
      </c>
      <c r="F73" s="625" t="s">
        <v>288</v>
      </c>
      <c r="G73" s="458" t="s">
        <v>130</v>
      </c>
      <c r="H73" s="458" t="s">
        <v>3201</v>
      </c>
      <c r="I73" s="459" t="n">
        <v>41059</v>
      </c>
      <c r="J73" s="460" t="n">
        <v>5</v>
      </c>
      <c r="K73" s="632" t="s">
        <v>2407</v>
      </c>
      <c r="L73" s="460" t="s">
        <v>61</v>
      </c>
      <c r="M73" s="463" t="n">
        <f aca="false">I73-D73</f>
        <v>189</v>
      </c>
      <c r="N73" s="4"/>
      <c r="O73" s="353" t="s">
        <v>51</v>
      </c>
      <c r="P73" s="353"/>
      <c r="Q73" s="353"/>
      <c r="R73" s="353"/>
      <c r="S73" s="353" t="n">
        <f aca="false">COUNTIF($K$2:$K$476,"Não classificado - Produto não classificado")</f>
        <v>0</v>
      </c>
      <c r="T73" s="476" t="n">
        <f aca="false">(S73/S76)</f>
        <v>0</v>
      </c>
    </row>
    <row r="74" customFormat="false" ht="12.75" hidden="false" customHeight="true" outlineLevel="0" collapsed="false">
      <c r="A74" s="449" t="n">
        <v>7312</v>
      </c>
      <c r="B74" s="450" t="s">
        <v>17278</v>
      </c>
      <c r="C74" s="450" t="n">
        <v>2011</v>
      </c>
      <c r="D74" s="451" t="n">
        <v>40606</v>
      </c>
      <c r="E74" s="450" t="s">
        <v>17279</v>
      </c>
      <c r="F74" s="624" t="s">
        <v>17280</v>
      </c>
      <c r="G74" s="450" t="s">
        <v>125</v>
      </c>
      <c r="H74" s="450" t="s">
        <v>3472</v>
      </c>
      <c r="I74" s="451" t="n">
        <v>41059</v>
      </c>
      <c r="J74" s="452" t="n">
        <v>5</v>
      </c>
      <c r="K74" s="632" t="s">
        <v>50</v>
      </c>
      <c r="L74" s="452" t="s">
        <v>61</v>
      </c>
      <c r="M74" s="455" t="n">
        <f aca="false">I74-D74</f>
        <v>453</v>
      </c>
      <c r="N74" s="4"/>
      <c r="O74" s="353" t="s">
        <v>2407</v>
      </c>
      <c r="P74" s="353"/>
      <c r="Q74" s="353"/>
      <c r="R74" s="353"/>
      <c r="S74" s="353" t="n">
        <f aca="false">COUNTIF($K$2:$K$476,"Não determinada devido à natureza do produto (Inimigos naturais)")</f>
        <v>11</v>
      </c>
      <c r="T74" s="476" t="n">
        <f aca="false">(S74/S76)</f>
        <v>0.0654761904761905</v>
      </c>
    </row>
    <row r="75" customFormat="false" ht="12.75" hidden="false" customHeight="true" outlineLevel="0" collapsed="false">
      <c r="A75" s="456" t="n">
        <v>7412</v>
      </c>
      <c r="B75" s="458" t="s">
        <v>17281</v>
      </c>
      <c r="C75" s="458" t="n">
        <v>2008</v>
      </c>
      <c r="D75" s="459" t="n">
        <v>39750</v>
      </c>
      <c r="E75" s="458" t="s">
        <v>17282</v>
      </c>
      <c r="F75" s="458" t="s">
        <v>10402</v>
      </c>
      <c r="G75" s="458" t="s">
        <v>1174</v>
      </c>
      <c r="H75" s="458" t="s">
        <v>16610</v>
      </c>
      <c r="I75" s="459" t="n">
        <v>41060</v>
      </c>
      <c r="J75" s="460" t="n">
        <v>5</v>
      </c>
      <c r="K75" s="633" t="s">
        <v>47</v>
      </c>
      <c r="L75" s="460" t="s">
        <v>60</v>
      </c>
      <c r="M75" s="463" t="n">
        <f aca="false">I75-D75</f>
        <v>1310</v>
      </c>
      <c r="N75" s="4"/>
      <c r="O75" s="478" t="s">
        <v>53</v>
      </c>
      <c r="P75" s="478"/>
      <c r="Q75" s="478"/>
      <c r="R75" s="478"/>
      <c r="S75" s="478" t="n">
        <f aca="false">COUNTIF($K$2:$K$476,"O perfil toxicológico foi considerado equivalente ao produto técnico de referência")</f>
        <v>0</v>
      </c>
      <c r="T75" s="479" t="n">
        <f aca="false">(S75/S76)</f>
        <v>0</v>
      </c>
    </row>
    <row r="76" customFormat="false" ht="12.75" hidden="false" customHeight="true" outlineLevel="0" collapsed="false">
      <c r="A76" s="449" t="n">
        <v>7512</v>
      </c>
      <c r="B76" s="450" t="s">
        <v>16408</v>
      </c>
      <c r="C76" s="450" t="n">
        <v>2009</v>
      </c>
      <c r="D76" s="451" t="n">
        <v>39980</v>
      </c>
      <c r="E76" s="450" t="s">
        <v>17283</v>
      </c>
      <c r="F76" s="450" t="s">
        <v>365</v>
      </c>
      <c r="G76" s="450" t="s">
        <v>1174</v>
      </c>
      <c r="H76" s="450" t="s">
        <v>134</v>
      </c>
      <c r="I76" s="451" t="n">
        <v>41065</v>
      </c>
      <c r="J76" s="452" t="n">
        <v>6</v>
      </c>
      <c r="K76" s="634" t="s">
        <v>45</v>
      </c>
      <c r="L76" s="452" t="s">
        <v>60</v>
      </c>
      <c r="M76" s="455" t="n">
        <f aca="false">I76-D76</f>
        <v>1085</v>
      </c>
      <c r="N76" s="4"/>
      <c r="O76" s="419" t="s">
        <v>54</v>
      </c>
      <c r="P76" s="419"/>
      <c r="Q76" s="419"/>
      <c r="R76" s="419"/>
      <c r="S76" s="363" t="n">
        <f aca="false">SUM(S64:S75)</f>
        <v>168</v>
      </c>
      <c r="T76" s="364" t="n">
        <f aca="false">(S76/S76)</f>
        <v>1</v>
      </c>
    </row>
    <row r="77" customFormat="false" ht="12.75" hidden="false" customHeight="true" outlineLevel="0" collapsed="false">
      <c r="A77" s="456" t="n">
        <v>7612</v>
      </c>
      <c r="B77" s="458" t="s">
        <v>17284</v>
      </c>
      <c r="C77" s="458" t="n">
        <v>2009</v>
      </c>
      <c r="D77" s="459" t="n">
        <v>40095</v>
      </c>
      <c r="E77" s="458" t="s">
        <v>17285</v>
      </c>
      <c r="F77" s="458" t="s">
        <v>3924</v>
      </c>
      <c r="G77" s="458" t="s">
        <v>441</v>
      </c>
      <c r="H77" s="458" t="s">
        <v>17286</v>
      </c>
      <c r="I77" s="459" t="n">
        <v>41073</v>
      </c>
      <c r="J77" s="460" t="n">
        <v>6</v>
      </c>
      <c r="K77" s="631" t="s">
        <v>42</v>
      </c>
      <c r="L77" s="460" t="s">
        <v>58</v>
      </c>
      <c r="M77" s="463" t="n">
        <f aca="false">I77-D77</f>
        <v>978</v>
      </c>
      <c r="N77" s="4"/>
      <c r="O77" s="153"/>
      <c r="P77" s="153"/>
      <c r="Q77" s="153"/>
      <c r="R77" s="153"/>
      <c r="S77" s="153"/>
      <c r="T77" s="153"/>
    </row>
    <row r="78" customFormat="false" ht="13.5" hidden="false" customHeight="true" outlineLevel="0" collapsed="false">
      <c r="A78" s="449" t="n">
        <v>7712</v>
      </c>
      <c r="B78" s="450" t="s">
        <v>17287</v>
      </c>
      <c r="C78" s="450" t="n">
        <v>2009</v>
      </c>
      <c r="D78" s="451" t="n">
        <v>40177</v>
      </c>
      <c r="E78" s="450" t="s">
        <v>17288</v>
      </c>
      <c r="F78" s="450" t="s">
        <v>569</v>
      </c>
      <c r="G78" s="450" t="s">
        <v>1174</v>
      </c>
      <c r="H78" s="450" t="s">
        <v>17289</v>
      </c>
      <c r="I78" s="451" t="n">
        <v>41074</v>
      </c>
      <c r="J78" s="452" t="n">
        <v>6</v>
      </c>
      <c r="K78" s="633" t="s">
        <v>47</v>
      </c>
      <c r="L78" s="452" t="s">
        <v>58</v>
      </c>
      <c r="M78" s="455" t="n">
        <f aca="false">I78-D78</f>
        <v>897</v>
      </c>
      <c r="N78" s="4"/>
      <c r="O78" s="339" t="s">
        <v>102</v>
      </c>
      <c r="P78" s="339"/>
      <c r="Q78" s="339"/>
      <c r="R78" s="339"/>
      <c r="S78" s="339"/>
      <c r="T78" s="339"/>
    </row>
    <row r="79" customFormat="false" ht="12.75" hidden="false" customHeight="true" outlineLevel="0" collapsed="false">
      <c r="A79" s="456" t="n">
        <v>7812</v>
      </c>
      <c r="B79" s="458" t="s">
        <v>17290</v>
      </c>
      <c r="C79" s="458" t="n">
        <v>2008</v>
      </c>
      <c r="D79" s="459" t="n">
        <v>39783</v>
      </c>
      <c r="E79" s="458" t="s">
        <v>17291</v>
      </c>
      <c r="F79" s="458" t="s">
        <v>8232</v>
      </c>
      <c r="G79" s="458" t="s">
        <v>441</v>
      </c>
      <c r="H79" s="458" t="s">
        <v>3240</v>
      </c>
      <c r="I79" s="459" t="n">
        <v>41079</v>
      </c>
      <c r="J79" s="460" t="n">
        <v>6</v>
      </c>
      <c r="K79" s="634" t="s">
        <v>45</v>
      </c>
      <c r="L79" s="460" t="s">
        <v>60</v>
      </c>
      <c r="M79" s="463" t="n">
        <f aca="false">I79-D79</f>
        <v>1296</v>
      </c>
      <c r="N79" s="4"/>
      <c r="O79" s="339"/>
      <c r="P79" s="339"/>
      <c r="Q79" s="339"/>
      <c r="R79" s="339"/>
      <c r="S79" s="339"/>
      <c r="T79" s="339"/>
    </row>
    <row r="80" customFormat="false" ht="12.75" hidden="false" customHeight="true" outlineLevel="0" collapsed="false">
      <c r="A80" s="449" t="n">
        <v>7912</v>
      </c>
      <c r="B80" s="450" t="s">
        <v>17292</v>
      </c>
      <c r="C80" s="450" t="n">
        <v>2007</v>
      </c>
      <c r="D80" s="451" t="n">
        <v>39414</v>
      </c>
      <c r="E80" s="450" t="s">
        <v>17293</v>
      </c>
      <c r="F80" s="450" t="s">
        <v>705</v>
      </c>
      <c r="G80" s="450" t="s">
        <v>441</v>
      </c>
      <c r="H80" s="450" t="s">
        <v>223</v>
      </c>
      <c r="I80" s="451" t="n">
        <v>41079</v>
      </c>
      <c r="J80" s="452" t="n">
        <v>6</v>
      </c>
      <c r="K80" s="633" t="s">
        <v>47</v>
      </c>
      <c r="L80" s="452" t="s">
        <v>58</v>
      </c>
      <c r="M80" s="455" t="n">
        <f aca="false">I80-D80</f>
        <v>1665</v>
      </c>
      <c r="N80" s="4"/>
      <c r="O80" s="340" t="s">
        <v>38</v>
      </c>
      <c r="P80" s="340"/>
      <c r="Q80" s="340"/>
      <c r="R80" s="340"/>
      <c r="S80" s="374" t="s">
        <v>343</v>
      </c>
      <c r="T80" s="375" t="s">
        <v>41</v>
      </c>
    </row>
    <row r="81" customFormat="false" ht="13.5" hidden="false" customHeight="true" outlineLevel="0" collapsed="false">
      <c r="A81" s="456" t="n">
        <v>8012</v>
      </c>
      <c r="B81" s="458" t="s">
        <v>17294</v>
      </c>
      <c r="C81" s="458" t="n">
        <v>2008</v>
      </c>
      <c r="D81" s="459" t="n">
        <v>39713</v>
      </c>
      <c r="E81" s="458" t="s">
        <v>17295</v>
      </c>
      <c r="F81" s="458" t="s">
        <v>17296</v>
      </c>
      <c r="G81" s="458" t="s">
        <v>441</v>
      </c>
      <c r="H81" s="458" t="s">
        <v>10110</v>
      </c>
      <c r="I81" s="459" t="n">
        <v>41080</v>
      </c>
      <c r="J81" s="460" t="n">
        <v>6</v>
      </c>
      <c r="K81" s="631" t="s">
        <v>42</v>
      </c>
      <c r="L81" s="460" t="s">
        <v>58</v>
      </c>
      <c r="M81" s="463" t="n">
        <f aca="false">I81-D81</f>
        <v>1367</v>
      </c>
      <c r="N81" s="4"/>
      <c r="O81" s="480" t="s">
        <v>57</v>
      </c>
      <c r="P81" s="480"/>
      <c r="Q81" s="480"/>
      <c r="R81" s="480"/>
      <c r="S81" s="536" t="n">
        <f aca="false">COUNTIF($L$2:$L$476,"I - Produto altamente perigoso ao meio ambiente")</f>
        <v>3</v>
      </c>
      <c r="T81" s="377" t="n">
        <f aca="false">(S81/S85)</f>
        <v>0.0178571428571429</v>
      </c>
    </row>
    <row r="82" customFormat="false" ht="13.5" hidden="false" customHeight="true" outlineLevel="0" collapsed="false">
      <c r="A82" s="449" t="n">
        <v>8112</v>
      </c>
      <c r="B82" s="450" t="s">
        <v>17297</v>
      </c>
      <c r="C82" s="450" t="n">
        <v>2010</v>
      </c>
      <c r="D82" s="451" t="n">
        <v>40368</v>
      </c>
      <c r="E82" s="450" t="s">
        <v>17298</v>
      </c>
      <c r="F82" s="450" t="s">
        <v>576</v>
      </c>
      <c r="G82" s="450" t="s">
        <v>441</v>
      </c>
      <c r="H82" s="450" t="s">
        <v>16610</v>
      </c>
      <c r="I82" s="451" t="n">
        <v>41089</v>
      </c>
      <c r="J82" s="452" t="n">
        <v>6</v>
      </c>
      <c r="K82" s="631" t="s">
        <v>42</v>
      </c>
      <c r="L82" s="452" t="s">
        <v>58</v>
      </c>
      <c r="M82" s="455" t="n">
        <f aca="false">I82-D82</f>
        <v>721</v>
      </c>
      <c r="N82" s="4"/>
      <c r="O82" s="378" t="s">
        <v>58</v>
      </c>
      <c r="P82" s="378"/>
      <c r="Q82" s="378"/>
      <c r="R82" s="378"/>
      <c r="S82" s="537" t="n">
        <f aca="false">COUNTIF($L$2:$L$476,"II - Produto muito perigoso ao meio ambiente")</f>
        <v>89</v>
      </c>
      <c r="T82" s="379" t="n">
        <f aca="false">(S82/S85)</f>
        <v>0.529761904761905</v>
      </c>
    </row>
    <row r="83" customFormat="false" ht="13.5" hidden="false" customHeight="true" outlineLevel="0" collapsed="false">
      <c r="A83" s="456" t="n">
        <v>8212</v>
      </c>
      <c r="B83" s="458" t="s">
        <v>17299</v>
      </c>
      <c r="C83" s="458" t="n">
        <v>2009</v>
      </c>
      <c r="D83" s="459" t="n">
        <v>40176</v>
      </c>
      <c r="E83" s="458" t="s">
        <v>17300</v>
      </c>
      <c r="F83" s="458" t="s">
        <v>16679</v>
      </c>
      <c r="G83" s="458" t="s">
        <v>441</v>
      </c>
      <c r="H83" s="458" t="s">
        <v>14391</v>
      </c>
      <c r="I83" s="459" t="n">
        <v>41089</v>
      </c>
      <c r="J83" s="460" t="n">
        <v>6</v>
      </c>
      <c r="K83" s="633" t="s">
        <v>47</v>
      </c>
      <c r="L83" s="460" t="s">
        <v>58</v>
      </c>
      <c r="M83" s="463" t="n">
        <f aca="false">I83-D83</f>
        <v>913</v>
      </c>
      <c r="N83" s="4"/>
      <c r="O83" s="380" t="s">
        <v>60</v>
      </c>
      <c r="P83" s="380"/>
      <c r="Q83" s="380"/>
      <c r="R83" s="380"/>
      <c r="S83" s="536" t="n">
        <f aca="false">COUNTIF($L$2:$L$476,"III - Produto perigoso ao meio ambiente")</f>
        <v>59</v>
      </c>
      <c r="T83" s="377" t="n">
        <f aca="false">(S83/S85)</f>
        <v>0.351190476190476</v>
      </c>
    </row>
    <row r="84" customFormat="false" ht="14.25" hidden="false" customHeight="true" outlineLevel="0" collapsed="false">
      <c r="A84" s="449" t="n">
        <v>8312</v>
      </c>
      <c r="B84" s="450" t="s">
        <v>17301</v>
      </c>
      <c r="C84" s="450" t="n">
        <v>2007</v>
      </c>
      <c r="D84" s="451" t="n">
        <v>39302</v>
      </c>
      <c r="E84" s="450" t="s">
        <v>17302</v>
      </c>
      <c r="F84" s="450" t="s">
        <v>4623</v>
      </c>
      <c r="G84" s="450" t="s">
        <v>441</v>
      </c>
      <c r="H84" s="450" t="s">
        <v>10110</v>
      </c>
      <c r="I84" s="451" t="n">
        <v>41093</v>
      </c>
      <c r="J84" s="452" t="n">
        <v>7</v>
      </c>
      <c r="K84" s="631" t="s">
        <v>42</v>
      </c>
      <c r="L84" s="452" t="s">
        <v>60</v>
      </c>
      <c r="M84" s="455" t="n">
        <f aca="false">I84-D84</f>
        <v>1791</v>
      </c>
      <c r="N84" s="4"/>
      <c r="O84" s="378" t="s">
        <v>61</v>
      </c>
      <c r="P84" s="378"/>
      <c r="Q84" s="378"/>
      <c r="R84" s="378"/>
      <c r="S84" s="537" t="n">
        <f aca="false">COUNTIF($L$2:$L$476,"IV - Produto pouco perigoso ao meio ambiente")</f>
        <v>17</v>
      </c>
      <c r="T84" s="379" t="n">
        <f aca="false">(S84/S85)</f>
        <v>0.101190476190476</v>
      </c>
    </row>
    <row r="85" customFormat="false" ht="12.75" hidden="false" customHeight="true" outlineLevel="0" collapsed="false">
      <c r="A85" s="456" t="n">
        <v>8412</v>
      </c>
      <c r="B85" s="458" t="s">
        <v>17303</v>
      </c>
      <c r="C85" s="458" t="n">
        <v>2008</v>
      </c>
      <c r="D85" s="459" t="n">
        <v>39660</v>
      </c>
      <c r="E85" s="458" t="s">
        <v>17304</v>
      </c>
      <c r="F85" s="458" t="s">
        <v>113</v>
      </c>
      <c r="G85" s="458" t="s">
        <v>1174</v>
      </c>
      <c r="H85" s="458" t="s">
        <v>373</v>
      </c>
      <c r="I85" s="459" t="n">
        <v>41096</v>
      </c>
      <c r="J85" s="460" t="n">
        <v>7</v>
      </c>
      <c r="K85" s="633" t="s">
        <v>47</v>
      </c>
      <c r="L85" s="460" t="s">
        <v>60</v>
      </c>
      <c r="M85" s="463" t="n">
        <f aca="false">I85-D85</f>
        <v>1436</v>
      </c>
      <c r="N85" s="4"/>
      <c r="O85" s="340" t="s">
        <v>54</v>
      </c>
      <c r="P85" s="340"/>
      <c r="Q85" s="340"/>
      <c r="R85" s="340"/>
      <c r="S85" s="363" t="n">
        <f aca="false">SUM(S81:S84)</f>
        <v>168</v>
      </c>
      <c r="T85" s="364" t="n">
        <f aca="false">(S85/S85)</f>
        <v>1</v>
      </c>
    </row>
    <row r="86" customFormat="false" ht="12.75" hidden="false" customHeight="true" outlineLevel="0" collapsed="false">
      <c r="A86" s="449" t="n">
        <v>8512</v>
      </c>
      <c r="B86" s="450" t="s">
        <v>17305</v>
      </c>
      <c r="C86" s="450" t="n">
        <v>2009</v>
      </c>
      <c r="D86" s="451" t="n">
        <v>39888</v>
      </c>
      <c r="E86" s="450" t="s">
        <v>17306</v>
      </c>
      <c r="F86" s="450" t="s">
        <v>668</v>
      </c>
      <c r="G86" s="450" t="s">
        <v>1174</v>
      </c>
      <c r="H86" s="450" t="s">
        <v>17289</v>
      </c>
      <c r="I86" s="451" t="n">
        <v>41096</v>
      </c>
      <c r="J86" s="452" t="n">
        <v>7</v>
      </c>
      <c r="K86" s="631" t="s">
        <v>42</v>
      </c>
      <c r="L86" s="452" t="s">
        <v>58</v>
      </c>
      <c r="M86" s="455" t="n">
        <f aca="false">I86-D86</f>
        <v>1208</v>
      </c>
      <c r="N86" s="4"/>
      <c r="O86" s="153"/>
      <c r="P86" s="153"/>
      <c r="Q86" s="153"/>
      <c r="R86" s="153"/>
      <c r="S86" s="153"/>
      <c r="T86" s="153"/>
    </row>
    <row r="87" customFormat="false" ht="13.5" hidden="false" customHeight="true" outlineLevel="0" collapsed="false">
      <c r="A87" s="456" t="n">
        <v>8612</v>
      </c>
      <c r="B87" s="458" t="s">
        <v>17307</v>
      </c>
      <c r="C87" s="458" t="n">
        <v>2010</v>
      </c>
      <c r="D87" s="459" t="n">
        <v>40245</v>
      </c>
      <c r="E87" s="458" t="s">
        <v>17308</v>
      </c>
      <c r="F87" s="458" t="s">
        <v>1097</v>
      </c>
      <c r="G87" s="458" t="s">
        <v>1174</v>
      </c>
      <c r="H87" s="458" t="s">
        <v>1266</v>
      </c>
      <c r="I87" s="459" t="n">
        <v>41099</v>
      </c>
      <c r="J87" s="460" t="n">
        <v>7</v>
      </c>
      <c r="K87" s="631" t="s">
        <v>42</v>
      </c>
      <c r="L87" s="460" t="s">
        <v>60</v>
      </c>
      <c r="M87" s="463" t="n">
        <f aca="false">I87-D87</f>
        <v>854</v>
      </c>
      <c r="N87" s="4"/>
      <c r="O87" s="421" t="s">
        <v>425</v>
      </c>
      <c r="P87" s="421"/>
      <c r="Q87" s="421"/>
      <c r="R87" s="421"/>
      <c r="S87" s="153"/>
      <c r="T87" s="153"/>
    </row>
    <row r="88" customFormat="false" ht="12.75" hidden="false" customHeight="true" outlineLevel="0" collapsed="false">
      <c r="A88" s="449" t="n">
        <v>8712</v>
      </c>
      <c r="B88" s="450" t="s">
        <v>17309</v>
      </c>
      <c r="C88" s="450" t="n">
        <v>2010</v>
      </c>
      <c r="D88" s="451" t="n">
        <v>40259</v>
      </c>
      <c r="E88" s="450" t="s">
        <v>17310</v>
      </c>
      <c r="F88" s="450" t="s">
        <v>3924</v>
      </c>
      <c r="G88" s="450" t="s">
        <v>1174</v>
      </c>
      <c r="H88" s="450" t="s">
        <v>17289</v>
      </c>
      <c r="I88" s="451" t="n">
        <v>41099</v>
      </c>
      <c r="J88" s="452" t="n">
        <v>7</v>
      </c>
      <c r="K88" s="634" t="s">
        <v>45</v>
      </c>
      <c r="L88" s="452" t="s">
        <v>58</v>
      </c>
      <c r="M88" s="455" t="n">
        <f aca="false">I88-D88</f>
        <v>840</v>
      </c>
      <c r="N88" s="4"/>
      <c r="O88" s="421"/>
      <c r="P88" s="421"/>
      <c r="Q88" s="421"/>
      <c r="R88" s="421"/>
      <c r="S88" s="153"/>
      <c r="T88" s="153"/>
    </row>
    <row r="89" customFormat="false" ht="12.75" hidden="false" customHeight="true" outlineLevel="0" collapsed="false">
      <c r="A89" s="456" t="n">
        <v>8812</v>
      </c>
      <c r="B89" s="458" t="s">
        <v>17311</v>
      </c>
      <c r="C89" s="458" t="n">
        <v>2009</v>
      </c>
      <c r="D89" s="459" t="n">
        <v>39828</v>
      </c>
      <c r="E89" s="458" t="s">
        <v>17312</v>
      </c>
      <c r="F89" s="458" t="s">
        <v>3924</v>
      </c>
      <c r="G89" s="458" t="s">
        <v>1174</v>
      </c>
      <c r="H89" s="458" t="s">
        <v>522</v>
      </c>
      <c r="I89" s="459" t="n">
        <v>41100</v>
      </c>
      <c r="J89" s="460" t="n">
        <v>7</v>
      </c>
      <c r="K89" s="634" t="s">
        <v>45</v>
      </c>
      <c r="L89" s="460" t="s">
        <v>58</v>
      </c>
      <c r="M89" s="463" t="n">
        <f aca="false">I89-D89</f>
        <v>1272</v>
      </c>
      <c r="N89" s="4"/>
      <c r="O89" s="390" t="s">
        <v>69</v>
      </c>
      <c r="P89" s="422" t="s">
        <v>433</v>
      </c>
      <c r="Q89" s="422"/>
      <c r="R89" s="422"/>
      <c r="S89" s="153"/>
      <c r="T89" s="153"/>
    </row>
    <row r="90" customFormat="false" ht="12.75" hidden="false" customHeight="true" outlineLevel="0" collapsed="false">
      <c r="A90" s="449" t="n">
        <v>8912</v>
      </c>
      <c r="B90" s="450" t="s">
        <v>17313</v>
      </c>
      <c r="C90" s="450" t="n">
        <v>2010</v>
      </c>
      <c r="D90" s="451" t="n">
        <v>40444</v>
      </c>
      <c r="E90" s="450" t="s">
        <v>17314</v>
      </c>
      <c r="F90" s="450" t="s">
        <v>699</v>
      </c>
      <c r="G90" s="450" t="s">
        <v>441</v>
      </c>
      <c r="H90" s="450" t="s">
        <v>12073</v>
      </c>
      <c r="I90" s="451" t="n">
        <v>41100</v>
      </c>
      <c r="J90" s="452" t="n">
        <v>7</v>
      </c>
      <c r="K90" s="631" t="s">
        <v>42</v>
      </c>
      <c r="L90" s="452" t="s">
        <v>60</v>
      </c>
      <c r="M90" s="455" t="n">
        <f aca="false">I90-D90</f>
        <v>656</v>
      </c>
      <c r="N90" s="4"/>
      <c r="O90" s="394" t="s">
        <v>1474</v>
      </c>
      <c r="P90" s="481" t="e">
        <f aca="false">AVERAGEIF(G2:G476,"PT",M2:M476)</f>
        <v>#DIV/0!</v>
      </c>
      <c r="Q90" s="481"/>
      <c r="R90" s="481"/>
      <c r="S90" s="153"/>
      <c r="T90" s="153"/>
    </row>
    <row r="91" customFormat="false" ht="12.75" hidden="false" customHeight="true" outlineLevel="0" collapsed="false">
      <c r="A91" s="456" t="n">
        <v>9012</v>
      </c>
      <c r="B91" s="458" t="s">
        <v>17315</v>
      </c>
      <c r="C91" s="458" t="n">
        <v>2008</v>
      </c>
      <c r="D91" s="459" t="n">
        <v>39639</v>
      </c>
      <c r="E91" s="458" t="s">
        <v>17316</v>
      </c>
      <c r="F91" s="458" t="s">
        <v>3091</v>
      </c>
      <c r="G91" s="458" t="s">
        <v>441</v>
      </c>
      <c r="H91" s="458" t="s">
        <v>17286</v>
      </c>
      <c r="I91" s="459" t="n">
        <v>41106</v>
      </c>
      <c r="J91" s="460" t="n">
        <v>7</v>
      </c>
      <c r="K91" s="631" t="s">
        <v>42</v>
      </c>
      <c r="L91" s="460" t="s">
        <v>58</v>
      </c>
      <c r="M91" s="463" t="n">
        <f aca="false">I91-D91</f>
        <v>1467</v>
      </c>
      <c r="N91" s="4"/>
      <c r="O91" s="396" t="s">
        <v>1188</v>
      </c>
      <c r="P91" s="482" t="n">
        <f aca="false">AVERAGEIF(G2:G477,"PTN",M2:M477)</f>
        <v>1470</v>
      </c>
      <c r="Q91" s="482"/>
      <c r="R91" s="482"/>
      <c r="S91" s="153"/>
      <c r="T91" s="153"/>
    </row>
    <row r="92" customFormat="false" ht="12.75" hidden="false" customHeight="true" outlineLevel="0" collapsed="false">
      <c r="A92" s="449" t="n">
        <v>9112</v>
      </c>
      <c r="B92" s="450" t="s">
        <v>17317</v>
      </c>
      <c r="C92" s="450" t="n">
        <v>2008</v>
      </c>
      <c r="D92" s="451" t="n">
        <v>39681</v>
      </c>
      <c r="E92" s="450" t="s">
        <v>17318</v>
      </c>
      <c r="F92" s="450" t="s">
        <v>3091</v>
      </c>
      <c r="G92" s="450" t="s">
        <v>441</v>
      </c>
      <c r="H92" s="450" t="s">
        <v>17286</v>
      </c>
      <c r="I92" s="451" t="n">
        <v>41106</v>
      </c>
      <c r="J92" s="452" t="n">
        <v>7</v>
      </c>
      <c r="K92" s="631" t="s">
        <v>42</v>
      </c>
      <c r="L92" s="452" t="s">
        <v>58</v>
      </c>
      <c r="M92" s="455" t="n">
        <f aca="false">I92-D92</f>
        <v>1425</v>
      </c>
      <c r="N92" s="4"/>
      <c r="O92" s="394" t="s">
        <v>1174</v>
      </c>
      <c r="P92" s="481" t="n">
        <f aca="false">AVERAGEIF(G2:G476,"PTE",M2:M476)</f>
        <v>1012.5</v>
      </c>
      <c r="Q92" s="481"/>
      <c r="R92" s="481"/>
      <c r="S92" s="153"/>
      <c r="T92" s="153"/>
    </row>
    <row r="93" customFormat="false" ht="12.75" hidden="false" customHeight="true" outlineLevel="0" collapsed="false">
      <c r="A93" s="456" t="n">
        <v>9212</v>
      </c>
      <c r="B93" s="458" t="s">
        <v>17319</v>
      </c>
      <c r="C93" s="458" t="n">
        <v>2009</v>
      </c>
      <c r="D93" s="459" t="n">
        <v>39959</v>
      </c>
      <c r="E93" s="458" t="s">
        <v>17320</v>
      </c>
      <c r="F93" s="458" t="s">
        <v>1277</v>
      </c>
      <c r="G93" s="458" t="s">
        <v>441</v>
      </c>
      <c r="H93" s="458" t="s">
        <v>17289</v>
      </c>
      <c r="I93" s="459" t="n">
        <v>41106</v>
      </c>
      <c r="J93" s="460" t="n">
        <v>7</v>
      </c>
      <c r="K93" s="631" t="s">
        <v>42</v>
      </c>
      <c r="L93" s="460" t="s">
        <v>58</v>
      </c>
      <c r="M93" s="463" t="n">
        <f aca="false">I93-D93</f>
        <v>1147</v>
      </c>
      <c r="N93" s="4"/>
      <c r="O93" s="396" t="s">
        <v>8</v>
      </c>
      <c r="P93" s="482" t="e">
        <f aca="false">AVERAGEIF(G2:G476,"Pré-Mistura",M2:M476)</f>
        <v>#DIV/0!</v>
      </c>
      <c r="Q93" s="482"/>
      <c r="R93" s="482"/>
      <c r="S93" s="153"/>
      <c r="T93" s="153"/>
    </row>
    <row r="94" customFormat="false" ht="12.75" hidden="false" customHeight="true" outlineLevel="0" collapsed="false">
      <c r="A94" s="449" t="n">
        <v>9312</v>
      </c>
      <c r="B94" s="450" t="s">
        <v>17321</v>
      </c>
      <c r="C94" s="450" t="n">
        <v>2010</v>
      </c>
      <c r="D94" s="451" t="n">
        <v>40389</v>
      </c>
      <c r="E94" s="450" t="s">
        <v>17322</v>
      </c>
      <c r="F94" s="450" t="s">
        <v>17323</v>
      </c>
      <c r="G94" s="450" t="s">
        <v>115</v>
      </c>
      <c r="H94" s="450" t="s">
        <v>6633</v>
      </c>
      <c r="I94" s="451" t="n">
        <v>41109</v>
      </c>
      <c r="J94" s="452" t="n">
        <v>7</v>
      </c>
      <c r="K94" s="631" t="s">
        <v>42</v>
      </c>
      <c r="L94" s="452" t="s">
        <v>60</v>
      </c>
      <c r="M94" s="455" t="n">
        <f aca="false">I94-D94</f>
        <v>720</v>
      </c>
      <c r="N94" s="4"/>
      <c r="O94" s="394" t="s">
        <v>144</v>
      </c>
      <c r="P94" s="481" t="n">
        <f aca="false">AVERAGEIF(G2:G476,"PF",M2:M476)</f>
        <v>1577.8</v>
      </c>
      <c r="Q94" s="481"/>
      <c r="R94" s="481"/>
      <c r="S94" s="153"/>
      <c r="T94" s="153"/>
    </row>
    <row r="95" customFormat="false" ht="12.75" hidden="false" customHeight="true" outlineLevel="0" collapsed="false">
      <c r="A95" s="456" t="n">
        <v>9412</v>
      </c>
      <c r="B95" s="458" t="s">
        <v>17324</v>
      </c>
      <c r="C95" s="458" t="n">
        <v>2009</v>
      </c>
      <c r="D95" s="459" t="n">
        <v>39888</v>
      </c>
      <c r="E95" s="458" t="s">
        <v>17325</v>
      </c>
      <c r="F95" s="458" t="s">
        <v>1080</v>
      </c>
      <c r="G95" s="458" t="s">
        <v>441</v>
      </c>
      <c r="H95" s="458" t="s">
        <v>354</v>
      </c>
      <c r="I95" s="459" t="n">
        <v>41115</v>
      </c>
      <c r="J95" s="460" t="n">
        <v>7</v>
      </c>
      <c r="K95" s="631" t="s">
        <v>42</v>
      </c>
      <c r="L95" s="460" t="s">
        <v>58</v>
      </c>
      <c r="M95" s="463" t="n">
        <f aca="false">I95-D95</f>
        <v>1227</v>
      </c>
      <c r="N95" s="4"/>
      <c r="O95" s="396" t="s">
        <v>115</v>
      </c>
      <c r="P95" s="482" t="n">
        <f aca="false">AVERAGEIF(G2:G476,"PFN",M2:M476)</f>
        <v>720</v>
      </c>
      <c r="Q95" s="482"/>
      <c r="R95" s="482"/>
      <c r="S95" s="153"/>
      <c r="T95" s="153"/>
    </row>
    <row r="96" customFormat="false" ht="12.75" hidden="false" customHeight="true" outlineLevel="0" collapsed="false">
      <c r="A96" s="449" t="n">
        <v>9512</v>
      </c>
      <c r="B96" s="450" t="s">
        <v>17326</v>
      </c>
      <c r="C96" s="450" t="n">
        <v>2009</v>
      </c>
      <c r="D96" s="451" t="n">
        <v>39939</v>
      </c>
      <c r="E96" s="450" t="s">
        <v>17327</v>
      </c>
      <c r="F96" s="450" t="s">
        <v>569</v>
      </c>
      <c r="G96" s="450" t="s">
        <v>1174</v>
      </c>
      <c r="H96" s="450" t="s">
        <v>5230</v>
      </c>
      <c r="I96" s="451" t="n">
        <v>41116</v>
      </c>
      <c r="J96" s="452" t="n">
        <v>7</v>
      </c>
      <c r="K96" s="633" t="s">
        <v>47</v>
      </c>
      <c r="L96" s="452" t="s">
        <v>58</v>
      </c>
      <c r="M96" s="455" t="n">
        <f aca="false">I96-D96</f>
        <v>1177</v>
      </c>
      <c r="N96" s="4"/>
      <c r="O96" s="394" t="s">
        <v>441</v>
      </c>
      <c r="P96" s="481" t="n">
        <f aca="false">AVERAGEIF(G2:G476,"PF/PTE",M2:M476)</f>
        <v>1168.48</v>
      </c>
      <c r="Q96" s="481"/>
      <c r="R96" s="481"/>
      <c r="S96" s="153"/>
      <c r="T96" s="153"/>
    </row>
    <row r="97" customFormat="false" ht="12.75" hidden="false" customHeight="true" outlineLevel="0" collapsed="false">
      <c r="A97" s="456" t="n">
        <v>9612</v>
      </c>
      <c r="B97" s="458" t="s">
        <v>17328</v>
      </c>
      <c r="C97" s="458" t="n">
        <v>2009</v>
      </c>
      <c r="D97" s="459" t="n">
        <v>40130</v>
      </c>
      <c r="E97" s="458" t="s">
        <v>17329</v>
      </c>
      <c r="F97" s="458" t="s">
        <v>569</v>
      </c>
      <c r="G97" s="458" t="s">
        <v>1174</v>
      </c>
      <c r="H97" s="458" t="s">
        <v>5230</v>
      </c>
      <c r="I97" s="459" t="n">
        <v>41116</v>
      </c>
      <c r="J97" s="460" t="n">
        <v>7</v>
      </c>
      <c r="K97" s="633" t="s">
        <v>47</v>
      </c>
      <c r="L97" s="460" t="s">
        <v>58</v>
      </c>
      <c r="M97" s="463" t="n">
        <f aca="false">I97-D97</f>
        <v>986</v>
      </c>
      <c r="N97" s="4"/>
      <c r="O97" s="396" t="s">
        <v>125</v>
      </c>
      <c r="P97" s="482" t="n">
        <f aca="false">AVERAGEIF(G2:G476,"Bio",M2:M476)</f>
        <v>949.2</v>
      </c>
      <c r="Q97" s="482"/>
      <c r="R97" s="482"/>
    </row>
    <row r="98" customFormat="false" ht="12.75" hidden="false" customHeight="true" outlineLevel="0" collapsed="false">
      <c r="A98" s="449" t="n">
        <v>9712</v>
      </c>
      <c r="B98" s="450" t="s">
        <v>17330</v>
      </c>
      <c r="C98" s="450" t="n">
        <v>2010</v>
      </c>
      <c r="D98" s="451" t="n">
        <v>40347</v>
      </c>
      <c r="E98" s="450" t="s">
        <v>17331</v>
      </c>
      <c r="F98" s="450" t="s">
        <v>908</v>
      </c>
      <c r="G98" s="450" t="s">
        <v>441</v>
      </c>
      <c r="H98" s="450" t="s">
        <v>14761</v>
      </c>
      <c r="I98" s="451" t="n">
        <v>41122</v>
      </c>
      <c r="J98" s="452" t="n">
        <v>8</v>
      </c>
      <c r="K98" s="633" t="s">
        <v>47</v>
      </c>
      <c r="L98" s="452" t="s">
        <v>58</v>
      </c>
      <c r="M98" s="455" t="n">
        <f aca="false">I98-D98</f>
        <v>775</v>
      </c>
      <c r="N98" s="4"/>
      <c r="O98" s="394" t="s">
        <v>130</v>
      </c>
      <c r="P98" s="481" t="n">
        <f aca="false">AVERAGEIF(G2:G476,"Bio/Org",M2:M476)</f>
        <v>226</v>
      </c>
      <c r="Q98" s="481"/>
      <c r="R98" s="481"/>
    </row>
    <row r="99" customFormat="false" ht="12.75" hidden="false" customHeight="true" outlineLevel="0" collapsed="false">
      <c r="A99" s="456" t="n">
        <v>9812</v>
      </c>
      <c r="B99" s="458" t="s">
        <v>17332</v>
      </c>
      <c r="C99" s="458" t="n">
        <v>2010</v>
      </c>
      <c r="D99" s="459" t="n">
        <v>40359</v>
      </c>
      <c r="E99" s="458" t="s">
        <v>17333</v>
      </c>
      <c r="F99" s="458" t="s">
        <v>1080</v>
      </c>
      <c r="G99" s="458" t="s">
        <v>441</v>
      </c>
      <c r="H99" s="458" t="s">
        <v>706</v>
      </c>
      <c r="I99" s="459" t="n">
        <v>41122</v>
      </c>
      <c r="J99" s="460" t="n">
        <v>8</v>
      </c>
      <c r="K99" s="631" t="s">
        <v>42</v>
      </c>
      <c r="L99" s="460" t="s">
        <v>58</v>
      </c>
      <c r="M99" s="463" t="n">
        <f aca="false">I99-D99</f>
        <v>763</v>
      </c>
      <c r="N99" s="4"/>
      <c r="O99" s="398" t="s">
        <v>86</v>
      </c>
      <c r="P99" s="399" t="n">
        <f aca="false">AVERAGE(M2:M494)</f>
        <v>1058.70238095238</v>
      </c>
      <c r="Q99" s="399"/>
      <c r="R99" s="399"/>
    </row>
    <row r="100" customFormat="false" ht="12.75" hidden="false" customHeight="true" outlineLevel="0" collapsed="false">
      <c r="A100" s="449" t="n">
        <v>9912</v>
      </c>
      <c r="B100" s="450" t="s">
        <v>16465</v>
      </c>
      <c r="C100" s="450" t="n">
        <v>2010</v>
      </c>
      <c r="D100" s="451" t="n">
        <v>40400</v>
      </c>
      <c r="E100" s="450" t="s">
        <v>17334</v>
      </c>
      <c r="F100" s="450" t="s">
        <v>1080</v>
      </c>
      <c r="G100" s="450" t="s">
        <v>441</v>
      </c>
      <c r="H100" s="450" t="s">
        <v>706</v>
      </c>
      <c r="I100" s="451" t="n">
        <v>41122</v>
      </c>
      <c r="J100" s="452" t="n">
        <v>8</v>
      </c>
      <c r="K100" s="631" t="s">
        <v>42</v>
      </c>
      <c r="L100" s="452" t="s">
        <v>58</v>
      </c>
      <c r="M100" s="455" t="n">
        <f aca="false">I100-D100</f>
        <v>722</v>
      </c>
      <c r="N100" s="4"/>
      <c r="O100" s="4"/>
      <c r="P100" s="4"/>
      <c r="Q100" s="4"/>
      <c r="R100" s="4"/>
    </row>
    <row r="101" customFormat="false" ht="12.75" hidden="false" customHeight="true" outlineLevel="0" collapsed="false">
      <c r="A101" s="456" t="n">
        <v>10012</v>
      </c>
      <c r="B101" s="458" t="s">
        <v>16468</v>
      </c>
      <c r="C101" s="458" t="n">
        <v>2011</v>
      </c>
      <c r="D101" s="459" t="n">
        <v>40604</v>
      </c>
      <c r="E101" s="458" t="s">
        <v>17335</v>
      </c>
      <c r="F101" s="458" t="s">
        <v>579</v>
      </c>
      <c r="G101" s="458" t="s">
        <v>441</v>
      </c>
      <c r="H101" s="458" t="s">
        <v>16610</v>
      </c>
      <c r="I101" s="459" t="n">
        <v>41124</v>
      </c>
      <c r="J101" s="460" t="n">
        <v>8</v>
      </c>
      <c r="K101" s="634" t="s">
        <v>45</v>
      </c>
      <c r="L101" s="460" t="s">
        <v>58</v>
      </c>
      <c r="M101" s="463" t="n">
        <f aca="false">I101-D101</f>
        <v>520</v>
      </c>
      <c r="N101" s="4"/>
      <c r="O101" s="4"/>
      <c r="P101" s="4"/>
      <c r="Q101" s="4"/>
      <c r="R101" s="4"/>
    </row>
    <row r="102" customFormat="false" ht="12.75" hidden="false" customHeight="true" outlineLevel="0" collapsed="false">
      <c r="A102" s="449" t="n">
        <v>10112</v>
      </c>
      <c r="B102" s="450" t="s">
        <v>17336</v>
      </c>
      <c r="C102" s="450" t="n">
        <v>2008</v>
      </c>
      <c r="D102" s="451" t="n">
        <v>39744</v>
      </c>
      <c r="E102" s="450" t="s">
        <v>17337</v>
      </c>
      <c r="F102" s="450" t="s">
        <v>7360</v>
      </c>
      <c r="G102" s="450" t="s">
        <v>441</v>
      </c>
      <c r="H102" s="450" t="s">
        <v>2677</v>
      </c>
      <c r="I102" s="451" t="n">
        <v>41124</v>
      </c>
      <c r="J102" s="452" t="n">
        <v>8</v>
      </c>
      <c r="K102" s="631" t="s">
        <v>42</v>
      </c>
      <c r="L102" s="452" t="s">
        <v>60</v>
      </c>
      <c r="M102" s="455" t="n">
        <f aca="false">I102-D102</f>
        <v>1380</v>
      </c>
      <c r="N102" s="4"/>
      <c r="O102" s="4"/>
      <c r="P102" s="4"/>
      <c r="Q102" s="4"/>
      <c r="R102" s="4"/>
    </row>
    <row r="103" customFormat="false" ht="12.75" hidden="false" customHeight="true" outlineLevel="0" collapsed="false">
      <c r="A103" s="456" t="n">
        <v>10212</v>
      </c>
      <c r="B103" s="458" t="s">
        <v>17338</v>
      </c>
      <c r="C103" s="458" t="n">
        <v>2012</v>
      </c>
      <c r="D103" s="459" t="n">
        <v>40918</v>
      </c>
      <c r="E103" s="458" t="s">
        <v>17339</v>
      </c>
      <c r="F103" s="625" t="s">
        <v>288</v>
      </c>
      <c r="G103" s="458" t="s">
        <v>130</v>
      </c>
      <c r="H103" s="458" t="s">
        <v>17340</v>
      </c>
      <c r="I103" s="459" t="n">
        <v>41124</v>
      </c>
      <c r="J103" s="460" t="n">
        <v>8</v>
      </c>
      <c r="K103" s="632" t="s">
        <v>2407</v>
      </c>
      <c r="L103" s="460" t="s">
        <v>61</v>
      </c>
      <c r="M103" s="463" t="n">
        <f aca="false">I103-D103</f>
        <v>206</v>
      </c>
      <c r="N103" s="4"/>
      <c r="O103" s="4"/>
      <c r="P103" s="4"/>
      <c r="Q103" s="4"/>
      <c r="R103" s="4"/>
    </row>
    <row r="104" customFormat="false" ht="12.75" hidden="false" customHeight="true" outlineLevel="0" collapsed="false">
      <c r="A104" s="449" t="n">
        <v>10312</v>
      </c>
      <c r="B104" s="450" t="s">
        <v>17341</v>
      </c>
      <c r="C104" s="450" t="n">
        <v>2006</v>
      </c>
      <c r="D104" s="451" t="n">
        <v>38791</v>
      </c>
      <c r="E104" s="450" t="s">
        <v>17342</v>
      </c>
      <c r="F104" s="450" t="s">
        <v>699</v>
      </c>
      <c r="G104" s="450" t="s">
        <v>441</v>
      </c>
      <c r="H104" s="450" t="s">
        <v>2654</v>
      </c>
      <c r="I104" s="451" t="n">
        <v>41127</v>
      </c>
      <c r="J104" s="452" t="n">
        <v>8</v>
      </c>
      <c r="K104" s="634" t="s">
        <v>45</v>
      </c>
      <c r="L104" s="452" t="s">
        <v>60</v>
      </c>
      <c r="M104" s="455" t="n">
        <f aca="false">I104-D104</f>
        <v>2336</v>
      </c>
      <c r="N104" s="4"/>
      <c r="O104" s="4"/>
      <c r="P104" s="4"/>
      <c r="Q104" s="4"/>
      <c r="R104" s="4"/>
    </row>
    <row r="105" customFormat="false" ht="12.75" hidden="false" customHeight="true" outlineLevel="0" collapsed="false">
      <c r="A105" s="456" t="n">
        <v>10412</v>
      </c>
      <c r="B105" s="458" t="s">
        <v>17343</v>
      </c>
      <c r="C105" s="458" t="n">
        <v>2011</v>
      </c>
      <c r="D105" s="459" t="n">
        <v>40690</v>
      </c>
      <c r="E105" s="458" t="s">
        <v>17344</v>
      </c>
      <c r="F105" s="458" t="s">
        <v>1277</v>
      </c>
      <c r="G105" s="458" t="s">
        <v>441</v>
      </c>
      <c r="H105" s="458" t="s">
        <v>192</v>
      </c>
      <c r="I105" s="459" t="n">
        <v>41137</v>
      </c>
      <c r="J105" s="460" t="n">
        <v>8</v>
      </c>
      <c r="K105" s="631" t="s">
        <v>42</v>
      </c>
      <c r="L105" s="460" t="s">
        <v>58</v>
      </c>
      <c r="M105" s="463" t="n">
        <f aca="false">I105-D105</f>
        <v>447</v>
      </c>
      <c r="N105" s="4"/>
      <c r="O105" s="4"/>
      <c r="P105" s="4"/>
      <c r="Q105" s="4"/>
      <c r="R105" s="4"/>
    </row>
    <row r="106" customFormat="false" ht="12.75" hidden="false" customHeight="true" outlineLevel="0" collapsed="false">
      <c r="A106" s="449" t="n">
        <v>10512</v>
      </c>
      <c r="B106" s="450" t="s">
        <v>17345</v>
      </c>
      <c r="C106" s="450" t="n">
        <v>2011</v>
      </c>
      <c r="D106" s="451" t="n">
        <v>40569</v>
      </c>
      <c r="E106" s="450" t="s">
        <v>17346</v>
      </c>
      <c r="F106" s="450" t="s">
        <v>5401</v>
      </c>
      <c r="G106" s="450" t="s">
        <v>441</v>
      </c>
      <c r="H106" s="450" t="s">
        <v>17289</v>
      </c>
      <c r="I106" s="451" t="n">
        <v>41138</v>
      </c>
      <c r="J106" s="452" t="n">
        <v>8</v>
      </c>
      <c r="K106" s="633" t="s">
        <v>47</v>
      </c>
      <c r="L106" s="452" t="s">
        <v>60</v>
      </c>
      <c r="M106" s="455" t="n">
        <f aca="false">I106-D106</f>
        <v>569</v>
      </c>
      <c r="N106" s="4"/>
      <c r="O106" s="4"/>
      <c r="P106" s="4"/>
      <c r="Q106" s="4"/>
      <c r="R106" s="4"/>
    </row>
    <row r="107" customFormat="false" ht="12.75" hidden="false" customHeight="true" outlineLevel="0" collapsed="false">
      <c r="A107" s="456" t="n">
        <v>10612</v>
      </c>
      <c r="B107" s="458" t="s">
        <v>17347</v>
      </c>
      <c r="C107" s="458" t="n">
        <v>2010</v>
      </c>
      <c r="D107" s="459" t="n">
        <v>40231</v>
      </c>
      <c r="E107" s="458" t="s">
        <v>17348</v>
      </c>
      <c r="F107" s="458" t="s">
        <v>1080</v>
      </c>
      <c r="G107" s="458" t="s">
        <v>441</v>
      </c>
      <c r="H107" s="458" t="s">
        <v>706</v>
      </c>
      <c r="I107" s="459" t="n">
        <v>41138</v>
      </c>
      <c r="J107" s="460" t="n">
        <v>8</v>
      </c>
      <c r="K107" s="631" t="s">
        <v>42</v>
      </c>
      <c r="L107" s="460" t="s">
        <v>58</v>
      </c>
      <c r="M107" s="463" t="n">
        <f aca="false">I107-D107</f>
        <v>907</v>
      </c>
      <c r="N107" s="4"/>
      <c r="O107" s="4"/>
      <c r="P107" s="4"/>
      <c r="Q107" s="4"/>
      <c r="R107" s="4"/>
    </row>
    <row r="108" customFormat="false" ht="12.75" hidden="false" customHeight="true" outlineLevel="0" collapsed="false">
      <c r="A108" s="449" t="n">
        <v>10712</v>
      </c>
      <c r="B108" s="450" t="s">
        <v>17349</v>
      </c>
      <c r="C108" s="450" t="n">
        <v>2009</v>
      </c>
      <c r="D108" s="451" t="n">
        <v>39941</v>
      </c>
      <c r="E108" s="450" t="s">
        <v>17350</v>
      </c>
      <c r="F108" s="450" t="s">
        <v>1277</v>
      </c>
      <c r="G108" s="450" t="s">
        <v>1174</v>
      </c>
      <c r="H108" s="450" t="s">
        <v>354</v>
      </c>
      <c r="I108" s="451" t="n">
        <v>41143</v>
      </c>
      <c r="J108" s="452" t="n">
        <v>8</v>
      </c>
      <c r="K108" s="634" t="s">
        <v>45</v>
      </c>
      <c r="L108" s="452" t="s">
        <v>58</v>
      </c>
      <c r="M108" s="455" t="n">
        <f aca="false">I108-D108</f>
        <v>1202</v>
      </c>
      <c r="N108" s="4"/>
      <c r="O108" s="4"/>
      <c r="P108" s="4"/>
      <c r="Q108" s="4"/>
      <c r="R108" s="4"/>
    </row>
    <row r="109" customFormat="false" ht="12.75" hidden="false" customHeight="true" outlineLevel="0" collapsed="false">
      <c r="A109" s="456" t="n">
        <v>10812</v>
      </c>
      <c r="B109" s="458" t="s">
        <v>17351</v>
      </c>
      <c r="C109" s="458" t="n">
        <v>2010</v>
      </c>
      <c r="D109" s="459" t="n">
        <v>40277</v>
      </c>
      <c r="E109" s="458" t="s">
        <v>17352</v>
      </c>
      <c r="F109" s="458" t="s">
        <v>449</v>
      </c>
      <c r="G109" s="458" t="s">
        <v>441</v>
      </c>
      <c r="H109" s="458" t="s">
        <v>354</v>
      </c>
      <c r="I109" s="459" t="n">
        <v>41143</v>
      </c>
      <c r="J109" s="460" t="n">
        <v>8</v>
      </c>
      <c r="K109" s="631" t="s">
        <v>42</v>
      </c>
      <c r="L109" s="460" t="s">
        <v>58</v>
      </c>
      <c r="M109" s="463" t="n">
        <f aca="false">I109-D109</f>
        <v>866</v>
      </c>
      <c r="N109" s="4"/>
      <c r="O109" s="4"/>
      <c r="P109" s="4"/>
      <c r="Q109" s="4"/>
      <c r="R109" s="4"/>
    </row>
    <row r="110" customFormat="false" ht="12.75" hidden="false" customHeight="true" outlineLevel="0" collapsed="false">
      <c r="A110" s="449" t="n">
        <v>10912</v>
      </c>
      <c r="B110" s="450" t="s">
        <v>17353</v>
      </c>
      <c r="C110" s="450" t="n">
        <v>2011</v>
      </c>
      <c r="D110" s="451" t="n">
        <v>40597</v>
      </c>
      <c r="E110" s="450" t="s">
        <v>17354</v>
      </c>
      <c r="F110" s="450" t="s">
        <v>699</v>
      </c>
      <c r="G110" s="450" t="s">
        <v>441</v>
      </c>
      <c r="H110" s="450" t="s">
        <v>17289</v>
      </c>
      <c r="I110" s="451" t="n">
        <v>41144</v>
      </c>
      <c r="J110" s="452" t="n">
        <v>8</v>
      </c>
      <c r="K110" s="634" t="s">
        <v>45</v>
      </c>
      <c r="L110" s="452" t="s">
        <v>60</v>
      </c>
      <c r="M110" s="455" t="n">
        <f aca="false">I110-D110</f>
        <v>547</v>
      </c>
      <c r="N110" s="4"/>
      <c r="O110" s="4"/>
      <c r="P110" s="4"/>
      <c r="Q110" s="4"/>
      <c r="R110" s="4"/>
    </row>
    <row r="111" customFormat="false" ht="12.75" hidden="false" customHeight="true" outlineLevel="0" collapsed="false">
      <c r="A111" s="456" t="n">
        <v>11012</v>
      </c>
      <c r="B111" s="458" t="s">
        <v>17355</v>
      </c>
      <c r="C111" s="458" t="n">
        <v>2009</v>
      </c>
      <c r="D111" s="459" t="n">
        <v>40176</v>
      </c>
      <c r="E111" s="458" t="s">
        <v>17356</v>
      </c>
      <c r="F111" s="458" t="s">
        <v>365</v>
      </c>
      <c r="G111" s="458" t="s">
        <v>441</v>
      </c>
      <c r="H111" s="458" t="s">
        <v>192</v>
      </c>
      <c r="I111" s="459" t="n">
        <v>41145</v>
      </c>
      <c r="J111" s="460" t="n">
        <v>8</v>
      </c>
      <c r="K111" s="634" t="s">
        <v>45</v>
      </c>
      <c r="L111" s="460" t="s">
        <v>58</v>
      </c>
      <c r="M111" s="463" t="n">
        <f aca="false">I111-D111</f>
        <v>969</v>
      </c>
      <c r="N111" s="4"/>
      <c r="O111" s="4"/>
      <c r="P111" s="4"/>
      <c r="Q111" s="4"/>
      <c r="R111" s="4"/>
    </row>
    <row r="112" customFormat="false" ht="12.75" hidden="false" customHeight="true" outlineLevel="0" collapsed="false">
      <c r="A112" s="449" t="n">
        <v>11112</v>
      </c>
      <c r="B112" s="450" t="s">
        <v>17357</v>
      </c>
      <c r="C112" s="450" t="n">
        <v>2009</v>
      </c>
      <c r="D112" s="451" t="n">
        <v>40084</v>
      </c>
      <c r="E112" s="450" t="s">
        <v>17358</v>
      </c>
      <c r="F112" s="450" t="s">
        <v>15802</v>
      </c>
      <c r="G112" s="450" t="s">
        <v>1174</v>
      </c>
      <c r="H112" s="450" t="s">
        <v>706</v>
      </c>
      <c r="I112" s="451" t="n">
        <v>41149</v>
      </c>
      <c r="J112" s="452" t="n">
        <v>8</v>
      </c>
      <c r="K112" s="631" t="s">
        <v>42</v>
      </c>
      <c r="L112" s="452" t="s">
        <v>60</v>
      </c>
      <c r="M112" s="455" t="n">
        <f aca="false">I112-D112</f>
        <v>1065</v>
      </c>
      <c r="N112" s="4"/>
      <c r="O112" s="4"/>
      <c r="P112" s="4"/>
      <c r="Q112" s="4"/>
      <c r="R112" s="4"/>
    </row>
    <row r="113" customFormat="false" ht="12.75" hidden="false" customHeight="true" outlineLevel="0" collapsed="false">
      <c r="A113" s="456" t="n">
        <v>11212</v>
      </c>
      <c r="B113" s="458" t="s">
        <v>17359</v>
      </c>
      <c r="C113" s="458" t="n">
        <v>2007</v>
      </c>
      <c r="D113" s="459" t="n">
        <v>39365</v>
      </c>
      <c r="E113" s="458" t="s">
        <v>17360</v>
      </c>
      <c r="F113" s="458" t="s">
        <v>15802</v>
      </c>
      <c r="G113" s="458" t="s">
        <v>1174</v>
      </c>
      <c r="H113" s="458" t="s">
        <v>706</v>
      </c>
      <c r="I113" s="459" t="n">
        <v>41150</v>
      </c>
      <c r="J113" s="460" t="n">
        <v>8</v>
      </c>
      <c r="K113" s="631" t="s">
        <v>42</v>
      </c>
      <c r="L113" s="460" t="s">
        <v>60</v>
      </c>
      <c r="M113" s="463" t="n">
        <f aca="false">I113-D113</f>
        <v>1785</v>
      </c>
    </row>
    <row r="114" customFormat="false" ht="12.75" hidden="false" customHeight="true" outlineLevel="0" collapsed="false">
      <c r="A114" s="449" t="n">
        <v>11312</v>
      </c>
      <c r="B114" s="450" t="s">
        <v>17361</v>
      </c>
      <c r="C114" s="450" t="n">
        <v>2011</v>
      </c>
      <c r="D114" s="451" t="n">
        <v>40770</v>
      </c>
      <c r="E114" s="450" t="s">
        <v>17362</v>
      </c>
      <c r="F114" s="450" t="s">
        <v>15802</v>
      </c>
      <c r="G114" s="450" t="s">
        <v>1174</v>
      </c>
      <c r="H114" s="450" t="s">
        <v>706</v>
      </c>
      <c r="I114" s="451" t="n">
        <v>41150</v>
      </c>
      <c r="J114" s="452" t="n">
        <v>8</v>
      </c>
      <c r="K114" s="631" t="s">
        <v>42</v>
      </c>
      <c r="L114" s="452" t="s">
        <v>60</v>
      </c>
      <c r="M114" s="455" t="n">
        <f aca="false">I114-D114</f>
        <v>380</v>
      </c>
    </row>
    <row r="115" customFormat="false" ht="12.75" hidden="false" customHeight="true" outlineLevel="0" collapsed="false">
      <c r="A115" s="456" t="n">
        <v>11412</v>
      </c>
      <c r="B115" s="458" t="s">
        <v>17363</v>
      </c>
      <c r="C115" s="458" t="n">
        <v>2007</v>
      </c>
      <c r="D115" s="459" t="n">
        <v>39226</v>
      </c>
      <c r="E115" s="458" t="s">
        <v>17364</v>
      </c>
      <c r="F115" s="458" t="s">
        <v>449</v>
      </c>
      <c r="G115" s="458" t="s">
        <v>441</v>
      </c>
      <c r="H115" s="458" t="s">
        <v>1109</v>
      </c>
      <c r="I115" s="459" t="n">
        <v>41150</v>
      </c>
      <c r="J115" s="460" t="n">
        <v>8</v>
      </c>
      <c r="K115" s="633" t="s">
        <v>47</v>
      </c>
      <c r="L115" s="460" t="s">
        <v>58</v>
      </c>
      <c r="M115" s="463" t="n">
        <f aca="false">I115-D115</f>
        <v>1924</v>
      </c>
    </row>
    <row r="116" customFormat="false" ht="12.75" hidden="false" customHeight="true" outlineLevel="0" collapsed="false">
      <c r="A116" s="449" t="n">
        <v>11512</v>
      </c>
      <c r="B116" s="450" t="s">
        <v>17365</v>
      </c>
      <c r="C116" s="450" t="n">
        <v>2007</v>
      </c>
      <c r="D116" s="451" t="n">
        <v>39227</v>
      </c>
      <c r="E116" s="450" t="s">
        <v>17366</v>
      </c>
      <c r="F116" s="450" t="s">
        <v>449</v>
      </c>
      <c r="G116" s="450" t="s">
        <v>441</v>
      </c>
      <c r="H116" s="450" t="s">
        <v>1109</v>
      </c>
      <c r="I116" s="451" t="n">
        <v>41150</v>
      </c>
      <c r="J116" s="452" t="n">
        <v>8</v>
      </c>
      <c r="K116" s="633" t="s">
        <v>47</v>
      </c>
      <c r="L116" s="452" t="s">
        <v>58</v>
      </c>
      <c r="M116" s="455" t="n">
        <f aca="false">I116-D116</f>
        <v>1923</v>
      </c>
    </row>
    <row r="117" customFormat="false" ht="12.75" hidden="false" customHeight="true" outlineLevel="0" collapsed="false">
      <c r="A117" s="456" t="n">
        <v>11612</v>
      </c>
      <c r="B117" s="458" t="s">
        <v>17367</v>
      </c>
      <c r="C117" s="458" t="n">
        <v>2009</v>
      </c>
      <c r="D117" s="459" t="n">
        <v>40127</v>
      </c>
      <c r="E117" s="458" t="s">
        <v>17368</v>
      </c>
      <c r="F117" s="458" t="s">
        <v>8232</v>
      </c>
      <c r="G117" s="458" t="s">
        <v>441</v>
      </c>
      <c r="H117" s="458" t="s">
        <v>1059</v>
      </c>
      <c r="I117" s="459" t="n">
        <v>41151</v>
      </c>
      <c r="J117" s="460" t="n">
        <v>8</v>
      </c>
      <c r="K117" s="634" t="s">
        <v>45</v>
      </c>
      <c r="L117" s="460" t="s">
        <v>58</v>
      </c>
      <c r="M117" s="463" t="n">
        <f aca="false">I117-D117</f>
        <v>1024</v>
      </c>
    </row>
    <row r="118" customFormat="false" ht="12.75" hidden="false" customHeight="true" outlineLevel="0" collapsed="false">
      <c r="A118" s="449" t="n">
        <v>11712</v>
      </c>
      <c r="B118" s="450" t="s">
        <v>17369</v>
      </c>
      <c r="C118" s="450" t="n">
        <v>2009</v>
      </c>
      <c r="D118" s="451" t="n">
        <v>40115</v>
      </c>
      <c r="E118" s="450" t="s">
        <v>17370</v>
      </c>
      <c r="F118" s="450" t="s">
        <v>15802</v>
      </c>
      <c r="G118" s="450" t="s">
        <v>1174</v>
      </c>
      <c r="H118" s="450" t="s">
        <v>706</v>
      </c>
      <c r="I118" s="451" t="n">
        <v>41163</v>
      </c>
      <c r="J118" s="452" t="n">
        <v>9</v>
      </c>
      <c r="K118" s="631" t="s">
        <v>42</v>
      </c>
      <c r="L118" s="452" t="s">
        <v>60</v>
      </c>
      <c r="M118" s="455" t="n">
        <f aca="false">I118-D118</f>
        <v>1048</v>
      </c>
    </row>
    <row r="119" customFormat="false" ht="12.75" hidden="false" customHeight="true" outlineLevel="0" collapsed="false">
      <c r="A119" s="456" t="n">
        <v>11812</v>
      </c>
      <c r="B119" s="458" t="s">
        <v>17371</v>
      </c>
      <c r="C119" s="458" t="n">
        <v>2009</v>
      </c>
      <c r="D119" s="459" t="n">
        <v>40177</v>
      </c>
      <c r="E119" s="458" t="s">
        <v>17372</v>
      </c>
      <c r="F119" s="458" t="s">
        <v>449</v>
      </c>
      <c r="G119" s="458" t="s">
        <v>441</v>
      </c>
      <c r="H119" s="458" t="s">
        <v>17289</v>
      </c>
      <c r="I119" s="459" t="n">
        <v>41163</v>
      </c>
      <c r="J119" s="460" t="n">
        <v>9</v>
      </c>
      <c r="K119" s="631" t="s">
        <v>42</v>
      </c>
      <c r="L119" s="460" t="s">
        <v>58</v>
      </c>
      <c r="M119" s="463" t="n">
        <f aca="false">I119-D119</f>
        <v>986</v>
      </c>
    </row>
    <row r="120" customFormat="false" ht="12.75" hidden="false" customHeight="true" outlineLevel="0" collapsed="false">
      <c r="A120" s="449" t="n">
        <v>11912</v>
      </c>
      <c r="B120" s="450" t="s">
        <v>17373</v>
      </c>
      <c r="C120" s="450" t="n">
        <v>2008</v>
      </c>
      <c r="D120" s="451" t="n">
        <v>39660</v>
      </c>
      <c r="E120" s="450" t="s">
        <v>17374</v>
      </c>
      <c r="F120" s="450" t="s">
        <v>11580</v>
      </c>
      <c r="G120" s="450" t="s">
        <v>125</v>
      </c>
      <c r="H120" s="450" t="s">
        <v>254</v>
      </c>
      <c r="I120" s="451" t="n">
        <v>41163</v>
      </c>
      <c r="J120" s="452" t="n">
        <v>9</v>
      </c>
      <c r="K120" s="633" t="s">
        <v>47</v>
      </c>
      <c r="L120" s="452" t="s">
        <v>61</v>
      </c>
      <c r="M120" s="455" t="n">
        <f aca="false">I120-D120</f>
        <v>1503</v>
      </c>
    </row>
    <row r="121" customFormat="false" ht="12.75" hidden="false" customHeight="true" outlineLevel="0" collapsed="false">
      <c r="A121" s="456" t="n">
        <v>12012</v>
      </c>
      <c r="B121" s="458" t="s">
        <v>17375</v>
      </c>
      <c r="C121" s="458" t="n">
        <v>2008</v>
      </c>
      <c r="D121" s="459" t="n">
        <v>39640</v>
      </c>
      <c r="E121" s="458" t="s">
        <v>17376</v>
      </c>
      <c r="F121" s="458" t="s">
        <v>3091</v>
      </c>
      <c r="G121" s="458" t="s">
        <v>441</v>
      </c>
      <c r="H121" s="458" t="s">
        <v>17286</v>
      </c>
      <c r="I121" s="459" t="n">
        <v>41177</v>
      </c>
      <c r="J121" s="460" t="n">
        <v>9</v>
      </c>
      <c r="K121" s="631" t="s">
        <v>42</v>
      </c>
      <c r="L121" s="460" t="s">
        <v>58</v>
      </c>
      <c r="M121" s="463" t="n">
        <f aca="false">I121-D121</f>
        <v>1537</v>
      </c>
    </row>
    <row r="122" customFormat="false" ht="12.75" hidden="false" customHeight="true" outlineLevel="0" collapsed="false">
      <c r="A122" s="449" t="n">
        <v>12112</v>
      </c>
      <c r="B122" s="450" t="s">
        <v>17377</v>
      </c>
      <c r="C122" s="450" t="n">
        <v>2008</v>
      </c>
      <c r="D122" s="451" t="n">
        <v>39640</v>
      </c>
      <c r="E122" s="450" t="s">
        <v>17378</v>
      </c>
      <c r="F122" s="450" t="s">
        <v>3091</v>
      </c>
      <c r="G122" s="450" t="s">
        <v>441</v>
      </c>
      <c r="H122" s="450" t="s">
        <v>17286</v>
      </c>
      <c r="I122" s="451" t="n">
        <v>41177</v>
      </c>
      <c r="J122" s="452" t="n">
        <v>9</v>
      </c>
      <c r="K122" s="631" t="s">
        <v>42</v>
      </c>
      <c r="L122" s="452" t="s">
        <v>58</v>
      </c>
      <c r="M122" s="455" t="n">
        <f aca="false">I122-D122</f>
        <v>1537</v>
      </c>
    </row>
    <row r="123" customFormat="false" ht="12.75" hidden="false" customHeight="true" outlineLevel="0" collapsed="false">
      <c r="A123" s="456" t="n">
        <v>12212</v>
      </c>
      <c r="B123" s="458" t="s">
        <v>17379</v>
      </c>
      <c r="C123" s="458" t="n">
        <v>2011</v>
      </c>
      <c r="D123" s="459" t="n">
        <v>40870</v>
      </c>
      <c r="E123" s="458" t="s">
        <v>17380</v>
      </c>
      <c r="F123" s="625" t="s">
        <v>288</v>
      </c>
      <c r="G123" s="458" t="s">
        <v>130</v>
      </c>
      <c r="H123" s="458" t="s">
        <v>17381</v>
      </c>
      <c r="I123" s="459" t="n">
        <v>41178</v>
      </c>
      <c r="J123" s="460" t="n">
        <v>9</v>
      </c>
      <c r="K123" s="632" t="s">
        <v>2407</v>
      </c>
      <c r="L123" s="460" t="s">
        <v>61</v>
      </c>
      <c r="M123" s="463" t="n">
        <f aca="false">I123-D123</f>
        <v>308</v>
      </c>
    </row>
    <row r="124" customFormat="false" ht="12.75" hidden="false" customHeight="true" outlineLevel="0" collapsed="false">
      <c r="A124" s="449" t="n">
        <v>12312</v>
      </c>
      <c r="B124" s="450" t="s">
        <v>17379</v>
      </c>
      <c r="C124" s="450" t="n">
        <v>2011</v>
      </c>
      <c r="D124" s="451" t="n">
        <v>40870</v>
      </c>
      <c r="E124" s="450" t="s">
        <v>17382</v>
      </c>
      <c r="F124" s="624" t="s">
        <v>288</v>
      </c>
      <c r="G124" s="450" t="s">
        <v>130</v>
      </c>
      <c r="H124" s="450" t="s">
        <v>17383</v>
      </c>
      <c r="I124" s="451" t="n">
        <v>41178</v>
      </c>
      <c r="J124" s="452" t="n">
        <v>9</v>
      </c>
      <c r="K124" s="632" t="s">
        <v>2407</v>
      </c>
      <c r="L124" s="452" t="s">
        <v>61</v>
      </c>
      <c r="M124" s="455" t="n">
        <f aca="false">I124-D124</f>
        <v>308</v>
      </c>
    </row>
    <row r="125" customFormat="false" ht="12.75" hidden="false" customHeight="true" outlineLevel="0" collapsed="false">
      <c r="A125" s="456" t="n">
        <v>12412</v>
      </c>
      <c r="B125" s="458" t="s">
        <v>17384</v>
      </c>
      <c r="C125" s="458" t="n">
        <v>2012</v>
      </c>
      <c r="D125" s="459" t="n">
        <v>41054</v>
      </c>
      <c r="E125" s="458" t="s">
        <v>17385</v>
      </c>
      <c r="F125" s="625" t="s">
        <v>288</v>
      </c>
      <c r="G125" s="458" t="s">
        <v>130</v>
      </c>
      <c r="H125" s="458" t="s">
        <v>17386</v>
      </c>
      <c r="I125" s="459" t="n">
        <v>41178</v>
      </c>
      <c r="J125" s="460" t="n">
        <v>9</v>
      </c>
      <c r="K125" s="632" t="s">
        <v>2407</v>
      </c>
      <c r="L125" s="460" t="s">
        <v>61</v>
      </c>
      <c r="M125" s="463" t="n">
        <f aca="false">I125-D125</f>
        <v>124</v>
      </c>
    </row>
    <row r="126" customFormat="false" ht="12.75" hidden="false" customHeight="true" outlineLevel="0" collapsed="false">
      <c r="A126" s="449" t="n">
        <v>12512</v>
      </c>
      <c r="B126" s="450" t="s">
        <v>17387</v>
      </c>
      <c r="C126" s="450" t="n">
        <v>2009</v>
      </c>
      <c r="D126" s="451" t="n">
        <v>39870</v>
      </c>
      <c r="E126" s="450" t="s">
        <v>17388</v>
      </c>
      <c r="F126" s="450" t="s">
        <v>689</v>
      </c>
      <c r="G126" s="450" t="s">
        <v>144</v>
      </c>
      <c r="H126" s="450" t="s">
        <v>119</v>
      </c>
      <c r="I126" s="451" t="n">
        <v>41179</v>
      </c>
      <c r="J126" s="452" t="n">
        <v>9</v>
      </c>
      <c r="K126" s="633" t="s">
        <v>47</v>
      </c>
      <c r="L126" s="452" t="s">
        <v>60</v>
      </c>
      <c r="M126" s="455" t="n">
        <f aca="false">I126-D126</f>
        <v>1309</v>
      </c>
    </row>
    <row r="127" customFormat="false" ht="12.75" hidden="false" customHeight="true" outlineLevel="0" collapsed="false">
      <c r="A127" s="456" t="n">
        <v>12612</v>
      </c>
      <c r="B127" s="458" t="s">
        <v>17389</v>
      </c>
      <c r="C127" s="458" t="n">
        <v>2010</v>
      </c>
      <c r="D127" s="459" t="n">
        <v>40479</v>
      </c>
      <c r="E127" s="458" t="s">
        <v>17390</v>
      </c>
      <c r="F127" s="458" t="s">
        <v>5401</v>
      </c>
      <c r="G127" s="458" t="s">
        <v>441</v>
      </c>
      <c r="H127" s="458" t="s">
        <v>1266</v>
      </c>
      <c r="I127" s="459" t="n">
        <v>41180</v>
      </c>
      <c r="J127" s="460" t="n">
        <v>9</v>
      </c>
      <c r="K127" s="633" t="s">
        <v>47</v>
      </c>
      <c r="L127" s="460" t="s">
        <v>60</v>
      </c>
      <c r="M127" s="463" t="n">
        <f aca="false">I127-D127</f>
        <v>701</v>
      </c>
    </row>
    <row r="128" customFormat="false" ht="12.75" hidden="false" customHeight="true" outlineLevel="0" collapsed="false">
      <c r="A128" s="449" t="n">
        <v>12712</v>
      </c>
      <c r="B128" s="450" t="s">
        <v>17391</v>
      </c>
      <c r="C128" s="450" t="n">
        <v>2010</v>
      </c>
      <c r="D128" s="451" t="n">
        <v>40490</v>
      </c>
      <c r="E128" s="450" t="s">
        <v>17392</v>
      </c>
      <c r="F128" s="450" t="s">
        <v>5401</v>
      </c>
      <c r="G128" s="450" t="s">
        <v>441</v>
      </c>
      <c r="H128" s="450" t="s">
        <v>1266</v>
      </c>
      <c r="I128" s="451" t="n">
        <v>41180</v>
      </c>
      <c r="J128" s="452" t="n">
        <v>9</v>
      </c>
      <c r="K128" s="633" t="s">
        <v>47</v>
      </c>
      <c r="L128" s="452" t="s">
        <v>60</v>
      </c>
      <c r="M128" s="455" t="n">
        <f aca="false">I128-D128</f>
        <v>690</v>
      </c>
    </row>
    <row r="129" customFormat="false" ht="12.75" hidden="false" customHeight="true" outlineLevel="0" collapsed="false">
      <c r="A129" s="456" t="n">
        <v>12812</v>
      </c>
      <c r="B129" s="458" t="s">
        <v>17393</v>
      </c>
      <c r="C129" s="458" t="n">
        <v>2008</v>
      </c>
      <c r="D129" s="459" t="n">
        <v>39468</v>
      </c>
      <c r="E129" s="458" t="s">
        <v>17394</v>
      </c>
      <c r="F129" s="458" t="s">
        <v>408</v>
      </c>
      <c r="G129" s="458" t="s">
        <v>441</v>
      </c>
      <c r="H129" s="458" t="s">
        <v>254</v>
      </c>
      <c r="I129" s="459" t="n">
        <v>41190</v>
      </c>
      <c r="J129" s="460" t="n">
        <v>10</v>
      </c>
      <c r="K129" s="633" t="s">
        <v>47</v>
      </c>
      <c r="L129" s="460" t="s">
        <v>60</v>
      </c>
      <c r="M129" s="463" t="n">
        <f aca="false">I129-D129</f>
        <v>1722</v>
      </c>
    </row>
    <row r="130" customFormat="false" ht="12.75" hidden="false" customHeight="true" outlineLevel="0" collapsed="false">
      <c r="A130" s="449" t="n">
        <v>12912</v>
      </c>
      <c r="B130" s="450" t="s">
        <v>17395</v>
      </c>
      <c r="C130" s="450" t="n">
        <v>2008</v>
      </c>
      <c r="D130" s="451" t="n">
        <v>39561</v>
      </c>
      <c r="E130" s="450" t="s">
        <v>17396</v>
      </c>
      <c r="F130" s="450" t="s">
        <v>699</v>
      </c>
      <c r="G130" s="450" t="s">
        <v>441</v>
      </c>
      <c r="H130" s="450" t="s">
        <v>5230</v>
      </c>
      <c r="I130" s="451" t="n">
        <v>41191</v>
      </c>
      <c r="J130" s="452" t="n">
        <v>10</v>
      </c>
      <c r="K130" s="633" t="s">
        <v>47</v>
      </c>
      <c r="L130" s="452" t="s">
        <v>60</v>
      </c>
      <c r="M130" s="455" t="n">
        <f aca="false">I130-D130</f>
        <v>1630</v>
      </c>
    </row>
    <row r="131" customFormat="false" ht="12.75" hidden="false" customHeight="true" outlineLevel="0" collapsed="false">
      <c r="A131" s="456" t="n">
        <v>13012</v>
      </c>
      <c r="B131" s="458" t="s">
        <v>16531</v>
      </c>
      <c r="C131" s="458" t="n">
        <v>2009</v>
      </c>
      <c r="D131" s="459" t="n">
        <v>39883</v>
      </c>
      <c r="E131" s="458" t="s">
        <v>17397</v>
      </c>
      <c r="F131" s="458" t="s">
        <v>689</v>
      </c>
      <c r="G131" s="458" t="s">
        <v>144</v>
      </c>
      <c r="H131" s="458" t="s">
        <v>119</v>
      </c>
      <c r="I131" s="459" t="n">
        <v>41191</v>
      </c>
      <c r="J131" s="460" t="n">
        <v>10</v>
      </c>
      <c r="K131" s="633" t="s">
        <v>47</v>
      </c>
      <c r="L131" s="460" t="s">
        <v>60</v>
      </c>
      <c r="M131" s="463" t="n">
        <f aca="false">I131-D131</f>
        <v>1308</v>
      </c>
    </row>
    <row r="132" customFormat="false" ht="12.75" hidden="false" customHeight="true" outlineLevel="0" collapsed="false">
      <c r="A132" s="449" t="n">
        <v>13112</v>
      </c>
      <c r="B132" s="450" t="s">
        <v>17398</v>
      </c>
      <c r="C132" s="450" t="n">
        <v>2011</v>
      </c>
      <c r="D132" s="451" t="n">
        <v>40765</v>
      </c>
      <c r="E132" s="450" t="s">
        <v>17399</v>
      </c>
      <c r="F132" s="450" t="s">
        <v>1277</v>
      </c>
      <c r="G132" s="450" t="s">
        <v>441</v>
      </c>
      <c r="H132" s="450" t="s">
        <v>310</v>
      </c>
      <c r="I132" s="451" t="n">
        <v>41191</v>
      </c>
      <c r="J132" s="452" t="n">
        <v>10</v>
      </c>
      <c r="K132" s="634" t="s">
        <v>45</v>
      </c>
      <c r="L132" s="452" t="s">
        <v>58</v>
      </c>
      <c r="M132" s="455" t="n">
        <f aca="false">I132-D132</f>
        <v>426</v>
      </c>
    </row>
    <row r="133" customFormat="false" ht="12.75" hidden="false" customHeight="true" outlineLevel="0" collapsed="false">
      <c r="A133" s="456" t="n">
        <v>13212</v>
      </c>
      <c r="B133" s="458" t="s">
        <v>17400</v>
      </c>
      <c r="C133" s="458" t="n">
        <v>2012</v>
      </c>
      <c r="D133" s="459" t="n">
        <v>40962</v>
      </c>
      <c r="E133" s="458" t="s">
        <v>17401</v>
      </c>
      <c r="F133" s="625" t="s">
        <v>14559</v>
      </c>
      <c r="G133" s="458" t="s">
        <v>130</v>
      </c>
      <c r="H133" s="458" t="s">
        <v>149</v>
      </c>
      <c r="I133" s="459" t="n">
        <v>41191</v>
      </c>
      <c r="J133" s="460" t="n">
        <v>10</v>
      </c>
      <c r="K133" s="632" t="s">
        <v>2407</v>
      </c>
      <c r="L133" s="460" t="s">
        <v>61</v>
      </c>
      <c r="M133" s="463" t="n">
        <f aca="false">I133-D133</f>
        <v>229</v>
      </c>
    </row>
    <row r="134" customFormat="false" ht="12.75" hidden="false" customHeight="true" outlineLevel="0" collapsed="false">
      <c r="A134" s="449" t="n">
        <v>13312</v>
      </c>
      <c r="B134" s="450" t="s">
        <v>17402</v>
      </c>
      <c r="C134" s="450" t="n">
        <v>2010</v>
      </c>
      <c r="D134" s="451" t="n">
        <v>40429</v>
      </c>
      <c r="E134" s="450" t="s">
        <v>17403</v>
      </c>
      <c r="F134" s="450" t="s">
        <v>668</v>
      </c>
      <c r="G134" s="450" t="s">
        <v>441</v>
      </c>
      <c r="H134" s="450" t="s">
        <v>2677</v>
      </c>
      <c r="I134" s="451" t="n">
        <v>41191</v>
      </c>
      <c r="J134" s="452" t="n">
        <v>10</v>
      </c>
      <c r="K134" s="631" t="s">
        <v>42</v>
      </c>
      <c r="L134" s="452" t="s">
        <v>58</v>
      </c>
      <c r="M134" s="455" t="n">
        <f aca="false">I134-D134</f>
        <v>762</v>
      </c>
    </row>
    <row r="135" customFormat="false" ht="12.75" hidden="false" customHeight="true" outlineLevel="0" collapsed="false">
      <c r="A135" s="456" t="n">
        <v>13412</v>
      </c>
      <c r="B135" s="458" t="s">
        <v>17404</v>
      </c>
      <c r="C135" s="458" t="n">
        <v>2011</v>
      </c>
      <c r="D135" s="459" t="n">
        <v>40907</v>
      </c>
      <c r="E135" s="458" t="s">
        <v>17405</v>
      </c>
      <c r="F135" s="625" t="s">
        <v>14559</v>
      </c>
      <c r="G135" s="458" t="s">
        <v>130</v>
      </c>
      <c r="H135" s="458" t="s">
        <v>10653</v>
      </c>
      <c r="I135" s="459" t="n">
        <v>41191</v>
      </c>
      <c r="J135" s="460" t="n">
        <v>10</v>
      </c>
      <c r="K135" s="632" t="s">
        <v>2407</v>
      </c>
      <c r="L135" s="460" t="s">
        <v>61</v>
      </c>
      <c r="M135" s="463" t="n">
        <f aca="false">I135-D135</f>
        <v>284</v>
      </c>
    </row>
    <row r="136" customFormat="false" ht="12.75" hidden="false" customHeight="true" outlineLevel="0" collapsed="false">
      <c r="A136" s="449" t="n">
        <v>13512</v>
      </c>
      <c r="B136" s="450" t="s">
        <v>17406</v>
      </c>
      <c r="C136" s="450" t="n">
        <v>2011</v>
      </c>
      <c r="D136" s="451" t="n">
        <v>40848</v>
      </c>
      <c r="E136" s="450" t="s">
        <v>17407</v>
      </c>
      <c r="F136" s="450" t="s">
        <v>1277</v>
      </c>
      <c r="G136" s="450" t="s">
        <v>441</v>
      </c>
      <c r="H136" s="450" t="s">
        <v>16610</v>
      </c>
      <c r="I136" s="451" t="n">
        <v>41213</v>
      </c>
      <c r="J136" s="452" t="n">
        <v>10</v>
      </c>
      <c r="K136" s="634" t="s">
        <v>45</v>
      </c>
      <c r="L136" s="452" t="s">
        <v>58</v>
      </c>
      <c r="M136" s="455" t="n">
        <f aca="false">I136-D136</f>
        <v>365</v>
      </c>
    </row>
    <row r="137" customFormat="false" ht="12.75" hidden="false" customHeight="true" outlineLevel="0" collapsed="false">
      <c r="A137" s="456" t="n">
        <v>13612</v>
      </c>
      <c r="B137" s="458" t="s">
        <v>17408</v>
      </c>
      <c r="C137" s="458" t="n">
        <v>2010</v>
      </c>
      <c r="D137" s="459" t="n">
        <v>40319</v>
      </c>
      <c r="E137" s="458" t="s">
        <v>17409</v>
      </c>
      <c r="F137" s="458" t="s">
        <v>549</v>
      </c>
      <c r="G137" s="458" t="s">
        <v>441</v>
      </c>
      <c r="H137" s="458" t="s">
        <v>16610</v>
      </c>
      <c r="I137" s="459" t="n">
        <v>41213</v>
      </c>
      <c r="J137" s="460" t="n">
        <v>10</v>
      </c>
      <c r="K137" s="633" t="s">
        <v>47</v>
      </c>
      <c r="L137" s="460" t="s">
        <v>58</v>
      </c>
      <c r="M137" s="463" t="n">
        <f aca="false">I137-D137</f>
        <v>894</v>
      </c>
    </row>
    <row r="138" customFormat="false" ht="12.75" hidden="false" customHeight="true" outlineLevel="0" collapsed="false">
      <c r="A138" s="449" t="n">
        <v>13712</v>
      </c>
      <c r="B138" s="450" t="s">
        <v>17410</v>
      </c>
      <c r="C138" s="450" t="n">
        <v>2008</v>
      </c>
      <c r="D138" s="451" t="n">
        <v>39797</v>
      </c>
      <c r="E138" s="450" t="s">
        <v>17411</v>
      </c>
      <c r="F138" s="450" t="s">
        <v>1080</v>
      </c>
      <c r="G138" s="450" t="s">
        <v>1174</v>
      </c>
      <c r="H138" s="450" t="s">
        <v>184</v>
      </c>
      <c r="I138" s="451" t="n">
        <v>41232</v>
      </c>
      <c r="J138" s="452" t="n">
        <v>11</v>
      </c>
      <c r="K138" s="631" t="s">
        <v>42</v>
      </c>
      <c r="L138" s="452" t="s">
        <v>58</v>
      </c>
      <c r="M138" s="455" t="n">
        <f aca="false">I138-D138</f>
        <v>1435</v>
      </c>
    </row>
    <row r="139" customFormat="false" ht="12.75" hidden="false" customHeight="true" outlineLevel="0" collapsed="false">
      <c r="A139" s="456" t="n">
        <v>13812</v>
      </c>
      <c r="B139" s="458" t="s">
        <v>17412</v>
      </c>
      <c r="C139" s="458" t="n">
        <v>2009</v>
      </c>
      <c r="D139" s="459" t="n">
        <v>39994</v>
      </c>
      <c r="E139" s="458" t="s">
        <v>17413</v>
      </c>
      <c r="F139" s="458" t="s">
        <v>17414</v>
      </c>
      <c r="G139" s="458" t="s">
        <v>1174</v>
      </c>
      <c r="H139" s="458" t="s">
        <v>17289</v>
      </c>
      <c r="I139" s="459" t="n">
        <v>41232</v>
      </c>
      <c r="J139" s="460" t="n">
        <v>11</v>
      </c>
      <c r="K139" s="634" t="s">
        <v>45</v>
      </c>
      <c r="L139" s="460" t="s">
        <v>57</v>
      </c>
      <c r="M139" s="463" t="n">
        <f aca="false">I139-D139</f>
        <v>1238</v>
      </c>
    </row>
    <row r="140" customFormat="false" ht="12.75" hidden="false" customHeight="true" outlineLevel="0" collapsed="false">
      <c r="A140" s="449" t="n">
        <v>13912</v>
      </c>
      <c r="B140" s="450" t="s">
        <v>17415</v>
      </c>
      <c r="C140" s="450" t="n">
        <v>2011</v>
      </c>
      <c r="D140" s="451" t="n">
        <v>40856</v>
      </c>
      <c r="E140" s="450" t="s">
        <v>17416</v>
      </c>
      <c r="F140" s="624" t="s">
        <v>288</v>
      </c>
      <c r="G140" s="450" t="s">
        <v>130</v>
      </c>
      <c r="H140" s="450" t="s">
        <v>17417</v>
      </c>
      <c r="I140" s="451" t="n">
        <v>41232</v>
      </c>
      <c r="J140" s="452" t="n">
        <v>11</v>
      </c>
      <c r="K140" s="632" t="s">
        <v>2407</v>
      </c>
      <c r="L140" s="452" t="s">
        <v>61</v>
      </c>
      <c r="M140" s="455" t="n">
        <f aca="false">I140-D140</f>
        <v>376</v>
      </c>
    </row>
    <row r="141" customFormat="false" ht="12.75" hidden="false" customHeight="true" outlineLevel="0" collapsed="false">
      <c r="A141" s="456" t="n">
        <v>14012</v>
      </c>
      <c r="B141" s="458" t="s">
        <v>17418</v>
      </c>
      <c r="C141" s="458" t="n">
        <v>2010</v>
      </c>
      <c r="D141" s="459" t="n">
        <v>40301</v>
      </c>
      <c r="E141" s="458" t="s">
        <v>17419</v>
      </c>
      <c r="F141" s="458" t="s">
        <v>1097</v>
      </c>
      <c r="G141" s="458" t="s">
        <v>1174</v>
      </c>
      <c r="H141" s="458" t="s">
        <v>6570</v>
      </c>
      <c r="I141" s="459" t="n">
        <v>41233</v>
      </c>
      <c r="J141" s="460" t="n">
        <v>11</v>
      </c>
      <c r="K141" s="631" t="s">
        <v>42</v>
      </c>
      <c r="L141" s="460" t="s">
        <v>60</v>
      </c>
      <c r="M141" s="463" t="n">
        <f aca="false">I141-D141</f>
        <v>932</v>
      </c>
    </row>
    <row r="142" customFormat="false" ht="12.75" hidden="false" customHeight="true" outlineLevel="0" collapsed="false">
      <c r="A142" s="449" t="n">
        <v>14112</v>
      </c>
      <c r="B142" s="450" t="s">
        <v>17420</v>
      </c>
      <c r="C142" s="450" t="n">
        <v>2009</v>
      </c>
      <c r="D142" s="451" t="n">
        <v>40142</v>
      </c>
      <c r="E142" s="450" t="s">
        <v>17421</v>
      </c>
      <c r="F142" s="450" t="s">
        <v>780</v>
      </c>
      <c r="G142" s="450" t="s">
        <v>1174</v>
      </c>
      <c r="H142" s="450" t="s">
        <v>1305</v>
      </c>
      <c r="I142" s="451" t="n">
        <v>41233</v>
      </c>
      <c r="J142" s="452" t="n">
        <v>11</v>
      </c>
      <c r="K142" s="634" t="s">
        <v>45</v>
      </c>
      <c r="L142" s="452" t="s">
        <v>60</v>
      </c>
      <c r="M142" s="455" t="n">
        <f aca="false">I142-D142</f>
        <v>1091</v>
      </c>
    </row>
    <row r="143" customFormat="false" ht="12.75" hidden="false" customHeight="true" outlineLevel="0" collapsed="false">
      <c r="A143" s="456" t="n">
        <v>14212</v>
      </c>
      <c r="B143" s="458" t="s">
        <v>17422</v>
      </c>
      <c r="C143" s="458" t="n">
        <v>2009</v>
      </c>
      <c r="D143" s="459" t="n">
        <v>40151</v>
      </c>
      <c r="E143" s="458" t="s">
        <v>17423</v>
      </c>
      <c r="F143" s="458" t="s">
        <v>3844</v>
      </c>
      <c r="G143" s="458" t="s">
        <v>1174</v>
      </c>
      <c r="H143" s="458" t="s">
        <v>1305</v>
      </c>
      <c r="I143" s="459" t="n">
        <v>41233</v>
      </c>
      <c r="J143" s="460" t="n">
        <v>11</v>
      </c>
      <c r="K143" s="633" t="s">
        <v>47</v>
      </c>
      <c r="L143" s="460" t="s">
        <v>58</v>
      </c>
      <c r="M143" s="463" t="n">
        <f aca="false">I143-D143</f>
        <v>1082</v>
      </c>
    </row>
    <row r="144" customFormat="false" ht="12.75" hidden="false" customHeight="true" outlineLevel="0" collapsed="false">
      <c r="A144" s="449" t="n">
        <v>14312</v>
      </c>
      <c r="B144" s="450" t="s">
        <v>17424</v>
      </c>
      <c r="C144" s="450" t="n">
        <v>2008</v>
      </c>
      <c r="D144" s="451" t="n">
        <v>39797</v>
      </c>
      <c r="E144" s="450" t="s">
        <v>17425</v>
      </c>
      <c r="F144" s="450" t="s">
        <v>1080</v>
      </c>
      <c r="G144" s="450" t="s">
        <v>1174</v>
      </c>
      <c r="H144" s="450" t="s">
        <v>1266</v>
      </c>
      <c r="I144" s="451" t="n">
        <v>41233</v>
      </c>
      <c r="J144" s="452" t="n">
        <v>11</v>
      </c>
      <c r="K144" s="631" t="s">
        <v>42</v>
      </c>
      <c r="L144" s="452" t="s">
        <v>58</v>
      </c>
      <c r="M144" s="455" t="n">
        <f aca="false">I144-D144</f>
        <v>1436</v>
      </c>
    </row>
    <row r="145" customFormat="false" ht="12.75" hidden="false" customHeight="true" outlineLevel="0" collapsed="false">
      <c r="A145" s="456" t="n">
        <v>14412</v>
      </c>
      <c r="B145" s="458" t="s">
        <v>17426</v>
      </c>
      <c r="C145" s="458" t="n">
        <v>2008</v>
      </c>
      <c r="D145" s="459" t="n">
        <v>39771</v>
      </c>
      <c r="E145" s="458" t="s">
        <v>17427</v>
      </c>
      <c r="F145" s="458" t="s">
        <v>1635</v>
      </c>
      <c r="G145" s="458" t="s">
        <v>1188</v>
      </c>
      <c r="H145" s="458" t="s">
        <v>1791</v>
      </c>
      <c r="I145" s="459" t="n">
        <v>41241</v>
      </c>
      <c r="J145" s="460" t="n">
        <v>11</v>
      </c>
      <c r="K145" s="633" t="s">
        <v>47</v>
      </c>
      <c r="L145" s="460" t="s">
        <v>60</v>
      </c>
      <c r="M145" s="463" t="n">
        <f aca="false">I145-D145</f>
        <v>1470</v>
      </c>
    </row>
    <row r="146" customFormat="false" ht="12.75" hidden="false" customHeight="true" outlineLevel="0" collapsed="false">
      <c r="A146" s="449" t="n">
        <v>14512</v>
      </c>
      <c r="B146" s="450" t="s">
        <v>17428</v>
      </c>
      <c r="C146" s="450" t="n">
        <v>2009</v>
      </c>
      <c r="D146" s="451" t="n">
        <v>39926</v>
      </c>
      <c r="E146" s="450" t="s">
        <v>17429</v>
      </c>
      <c r="F146" s="450" t="s">
        <v>1080</v>
      </c>
      <c r="G146" s="450" t="s">
        <v>1174</v>
      </c>
      <c r="H146" s="450" t="s">
        <v>6570</v>
      </c>
      <c r="I146" s="451" t="n">
        <v>41243</v>
      </c>
      <c r="J146" s="452" t="n">
        <v>11</v>
      </c>
      <c r="K146" s="631" t="s">
        <v>42</v>
      </c>
      <c r="L146" s="452" t="s">
        <v>58</v>
      </c>
      <c r="M146" s="455" t="n">
        <f aca="false">I146-D146</f>
        <v>1317</v>
      </c>
    </row>
    <row r="147" customFormat="false" ht="12.75" hidden="false" customHeight="true" outlineLevel="0" collapsed="false">
      <c r="A147" s="456" t="n">
        <v>14612</v>
      </c>
      <c r="B147" s="458" t="s">
        <v>16553</v>
      </c>
      <c r="C147" s="458" t="n">
        <v>2010</v>
      </c>
      <c r="D147" s="459" t="n">
        <v>40207</v>
      </c>
      <c r="E147" s="458" t="s">
        <v>17430</v>
      </c>
      <c r="F147" s="458" t="s">
        <v>16679</v>
      </c>
      <c r="G147" s="458" t="s">
        <v>441</v>
      </c>
      <c r="H147" s="458" t="s">
        <v>14391</v>
      </c>
      <c r="I147" s="459" t="n">
        <v>41249</v>
      </c>
      <c r="J147" s="460" t="n">
        <v>12</v>
      </c>
      <c r="K147" s="633" t="s">
        <v>47</v>
      </c>
      <c r="L147" s="460" t="s">
        <v>58</v>
      </c>
      <c r="M147" s="463" t="n">
        <f aca="false">I147-D147</f>
        <v>1042</v>
      </c>
    </row>
    <row r="148" customFormat="false" ht="12.75" hidden="false" customHeight="true" outlineLevel="0" collapsed="false">
      <c r="A148" s="449" t="n">
        <v>14712</v>
      </c>
      <c r="B148" s="450" t="s">
        <v>17431</v>
      </c>
      <c r="C148" s="450" t="n">
        <v>2009</v>
      </c>
      <c r="D148" s="451" t="n">
        <v>39946</v>
      </c>
      <c r="E148" s="450" t="s">
        <v>17432</v>
      </c>
      <c r="F148" s="450" t="s">
        <v>6078</v>
      </c>
      <c r="G148" s="450" t="s">
        <v>1174</v>
      </c>
      <c r="H148" s="450" t="s">
        <v>1059</v>
      </c>
      <c r="I148" s="451" t="n">
        <v>41249</v>
      </c>
      <c r="J148" s="452" t="n">
        <v>12</v>
      </c>
      <c r="K148" s="631" t="s">
        <v>42</v>
      </c>
      <c r="L148" s="452" t="s">
        <v>58</v>
      </c>
      <c r="M148" s="455" t="n">
        <f aca="false">I148-D148</f>
        <v>1303</v>
      </c>
    </row>
    <row r="149" customFormat="false" ht="12.75" hidden="false" customHeight="true" outlineLevel="0" collapsed="false">
      <c r="A149" s="456" t="n">
        <v>14812</v>
      </c>
      <c r="B149" s="458" t="s">
        <v>17433</v>
      </c>
      <c r="C149" s="458" t="n">
        <v>2010</v>
      </c>
      <c r="D149" s="459" t="n">
        <v>40490</v>
      </c>
      <c r="E149" s="458" t="s">
        <v>17434</v>
      </c>
      <c r="F149" s="458" t="s">
        <v>3844</v>
      </c>
      <c r="G149" s="458" t="s">
        <v>1174</v>
      </c>
      <c r="H149" s="458" t="s">
        <v>471</v>
      </c>
      <c r="I149" s="459" t="n">
        <v>41250</v>
      </c>
      <c r="J149" s="460" t="n">
        <v>12</v>
      </c>
      <c r="K149" s="633" t="s">
        <v>47</v>
      </c>
      <c r="L149" s="460" t="s">
        <v>58</v>
      </c>
      <c r="M149" s="463" t="n">
        <f aca="false">I149-D149</f>
        <v>760</v>
      </c>
    </row>
    <row r="150" customFormat="false" ht="12.75" hidden="false" customHeight="true" outlineLevel="0" collapsed="false">
      <c r="A150" s="449" t="n">
        <v>14912</v>
      </c>
      <c r="B150" s="450" t="s">
        <v>17435</v>
      </c>
      <c r="C150" s="450" t="n">
        <v>2009</v>
      </c>
      <c r="D150" s="451" t="n">
        <v>40120</v>
      </c>
      <c r="E150" s="450" t="s">
        <v>17436</v>
      </c>
      <c r="F150" s="450" t="s">
        <v>3844</v>
      </c>
      <c r="G150" s="450" t="s">
        <v>1174</v>
      </c>
      <c r="H150" s="450" t="s">
        <v>5230</v>
      </c>
      <c r="I150" s="451" t="n">
        <v>41250</v>
      </c>
      <c r="J150" s="452" t="n">
        <v>12</v>
      </c>
      <c r="K150" s="633" t="s">
        <v>47</v>
      </c>
      <c r="L150" s="452" t="s">
        <v>58</v>
      </c>
      <c r="M150" s="455" t="n">
        <f aca="false">I150-D150</f>
        <v>1130</v>
      </c>
    </row>
    <row r="151" customFormat="false" ht="12.75" hidden="false" customHeight="true" outlineLevel="0" collapsed="false">
      <c r="A151" s="456" t="n">
        <v>15012</v>
      </c>
      <c r="B151" s="458" t="s">
        <v>17437</v>
      </c>
      <c r="C151" s="458" t="n">
        <v>2010</v>
      </c>
      <c r="D151" s="459" t="n">
        <v>40245</v>
      </c>
      <c r="E151" s="458" t="s">
        <v>17438</v>
      </c>
      <c r="F151" s="458" t="s">
        <v>5401</v>
      </c>
      <c r="G151" s="458" t="s">
        <v>441</v>
      </c>
      <c r="H151" s="458" t="s">
        <v>6570</v>
      </c>
      <c r="I151" s="459" t="n">
        <v>41255</v>
      </c>
      <c r="J151" s="460" t="n">
        <v>12</v>
      </c>
      <c r="K151" s="633" t="s">
        <v>47</v>
      </c>
      <c r="L151" s="460" t="s">
        <v>60</v>
      </c>
      <c r="M151" s="463" t="n">
        <f aca="false">I151-D151</f>
        <v>1010</v>
      </c>
    </row>
    <row r="152" customFormat="false" ht="12.75" hidden="false" customHeight="true" outlineLevel="0" collapsed="false">
      <c r="A152" s="449" t="n">
        <v>15112</v>
      </c>
      <c r="B152" s="450" t="s">
        <v>17439</v>
      </c>
      <c r="C152" s="450" t="n">
        <v>2009</v>
      </c>
      <c r="D152" s="451" t="n">
        <v>40087</v>
      </c>
      <c r="E152" s="450" t="s">
        <v>17440</v>
      </c>
      <c r="F152" s="450" t="s">
        <v>17441</v>
      </c>
      <c r="G152" s="450" t="s">
        <v>441</v>
      </c>
      <c r="H152" s="450" t="s">
        <v>6633</v>
      </c>
      <c r="I152" s="451" t="n">
        <v>41255</v>
      </c>
      <c r="J152" s="452" t="n">
        <v>12</v>
      </c>
      <c r="K152" s="633" t="s">
        <v>47</v>
      </c>
      <c r="L152" s="452" t="s">
        <v>58</v>
      </c>
      <c r="M152" s="455" t="n">
        <f aca="false">I152-D152</f>
        <v>1168</v>
      </c>
    </row>
    <row r="153" customFormat="false" ht="12.75" hidden="false" customHeight="true" outlineLevel="0" collapsed="false">
      <c r="A153" s="456" t="n">
        <v>15212</v>
      </c>
      <c r="B153" s="458" t="s">
        <v>17442</v>
      </c>
      <c r="C153" s="458" t="n">
        <v>2011</v>
      </c>
      <c r="D153" s="459" t="n">
        <v>40711</v>
      </c>
      <c r="E153" s="458" t="s">
        <v>17443</v>
      </c>
      <c r="F153" s="458" t="s">
        <v>1097</v>
      </c>
      <c r="G153" s="458" t="s">
        <v>1174</v>
      </c>
      <c r="H153" s="458" t="s">
        <v>1266</v>
      </c>
      <c r="I153" s="459" t="n">
        <v>41255</v>
      </c>
      <c r="J153" s="460" t="n">
        <v>12</v>
      </c>
      <c r="K153" s="631" t="s">
        <v>42</v>
      </c>
      <c r="L153" s="460" t="s">
        <v>60</v>
      </c>
      <c r="M153" s="463" t="n">
        <f aca="false">I153-D153</f>
        <v>544</v>
      </c>
    </row>
    <row r="154" customFormat="false" ht="12.75" hidden="false" customHeight="true" outlineLevel="0" collapsed="false">
      <c r="A154" s="449" t="n">
        <v>15312</v>
      </c>
      <c r="B154" s="450" t="s">
        <v>17444</v>
      </c>
      <c r="C154" s="450" t="n">
        <v>2010</v>
      </c>
      <c r="D154" s="451" t="n">
        <v>40378</v>
      </c>
      <c r="E154" s="450" t="s">
        <v>17445</v>
      </c>
      <c r="F154" s="450" t="s">
        <v>1097</v>
      </c>
      <c r="G154" s="450" t="s">
        <v>1174</v>
      </c>
      <c r="H154" s="450" t="s">
        <v>5230</v>
      </c>
      <c r="I154" s="451" t="n">
        <v>41255</v>
      </c>
      <c r="J154" s="452" t="n">
        <v>12</v>
      </c>
      <c r="K154" s="631" t="s">
        <v>42</v>
      </c>
      <c r="L154" s="452" t="s">
        <v>60</v>
      </c>
      <c r="M154" s="455" t="n">
        <f aca="false">I154-D154</f>
        <v>877</v>
      </c>
    </row>
    <row r="155" customFormat="false" ht="12.75" hidden="false" customHeight="true" outlineLevel="0" collapsed="false">
      <c r="A155" s="456" t="n">
        <v>15412</v>
      </c>
      <c r="B155" s="458" t="s">
        <v>17446</v>
      </c>
      <c r="C155" s="458" t="n">
        <v>2010</v>
      </c>
      <c r="D155" s="459" t="n">
        <v>40498</v>
      </c>
      <c r="E155" s="458" t="s">
        <v>17447</v>
      </c>
      <c r="F155" s="458" t="s">
        <v>113</v>
      </c>
      <c r="G155" s="458" t="s">
        <v>1174</v>
      </c>
      <c r="H155" s="458" t="s">
        <v>310</v>
      </c>
      <c r="I155" s="459" t="n">
        <v>41257</v>
      </c>
      <c r="J155" s="460" t="n">
        <v>12</v>
      </c>
      <c r="K155" s="633" t="s">
        <v>47</v>
      </c>
      <c r="L155" s="460" t="s">
        <v>60</v>
      </c>
      <c r="M155" s="463" t="n">
        <f aca="false">I155-D155</f>
        <v>759</v>
      </c>
    </row>
    <row r="156" customFormat="false" ht="12.75" hidden="false" customHeight="true" outlineLevel="0" collapsed="false">
      <c r="A156" s="449" t="n">
        <v>15512</v>
      </c>
      <c r="B156" s="450" t="s">
        <v>17448</v>
      </c>
      <c r="C156" s="450" t="n">
        <v>2010</v>
      </c>
      <c r="D156" s="451" t="n">
        <v>40344</v>
      </c>
      <c r="E156" s="450" t="s">
        <v>17449</v>
      </c>
      <c r="F156" s="450" t="s">
        <v>1097</v>
      </c>
      <c r="G156" s="450" t="s">
        <v>1174</v>
      </c>
      <c r="H156" s="450" t="s">
        <v>310</v>
      </c>
      <c r="I156" s="451" t="n">
        <v>41257</v>
      </c>
      <c r="J156" s="452" t="n">
        <v>12</v>
      </c>
      <c r="K156" s="631" t="s">
        <v>42</v>
      </c>
      <c r="L156" s="452" t="s">
        <v>60</v>
      </c>
      <c r="M156" s="455" t="n">
        <f aca="false">I156-D156</f>
        <v>913</v>
      </c>
    </row>
    <row r="157" customFormat="false" ht="12.75" hidden="false" customHeight="true" outlineLevel="0" collapsed="false">
      <c r="A157" s="456" t="n">
        <v>15612</v>
      </c>
      <c r="B157" s="458" t="s">
        <v>17450</v>
      </c>
      <c r="C157" s="458" t="n">
        <v>2010</v>
      </c>
      <c r="D157" s="459" t="n">
        <v>40326</v>
      </c>
      <c r="E157" s="458" t="s">
        <v>17451</v>
      </c>
      <c r="F157" s="458" t="s">
        <v>1097</v>
      </c>
      <c r="G157" s="458" t="s">
        <v>1174</v>
      </c>
      <c r="H157" s="458" t="s">
        <v>6755</v>
      </c>
      <c r="I157" s="459" t="n">
        <v>41257</v>
      </c>
      <c r="J157" s="460" t="n">
        <v>12</v>
      </c>
      <c r="K157" s="631" t="s">
        <v>42</v>
      </c>
      <c r="L157" s="460" t="s">
        <v>60</v>
      </c>
      <c r="M157" s="463" t="n">
        <f aca="false">I157-D157</f>
        <v>931</v>
      </c>
    </row>
    <row r="158" customFormat="false" ht="12.75" hidden="false" customHeight="true" outlineLevel="0" collapsed="false">
      <c r="A158" s="449" t="n">
        <v>15712</v>
      </c>
      <c r="B158" s="450" t="s">
        <v>17452</v>
      </c>
      <c r="C158" s="450" t="n">
        <v>2011</v>
      </c>
      <c r="D158" s="451" t="n">
        <v>40618</v>
      </c>
      <c r="E158" s="450" t="s">
        <v>17453</v>
      </c>
      <c r="F158" s="450" t="s">
        <v>365</v>
      </c>
      <c r="G158" s="450" t="s">
        <v>1174</v>
      </c>
      <c r="H158" s="450" t="s">
        <v>1567</v>
      </c>
      <c r="I158" s="451" t="n">
        <v>41260</v>
      </c>
      <c r="J158" s="452" t="n">
        <v>12</v>
      </c>
      <c r="K158" s="634" t="s">
        <v>45</v>
      </c>
      <c r="L158" s="452" t="s">
        <v>58</v>
      </c>
      <c r="M158" s="455" t="n">
        <f aca="false">I158-D158</f>
        <v>642</v>
      </c>
    </row>
    <row r="159" customFormat="false" ht="12.75" hidden="false" customHeight="true" outlineLevel="0" collapsed="false">
      <c r="A159" s="456" t="n">
        <v>15812</v>
      </c>
      <c r="B159" s="458" t="s">
        <v>17454</v>
      </c>
      <c r="C159" s="458" t="n">
        <v>2010</v>
      </c>
      <c r="D159" s="459" t="n">
        <v>40504</v>
      </c>
      <c r="E159" s="458" t="s">
        <v>17455</v>
      </c>
      <c r="F159" s="458" t="s">
        <v>1916</v>
      </c>
      <c r="G159" s="458" t="s">
        <v>1174</v>
      </c>
      <c r="H159" s="458" t="s">
        <v>1567</v>
      </c>
      <c r="I159" s="459" t="n">
        <v>41260</v>
      </c>
      <c r="J159" s="460" t="n">
        <v>12</v>
      </c>
      <c r="K159" s="633" t="s">
        <v>47</v>
      </c>
      <c r="L159" s="460" t="s">
        <v>58</v>
      </c>
      <c r="M159" s="463" t="n">
        <f aca="false">I159-D159</f>
        <v>756</v>
      </c>
    </row>
    <row r="160" customFormat="false" ht="12.75" hidden="false" customHeight="true" outlineLevel="0" collapsed="false">
      <c r="A160" s="449" t="n">
        <v>15912</v>
      </c>
      <c r="B160" s="450" t="s">
        <v>17456</v>
      </c>
      <c r="C160" s="450" t="n">
        <v>2009</v>
      </c>
      <c r="D160" s="451" t="n">
        <v>40087</v>
      </c>
      <c r="E160" s="450" t="s">
        <v>17457</v>
      </c>
      <c r="F160" s="450" t="s">
        <v>1097</v>
      </c>
      <c r="G160" s="450" t="s">
        <v>1174</v>
      </c>
      <c r="H160" s="450" t="s">
        <v>471</v>
      </c>
      <c r="I160" s="451" t="n">
        <v>41261</v>
      </c>
      <c r="J160" s="452" t="n">
        <v>12</v>
      </c>
      <c r="K160" s="631" t="s">
        <v>42</v>
      </c>
      <c r="L160" s="452" t="s">
        <v>60</v>
      </c>
      <c r="M160" s="455" t="n">
        <f aca="false">I160-D160</f>
        <v>1174</v>
      </c>
    </row>
    <row r="161" customFormat="false" ht="12.75" hidden="false" customHeight="true" outlineLevel="0" collapsed="false">
      <c r="A161" s="456" t="n">
        <v>16012</v>
      </c>
      <c r="B161" s="458" t="s">
        <v>17458</v>
      </c>
      <c r="C161" s="458" t="n">
        <v>2010</v>
      </c>
      <c r="D161" s="459" t="n">
        <v>40494</v>
      </c>
      <c r="E161" s="458" t="s">
        <v>17459</v>
      </c>
      <c r="F161" s="458" t="s">
        <v>1097</v>
      </c>
      <c r="G161" s="458" t="s">
        <v>1174</v>
      </c>
      <c r="H161" s="458" t="s">
        <v>16610</v>
      </c>
      <c r="I161" s="459" t="n">
        <v>41261</v>
      </c>
      <c r="J161" s="460" t="n">
        <v>12</v>
      </c>
      <c r="K161" s="631" t="s">
        <v>42</v>
      </c>
      <c r="L161" s="460" t="s">
        <v>60</v>
      </c>
      <c r="M161" s="463" t="n">
        <f aca="false">I161-D161</f>
        <v>767</v>
      </c>
    </row>
    <row r="162" customFormat="false" ht="12.75" hidden="false" customHeight="true" outlineLevel="0" collapsed="false">
      <c r="A162" s="449" t="n">
        <v>16112</v>
      </c>
      <c r="B162" s="450" t="s">
        <v>17460</v>
      </c>
      <c r="C162" s="450" t="n">
        <v>2012</v>
      </c>
      <c r="D162" s="451" t="n">
        <v>41066</v>
      </c>
      <c r="E162" s="450" t="s">
        <v>17461</v>
      </c>
      <c r="F162" s="624" t="s">
        <v>15477</v>
      </c>
      <c r="G162" s="450" t="s">
        <v>130</v>
      </c>
      <c r="H162" s="450" t="s">
        <v>10653</v>
      </c>
      <c r="I162" s="451" t="n">
        <v>41262</v>
      </c>
      <c r="J162" s="452" t="n">
        <v>12</v>
      </c>
      <c r="K162" s="632" t="s">
        <v>2407</v>
      </c>
      <c r="L162" s="452" t="s">
        <v>61</v>
      </c>
      <c r="M162" s="455" t="n">
        <f aca="false">I162-D162</f>
        <v>196</v>
      </c>
    </row>
    <row r="163" customFormat="false" ht="12.75" hidden="false" customHeight="true" outlineLevel="0" collapsed="false">
      <c r="A163" s="456" t="n">
        <v>16212</v>
      </c>
      <c r="B163" s="458" t="s">
        <v>17462</v>
      </c>
      <c r="C163" s="458" t="n">
        <v>2010</v>
      </c>
      <c r="D163" s="459" t="n">
        <v>40221</v>
      </c>
      <c r="E163" s="458" t="s">
        <v>17463</v>
      </c>
      <c r="F163" s="458" t="s">
        <v>1277</v>
      </c>
      <c r="G163" s="458" t="s">
        <v>1174</v>
      </c>
      <c r="H163" s="458" t="s">
        <v>1059</v>
      </c>
      <c r="I163" s="459" t="n">
        <v>41262</v>
      </c>
      <c r="J163" s="460" t="n">
        <v>12</v>
      </c>
      <c r="K163" s="634" t="s">
        <v>45</v>
      </c>
      <c r="L163" s="460" t="s">
        <v>58</v>
      </c>
      <c r="M163" s="463" t="n">
        <f aca="false">I163-D163</f>
        <v>1041</v>
      </c>
    </row>
    <row r="164" customFormat="false" ht="12.75" hidden="false" customHeight="true" outlineLevel="0" collapsed="false">
      <c r="A164" s="449" t="n">
        <v>16312</v>
      </c>
      <c r="B164" s="450" t="s">
        <v>17464</v>
      </c>
      <c r="C164" s="450" t="n">
        <v>2010</v>
      </c>
      <c r="D164" s="451" t="n">
        <v>40361</v>
      </c>
      <c r="E164" s="450" t="s">
        <v>17465</v>
      </c>
      <c r="F164" s="450" t="s">
        <v>1097</v>
      </c>
      <c r="G164" s="450" t="s">
        <v>1174</v>
      </c>
      <c r="H164" s="450" t="s">
        <v>3727</v>
      </c>
      <c r="I164" s="451" t="n">
        <v>41262</v>
      </c>
      <c r="J164" s="452" t="n">
        <v>12</v>
      </c>
      <c r="K164" s="631" t="s">
        <v>42</v>
      </c>
      <c r="L164" s="452" t="s">
        <v>60</v>
      </c>
      <c r="M164" s="455" t="n">
        <f aca="false">I164-D164</f>
        <v>901</v>
      </c>
    </row>
    <row r="165" customFormat="false" ht="12.75" hidden="false" customHeight="true" outlineLevel="0" collapsed="false">
      <c r="A165" s="456" t="n">
        <v>16412</v>
      </c>
      <c r="B165" s="458" t="s">
        <v>17466</v>
      </c>
      <c r="C165" s="458" t="n">
        <v>2009</v>
      </c>
      <c r="D165" s="459" t="n">
        <v>39525</v>
      </c>
      <c r="E165" s="458" t="s">
        <v>17467</v>
      </c>
      <c r="F165" s="458" t="s">
        <v>3444</v>
      </c>
      <c r="G165" s="458" t="s">
        <v>441</v>
      </c>
      <c r="H165" s="458" t="s">
        <v>373</v>
      </c>
      <c r="I165" s="459" t="n">
        <v>41263</v>
      </c>
      <c r="J165" s="460" t="n">
        <v>12</v>
      </c>
      <c r="K165" s="631" t="s">
        <v>42</v>
      </c>
      <c r="L165" s="460" t="s">
        <v>58</v>
      </c>
      <c r="M165" s="463" t="n">
        <f aca="false">I165-D165</f>
        <v>1738</v>
      </c>
    </row>
    <row r="166" customFormat="false" ht="12.75" hidden="false" customHeight="true" outlineLevel="0" collapsed="false">
      <c r="A166" s="449" t="n">
        <v>16512</v>
      </c>
      <c r="B166" s="450" t="s">
        <v>17468</v>
      </c>
      <c r="C166" s="450" t="n">
        <v>2009</v>
      </c>
      <c r="D166" s="451" t="n">
        <v>39911</v>
      </c>
      <c r="E166" s="450" t="s">
        <v>17469</v>
      </c>
      <c r="F166" s="450" t="s">
        <v>699</v>
      </c>
      <c r="G166" s="450" t="s">
        <v>1174</v>
      </c>
      <c r="H166" s="450" t="s">
        <v>13028</v>
      </c>
      <c r="I166" s="451" t="n">
        <v>41263</v>
      </c>
      <c r="J166" s="452" t="n">
        <v>12</v>
      </c>
      <c r="K166" s="631" t="s">
        <v>42</v>
      </c>
      <c r="L166" s="452" t="s">
        <v>60</v>
      </c>
      <c r="M166" s="455" t="n">
        <f aca="false">I166-D166</f>
        <v>1352</v>
      </c>
    </row>
    <row r="167" customFormat="false" ht="12.75" hidden="false" customHeight="true" outlineLevel="0" collapsed="false">
      <c r="A167" s="456" t="n">
        <v>16612</v>
      </c>
      <c r="B167" s="458" t="s">
        <v>17470</v>
      </c>
      <c r="C167" s="458" t="n">
        <v>2008</v>
      </c>
      <c r="D167" s="459" t="n">
        <v>39651</v>
      </c>
      <c r="E167" s="458" t="s">
        <v>17471</v>
      </c>
      <c r="F167" s="458" t="s">
        <v>699</v>
      </c>
      <c r="G167" s="458" t="s">
        <v>441</v>
      </c>
      <c r="H167" s="458" t="s">
        <v>354</v>
      </c>
      <c r="I167" s="459" t="n">
        <v>41271</v>
      </c>
      <c r="J167" s="460" t="n">
        <v>12</v>
      </c>
      <c r="K167" s="634" t="s">
        <v>45</v>
      </c>
      <c r="L167" s="460" t="s">
        <v>60</v>
      </c>
      <c r="M167" s="463" t="n">
        <f aca="false">I167-D167</f>
        <v>1620</v>
      </c>
    </row>
    <row r="168" customFormat="false" ht="12.75" hidden="false" customHeight="true" outlineLevel="0" collapsed="false">
      <c r="A168" s="449" t="n">
        <v>16712</v>
      </c>
      <c r="B168" s="450" t="s">
        <v>17472</v>
      </c>
      <c r="C168" s="450" t="n">
        <v>2009</v>
      </c>
      <c r="D168" s="451" t="n">
        <v>39857</v>
      </c>
      <c r="E168" s="450" t="s">
        <v>17473</v>
      </c>
      <c r="F168" s="450" t="s">
        <v>699</v>
      </c>
      <c r="G168" s="450" t="s">
        <v>441</v>
      </c>
      <c r="H168" s="450" t="s">
        <v>12073</v>
      </c>
      <c r="I168" s="451" t="n">
        <v>41271</v>
      </c>
      <c r="J168" s="452" t="n">
        <v>12</v>
      </c>
      <c r="K168" s="633" t="s">
        <v>47</v>
      </c>
      <c r="L168" s="452" t="s">
        <v>60</v>
      </c>
      <c r="M168" s="455" t="n">
        <f aca="false">I168-D168</f>
        <v>1414</v>
      </c>
    </row>
    <row r="169" customFormat="false" ht="12.75" hidden="false" customHeight="true" outlineLevel="0" collapsed="false">
      <c r="A169" s="456" t="n">
        <v>16812</v>
      </c>
      <c r="B169" s="458" t="s">
        <v>17474</v>
      </c>
      <c r="C169" s="458" t="n">
        <v>2008</v>
      </c>
      <c r="D169" s="459" t="n">
        <v>39638</v>
      </c>
      <c r="E169" s="458" t="s">
        <v>17475</v>
      </c>
      <c r="F169" s="458" t="s">
        <v>17476</v>
      </c>
      <c r="G169" s="458" t="s">
        <v>144</v>
      </c>
      <c r="H169" s="458" t="s">
        <v>373</v>
      </c>
      <c r="I169" s="459" t="n">
        <v>41271</v>
      </c>
      <c r="J169" s="460" t="n">
        <v>12</v>
      </c>
      <c r="K169" s="631" t="s">
        <v>42</v>
      </c>
      <c r="L169" s="460" t="s">
        <v>58</v>
      </c>
      <c r="M169" s="463" t="n">
        <f aca="false">I169-D169</f>
        <v>1633</v>
      </c>
    </row>
  </sheetData>
  <autoFilter ref="A1:M169"/>
  <mergeCells count="76">
    <mergeCell ref="O2:P2"/>
    <mergeCell ref="O14:S15"/>
    <mergeCell ref="O16:S16"/>
    <mergeCell ref="O17:S17"/>
    <mergeCell ref="O18:S18"/>
    <mergeCell ref="O19:S19"/>
    <mergeCell ref="O20:S20"/>
    <mergeCell ref="O21:S21"/>
    <mergeCell ref="O22:S22"/>
    <mergeCell ref="O23:S23"/>
    <mergeCell ref="O24:S24"/>
    <mergeCell ref="O26:S27"/>
    <mergeCell ref="P28:R28"/>
    <mergeCell ref="P29:R29"/>
    <mergeCell ref="P30:R30"/>
    <mergeCell ref="P31:R31"/>
    <mergeCell ref="P32:R32"/>
    <mergeCell ref="P33:R33"/>
    <mergeCell ref="P34:R34"/>
    <mergeCell ref="P35:R35"/>
    <mergeCell ref="P36:R36"/>
    <mergeCell ref="P37:R37"/>
    <mergeCell ref="P38:R38"/>
    <mergeCell ref="P39:R39"/>
    <mergeCell ref="P40:R40"/>
    <mergeCell ref="P41:R41"/>
    <mergeCell ref="P42:R42"/>
    <mergeCell ref="O44:S45"/>
    <mergeCell ref="P46:R46"/>
    <mergeCell ref="P47:R47"/>
    <mergeCell ref="P48:R48"/>
    <mergeCell ref="P49:R49"/>
    <mergeCell ref="P50:R50"/>
    <mergeCell ref="P51:R51"/>
    <mergeCell ref="P52:R52"/>
    <mergeCell ref="P53:R53"/>
    <mergeCell ref="P54:R54"/>
    <mergeCell ref="P55:R55"/>
    <mergeCell ref="P56:R56"/>
    <mergeCell ref="P57:R57"/>
    <mergeCell ref="P58:R58"/>
    <mergeCell ref="P59:R59"/>
    <mergeCell ref="O61:T62"/>
    <mergeCell ref="O63:R63"/>
    <mergeCell ref="O64:R64"/>
    <mergeCell ref="O65:R65"/>
    <mergeCell ref="O66:R66"/>
    <mergeCell ref="O67:R67"/>
    <mergeCell ref="O68:R68"/>
    <mergeCell ref="O69:R69"/>
    <mergeCell ref="O70:R70"/>
    <mergeCell ref="O71:R71"/>
    <mergeCell ref="O72:R72"/>
    <mergeCell ref="O73:R73"/>
    <mergeCell ref="O74:R74"/>
    <mergeCell ref="O75:R75"/>
    <mergeCell ref="O76:R76"/>
    <mergeCell ref="O78:T79"/>
    <mergeCell ref="O80:R80"/>
    <mergeCell ref="O81:R81"/>
    <mergeCell ref="O82:R82"/>
    <mergeCell ref="O83:R83"/>
    <mergeCell ref="O84:R84"/>
    <mergeCell ref="O85:R85"/>
    <mergeCell ref="O87:R88"/>
    <mergeCell ref="P89:R89"/>
    <mergeCell ref="P90:R90"/>
    <mergeCell ref="P91:R91"/>
    <mergeCell ref="P92:R92"/>
    <mergeCell ref="P93:R93"/>
    <mergeCell ref="P94:R94"/>
    <mergeCell ref="P95:R95"/>
    <mergeCell ref="P96:R96"/>
    <mergeCell ref="P97:R97"/>
    <mergeCell ref="P98:R98"/>
    <mergeCell ref="P99:R99"/>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4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B1" activeCellId="0" sqref="B1"/>
    </sheetView>
  </sheetViews>
  <sheetFormatPr defaultColWidth="14.2890625" defaultRowHeight="12.75" customHeight="false" zeroHeight="false" outlineLevelRow="0" outlineLevelCol="0"/>
  <cols>
    <col collapsed="false" customWidth="true" hidden="false" outlineLevel="0" max="1" min="1" style="0" width="17.29"/>
    <col collapsed="false" customWidth="true" hidden="false" outlineLevel="0" max="2" min="2" style="0" width="22.29"/>
    <col collapsed="false" customWidth="true" hidden="false" outlineLevel="0" max="3" min="3" style="0" width="23.85"/>
    <col collapsed="false" customWidth="true" hidden="false" outlineLevel="0" max="4" min="4" style="0" width="24.57"/>
    <col collapsed="false" customWidth="true" hidden="false" outlineLevel="0" max="5" min="5" style="0" width="34.43"/>
    <col collapsed="false" customWidth="true" hidden="false" outlineLevel="0" max="6" min="6" style="0" width="44.85"/>
    <col collapsed="false" customWidth="true" hidden="false" outlineLevel="0" max="7" min="7" style="0" width="12.29"/>
    <col collapsed="false" customWidth="true" hidden="false" outlineLevel="0" max="8" min="8" style="0" width="25.43"/>
    <col collapsed="false" customWidth="true" hidden="false" outlineLevel="0" max="9" min="9" style="0" width="23.58"/>
    <col collapsed="false" customWidth="true" hidden="false" outlineLevel="0" max="10" min="10" style="0" width="24.14"/>
    <col collapsed="false" customWidth="true" hidden="false" outlineLevel="0" max="11" min="11" style="0" width="60.57"/>
    <col collapsed="false" customWidth="true" hidden="false" outlineLevel="0" max="12" min="12" style="0" width="58.85"/>
    <col collapsed="false" customWidth="true" hidden="false" outlineLevel="0" max="13" min="13" style="0" width="45"/>
    <col collapsed="false" customWidth="true" hidden="false" outlineLevel="0" max="14" min="14" style="0" width="9.14"/>
    <col collapsed="false" customWidth="true" hidden="false" outlineLevel="0" max="15" min="15" style="0" width="27.14"/>
    <col collapsed="false" customWidth="true" hidden="false" outlineLevel="0" max="16" min="16" style="0" width="9.85"/>
    <col collapsed="false" customWidth="true" hidden="false" outlineLevel="0" max="17" min="17" style="0" width="3.42"/>
    <col collapsed="false" customWidth="true" hidden="false" outlineLevel="0" max="18" min="18" style="0" width="39"/>
    <col collapsed="false" customWidth="true" hidden="false" outlineLevel="0" max="19" min="19" style="0" width="62.85"/>
    <col collapsed="false" customWidth="true" hidden="false" outlineLevel="0" max="20" min="20" style="0" width="13.71"/>
    <col collapsed="false" customWidth="true" hidden="false" outlineLevel="0" max="26" min="21" style="0" width="8.71"/>
  </cols>
  <sheetData>
    <row r="1" customFormat="false" ht="12.75" hidden="false" customHeight="true" outlineLevel="0" collapsed="false">
      <c r="A1" s="582" t="s">
        <v>92</v>
      </c>
      <c r="B1" s="585" t="s">
        <v>93</v>
      </c>
      <c r="C1" s="585" t="s">
        <v>89</v>
      </c>
      <c r="D1" s="584" t="s">
        <v>94</v>
      </c>
      <c r="E1" s="585" t="s">
        <v>95</v>
      </c>
      <c r="F1" s="585" t="s">
        <v>96</v>
      </c>
      <c r="G1" s="585" t="s">
        <v>97</v>
      </c>
      <c r="H1" s="585" t="s">
        <v>98</v>
      </c>
      <c r="I1" s="584" t="s">
        <v>99</v>
      </c>
      <c r="J1" s="585" t="s">
        <v>62</v>
      </c>
      <c r="K1" s="586" t="s">
        <v>101</v>
      </c>
      <c r="L1" s="586" t="s">
        <v>102</v>
      </c>
      <c r="M1" s="583" t="s">
        <v>103</v>
      </c>
      <c r="N1" s="4"/>
      <c r="O1" s="4"/>
      <c r="P1" s="4"/>
      <c r="Q1" s="4"/>
      <c r="R1" s="4"/>
      <c r="S1" s="4"/>
    </row>
    <row r="2" customFormat="false" ht="12.75" hidden="false" customHeight="true" outlineLevel="0" collapsed="false">
      <c r="A2" s="449" t="n">
        <v>111</v>
      </c>
      <c r="B2" s="450" t="s">
        <v>17477</v>
      </c>
      <c r="C2" s="450" t="n">
        <v>2009</v>
      </c>
      <c r="D2" s="451" t="n">
        <v>39877</v>
      </c>
      <c r="E2" s="450" t="s">
        <v>17478</v>
      </c>
      <c r="F2" s="450" t="s">
        <v>1357</v>
      </c>
      <c r="G2" s="450" t="s">
        <v>1174</v>
      </c>
      <c r="H2" s="450" t="s">
        <v>10110</v>
      </c>
      <c r="I2" s="451" t="n">
        <v>40569</v>
      </c>
      <c r="J2" s="452" t="n">
        <v>1</v>
      </c>
      <c r="K2" s="631" t="s">
        <v>42</v>
      </c>
      <c r="L2" s="452" t="s">
        <v>60</v>
      </c>
      <c r="M2" s="645" t="n">
        <f aca="false">I2-D2</f>
        <v>692</v>
      </c>
      <c r="N2" s="4"/>
      <c r="O2" s="280" t="s">
        <v>17479</v>
      </c>
      <c r="P2" s="280"/>
      <c r="Q2" s="146"/>
      <c r="R2" s="146"/>
      <c r="S2" s="146"/>
    </row>
    <row r="3" customFormat="false" ht="12.75" hidden="false" customHeight="true" outlineLevel="0" collapsed="false">
      <c r="A3" s="456" t="n">
        <v>211</v>
      </c>
      <c r="B3" s="458" t="s">
        <v>17480</v>
      </c>
      <c r="C3" s="458" t="n">
        <v>2007</v>
      </c>
      <c r="D3" s="459" t="n">
        <v>39338</v>
      </c>
      <c r="E3" s="458" t="s">
        <v>17481</v>
      </c>
      <c r="F3" s="458" t="s">
        <v>16953</v>
      </c>
      <c r="G3" s="458" t="s">
        <v>144</v>
      </c>
      <c r="H3" s="458" t="s">
        <v>1109</v>
      </c>
      <c r="I3" s="459" t="n">
        <v>40581</v>
      </c>
      <c r="J3" s="460" t="n">
        <v>2</v>
      </c>
      <c r="K3" s="634" t="s">
        <v>45</v>
      </c>
      <c r="L3" s="460" t="s">
        <v>58</v>
      </c>
      <c r="M3" s="646" t="n">
        <f aca="false">I3-D3</f>
        <v>1243</v>
      </c>
      <c r="N3" s="4"/>
      <c r="O3" s="281" t="s">
        <v>1182</v>
      </c>
      <c r="P3" s="281" t="n">
        <f aca="false">COUNTIF($G$2:$G$476,"PT")</f>
        <v>0</v>
      </c>
      <c r="Q3" s="146"/>
      <c r="R3" s="146"/>
      <c r="S3" s="146"/>
    </row>
    <row r="4" customFormat="false" ht="12.75" hidden="false" customHeight="true" outlineLevel="0" collapsed="false">
      <c r="A4" s="449" t="n">
        <v>311</v>
      </c>
      <c r="B4" s="450" t="s">
        <v>17482</v>
      </c>
      <c r="C4" s="450" t="n">
        <v>2008</v>
      </c>
      <c r="D4" s="451" t="n">
        <v>39638</v>
      </c>
      <c r="E4" s="450" t="s">
        <v>17483</v>
      </c>
      <c r="F4" s="450" t="s">
        <v>2003</v>
      </c>
      <c r="G4" s="450" t="s">
        <v>1174</v>
      </c>
      <c r="H4" s="450" t="s">
        <v>4431</v>
      </c>
      <c r="I4" s="451" t="n">
        <v>40581</v>
      </c>
      <c r="J4" s="452" t="n">
        <v>2</v>
      </c>
      <c r="K4" s="634" t="s">
        <v>45</v>
      </c>
      <c r="L4" s="452" t="s">
        <v>60</v>
      </c>
      <c r="M4" s="645" t="n">
        <f aca="false">I4-D4</f>
        <v>943</v>
      </c>
      <c r="N4" s="4"/>
      <c r="O4" s="282" t="s">
        <v>1188</v>
      </c>
      <c r="P4" s="282" t="n">
        <f aca="false">COUNTIF($G$2:$G$476,"PTN")</f>
        <v>1</v>
      </c>
      <c r="Q4" s="153"/>
      <c r="R4" s="153"/>
      <c r="S4" s="153"/>
    </row>
    <row r="5" customFormat="false" ht="12.75" hidden="false" customHeight="true" outlineLevel="0" collapsed="false">
      <c r="A5" s="456" t="n">
        <v>411</v>
      </c>
      <c r="B5" s="458" t="s">
        <v>17484</v>
      </c>
      <c r="C5" s="458" t="n">
        <v>2008</v>
      </c>
      <c r="D5" s="459" t="n">
        <v>39654</v>
      </c>
      <c r="E5" s="458" t="s">
        <v>17485</v>
      </c>
      <c r="F5" s="458" t="s">
        <v>13755</v>
      </c>
      <c r="G5" s="458" t="s">
        <v>1174</v>
      </c>
      <c r="H5" s="458" t="s">
        <v>15133</v>
      </c>
      <c r="I5" s="459" t="n">
        <v>40585</v>
      </c>
      <c r="J5" s="460" t="n">
        <v>2</v>
      </c>
      <c r="K5" s="633" t="s">
        <v>47</v>
      </c>
      <c r="L5" s="460" t="s">
        <v>58</v>
      </c>
      <c r="M5" s="646" t="n">
        <f aca="false">I5-D5</f>
        <v>931</v>
      </c>
      <c r="N5" s="4"/>
      <c r="O5" s="283" t="s">
        <v>1192</v>
      </c>
      <c r="P5" s="283" t="n">
        <f aca="false">COUNTIF($G$2:$G$476,"PTE")</f>
        <v>60</v>
      </c>
      <c r="Q5" s="153"/>
      <c r="R5" s="153"/>
      <c r="S5" s="153"/>
    </row>
    <row r="6" customFormat="false" ht="12.75" hidden="false" customHeight="true" outlineLevel="0" collapsed="false">
      <c r="A6" s="449" t="n">
        <v>511</v>
      </c>
      <c r="B6" s="450" t="s">
        <v>17486</v>
      </c>
      <c r="C6" s="450" t="n">
        <v>2009</v>
      </c>
      <c r="D6" s="451" t="n">
        <v>39827</v>
      </c>
      <c r="E6" s="450" t="s">
        <v>17487</v>
      </c>
      <c r="F6" s="450" t="s">
        <v>16645</v>
      </c>
      <c r="G6" s="450" t="s">
        <v>441</v>
      </c>
      <c r="H6" s="450" t="s">
        <v>4431</v>
      </c>
      <c r="I6" s="451" t="n">
        <v>40598</v>
      </c>
      <c r="J6" s="452" t="n">
        <v>2</v>
      </c>
      <c r="K6" s="632" t="s">
        <v>50</v>
      </c>
      <c r="L6" s="452" t="s">
        <v>60</v>
      </c>
      <c r="M6" s="645" t="n">
        <f aca="false">I6-D6</f>
        <v>771</v>
      </c>
      <c r="N6" s="4"/>
      <c r="O6" s="282" t="s">
        <v>8</v>
      </c>
      <c r="P6" s="282" t="n">
        <f aca="false">COUNTIF($G$2:$G$476,"Pré-Mistura")</f>
        <v>0</v>
      </c>
      <c r="Q6" s="153"/>
      <c r="R6" s="153"/>
      <c r="S6" s="153"/>
    </row>
    <row r="7" customFormat="false" ht="12.75" hidden="false" customHeight="true" outlineLevel="0" collapsed="false">
      <c r="A7" s="456" t="n">
        <v>611</v>
      </c>
      <c r="B7" s="458" t="s">
        <v>17488</v>
      </c>
      <c r="C7" s="458" t="n">
        <v>2006</v>
      </c>
      <c r="D7" s="459" t="n">
        <v>38989</v>
      </c>
      <c r="E7" s="458" t="s">
        <v>17489</v>
      </c>
      <c r="F7" s="458" t="s">
        <v>8232</v>
      </c>
      <c r="G7" s="458" t="s">
        <v>144</v>
      </c>
      <c r="H7" s="458" t="s">
        <v>134</v>
      </c>
      <c r="I7" s="459" t="n">
        <v>40605</v>
      </c>
      <c r="J7" s="460" t="n">
        <v>3</v>
      </c>
      <c r="K7" s="634" t="s">
        <v>45</v>
      </c>
      <c r="L7" s="460" t="s">
        <v>60</v>
      </c>
      <c r="M7" s="646" t="n">
        <f aca="false">I7-D7</f>
        <v>1616</v>
      </c>
      <c r="N7" s="4"/>
      <c r="O7" s="283" t="s">
        <v>110</v>
      </c>
      <c r="P7" s="283" t="n">
        <f aca="false">COUNTIF($G$2:$G$476,"PF")</f>
        <v>32</v>
      </c>
      <c r="Q7" s="153"/>
      <c r="R7" s="153"/>
      <c r="S7" s="153"/>
    </row>
    <row r="8" customFormat="false" ht="12.75" hidden="false" customHeight="true" outlineLevel="0" collapsed="false">
      <c r="A8" s="449" t="n">
        <v>711</v>
      </c>
      <c r="B8" s="450" t="s">
        <v>17490</v>
      </c>
      <c r="C8" s="450" t="n">
        <v>2004</v>
      </c>
      <c r="D8" s="451" t="n">
        <v>38341</v>
      </c>
      <c r="E8" s="450" t="s">
        <v>17491</v>
      </c>
      <c r="F8" s="450" t="s">
        <v>17492</v>
      </c>
      <c r="G8" s="450" t="s">
        <v>144</v>
      </c>
      <c r="H8" s="450" t="s">
        <v>3339</v>
      </c>
      <c r="I8" s="451" t="n">
        <v>40605</v>
      </c>
      <c r="J8" s="452" t="n">
        <v>3</v>
      </c>
      <c r="K8" s="631" t="s">
        <v>42</v>
      </c>
      <c r="L8" s="452" t="s">
        <v>58</v>
      </c>
      <c r="M8" s="645" t="n">
        <f aca="false">I8-D8</f>
        <v>2264</v>
      </c>
      <c r="N8" s="4"/>
      <c r="O8" s="282" t="s">
        <v>115</v>
      </c>
      <c r="P8" s="282" t="n">
        <f aca="false">COUNTIF($G$2:$G$476,"PFN")</f>
        <v>1</v>
      </c>
      <c r="Q8" s="153"/>
      <c r="R8" s="153"/>
      <c r="S8" s="153"/>
    </row>
    <row r="9" customFormat="false" ht="12.75" hidden="false" customHeight="true" outlineLevel="0" collapsed="false">
      <c r="A9" s="456" t="n">
        <v>811</v>
      </c>
      <c r="B9" s="458" t="s">
        <v>17493</v>
      </c>
      <c r="C9" s="458" t="n">
        <v>2005</v>
      </c>
      <c r="D9" s="459" t="n">
        <v>38629</v>
      </c>
      <c r="E9" s="458" t="s">
        <v>17494</v>
      </c>
      <c r="F9" s="458" t="s">
        <v>17492</v>
      </c>
      <c r="G9" s="458" t="s">
        <v>144</v>
      </c>
      <c r="H9" s="458" t="s">
        <v>3339</v>
      </c>
      <c r="I9" s="459" t="n">
        <v>40605</v>
      </c>
      <c r="J9" s="460" t="n">
        <v>3</v>
      </c>
      <c r="K9" s="631" t="s">
        <v>42</v>
      </c>
      <c r="L9" s="460" t="s">
        <v>58</v>
      </c>
      <c r="M9" s="646" t="n">
        <f aca="false">I9-D9</f>
        <v>1976</v>
      </c>
      <c r="N9" s="4"/>
      <c r="O9" s="283" t="s">
        <v>120</v>
      </c>
      <c r="P9" s="283" t="n">
        <f aca="false">COUNTIF($G$2:$G$476,"PF/PTE")</f>
        <v>36</v>
      </c>
      <c r="Q9" s="153"/>
      <c r="R9" s="153"/>
      <c r="S9" s="153"/>
    </row>
    <row r="10" customFormat="false" ht="12.75" hidden="false" customHeight="true" outlineLevel="0" collapsed="false">
      <c r="A10" s="449" t="n">
        <v>911</v>
      </c>
      <c r="B10" s="450" t="s">
        <v>17495</v>
      </c>
      <c r="C10" s="450" t="n">
        <v>2009</v>
      </c>
      <c r="D10" s="451" t="n">
        <v>39909</v>
      </c>
      <c r="E10" s="450" t="s">
        <v>17496</v>
      </c>
      <c r="F10" s="450" t="s">
        <v>379</v>
      </c>
      <c r="G10" s="450" t="s">
        <v>441</v>
      </c>
      <c r="H10" s="450" t="s">
        <v>4431</v>
      </c>
      <c r="I10" s="451" t="n">
        <v>40613</v>
      </c>
      <c r="J10" s="452" t="n">
        <v>3</v>
      </c>
      <c r="K10" s="631" t="s">
        <v>42</v>
      </c>
      <c r="L10" s="452" t="s">
        <v>58</v>
      </c>
      <c r="M10" s="645" t="n">
        <f aca="false">I10-D10</f>
        <v>704</v>
      </c>
      <c r="N10" s="4"/>
      <c r="O10" s="282" t="s">
        <v>125</v>
      </c>
      <c r="P10" s="282" t="n">
        <f aca="false">COUNTIF($G$2:$G$476,"Bio")</f>
        <v>13</v>
      </c>
      <c r="Q10" s="153"/>
      <c r="R10" s="153"/>
      <c r="S10" s="153"/>
    </row>
    <row r="11" customFormat="false" ht="12.75" hidden="false" customHeight="true" outlineLevel="0" collapsed="false">
      <c r="A11" s="456" t="n">
        <v>1011</v>
      </c>
      <c r="B11" s="458" t="s">
        <v>17497</v>
      </c>
      <c r="C11" s="458" t="n">
        <v>2009</v>
      </c>
      <c r="D11" s="459" t="n">
        <v>39898</v>
      </c>
      <c r="E11" s="458" t="s">
        <v>17498</v>
      </c>
      <c r="F11" s="458" t="s">
        <v>1693</v>
      </c>
      <c r="G11" s="458" t="s">
        <v>441</v>
      </c>
      <c r="H11" s="458" t="s">
        <v>350</v>
      </c>
      <c r="I11" s="459" t="n">
        <v>40617</v>
      </c>
      <c r="J11" s="460" t="n">
        <v>3</v>
      </c>
      <c r="K11" s="634" t="s">
        <v>45</v>
      </c>
      <c r="L11" s="460" t="s">
        <v>58</v>
      </c>
      <c r="M11" s="646" t="n">
        <f aca="false">I11-D11</f>
        <v>719</v>
      </c>
      <c r="N11" s="4"/>
      <c r="O11" s="284" t="s">
        <v>130</v>
      </c>
      <c r="P11" s="284" t="n">
        <f aca="false">COUNTIF($G$2:$G$476,"Bio/Org")</f>
        <v>3</v>
      </c>
      <c r="Q11" s="153"/>
      <c r="R11" s="153"/>
      <c r="S11" s="153"/>
    </row>
    <row r="12" customFormat="false" ht="13.5" hidden="false" customHeight="true" outlineLevel="0" collapsed="false">
      <c r="A12" s="449" t="n">
        <v>1111</v>
      </c>
      <c r="B12" s="450" t="s">
        <v>17499</v>
      </c>
      <c r="C12" s="450" t="n">
        <v>2009</v>
      </c>
      <c r="D12" s="451" t="n">
        <v>39997</v>
      </c>
      <c r="E12" s="450" t="s">
        <v>17500</v>
      </c>
      <c r="F12" s="450" t="s">
        <v>8232</v>
      </c>
      <c r="G12" s="450" t="s">
        <v>441</v>
      </c>
      <c r="H12" s="450" t="s">
        <v>350</v>
      </c>
      <c r="I12" s="451" t="n">
        <v>40619</v>
      </c>
      <c r="J12" s="452" t="n">
        <v>3</v>
      </c>
      <c r="K12" s="634" t="s">
        <v>45</v>
      </c>
      <c r="L12" s="452" t="s">
        <v>60</v>
      </c>
      <c r="M12" s="645" t="n">
        <f aca="false">I12-D12</f>
        <v>622</v>
      </c>
      <c r="N12" s="4"/>
      <c r="O12" s="285" t="s">
        <v>140</v>
      </c>
      <c r="P12" s="286" t="n">
        <f aca="false">SUM(P3:P11)</f>
        <v>146</v>
      </c>
      <c r="Q12" s="153"/>
      <c r="R12" s="153"/>
      <c r="S12" s="153"/>
    </row>
    <row r="13" customFormat="false" ht="12.75" hidden="false" customHeight="true" outlineLevel="0" collapsed="false">
      <c r="A13" s="456" t="n">
        <v>1211</v>
      </c>
      <c r="B13" s="458" t="s">
        <v>17501</v>
      </c>
      <c r="C13" s="458" t="n">
        <v>2006</v>
      </c>
      <c r="D13" s="459" t="n">
        <v>39021</v>
      </c>
      <c r="E13" s="458" t="s">
        <v>17502</v>
      </c>
      <c r="F13" s="458" t="s">
        <v>1916</v>
      </c>
      <c r="G13" s="458" t="s">
        <v>1174</v>
      </c>
      <c r="H13" s="458" t="s">
        <v>10110</v>
      </c>
      <c r="I13" s="459" t="n">
        <v>40620</v>
      </c>
      <c r="J13" s="460" t="n">
        <v>3</v>
      </c>
      <c r="K13" s="633" t="s">
        <v>47</v>
      </c>
      <c r="L13" s="460" t="s">
        <v>58</v>
      </c>
      <c r="M13" s="646" t="n">
        <f aca="false">I13-D13</f>
        <v>1599</v>
      </c>
      <c r="N13" s="4"/>
      <c r="O13" s="153"/>
      <c r="P13" s="153"/>
      <c r="Q13" s="153"/>
      <c r="R13" s="287"/>
      <c r="S13" s="287"/>
    </row>
    <row r="14" customFormat="false" ht="13.5" hidden="false" customHeight="true" outlineLevel="0" collapsed="false">
      <c r="A14" s="449" t="n">
        <v>1311</v>
      </c>
      <c r="B14" s="450" t="s">
        <v>17503</v>
      </c>
      <c r="C14" s="450" t="n">
        <v>2008</v>
      </c>
      <c r="D14" s="451" t="n">
        <v>39660</v>
      </c>
      <c r="E14" s="450" t="s">
        <v>17504</v>
      </c>
      <c r="F14" s="450" t="s">
        <v>3444</v>
      </c>
      <c r="G14" s="450" t="s">
        <v>1174</v>
      </c>
      <c r="H14" s="450" t="s">
        <v>373</v>
      </c>
      <c r="I14" s="451" t="n">
        <v>40623</v>
      </c>
      <c r="J14" s="452" t="n">
        <v>3</v>
      </c>
      <c r="K14" s="633" t="s">
        <v>47</v>
      </c>
      <c r="L14" s="452" t="s">
        <v>58</v>
      </c>
      <c r="M14" s="645" t="n">
        <f aca="false">I14-D14</f>
        <v>963</v>
      </c>
      <c r="N14" s="4"/>
      <c r="O14" s="411" t="s">
        <v>151</v>
      </c>
      <c r="P14" s="411"/>
      <c r="Q14" s="411"/>
      <c r="R14" s="411"/>
      <c r="S14" s="411"/>
    </row>
    <row r="15" customFormat="false" ht="14.25" hidden="false" customHeight="true" outlineLevel="0" collapsed="false">
      <c r="A15" s="456" t="n">
        <v>1411</v>
      </c>
      <c r="B15" s="458" t="s">
        <v>17505</v>
      </c>
      <c r="C15" s="458" t="n">
        <v>2008</v>
      </c>
      <c r="D15" s="459" t="n">
        <v>39475</v>
      </c>
      <c r="E15" s="458" t="s">
        <v>17506</v>
      </c>
      <c r="F15" s="458" t="s">
        <v>16645</v>
      </c>
      <c r="G15" s="458" t="s">
        <v>441</v>
      </c>
      <c r="H15" s="458" t="s">
        <v>354</v>
      </c>
      <c r="I15" s="459" t="n">
        <v>40623</v>
      </c>
      <c r="J15" s="460" t="n">
        <v>3</v>
      </c>
      <c r="K15" s="632" t="s">
        <v>50</v>
      </c>
      <c r="L15" s="460" t="s">
        <v>60</v>
      </c>
      <c r="M15" s="646" t="n">
        <f aca="false">I15-D15</f>
        <v>1148</v>
      </c>
      <c r="N15" s="4"/>
      <c r="O15" s="411"/>
      <c r="P15" s="411"/>
      <c r="Q15" s="411"/>
      <c r="R15" s="411"/>
      <c r="S15" s="411"/>
    </row>
    <row r="16" customFormat="false" ht="12.75" hidden="false" customHeight="true" outlineLevel="0" collapsed="false">
      <c r="A16" s="449" t="n">
        <v>1511</v>
      </c>
      <c r="B16" s="450" t="s">
        <v>17507</v>
      </c>
      <c r="C16" s="450" t="n">
        <v>2009</v>
      </c>
      <c r="D16" s="451" t="n">
        <v>39857</v>
      </c>
      <c r="E16" s="450" t="s">
        <v>17508</v>
      </c>
      <c r="F16" s="450" t="s">
        <v>14177</v>
      </c>
      <c r="G16" s="450" t="s">
        <v>1174</v>
      </c>
      <c r="H16" s="450" t="s">
        <v>184</v>
      </c>
      <c r="I16" s="451" t="n">
        <v>40623</v>
      </c>
      <c r="J16" s="452" t="n">
        <v>3</v>
      </c>
      <c r="K16" s="633" t="s">
        <v>47</v>
      </c>
      <c r="L16" s="452" t="s">
        <v>60</v>
      </c>
      <c r="M16" s="645" t="n">
        <f aca="false">I16-D16</f>
        <v>766</v>
      </c>
      <c r="N16" s="4"/>
      <c r="O16" s="412" t="s">
        <v>2194</v>
      </c>
      <c r="P16" s="412"/>
      <c r="Q16" s="412"/>
      <c r="R16" s="412"/>
      <c r="S16" s="412"/>
    </row>
    <row r="17" customFormat="false" ht="12.75" hidden="false" customHeight="true" outlineLevel="0" collapsed="false">
      <c r="A17" s="456" t="n">
        <v>1611</v>
      </c>
      <c r="B17" s="458" t="s">
        <v>17509</v>
      </c>
      <c r="C17" s="458" t="n">
        <v>2008</v>
      </c>
      <c r="D17" s="459" t="n">
        <v>39575</v>
      </c>
      <c r="E17" s="458" t="s">
        <v>17510</v>
      </c>
      <c r="F17" s="458" t="s">
        <v>168</v>
      </c>
      <c r="G17" s="458" t="s">
        <v>1174</v>
      </c>
      <c r="H17" s="458" t="s">
        <v>693</v>
      </c>
      <c r="I17" s="459" t="n">
        <v>40623</v>
      </c>
      <c r="J17" s="460" t="n">
        <v>3</v>
      </c>
      <c r="K17" s="631" t="s">
        <v>42</v>
      </c>
      <c r="L17" s="460" t="s">
        <v>58</v>
      </c>
      <c r="M17" s="646" t="n">
        <f aca="false">I17-D17</f>
        <v>1048</v>
      </c>
      <c r="N17" s="4"/>
      <c r="O17" s="413" t="s">
        <v>2198</v>
      </c>
      <c r="P17" s="413"/>
      <c r="Q17" s="413"/>
      <c r="R17" s="413"/>
      <c r="S17" s="413"/>
    </row>
    <row r="18" customFormat="false" ht="12.75" hidden="false" customHeight="true" outlineLevel="0" collapsed="false">
      <c r="A18" s="449" t="n">
        <v>1711</v>
      </c>
      <c r="B18" s="450" t="s">
        <v>17511</v>
      </c>
      <c r="C18" s="450" t="n">
        <v>2008</v>
      </c>
      <c r="D18" s="451" t="n">
        <v>39799</v>
      </c>
      <c r="E18" s="450" t="s">
        <v>17512</v>
      </c>
      <c r="F18" s="450" t="s">
        <v>176</v>
      </c>
      <c r="G18" s="450" t="s">
        <v>1174</v>
      </c>
      <c r="H18" s="450" t="s">
        <v>4431</v>
      </c>
      <c r="I18" s="451" t="n">
        <v>40624</v>
      </c>
      <c r="J18" s="452" t="n">
        <v>3</v>
      </c>
      <c r="K18" s="633" t="s">
        <v>47</v>
      </c>
      <c r="L18" s="452" t="s">
        <v>58</v>
      </c>
      <c r="M18" s="645" t="n">
        <f aca="false">I18-D18</f>
        <v>825</v>
      </c>
      <c r="N18" s="4"/>
      <c r="O18" s="414" t="s">
        <v>2203</v>
      </c>
      <c r="P18" s="414"/>
      <c r="Q18" s="414"/>
      <c r="R18" s="414"/>
      <c r="S18" s="414"/>
    </row>
    <row r="19" customFormat="false" ht="12.75" hidden="false" customHeight="true" outlineLevel="0" collapsed="false">
      <c r="A19" s="456" t="n">
        <v>1811</v>
      </c>
      <c r="B19" s="458" t="s">
        <v>17513</v>
      </c>
      <c r="C19" s="458" t="n">
        <v>2008</v>
      </c>
      <c r="D19" s="459" t="n">
        <v>39500</v>
      </c>
      <c r="E19" s="458" t="s">
        <v>17514</v>
      </c>
      <c r="F19" s="625" t="s">
        <v>3914</v>
      </c>
      <c r="G19" s="458" t="s">
        <v>125</v>
      </c>
      <c r="H19" s="458" t="s">
        <v>17515</v>
      </c>
      <c r="I19" s="459" t="n">
        <v>40632</v>
      </c>
      <c r="J19" s="460" t="n">
        <v>3</v>
      </c>
      <c r="K19" s="632" t="s">
        <v>50</v>
      </c>
      <c r="L19" s="460" t="s">
        <v>61</v>
      </c>
      <c r="M19" s="646" t="n">
        <f aca="false">I19-D19</f>
        <v>1132</v>
      </c>
      <c r="N19" s="4"/>
      <c r="O19" s="413" t="s">
        <v>2207</v>
      </c>
      <c r="P19" s="413"/>
      <c r="Q19" s="413"/>
      <c r="R19" s="413"/>
      <c r="S19" s="413"/>
    </row>
    <row r="20" customFormat="false" ht="12.75" hidden="false" customHeight="true" outlineLevel="0" collapsed="false">
      <c r="A20" s="449" t="n">
        <v>1911</v>
      </c>
      <c r="B20" s="450" t="s">
        <v>17516</v>
      </c>
      <c r="C20" s="450" t="n">
        <v>2009</v>
      </c>
      <c r="D20" s="451" t="n">
        <v>40042</v>
      </c>
      <c r="E20" s="450" t="s">
        <v>17517</v>
      </c>
      <c r="F20" s="450" t="s">
        <v>1609</v>
      </c>
      <c r="G20" s="450" t="s">
        <v>441</v>
      </c>
      <c r="H20" s="450" t="s">
        <v>17518</v>
      </c>
      <c r="I20" s="451" t="n">
        <v>40632</v>
      </c>
      <c r="J20" s="452" t="n">
        <v>3</v>
      </c>
      <c r="K20" s="634" t="s">
        <v>45</v>
      </c>
      <c r="L20" s="452" t="s">
        <v>58</v>
      </c>
      <c r="M20" s="645" t="n">
        <f aca="false">I20-D20</f>
        <v>590</v>
      </c>
      <c r="N20" s="4"/>
      <c r="O20" s="414" t="s">
        <v>2211</v>
      </c>
      <c r="P20" s="414"/>
      <c r="Q20" s="414"/>
      <c r="R20" s="414"/>
      <c r="S20" s="414"/>
    </row>
    <row r="21" customFormat="false" ht="12.75" hidden="false" customHeight="true" outlineLevel="0" collapsed="false">
      <c r="A21" s="456" t="n">
        <v>2011</v>
      </c>
      <c r="B21" s="458" t="s">
        <v>17519</v>
      </c>
      <c r="C21" s="458" t="n">
        <v>2005</v>
      </c>
      <c r="D21" s="459" t="n">
        <v>38665</v>
      </c>
      <c r="E21" s="458" t="s">
        <v>17520</v>
      </c>
      <c r="F21" s="458" t="s">
        <v>16953</v>
      </c>
      <c r="G21" s="458" t="s">
        <v>144</v>
      </c>
      <c r="H21" s="458" t="s">
        <v>1109</v>
      </c>
      <c r="I21" s="459" t="n">
        <v>40640</v>
      </c>
      <c r="J21" s="460" t="n">
        <v>4</v>
      </c>
      <c r="K21" s="634" t="s">
        <v>45</v>
      </c>
      <c r="L21" s="460" t="s">
        <v>58</v>
      </c>
      <c r="M21" s="646" t="n">
        <f aca="false">I21-D21</f>
        <v>1975</v>
      </c>
      <c r="N21" s="4"/>
      <c r="O21" s="413" t="s">
        <v>2215</v>
      </c>
      <c r="P21" s="413"/>
      <c r="Q21" s="413"/>
      <c r="R21" s="413"/>
      <c r="S21" s="413"/>
    </row>
    <row r="22" customFormat="false" ht="12.75" hidden="false" customHeight="true" outlineLevel="0" collapsed="false">
      <c r="A22" s="449" t="n">
        <v>2111</v>
      </c>
      <c r="B22" s="450" t="s">
        <v>17521</v>
      </c>
      <c r="C22" s="450" t="n">
        <v>2006</v>
      </c>
      <c r="D22" s="451" t="n">
        <v>38961</v>
      </c>
      <c r="E22" s="450" t="s">
        <v>17522</v>
      </c>
      <c r="F22" s="450" t="s">
        <v>17323</v>
      </c>
      <c r="G22" s="450" t="s">
        <v>1188</v>
      </c>
      <c r="H22" s="450" t="s">
        <v>6633</v>
      </c>
      <c r="I22" s="451" t="n">
        <v>40641</v>
      </c>
      <c r="J22" s="452" t="n">
        <v>4</v>
      </c>
      <c r="K22" s="633" t="s">
        <v>47</v>
      </c>
      <c r="L22" s="452" t="s">
        <v>60</v>
      </c>
      <c r="M22" s="645" t="n">
        <f aca="false">I22-D22</f>
        <v>1680</v>
      </c>
      <c r="N22" s="4"/>
      <c r="O22" s="414" t="s">
        <v>2220</v>
      </c>
      <c r="P22" s="414"/>
      <c r="Q22" s="414"/>
      <c r="R22" s="414"/>
      <c r="S22" s="414"/>
    </row>
    <row r="23" customFormat="false" ht="12.75" hidden="false" customHeight="true" outlineLevel="0" collapsed="false">
      <c r="A23" s="456" t="n">
        <v>2211</v>
      </c>
      <c r="B23" s="458" t="s">
        <v>17523</v>
      </c>
      <c r="C23" s="458" t="n">
        <v>2006</v>
      </c>
      <c r="D23" s="459" t="n">
        <v>38750</v>
      </c>
      <c r="E23" s="458" t="s">
        <v>17524</v>
      </c>
      <c r="F23" s="458" t="s">
        <v>4270</v>
      </c>
      <c r="G23" s="458" t="s">
        <v>441</v>
      </c>
      <c r="H23" s="458" t="s">
        <v>2654</v>
      </c>
      <c r="I23" s="459" t="n">
        <v>40641</v>
      </c>
      <c r="J23" s="460" t="n">
        <v>4</v>
      </c>
      <c r="K23" s="631" t="s">
        <v>42</v>
      </c>
      <c r="L23" s="460" t="s">
        <v>60</v>
      </c>
      <c r="M23" s="646" t="n">
        <f aca="false">I23-D23</f>
        <v>1891</v>
      </c>
      <c r="N23" s="4"/>
      <c r="O23" s="413" t="s">
        <v>2225</v>
      </c>
      <c r="P23" s="413"/>
      <c r="Q23" s="413"/>
      <c r="R23" s="413"/>
      <c r="S23" s="413"/>
    </row>
    <row r="24" customFormat="false" ht="13.5" hidden="false" customHeight="true" outlineLevel="0" collapsed="false">
      <c r="A24" s="449" t="n">
        <v>2311</v>
      </c>
      <c r="B24" s="450" t="s">
        <v>17525</v>
      </c>
      <c r="C24" s="450" t="n">
        <v>2008</v>
      </c>
      <c r="D24" s="451" t="n">
        <v>39693</v>
      </c>
      <c r="E24" s="450" t="s">
        <v>17526</v>
      </c>
      <c r="F24" s="450" t="s">
        <v>705</v>
      </c>
      <c r="G24" s="450" t="s">
        <v>1174</v>
      </c>
      <c r="H24" s="450" t="s">
        <v>5230</v>
      </c>
      <c r="I24" s="451" t="n">
        <v>40651</v>
      </c>
      <c r="J24" s="452" t="n">
        <v>4</v>
      </c>
      <c r="K24" s="633" t="s">
        <v>47</v>
      </c>
      <c r="L24" s="452" t="s">
        <v>58</v>
      </c>
      <c r="M24" s="645" t="n">
        <f aca="false">I24-D24</f>
        <v>958</v>
      </c>
      <c r="N24" s="4"/>
      <c r="O24" s="415" t="s">
        <v>2229</v>
      </c>
      <c r="P24" s="415"/>
      <c r="Q24" s="415"/>
      <c r="R24" s="415"/>
      <c r="S24" s="415"/>
    </row>
    <row r="25" customFormat="false" ht="13.5" hidden="false" customHeight="true" outlineLevel="0" collapsed="false">
      <c r="A25" s="456" t="n">
        <v>2411</v>
      </c>
      <c r="B25" s="458" t="s">
        <v>17527</v>
      </c>
      <c r="C25" s="458" t="n">
        <v>2008</v>
      </c>
      <c r="D25" s="459" t="n">
        <v>39777</v>
      </c>
      <c r="E25" s="458" t="s">
        <v>17528</v>
      </c>
      <c r="F25" s="458" t="s">
        <v>14571</v>
      </c>
      <c r="G25" s="458" t="s">
        <v>441</v>
      </c>
      <c r="H25" s="458" t="s">
        <v>2677</v>
      </c>
      <c r="I25" s="459" t="n">
        <v>40659</v>
      </c>
      <c r="J25" s="460" t="n">
        <v>4</v>
      </c>
      <c r="K25" s="633" t="s">
        <v>47</v>
      </c>
      <c r="L25" s="460" t="s">
        <v>58</v>
      </c>
      <c r="M25" s="646" t="n">
        <f aca="false">I25-D25</f>
        <v>882</v>
      </c>
      <c r="N25" s="4"/>
      <c r="O25" s="153"/>
      <c r="P25" s="153"/>
      <c r="Q25" s="153"/>
      <c r="R25" s="153"/>
      <c r="S25" s="153"/>
    </row>
    <row r="26" customFormat="false" ht="13.5" hidden="false" customHeight="true" outlineLevel="0" collapsed="false">
      <c r="A26" s="449" t="n">
        <v>2511</v>
      </c>
      <c r="B26" s="450" t="s">
        <v>17529</v>
      </c>
      <c r="C26" s="450" t="n">
        <v>2006</v>
      </c>
      <c r="D26" s="451" t="n">
        <v>38979</v>
      </c>
      <c r="E26" s="450" t="s">
        <v>17530</v>
      </c>
      <c r="F26" s="450" t="s">
        <v>17323</v>
      </c>
      <c r="G26" s="450" t="s">
        <v>115</v>
      </c>
      <c r="H26" s="450" t="s">
        <v>6633</v>
      </c>
      <c r="I26" s="451" t="n">
        <v>40662</v>
      </c>
      <c r="J26" s="452" t="n">
        <v>4</v>
      </c>
      <c r="K26" s="631" t="s">
        <v>42</v>
      </c>
      <c r="L26" s="452" t="s">
        <v>60</v>
      </c>
      <c r="M26" s="645" t="n">
        <f aca="false">I26-D26</f>
        <v>1683</v>
      </c>
      <c r="N26" s="4"/>
      <c r="O26" s="326" t="s">
        <v>185</v>
      </c>
      <c r="P26" s="326"/>
      <c r="Q26" s="326"/>
      <c r="R26" s="326"/>
      <c r="S26" s="326"/>
    </row>
    <row r="27" customFormat="false" ht="13.5" hidden="false" customHeight="true" outlineLevel="0" collapsed="false">
      <c r="A27" s="456" t="n">
        <v>2611</v>
      </c>
      <c r="B27" s="458" t="s">
        <v>17531</v>
      </c>
      <c r="C27" s="458" t="n">
        <v>2009</v>
      </c>
      <c r="D27" s="459" t="n">
        <v>39944</v>
      </c>
      <c r="E27" s="458" t="s">
        <v>17532</v>
      </c>
      <c r="F27" s="458" t="s">
        <v>2003</v>
      </c>
      <c r="G27" s="458" t="s">
        <v>1174</v>
      </c>
      <c r="H27" s="458" t="s">
        <v>17533</v>
      </c>
      <c r="I27" s="459" t="n">
        <v>40669</v>
      </c>
      <c r="J27" s="460" t="n">
        <v>5</v>
      </c>
      <c r="K27" s="634" t="s">
        <v>45</v>
      </c>
      <c r="L27" s="460" t="s">
        <v>58</v>
      </c>
      <c r="M27" s="646" t="n">
        <f aca="false">I27-D27</f>
        <v>725</v>
      </c>
      <c r="N27" s="4"/>
      <c r="O27" s="326"/>
      <c r="P27" s="326"/>
      <c r="Q27" s="326"/>
      <c r="R27" s="326"/>
      <c r="S27" s="326"/>
    </row>
    <row r="28" customFormat="false" ht="12.75" hidden="false" customHeight="true" outlineLevel="0" collapsed="false">
      <c r="A28" s="449" t="n">
        <v>2711</v>
      </c>
      <c r="B28" s="450" t="s">
        <v>17534</v>
      </c>
      <c r="C28" s="450" t="n">
        <v>2008</v>
      </c>
      <c r="D28" s="451" t="n">
        <v>39800</v>
      </c>
      <c r="E28" s="450" t="s">
        <v>17535</v>
      </c>
      <c r="F28" s="450" t="s">
        <v>14571</v>
      </c>
      <c r="G28" s="450" t="s">
        <v>441</v>
      </c>
      <c r="H28" s="450" t="s">
        <v>2677</v>
      </c>
      <c r="I28" s="451" t="n">
        <v>40669</v>
      </c>
      <c r="J28" s="452" t="n">
        <v>5</v>
      </c>
      <c r="K28" s="633" t="s">
        <v>47</v>
      </c>
      <c r="L28" s="452" t="s">
        <v>58</v>
      </c>
      <c r="M28" s="645" t="n">
        <f aca="false">I28-D28</f>
        <v>869</v>
      </c>
      <c r="N28" s="4"/>
      <c r="O28" s="309" t="s">
        <v>39</v>
      </c>
      <c r="P28" s="416" t="s">
        <v>40</v>
      </c>
      <c r="Q28" s="416"/>
      <c r="R28" s="416"/>
      <c r="S28" s="313" t="s">
        <v>41</v>
      </c>
    </row>
    <row r="29" customFormat="false" ht="12.75" hidden="false" customHeight="true" outlineLevel="0" collapsed="false">
      <c r="A29" s="456" t="n">
        <v>2811</v>
      </c>
      <c r="B29" s="458" t="s">
        <v>17536</v>
      </c>
      <c r="C29" s="458" t="n">
        <v>2008</v>
      </c>
      <c r="D29" s="459" t="n">
        <v>39520</v>
      </c>
      <c r="E29" s="458" t="s">
        <v>17537</v>
      </c>
      <c r="F29" s="458" t="s">
        <v>113</v>
      </c>
      <c r="G29" s="458" t="s">
        <v>441</v>
      </c>
      <c r="H29" s="458" t="s">
        <v>12073</v>
      </c>
      <c r="I29" s="459" t="n">
        <v>40669</v>
      </c>
      <c r="J29" s="460" t="n">
        <v>5</v>
      </c>
      <c r="K29" s="633" t="s">
        <v>47</v>
      </c>
      <c r="L29" s="460" t="s">
        <v>60</v>
      </c>
      <c r="M29" s="646" t="n">
        <f aca="false">I29-D29</f>
        <v>1149</v>
      </c>
      <c r="N29" s="4"/>
      <c r="O29" s="283" t="n">
        <v>1999</v>
      </c>
      <c r="P29" s="314" t="n">
        <f aca="false">COUNTIF($C$2:$C$503,"1999")</f>
        <v>0</v>
      </c>
      <c r="Q29" s="314"/>
      <c r="R29" s="314"/>
      <c r="S29" s="315" t="n">
        <f aca="false">P29/P42</f>
        <v>0</v>
      </c>
    </row>
    <row r="30" customFormat="false" ht="12.75" hidden="false" customHeight="true" outlineLevel="0" collapsed="false">
      <c r="A30" s="449" t="n">
        <v>2911</v>
      </c>
      <c r="B30" s="450" t="s">
        <v>17538</v>
      </c>
      <c r="C30" s="450" t="n">
        <v>2004</v>
      </c>
      <c r="D30" s="451" t="n">
        <v>38275</v>
      </c>
      <c r="E30" s="450" t="s">
        <v>17539</v>
      </c>
      <c r="F30" s="450" t="s">
        <v>705</v>
      </c>
      <c r="G30" s="450" t="s">
        <v>1174</v>
      </c>
      <c r="H30" s="450" t="s">
        <v>2283</v>
      </c>
      <c r="I30" s="451" t="n">
        <v>40672</v>
      </c>
      <c r="J30" s="452" t="n">
        <v>5</v>
      </c>
      <c r="K30" s="633" t="s">
        <v>47</v>
      </c>
      <c r="L30" s="452" t="s">
        <v>58</v>
      </c>
      <c r="M30" s="645" t="n">
        <f aca="false">I30-D30</f>
        <v>2397</v>
      </c>
      <c r="N30" s="4"/>
      <c r="O30" s="282" t="n">
        <v>2000</v>
      </c>
      <c r="P30" s="282" t="n">
        <f aca="false">COUNTIF($C$2:$C$503,"2000")</f>
        <v>0</v>
      </c>
      <c r="Q30" s="282"/>
      <c r="R30" s="282"/>
      <c r="S30" s="316" t="n">
        <f aca="false">P30/P42</f>
        <v>0</v>
      </c>
    </row>
    <row r="31" customFormat="false" ht="12.75" hidden="false" customHeight="true" outlineLevel="0" collapsed="false">
      <c r="A31" s="456" t="n">
        <v>3011</v>
      </c>
      <c r="B31" s="458" t="s">
        <v>17540</v>
      </c>
      <c r="C31" s="458" t="n">
        <v>2008</v>
      </c>
      <c r="D31" s="459" t="n">
        <v>39709</v>
      </c>
      <c r="E31" s="458" t="s">
        <v>17541</v>
      </c>
      <c r="F31" s="458" t="s">
        <v>8232</v>
      </c>
      <c r="G31" s="458" t="s">
        <v>1174</v>
      </c>
      <c r="H31" s="458" t="s">
        <v>3240</v>
      </c>
      <c r="I31" s="459" t="n">
        <v>40675</v>
      </c>
      <c r="J31" s="460" t="n">
        <v>5</v>
      </c>
      <c r="K31" s="633" t="s">
        <v>47</v>
      </c>
      <c r="L31" s="460" t="s">
        <v>60</v>
      </c>
      <c r="M31" s="646" t="n">
        <f aca="false">I31-D31</f>
        <v>966</v>
      </c>
      <c r="N31" s="4"/>
      <c r="O31" s="283" t="n">
        <v>2001</v>
      </c>
      <c r="P31" s="283" t="n">
        <f aca="false">COUNTIF($C$2:$C$503,"2001")</f>
        <v>1</v>
      </c>
      <c r="Q31" s="283"/>
      <c r="R31" s="283"/>
      <c r="S31" s="315" t="n">
        <f aca="false">P31/P42</f>
        <v>0.00684931506849315</v>
      </c>
    </row>
    <row r="32" customFormat="false" ht="12.75" hidden="false" customHeight="true" outlineLevel="0" collapsed="false">
      <c r="A32" s="449" t="n">
        <v>3111</v>
      </c>
      <c r="B32" s="450" t="s">
        <v>17542</v>
      </c>
      <c r="C32" s="450" t="n">
        <v>2008</v>
      </c>
      <c r="D32" s="451" t="n">
        <v>39736</v>
      </c>
      <c r="E32" s="450" t="s">
        <v>17543</v>
      </c>
      <c r="F32" s="450" t="s">
        <v>8232</v>
      </c>
      <c r="G32" s="450" t="s">
        <v>1174</v>
      </c>
      <c r="H32" s="450" t="s">
        <v>6480</v>
      </c>
      <c r="I32" s="451" t="n">
        <v>40675</v>
      </c>
      <c r="J32" s="452" t="n">
        <v>5</v>
      </c>
      <c r="K32" s="633" t="s">
        <v>47</v>
      </c>
      <c r="L32" s="452" t="s">
        <v>60</v>
      </c>
      <c r="M32" s="645" t="n">
        <f aca="false">I32-D32</f>
        <v>939</v>
      </c>
      <c r="N32" s="4"/>
      <c r="O32" s="282" t="n">
        <v>2002</v>
      </c>
      <c r="P32" s="282" t="n">
        <f aca="false">COUNTIF($C$2:$C$503,"2002")</f>
        <v>0</v>
      </c>
      <c r="Q32" s="282"/>
      <c r="R32" s="282"/>
      <c r="S32" s="316" t="n">
        <f aca="false">P32/P42</f>
        <v>0</v>
      </c>
    </row>
    <row r="33" customFormat="false" ht="12.75" hidden="false" customHeight="true" outlineLevel="0" collapsed="false">
      <c r="A33" s="456" t="n">
        <v>3211</v>
      </c>
      <c r="B33" s="458" t="s">
        <v>17544</v>
      </c>
      <c r="C33" s="458" t="n">
        <v>2008</v>
      </c>
      <c r="D33" s="459" t="n">
        <v>39500</v>
      </c>
      <c r="E33" s="458" t="s">
        <v>17545</v>
      </c>
      <c r="F33" s="458" t="s">
        <v>699</v>
      </c>
      <c r="G33" s="458" t="s">
        <v>1174</v>
      </c>
      <c r="H33" s="458" t="s">
        <v>5230</v>
      </c>
      <c r="I33" s="459" t="n">
        <v>40679</v>
      </c>
      <c r="J33" s="460" t="n">
        <v>5</v>
      </c>
      <c r="K33" s="631" t="s">
        <v>42</v>
      </c>
      <c r="L33" s="460" t="s">
        <v>60</v>
      </c>
      <c r="M33" s="646" t="n">
        <f aca="false">I33-D33</f>
        <v>1179</v>
      </c>
      <c r="N33" s="4"/>
      <c r="O33" s="283" t="n">
        <v>2003</v>
      </c>
      <c r="P33" s="283" t="n">
        <f aca="false">COUNTIF($C$2:$C$503,"2003")</f>
        <v>0</v>
      </c>
      <c r="Q33" s="283"/>
      <c r="R33" s="283"/>
      <c r="S33" s="315" t="n">
        <f aca="false">P33/P42</f>
        <v>0</v>
      </c>
    </row>
    <row r="34" customFormat="false" ht="12.75" hidden="false" customHeight="true" outlineLevel="0" collapsed="false">
      <c r="A34" s="449" t="n">
        <v>3311</v>
      </c>
      <c r="B34" s="450" t="s">
        <v>17546</v>
      </c>
      <c r="C34" s="450" t="n">
        <v>2009</v>
      </c>
      <c r="D34" s="451" t="n">
        <v>40071</v>
      </c>
      <c r="E34" s="450" t="s">
        <v>17547</v>
      </c>
      <c r="F34" s="450" t="s">
        <v>699</v>
      </c>
      <c r="G34" s="450" t="s">
        <v>1174</v>
      </c>
      <c r="H34" s="450" t="s">
        <v>522</v>
      </c>
      <c r="I34" s="451" t="n">
        <v>40679</v>
      </c>
      <c r="J34" s="452" t="n">
        <v>5</v>
      </c>
      <c r="K34" s="631" t="s">
        <v>42</v>
      </c>
      <c r="L34" s="452" t="s">
        <v>60</v>
      </c>
      <c r="M34" s="645" t="n">
        <f aca="false">I34-D34</f>
        <v>608</v>
      </c>
      <c r="N34" s="4"/>
      <c r="O34" s="282" t="n">
        <v>2004</v>
      </c>
      <c r="P34" s="282" t="n">
        <f aca="false">COUNTIF($C$2:$C$503,"2004")</f>
        <v>2</v>
      </c>
      <c r="Q34" s="282"/>
      <c r="R34" s="282"/>
      <c r="S34" s="316" t="n">
        <f aca="false">P34/P42</f>
        <v>0.0136986301369863</v>
      </c>
    </row>
    <row r="35" customFormat="false" ht="12.75" hidden="false" customHeight="true" outlineLevel="0" collapsed="false">
      <c r="A35" s="456" t="n">
        <v>3411</v>
      </c>
      <c r="B35" s="458" t="s">
        <v>17548</v>
      </c>
      <c r="C35" s="458" t="n">
        <v>2009</v>
      </c>
      <c r="D35" s="459" t="n">
        <v>40018</v>
      </c>
      <c r="E35" s="458" t="s">
        <v>17549</v>
      </c>
      <c r="F35" s="458" t="s">
        <v>699</v>
      </c>
      <c r="G35" s="458" t="s">
        <v>1174</v>
      </c>
      <c r="H35" s="458" t="s">
        <v>4431</v>
      </c>
      <c r="I35" s="459" t="n">
        <v>40679</v>
      </c>
      <c r="J35" s="460" t="n">
        <v>5</v>
      </c>
      <c r="K35" s="631" t="s">
        <v>42</v>
      </c>
      <c r="L35" s="460" t="s">
        <v>60</v>
      </c>
      <c r="M35" s="646" t="n">
        <f aca="false">I35-D35</f>
        <v>661</v>
      </c>
      <c r="N35" s="4"/>
      <c r="O35" s="283" t="n">
        <v>2005</v>
      </c>
      <c r="P35" s="283" t="n">
        <f aca="false">COUNTIF($C$2:$C$503,"2005")</f>
        <v>5</v>
      </c>
      <c r="Q35" s="283"/>
      <c r="R35" s="283"/>
      <c r="S35" s="315" t="n">
        <f aca="false">P35/P42</f>
        <v>0.0342465753424658</v>
      </c>
    </row>
    <row r="36" customFormat="false" ht="12.75" hidden="false" customHeight="true" outlineLevel="0" collapsed="false">
      <c r="A36" s="449" t="n">
        <v>3511</v>
      </c>
      <c r="B36" s="450" t="s">
        <v>17550</v>
      </c>
      <c r="C36" s="450" t="n">
        <v>2009</v>
      </c>
      <c r="D36" s="451" t="n">
        <v>39902</v>
      </c>
      <c r="E36" s="450" t="s">
        <v>17551</v>
      </c>
      <c r="F36" s="450" t="s">
        <v>1357</v>
      </c>
      <c r="G36" s="450" t="s">
        <v>1174</v>
      </c>
      <c r="H36" s="450" t="s">
        <v>17533</v>
      </c>
      <c r="I36" s="451" t="n">
        <v>40679</v>
      </c>
      <c r="J36" s="452" t="n">
        <v>5</v>
      </c>
      <c r="K36" s="631" t="s">
        <v>42</v>
      </c>
      <c r="L36" s="452" t="s">
        <v>60</v>
      </c>
      <c r="M36" s="645" t="n">
        <f aca="false">I36-D36</f>
        <v>777</v>
      </c>
      <c r="N36" s="4"/>
      <c r="O36" s="282" t="n">
        <v>2006</v>
      </c>
      <c r="P36" s="282" t="n">
        <f aca="false">COUNTIF($C$2:$C$503,"2006")</f>
        <v>8</v>
      </c>
      <c r="Q36" s="282"/>
      <c r="R36" s="282"/>
      <c r="S36" s="316" t="n">
        <f aca="false">P36/P42</f>
        <v>0.0547945205479452</v>
      </c>
    </row>
    <row r="37" customFormat="false" ht="12.75" hidden="false" customHeight="true" outlineLevel="0" collapsed="false">
      <c r="A37" s="456" t="n">
        <v>3611</v>
      </c>
      <c r="B37" s="458" t="s">
        <v>17552</v>
      </c>
      <c r="C37" s="458" t="n">
        <v>2009</v>
      </c>
      <c r="D37" s="459" t="n">
        <v>39855</v>
      </c>
      <c r="E37" s="458" t="s">
        <v>17553</v>
      </c>
      <c r="F37" s="458" t="s">
        <v>1156</v>
      </c>
      <c r="G37" s="458" t="s">
        <v>1174</v>
      </c>
      <c r="H37" s="458" t="s">
        <v>17533</v>
      </c>
      <c r="I37" s="459" t="n">
        <v>40679</v>
      </c>
      <c r="J37" s="460" t="n">
        <v>5</v>
      </c>
      <c r="K37" s="634" t="s">
        <v>45</v>
      </c>
      <c r="L37" s="460" t="s">
        <v>57</v>
      </c>
      <c r="M37" s="646" t="n">
        <f aca="false">I37-D37</f>
        <v>824</v>
      </c>
      <c r="N37" s="4"/>
      <c r="O37" s="283" t="n">
        <v>2007</v>
      </c>
      <c r="P37" s="283" t="n">
        <f aca="false">COUNTIF($C$2:$C$503,"2007")</f>
        <v>7</v>
      </c>
      <c r="Q37" s="283"/>
      <c r="R37" s="283"/>
      <c r="S37" s="315" t="n">
        <f aca="false">P37/P42</f>
        <v>0.0479452054794521</v>
      </c>
    </row>
    <row r="38" customFormat="false" ht="12.75" hidden="false" customHeight="true" outlineLevel="0" collapsed="false">
      <c r="A38" s="449" t="n">
        <v>3711</v>
      </c>
      <c r="B38" s="450" t="s">
        <v>17554</v>
      </c>
      <c r="C38" s="450" t="n">
        <v>2008</v>
      </c>
      <c r="D38" s="451" t="n">
        <v>39688</v>
      </c>
      <c r="E38" s="450" t="s">
        <v>17555</v>
      </c>
      <c r="F38" s="450" t="s">
        <v>1916</v>
      </c>
      <c r="G38" s="450" t="s">
        <v>1174</v>
      </c>
      <c r="H38" s="450" t="s">
        <v>350</v>
      </c>
      <c r="I38" s="451" t="n">
        <v>40682</v>
      </c>
      <c r="J38" s="452" t="n">
        <v>5</v>
      </c>
      <c r="K38" s="633" t="s">
        <v>47</v>
      </c>
      <c r="L38" s="452" t="s">
        <v>58</v>
      </c>
      <c r="M38" s="645" t="n">
        <f aca="false">I38-D38</f>
        <v>994</v>
      </c>
      <c r="N38" s="4"/>
      <c r="O38" s="282" t="n">
        <v>2008</v>
      </c>
      <c r="P38" s="282" t="n">
        <f aca="false">COUNTIF($C$2:$C$503,"2008")</f>
        <v>46</v>
      </c>
      <c r="Q38" s="282"/>
      <c r="R38" s="282"/>
      <c r="S38" s="316" t="n">
        <f aca="false">P38/P42</f>
        <v>0.315068493150685</v>
      </c>
    </row>
    <row r="39" customFormat="false" ht="12.75" hidden="false" customHeight="true" outlineLevel="0" collapsed="false">
      <c r="A39" s="456" t="n">
        <v>3811</v>
      </c>
      <c r="B39" s="458" t="s">
        <v>17556</v>
      </c>
      <c r="C39" s="458" t="n">
        <v>2010</v>
      </c>
      <c r="D39" s="459" t="n">
        <v>40268</v>
      </c>
      <c r="E39" s="458" t="s">
        <v>17557</v>
      </c>
      <c r="F39" s="458" t="s">
        <v>17558</v>
      </c>
      <c r="G39" s="458" t="s">
        <v>125</v>
      </c>
      <c r="H39" s="458" t="s">
        <v>1791</v>
      </c>
      <c r="I39" s="459" t="n">
        <v>40682</v>
      </c>
      <c r="J39" s="460" t="n">
        <v>5</v>
      </c>
      <c r="K39" s="632" t="s">
        <v>50</v>
      </c>
      <c r="L39" s="460" t="s">
        <v>61</v>
      </c>
      <c r="M39" s="646" t="n">
        <f aca="false">I39-D39</f>
        <v>414</v>
      </c>
      <c r="N39" s="4"/>
      <c r="O39" s="283" t="n">
        <v>2009</v>
      </c>
      <c r="P39" s="283" t="n">
        <f aca="false">COUNTIF($C$2:$C$503,"2009")</f>
        <v>58</v>
      </c>
      <c r="Q39" s="283"/>
      <c r="R39" s="283"/>
      <c r="S39" s="315" t="n">
        <f aca="false">(P39/P42)</f>
        <v>0.397260273972603</v>
      </c>
    </row>
    <row r="40" customFormat="false" ht="12.75" hidden="false" customHeight="true" outlineLevel="0" collapsed="false">
      <c r="A40" s="449" t="n">
        <v>3911</v>
      </c>
      <c r="B40" s="450" t="s">
        <v>17559</v>
      </c>
      <c r="C40" s="450" t="n">
        <v>2008</v>
      </c>
      <c r="D40" s="451" t="n">
        <v>39518</v>
      </c>
      <c r="E40" s="450" t="s">
        <v>17560</v>
      </c>
      <c r="F40" s="624" t="s">
        <v>10840</v>
      </c>
      <c r="G40" s="450" t="s">
        <v>125</v>
      </c>
      <c r="H40" s="450" t="s">
        <v>1791</v>
      </c>
      <c r="I40" s="451" t="n">
        <v>40682</v>
      </c>
      <c r="J40" s="452" t="n">
        <v>5</v>
      </c>
      <c r="K40" s="633" t="s">
        <v>47</v>
      </c>
      <c r="L40" s="452" t="s">
        <v>61</v>
      </c>
      <c r="M40" s="645" t="n">
        <f aca="false">I40-D40</f>
        <v>1164</v>
      </c>
      <c r="N40" s="4"/>
      <c r="O40" s="282" t="n">
        <v>2010</v>
      </c>
      <c r="P40" s="282" t="n">
        <f aca="false">COUNTIF($C$2:$C$503,"2010")</f>
        <v>14</v>
      </c>
      <c r="Q40" s="282"/>
      <c r="R40" s="282"/>
      <c r="S40" s="316" t="n">
        <f aca="false">(P40/P42)</f>
        <v>0.0958904109589041</v>
      </c>
    </row>
    <row r="41" customFormat="false" ht="12.75" hidden="false" customHeight="true" outlineLevel="0" collapsed="false">
      <c r="A41" s="456" t="n">
        <v>4011</v>
      </c>
      <c r="B41" s="458" t="s">
        <v>17561</v>
      </c>
      <c r="C41" s="458" t="n">
        <v>2009</v>
      </c>
      <c r="D41" s="459" t="n">
        <v>40109</v>
      </c>
      <c r="E41" s="458" t="s">
        <v>17562</v>
      </c>
      <c r="F41" s="625" t="s">
        <v>17563</v>
      </c>
      <c r="G41" s="458" t="s">
        <v>125</v>
      </c>
      <c r="H41" s="458" t="s">
        <v>17564</v>
      </c>
      <c r="I41" s="459" t="n">
        <v>40682</v>
      </c>
      <c r="J41" s="460" t="n">
        <v>5</v>
      </c>
      <c r="K41" s="632" t="s">
        <v>50</v>
      </c>
      <c r="L41" s="460" t="s">
        <v>61</v>
      </c>
      <c r="M41" s="646" t="n">
        <f aca="false">I41-D41</f>
        <v>573</v>
      </c>
      <c r="N41" s="4"/>
      <c r="O41" s="283" t="n">
        <v>2011</v>
      </c>
      <c r="P41" s="283" t="n">
        <f aca="false">COUNTIF($C$2:$C$503,"2011")</f>
        <v>5</v>
      </c>
      <c r="Q41" s="283"/>
      <c r="R41" s="283"/>
      <c r="S41" s="315" t="n">
        <f aca="false">(P41/P42)</f>
        <v>0.0342465753424658</v>
      </c>
    </row>
    <row r="42" customFormat="false" ht="12.75" hidden="false" customHeight="true" outlineLevel="0" collapsed="false">
      <c r="A42" s="449" t="n">
        <v>4111</v>
      </c>
      <c r="B42" s="450" t="s">
        <v>17565</v>
      </c>
      <c r="C42" s="450" t="n">
        <v>2007</v>
      </c>
      <c r="D42" s="451" t="n">
        <v>39213</v>
      </c>
      <c r="E42" s="450" t="s">
        <v>17566</v>
      </c>
      <c r="F42" s="450" t="s">
        <v>1987</v>
      </c>
      <c r="G42" s="450" t="s">
        <v>144</v>
      </c>
      <c r="H42" s="450" t="s">
        <v>1791</v>
      </c>
      <c r="I42" s="451" t="n">
        <v>40682</v>
      </c>
      <c r="J42" s="452" t="n">
        <v>5</v>
      </c>
      <c r="K42" s="633" t="s">
        <v>47</v>
      </c>
      <c r="L42" s="452" t="s">
        <v>58</v>
      </c>
      <c r="M42" s="645" t="n">
        <f aca="false">I42-D42</f>
        <v>1469</v>
      </c>
      <c r="N42" s="4"/>
      <c r="O42" s="323" t="s">
        <v>56</v>
      </c>
      <c r="P42" s="418" t="n">
        <f aca="false">SUM(P29:R41)</f>
        <v>146</v>
      </c>
      <c r="Q42" s="418"/>
      <c r="R42" s="418"/>
      <c r="S42" s="325" t="n">
        <f aca="false">SUM(S29:S41)</f>
        <v>1</v>
      </c>
    </row>
    <row r="43" customFormat="false" ht="12.75" hidden="false" customHeight="true" outlineLevel="0" collapsed="false">
      <c r="A43" s="456" t="n">
        <v>4211</v>
      </c>
      <c r="B43" s="458" t="s">
        <v>17174</v>
      </c>
      <c r="C43" s="458" t="n">
        <v>2008</v>
      </c>
      <c r="D43" s="459" t="n">
        <v>39800</v>
      </c>
      <c r="E43" s="458" t="s">
        <v>17567</v>
      </c>
      <c r="F43" s="458" t="s">
        <v>1609</v>
      </c>
      <c r="G43" s="458" t="s">
        <v>441</v>
      </c>
      <c r="H43" s="458" t="s">
        <v>2677</v>
      </c>
      <c r="I43" s="459" t="n">
        <v>40689</v>
      </c>
      <c r="J43" s="460" t="n">
        <v>5</v>
      </c>
      <c r="K43" s="631" t="s">
        <v>42</v>
      </c>
      <c r="L43" s="460" t="s">
        <v>57</v>
      </c>
      <c r="M43" s="646" t="n">
        <f aca="false">I43-D43</f>
        <v>889</v>
      </c>
      <c r="N43" s="4"/>
      <c r="O43" s="153"/>
      <c r="P43" s="153"/>
      <c r="Q43" s="153"/>
      <c r="R43" s="153"/>
      <c r="S43" s="153"/>
    </row>
    <row r="44" customFormat="false" ht="14.25" hidden="false" customHeight="true" outlineLevel="0" collapsed="false">
      <c r="A44" s="449" t="n">
        <v>4311</v>
      </c>
      <c r="B44" s="450" t="s">
        <v>17568</v>
      </c>
      <c r="C44" s="450" t="n">
        <v>2008</v>
      </c>
      <c r="D44" s="451" t="n">
        <v>39539</v>
      </c>
      <c r="E44" s="450" t="s">
        <v>17569</v>
      </c>
      <c r="F44" s="624" t="s">
        <v>17570</v>
      </c>
      <c r="G44" s="450" t="s">
        <v>125</v>
      </c>
      <c r="H44" s="450" t="s">
        <v>1042</v>
      </c>
      <c r="I44" s="451" t="n">
        <v>40690</v>
      </c>
      <c r="J44" s="452" t="n">
        <v>5</v>
      </c>
      <c r="K44" s="633" t="s">
        <v>47</v>
      </c>
      <c r="L44" s="452" t="s">
        <v>61</v>
      </c>
      <c r="M44" s="645" t="n">
        <f aca="false">I44-D44</f>
        <v>1151</v>
      </c>
      <c r="N44" s="4"/>
      <c r="O44" s="326" t="s">
        <v>272</v>
      </c>
      <c r="P44" s="326"/>
      <c r="Q44" s="326"/>
      <c r="R44" s="326"/>
      <c r="S44" s="326"/>
    </row>
    <row r="45" customFormat="false" ht="13.5" hidden="false" customHeight="true" outlineLevel="0" collapsed="false">
      <c r="A45" s="456" t="n">
        <v>4411</v>
      </c>
      <c r="B45" s="458" t="s">
        <v>17571</v>
      </c>
      <c r="C45" s="458" t="n">
        <v>2009</v>
      </c>
      <c r="D45" s="459" t="n">
        <v>40031</v>
      </c>
      <c r="E45" s="458" t="s">
        <v>17572</v>
      </c>
      <c r="F45" s="458" t="s">
        <v>1097</v>
      </c>
      <c r="G45" s="458" t="s">
        <v>441</v>
      </c>
      <c r="H45" s="458" t="s">
        <v>1059</v>
      </c>
      <c r="I45" s="459" t="n">
        <v>40690</v>
      </c>
      <c r="J45" s="460" t="n">
        <v>5</v>
      </c>
      <c r="K45" s="631" t="s">
        <v>42</v>
      </c>
      <c r="L45" s="460" t="s">
        <v>58</v>
      </c>
      <c r="M45" s="646" t="n">
        <f aca="false">I45-D45</f>
        <v>659</v>
      </c>
      <c r="N45" s="4"/>
      <c r="O45" s="326"/>
      <c r="P45" s="326"/>
      <c r="Q45" s="326"/>
      <c r="R45" s="326"/>
      <c r="S45" s="326"/>
    </row>
    <row r="46" customFormat="false" ht="12.75" hidden="false" customHeight="true" outlineLevel="0" collapsed="false">
      <c r="A46" s="449" t="n">
        <v>4511</v>
      </c>
      <c r="B46" s="450" t="s">
        <v>17573</v>
      </c>
      <c r="C46" s="450" t="n">
        <v>2005</v>
      </c>
      <c r="D46" s="451" t="n">
        <v>38533</v>
      </c>
      <c r="E46" s="450" t="s">
        <v>17574</v>
      </c>
      <c r="F46" s="450" t="s">
        <v>780</v>
      </c>
      <c r="G46" s="450" t="s">
        <v>144</v>
      </c>
      <c r="H46" s="450" t="s">
        <v>1791</v>
      </c>
      <c r="I46" s="451" t="n">
        <v>40690</v>
      </c>
      <c r="J46" s="452" t="n">
        <v>5</v>
      </c>
      <c r="K46" s="634" t="s">
        <v>45</v>
      </c>
      <c r="L46" s="452" t="s">
        <v>60</v>
      </c>
      <c r="M46" s="645" t="n">
        <f aca="false">I46-D46</f>
        <v>2157</v>
      </c>
      <c r="N46" s="4"/>
      <c r="O46" s="309" t="s">
        <v>100</v>
      </c>
      <c r="P46" s="416" t="s">
        <v>40</v>
      </c>
      <c r="Q46" s="416"/>
      <c r="R46" s="416"/>
      <c r="S46" s="313" t="s">
        <v>41</v>
      </c>
    </row>
    <row r="47" customFormat="false" ht="12.75" hidden="false" customHeight="true" outlineLevel="0" collapsed="false">
      <c r="A47" s="456" t="n">
        <v>4611</v>
      </c>
      <c r="B47" s="458" t="s">
        <v>17575</v>
      </c>
      <c r="C47" s="458" t="n">
        <v>2010</v>
      </c>
      <c r="D47" s="459" t="n">
        <v>40231</v>
      </c>
      <c r="E47" s="458" t="s">
        <v>17576</v>
      </c>
      <c r="F47" s="458" t="s">
        <v>1609</v>
      </c>
      <c r="G47" s="458" t="s">
        <v>441</v>
      </c>
      <c r="H47" s="458" t="s">
        <v>4431</v>
      </c>
      <c r="I47" s="459" t="n">
        <v>40693</v>
      </c>
      <c r="J47" s="460" t="n">
        <v>5</v>
      </c>
      <c r="K47" s="634" t="s">
        <v>45</v>
      </c>
      <c r="L47" s="460" t="s">
        <v>58</v>
      </c>
      <c r="M47" s="646" t="n">
        <f aca="false">I47-D47</f>
        <v>462</v>
      </c>
      <c r="N47" s="4"/>
      <c r="O47" s="314" t="s">
        <v>63</v>
      </c>
      <c r="P47" s="314" t="n">
        <f aca="false">COUNTIF($J$2:$J$476,"1")</f>
        <v>1</v>
      </c>
      <c r="Q47" s="314"/>
      <c r="R47" s="314"/>
      <c r="S47" s="469" t="n">
        <f aca="false">(P47/P59)</f>
        <v>0.00684931506849315</v>
      </c>
    </row>
    <row r="48" customFormat="false" ht="12.75" hidden="false" customHeight="true" outlineLevel="0" collapsed="false">
      <c r="A48" s="449" t="n">
        <v>4711</v>
      </c>
      <c r="B48" s="450" t="s">
        <v>17577</v>
      </c>
      <c r="C48" s="450" t="n">
        <v>2009</v>
      </c>
      <c r="D48" s="451" t="n">
        <v>40154</v>
      </c>
      <c r="E48" s="450" t="s">
        <v>17578</v>
      </c>
      <c r="F48" s="647" t="s">
        <v>17579</v>
      </c>
      <c r="G48" s="450" t="s">
        <v>125</v>
      </c>
      <c r="H48" s="450" t="s">
        <v>17580</v>
      </c>
      <c r="I48" s="451" t="n">
        <v>40694</v>
      </c>
      <c r="J48" s="452" t="n">
        <v>5</v>
      </c>
      <c r="K48" s="632" t="s">
        <v>2407</v>
      </c>
      <c r="L48" s="452" t="s">
        <v>61</v>
      </c>
      <c r="M48" s="645" t="n">
        <f aca="false">I48-D48</f>
        <v>540</v>
      </c>
      <c r="N48" s="4"/>
      <c r="O48" s="282" t="s">
        <v>64</v>
      </c>
      <c r="P48" s="282" t="n">
        <f aca="false">COUNTIF($J$2:$J$476,"2")</f>
        <v>4</v>
      </c>
      <c r="Q48" s="282"/>
      <c r="R48" s="282"/>
      <c r="S48" s="316" t="n">
        <f aca="false">(P48/P59)</f>
        <v>0.0273972602739726</v>
      </c>
    </row>
    <row r="49" customFormat="false" ht="12.75" hidden="false" customHeight="true" outlineLevel="0" collapsed="false">
      <c r="A49" s="456" t="n">
        <v>4811</v>
      </c>
      <c r="B49" s="458" t="s">
        <v>17581</v>
      </c>
      <c r="C49" s="458" t="n">
        <v>2008</v>
      </c>
      <c r="D49" s="459" t="n">
        <v>39778</v>
      </c>
      <c r="E49" s="458" t="s">
        <v>17582</v>
      </c>
      <c r="F49" s="458" t="s">
        <v>699</v>
      </c>
      <c r="G49" s="458" t="s">
        <v>1174</v>
      </c>
      <c r="H49" s="458" t="s">
        <v>192</v>
      </c>
      <c r="I49" s="459" t="n">
        <v>40695</v>
      </c>
      <c r="J49" s="460" t="n">
        <v>6</v>
      </c>
      <c r="K49" s="631" t="s">
        <v>42</v>
      </c>
      <c r="L49" s="460" t="s">
        <v>60</v>
      </c>
      <c r="M49" s="646" t="n">
        <f aca="false">I49-D49</f>
        <v>917</v>
      </c>
      <c r="N49" s="4"/>
      <c r="O49" s="283" t="s">
        <v>66</v>
      </c>
      <c r="P49" s="283" t="n">
        <f aca="false">COUNTIF($J$2:$J$476,"3")</f>
        <v>14</v>
      </c>
      <c r="Q49" s="283"/>
      <c r="R49" s="283"/>
      <c r="S49" s="315" t="n">
        <f aca="false">(P49/P59)</f>
        <v>0.0958904109589041</v>
      </c>
      <c r="T49" s="153"/>
    </row>
    <row r="50" customFormat="false" ht="12.75" hidden="false" customHeight="true" outlineLevel="0" collapsed="false">
      <c r="A50" s="449" t="n">
        <v>4911</v>
      </c>
      <c r="B50" s="450" t="s">
        <v>17583</v>
      </c>
      <c r="C50" s="450" t="n">
        <v>2009</v>
      </c>
      <c r="D50" s="451" t="n">
        <v>39882</v>
      </c>
      <c r="E50" s="450" t="s">
        <v>17584</v>
      </c>
      <c r="F50" s="450" t="s">
        <v>5814</v>
      </c>
      <c r="G50" s="450" t="s">
        <v>441</v>
      </c>
      <c r="H50" s="450" t="s">
        <v>10923</v>
      </c>
      <c r="I50" s="451" t="n">
        <v>40695</v>
      </c>
      <c r="J50" s="452" t="n">
        <v>6</v>
      </c>
      <c r="K50" s="631" t="s">
        <v>42</v>
      </c>
      <c r="L50" s="452" t="s">
        <v>58</v>
      </c>
      <c r="M50" s="645" t="n">
        <f aca="false">I50-D50</f>
        <v>813</v>
      </c>
      <c r="N50" s="4"/>
      <c r="O50" s="282" t="s">
        <v>67</v>
      </c>
      <c r="P50" s="282" t="n">
        <f aca="false">COUNTIF($J$2:$J$476,"4")</f>
        <v>6</v>
      </c>
      <c r="Q50" s="282"/>
      <c r="R50" s="282"/>
      <c r="S50" s="316" t="n">
        <f aca="false">(P50/P59)</f>
        <v>0.0410958904109589</v>
      </c>
      <c r="T50" s="153"/>
    </row>
    <row r="51" customFormat="false" ht="12.75" hidden="false" customHeight="true" outlineLevel="0" collapsed="false">
      <c r="A51" s="456" t="n">
        <v>5011</v>
      </c>
      <c r="B51" s="458" t="s">
        <v>17585</v>
      </c>
      <c r="C51" s="458" t="n">
        <v>2008</v>
      </c>
      <c r="D51" s="459" t="n">
        <v>39685</v>
      </c>
      <c r="E51" s="458" t="s">
        <v>17586</v>
      </c>
      <c r="F51" s="458" t="s">
        <v>17587</v>
      </c>
      <c r="G51" s="458" t="s">
        <v>125</v>
      </c>
      <c r="H51" s="458" t="s">
        <v>17588</v>
      </c>
      <c r="I51" s="459" t="n">
        <v>40695</v>
      </c>
      <c r="J51" s="460" t="n">
        <v>6</v>
      </c>
      <c r="K51" s="633" t="s">
        <v>47</v>
      </c>
      <c r="L51" s="460" t="s">
        <v>61</v>
      </c>
      <c r="M51" s="646" t="n">
        <f aca="false">I51-D51</f>
        <v>1010</v>
      </c>
      <c r="N51" s="4"/>
      <c r="O51" s="283" t="s">
        <v>68</v>
      </c>
      <c r="P51" s="283" t="n">
        <f aca="false">COUNTIF($J$2:$J$476,"5")</f>
        <v>22</v>
      </c>
      <c r="Q51" s="283"/>
      <c r="R51" s="283"/>
      <c r="S51" s="315" t="n">
        <f aca="false">(P51/P59)</f>
        <v>0.150684931506849</v>
      </c>
      <c r="T51" s="153"/>
    </row>
    <row r="52" customFormat="false" ht="12.75" hidden="false" customHeight="true" outlineLevel="0" collapsed="false">
      <c r="A52" s="449" t="n">
        <v>5111</v>
      </c>
      <c r="B52" s="450" t="s">
        <v>17589</v>
      </c>
      <c r="C52" s="450" t="n">
        <v>2009</v>
      </c>
      <c r="D52" s="451" t="n">
        <v>39904</v>
      </c>
      <c r="E52" s="450" t="s">
        <v>17590</v>
      </c>
      <c r="F52" s="450" t="s">
        <v>17591</v>
      </c>
      <c r="G52" s="450" t="s">
        <v>144</v>
      </c>
      <c r="H52" s="450" t="s">
        <v>119</v>
      </c>
      <c r="I52" s="451" t="n">
        <v>40707</v>
      </c>
      <c r="J52" s="452" t="n">
        <v>6</v>
      </c>
      <c r="K52" s="631" t="s">
        <v>42</v>
      </c>
      <c r="L52" s="452" t="s">
        <v>58</v>
      </c>
      <c r="M52" s="645" t="n">
        <f aca="false">I52-D52</f>
        <v>803</v>
      </c>
      <c r="N52" s="4"/>
      <c r="O52" s="282" t="s">
        <v>70</v>
      </c>
      <c r="P52" s="282" t="n">
        <f aca="false">COUNTIF($J$2:$J$476,"6")</f>
        <v>6</v>
      </c>
      <c r="Q52" s="282"/>
      <c r="R52" s="282"/>
      <c r="S52" s="316" t="n">
        <f aca="false">(P52/P59)</f>
        <v>0.0410958904109589</v>
      </c>
      <c r="T52" s="153"/>
    </row>
    <row r="53" customFormat="false" ht="12.75" hidden="false" customHeight="true" outlineLevel="0" collapsed="false">
      <c r="A53" s="456" t="n">
        <v>5211</v>
      </c>
      <c r="B53" s="458" t="s">
        <v>17592</v>
      </c>
      <c r="C53" s="458" t="n">
        <v>2007</v>
      </c>
      <c r="D53" s="459" t="n">
        <v>39440</v>
      </c>
      <c r="E53" s="458" t="s">
        <v>17593</v>
      </c>
      <c r="F53" s="458" t="s">
        <v>17591</v>
      </c>
      <c r="G53" s="458" t="s">
        <v>144</v>
      </c>
      <c r="H53" s="458" t="s">
        <v>119</v>
      </c>
      <c r="I53" s="459" t="n">
        <v>40707</v>
      </c>
      <c r="J53" s="460" t="n">
        <v>6</v>
      </c>
      <c r="K53" s="631" t="s">
        <v>42</v>
      </c>
      <c r="L53" s="460" t="s">
        <v>58</v>
      </c>
      <c r="M53" s="646" t="n">
        <f aca="false">I53-D53</f>
        <v>1267</v>
      </c>
      <c r="N53" s="4"/>
      <c r="O53" s="283" t="s">
        <v>72</v>
      </c>
      <c r="P53" s="283" t="n">
        <f aca="false">COUNTIF($J$2:$J$476,"7")</f>
        <v>13</v>
      </c>
      <c r="Q53" s="283"/>
      <c r="R53" s="283"/>
      <c r="S53" s="315" t="n">
        <f aca="false">(P53/P59)</f>
        <v>0.089041095890411</v>
      </c>
      <c r="T53" s="153"/>
    </row>
    <row r="54" customFormat="false" ht="12.75" hidden="false" customHeight="true" outlineLevel="0" collapsed="false">
      <c r="A54" s="449" t="n">
        <v>5311</v>
      </c>
      <c r="B54" s="450" t="s">
        <v>17594</v>
      </c>
      <c r="C54" s="450" t="n">
        <v>2005</v>
      </c>
      <c r="D54" s="451" t="n">
        <v>38400</v>
      </c>
      <c r="E54" s="450" t="s">
        <v>17595</v>
      </c>
      <c r="F54" s="450" t="s">
        <v>365</v>
      </c>
      <c r="G54" s="450" t="s">
        <v>144</v>
      </c>
      <c r="H54" s="450" t="s">
        <v>134</v>
      </c>
      <c r="I54" s="451" t="n">
        <v>40730</v>
      </c>
      <c r="J54" s="452" t="n">
        <v>6</v>
      </c>
      <c r="K54" s="631" t="s">
        <v>42</v>
      </c>
      <c r="L54" s="452" t="s">
        <v>60</v>
      </c>
      <c r="M54" s="645" t="n">
        <f aca="false">I54-D54</f>
        <v>2330</v>
      </c>
      <c r="N54" s="4"/>
      <c r="O54" s="282" t="s">
        <v>74</v>
      </c>
      <c r="P54" s="282" t="n">
        <f aca="false">COUNTIF($J$2:$J$476,"8")</f>
        <v>16</v>
      </c>
      <c r="Q54" s="282"/>
      <c r="R54" s="282"/>
      <c r="S54" s="316" t="n">
        <f aca="false">(P54/P59)</f>
        <v>0.10958904109589</v>
      </c>
      <c r="T54" s="153"/>
    </row>
    <row r="55" customFormat="false" ht="12.75" hidden="false" customHeight="true" outlineLevel="0" collapsed="false">
      <c r="A55" s="456" t="n">
        <v>5411</v>
      </c>
      <c r="B55" s="458" t="s">
        <v>17596</v>
      </c>
      <c r="C55" s="458" t="n">
        <v>2001</v>
      </c>
      <c r="D55" s="459" t="n">
        <v>37222</v>
      </c>
      <c r="E55" s="458" t="s">
        <v>17597</v>
      </c>
      <c r="F55" s="458" t="s">
        <v>157</v>
      </c>
      <c r="G55" s="458" t="s">
        <v>144</v>
      </c>
      <c r="H55" s="458" t="s">
        <v>119</v>
      </c>
      <c r="I55" s="459" t="n">
        <v>40732</v>
      </c>
      <c r="J55" s="460" t="n">
        <v>7</v>
      </c>
      <c r="K55" s="631" t="s">
        <v>42</v>
      </c>
      <c r="L55" s="460" t="s">
        <v>58</v>
      </c>
      <c r="M55" s="646" t="n">
        <f aca="false">I55-D55</f>
        <v>3510</v>
      </c>
      <c r="N55" s="4"/>
      <c r="O55" s="283" t="s">
        <v>76</v>
      </c>
      <c r="P55" s="283" t="n">
        <f aca="false">COUNTIF($J$2:$J$476,"9")</f>
        <v>21</v>
      </c>
      <c r="Q55" s="283"/>
      <c r="R55" s="283"/>
      <c r="S55" s="315" t="n">
        <f aca="false">(P55/P59)</f>
        <v>0.143835616438356</v>
      </c>
      <c r="T55" s="153"/>
    </row>
    <row r="56" customFormat="false" ht="12.75" hidden="false" customHeight="true" outlineLevel="0" collapsed="false">
      <c r="A56" s="449" t="n">
        <v>5511</v>
      </c>
      <c r="B56" s="450" t="s">
        <v>17598</v>
      </c>
      <c r="C56" s="450" t="n">
        <v>2008</v>
      </c>
      <c r="D56" s="451" t="n">
        <v>39771</v>
      </c>
      <c r="E56" s="450" t="s">
        <v>17599</v>
      </c>
      <c r="F56" s="450" t="s">
        <v>699</v>
      </c>
      <c r="G56" s="450" t="s">
        <v>1174</v>
      </c>
      <c r="H56" s="450" t="s">
        <v>17533</v>
      </c>
      <c r="I56" s="451" t="n">
        <v>40732</v>
      </c>
      <c r="J56" s="452" t="n">
        <v>7</v>
      </c>
      <c r="K56" s="631" t="s">
        <v>42</v>
      </c>
      <c r="L56" s="452" t="s">
        <v>60</v>
      </c>
      <c r="M56" s="645" t="n">
        <f aca="false">I56-D56</f>
        <v>961</v>
      </c>
      <c r="N56" s="4"/>
      <c r="O56" s="282" t="s">
        <v>78</v>
      </c>
      <c r="P56" s="282" t="n">
        <f aca="false">COUNTIF($J$2:$J$476,"10")</f>
        <v>12</v>
      </c>
      <c r="Q56" s="282"/>
      <c r="R56" s="282"/>
      <c r="S56" s="316" t="n">
        <f aca="false">(P56/P59)</f>
        <v>0.0821917808219178</v>
      </c>
      <c r="T56" s="153"/>
    </row>
    <row r="57" customFormat="false" ht="12.75" hidden="false" customHeight="true" outlineLevel="0" collapsed="false">
      <c r="A57" s="456" t="n">
        <v>5611</v>
      </c>
      <c r="B57" s="458" t="s">
        <v>17600</v>
      </c>
      <c r="C57" s="458" t="n">
        <v>2008</v>
      </c>
      <c r="D57" s="459" t="n">
        <v>39686</v>
      </c>
      <c r="E57" s="458" t="s">
        <v>17601</v>
      </c>
      <c r="F57" s="458" t="s">
        <v>379</v>
      </c>
      <c r="G57" s="458" t="s">
        <v>1174</v>
      </c>
      <c r="H57" s="458" t="s">
        <v>5230</v>
      </c>
      <c r="I57" s="459" t="n">
        <v>40730</v>
      </c>
      <c r="J57" s="460" t="n">
        <v>7</v>
      </c>
      <c r="K57" s="633" t="s">
        <v>47</v>
      </c>
      <c r="L57" s="460" t="s">
        <v>60</v>
      </c>
      <c r="M57" s="646" t="n">
        <f aca="false">I57-D57</f>
        <v>1044</v>
      </c>
      <c r="N57" s="4"/>
      <c r="O57" s="283" t="s">
        <v>80</v>
      </c>
      <c r="P57" s="283" t="n">
        <f aca="false">COUNTIF($J$2:$J$476,"11")</f>
        <v>6</v>
      </c>
      <c r="Q57" s="283"/>
      <c r="R57" s="283"/>
      <c r="S57" s="315" t="n">
        <f aca="false">(P57/P59)</f>
        <v>0.0410958904109589</v>
      </c>
      <c r="T57" s="153"/>
    </row>
    <row r="58" customFormat="false" ht="12.75" hidden="false" customHeight="true" outlineLevel="0" collapsed="false">
      <c r="A58" s="449" t="n">
        <v>5711</v>
      </c>
      <c r="B58" s="450" t="s">
        <v>17602</v>
      </c>
      <c r="C58" s="450" t="n">
        <v>2009</v>
      </c>
      <c r="D58" s="451" t="n">
        <v>39871</v>
      </c>
      <c r="E58" s="450" t="s">
        <v>17603</v>
      </c>
      <c r="F58" s="450" t="s">
        <v>699</v>
      </c>
      <c r="G58" s="450" t="s">
        <v>1174</v>
      </c>
      <c r="H58" s="450" t="s">
        <v>12073</v>
      </c>
      <c r="I58" s="451" t="n">
        <v>40732</v>
      </c>
      <c r="J58" s="452" t="n">
        <v>7</v>
      </c>
      <c r="K58" s="631" t="s">
        <v>42</v>
      </c>
      <c r="L58" s="452" t="s">
        <v>60</v>
      </c>
      <c r="M58" s="645" t="n">
        <f aca="false">I58-D58</f>
        <v>861</v>
      </c>
      <c r="N58" s="4"/>
      <c r="O58" s="336" t="s">
        <v>82</v>
      </c>
      <c r="P58" s="282" t="n">
        <f aca="false">COUNTIF($J$2:$J$476,"12")</f>
        <v>25</v>
      </c>
      <c r="Q58" s="282"/>
      <c r="R58" s="282"/>
      <c r="S58" s="470" t="n">
        <f aca="false">(P58/P59)</f>
        <v>0.171232876712329</v>
      </c>
      <c r="T58" s="153"/>
    </row>
    <row r="59" customFormat="false" ht="12.75" hidden="false" customHeight="true" outlineLevel="0" collapsed="false">
      <c r="A59" s="456" t="n">
        <v>5811</v>
      </c>
      <c r="B59" s="458" t="s">
        <v>17604</v>
      </c>
      <c r="C59" s="458" t="n">
        <v>2008</v>
      </c>
      <c r="D59" s="459" t="n">
        <v>39451</v>
      </c>
      <c r="E59" s="458" t="s">
        <v>17605</v>
      </c>
      <c r="F59" s="458" t="s">
        <v>1727</v>
      </c>
      <c r="G59" s="458" t="s">
        <v>1174</v>
      </c>
      <c r="H59" s="458" t="s">
        <v>119</v>
      </c>
      <c r="I59" s="459" t="n">
        <v>40737</v>
      </c>
      <c r="J59" s="460" t="n">
        <v>7</v>
      </c>
      <c r="K59" s="634" t="s">
        <v>45</v>
      </c>
      <c r="L59" s="460" t="s">
        <v>58</v>
      </c>
      <c r="M59" s="646" t="n">
        <f aca="false">I59-D59</f>
        <v>1286</v>
      </c>
      <c r="N59" s="4"/>
      <c r="O59" s="323" t="s">
        <v>54</v>
      </c>
      <c r="P59" s="418" t="n">
        <f aca="false">SUM(P47:R58)</f>
        <v>146</v>
      </c>
      <c r="Q59" s="418"/>
      <c r="R59" s="418"/>
      <c r="S59" s="325" t="n">
        <f aca="false">SUM(S47:S58)</f>
        <v>1</v>
      </c>
      <c r="T59" s="153"/>
    </row>
    <row r="60" customFormat="false" ht="12.75" hidden="false" customHeight="true" outlineLevel="0" collapsed="false">
      <c r="A60" s="449" t="n">
        <v>5911</v>
      </c>
      <c r="B60" s="450" t="s">
        <v>17606</v>
      </c>
      <c r="C60" s="450" t="n">
        <v>2009</v>
      </c>
      <c r="D60" s="451" t="n">
        <v>40093</v>
      </c>
      <c r="E60" s="450" t="s">
        <v>17607</v>
      </c>
      <c r="F60" s="450" t="s">
        <v>207</v>
      </c>
      <c r="G60" s="450" t="s">
        <v>144</v>
      </c>
      <c r="H60" s="450" t="s">
        <v>697</v>
      </c>
      <c r="I60" s="451" t="n">
        <v>40736</v>
      </c>
      <c r="J60" s="452" t="n">
        <v>7</v>
      </c>
      <c r="K60" s="634" t="s">
        <v>45</v>
      </c>
      <c r="L60" s="452" t="s">
        <v>57</v>
      </c>
      <c r="M60" s="645" t="n">
        <f aca="false">I60-D60</f>
        <v>643</v>
      </c>
      <c r="N60" s="4"/>
      <c r="O60" s="153"/>
      <c r="P60" s="153"/>
      <c r="Q60" s="153"/>
      <c r="R60" s="153"/>
      <c r="S60" s="153"/>
      <c r="T60" s="153"/>
    </row>
    <row r="61" customFormat="false" ht="13.5" hidden="false" customHeight="true" outlineLevel="0" collapsed="false">
      <c r="A61" s="456" t="n">
        <v>6011</v>
      </c>
      <c r="B61" s="458" t="s">
        <v>17608</v>
      </c>
      <c r="C61" s="458" t="n">
        <v>2009</v>
      </c>
      <c r="D61" s="459" t="n">
        <v>40093</v>
      </c>
      <c r="E61" s="458" t="s">
        <v>17609</v>
      </c>
      <c r="F61" s="458" t="s">
        <v>207</v>
      </c>
      <c r="G61" s="458" t="s">
        <v>144</v>
      </c>
      <c r="H61" s="458" t="s">
        <v>697</v>
      </c>
      <c r="I61" s="459" t="n">
        <v>40742</v>
      </c>
      <c r="J61" s="460" t="n">
        <v>7</v>
      </c>
      <c r="K61" s="634" t="s">
        <v>45</v>
      </c>
      <c r="L61" s="460" t="s">
        <v>57</v>
      </c>
      <c r="M61" s="646" t="n">
        <f aca="false">I61-D61</f>
        <v>649</v>
      </c>
      <c r="N61" s="4"/>
      <c r="O61" s="339" t="s">
        <v>335</v>
      </c>
      <c r="P61" s="339"/>
      <c r="Q61" s="339"/>
      <c r="R61" s="339"/>
      <c r="S61" s="339"/>
      <c r="T61" s="339"/>
    </row>
    <row r="62" customFormat="false" ht="12.75" hidden="false" customHeight="true" outlineLevel="0" collapsed="false">
      <c r="A62" s="449" t="n">
        <v>6111</v>
      </c>
      <c r="B62" s="450" t="s">
        <v>17610</v>
      </c>
      <c r="C62" s="450" t="n">
        <v>2009</v>
      </c>
      <c r="D62" s="451" t="n">
        <v>40093</v>
      </c>
      <c r="E62" s="450" t="s">
        <v>17611</v>
      </c>
      <c r="F62" s="450" t="s">
        <v>207</v>
      </c>
      <c r="G62" s="450" t="s">
        <v>144</v>
      </c>
      <c r="H62" s="450" t="s">
        <v>697</v>
      </c>
      <c r="I62" s="451" t="n">
        <v>40745</v>
      </c>
      <c r="J62" s="452" t="n">
        <v>7</v>
      </c>
      <c r="K62" s="634" t="s">
        <v>45</v>
      </c>
      <c r="L62" s="452" t="s">
        <v>57</v>
      </c>
      <c r="M62" s="645" t="n">
        <f aca="false">I62-D62</f>
        <v>652</v>
      </c>
      <c r="N62" s="4"/>
      <c r="O62" s="339"/>
      <c r="P62" s="339"/>
      <c r="Q62" s="339"/>
      <c r="R62" s="339"/>
      <c r="S62" s="339"/>
      <c r="T62" s="339"/>
    </row>
    <row r="63" customFormat="false" ht="12.75" hidden="false" customHeight="true" outlineLevel="0" collapsed="false">
      <c r="A63" s="456" t="n">
        <v>6211</v>
      </c>
      <c r="B63" s="458" t="s">
        <v>17612</v>
      </c>
      <c r="C63" s="458" t="n">
        <v>2009</v>
      </c>
      <c r="D63" s="459" t="n">
        <v>39877</v>
      </c>
      <c r="E63" s="458" t="s">
        <v>17613</v>
      </c>
      <c r="F63" s="458" t="s">
        <v>1243</v>
      </c>
      <c r="G63" s="458" t="s">
        <v>144</v>
      </c>
      <c r="H63" s="458" t="s">
        <v>119</v>
      </c>
      <c r="I63" s="459" t="n">
        <v>40750</v>
      </c>
      <c r="J63" s="460" t="n">
        <v>7</v>
      </c>
      <c r="K63" s="633" t="s">
        <v>47</v>
      </c>
      <c r="L63" s="460" t="s">
        <v>60</v>
      </c>
      <c r="M63" s="646" t="n">
        <f aca="false">I63-D63</f>
        <v>873</v>
      </c>
      <c r="N63" s="4"/>
      <c r="O63" s="340" t="s">
        <v>38</v>
      </c>
      <c r="P63" s="340"/>
      <c r="Q63" s="340"/>
      <c r="R63" s="340"/>
      <c r="S63" s="341" t="s">
        <v>343</v>
      </c>
      <c r="T63" s="342" t="s">
        <v>41</v>
      </c>
    </row>
    <row r="64" customFormat="false" ht="12.75" hidden="false" customHeight="true" outlineLevel="0" collapsed="false">
      <c r="A64" s="449" t="n">
        <v>6311</v>
      </c>
      <c r="B64" s="450" t="s">
        <v>17614</v>
      </c>
      <c r="C64" s="450" t="n">
        <v>2010</v>
      </c>
      <c r="D64" s="451" t="n">
        <v>40210</v>
      </c>
      <c r="E64" s="450" t="s">
        <v>17615</v>
      </c>
      <c r="F64" s="450" t="s">
        <v>17616</v>
      </c>
      <c r="G64" s="450" t="s">
        <v>125</v>
      </c>
      <c r="H64" s="450" t="s">
        <v>14408</v>
      </c>
      <c r="I64" s="451" t="n">
        <v>40750</v>
      </c>
      <c r="J64" s="452" t="n">
        <v>7</v>
      </c>
      <c r="K64" s="632" t="s">
        <v>50</v>
      </c>
      <c r="L64" s="452" t="s">
        <v>61</v>
      </c>
      <c r="M64" s="645" t="n">
        <f aca="false">I64-D64</f>
        <v>540</v>
      </c>
      <c r="N64" s="4"/>
      <c r="O64" s="471" t="s">
        <v>42</v>
      </c>
      <c r="P64" s="471"/>
      <c r="Q64" s="471"/>
      <c r="R64" s="471"/>
      <c r="S64" s="471" t="n">
        <f aca="false">COUNTIF($K$2:$K$476,"I - Extremamente tóxico")</f>
        <v>44</v>
      </c>
      <c r="T64" s="472" t="n">
        <f aca="false">(S64/S76)</f>
        <v>0.301369863013699</v>
      </c>
    </row>
    <row r="65" customFormat="false" ht="12.75" hidden="false" customHeight="true" outlineLevel="0" collapsed="false">
      <c r="A65" s="456" t="n">
        <v>6411</v>
      </c>
      <c r="B65" s="458" t="s">
        <v>17617</v>
      </c>
      <c r="C65" s="458" t="n">
        <v>2009</v>
      </c>
      <c r="D65" s="459" t="n">
        <v>39878</v>
      </c>
      <c r="E65" s="458" t="s">
        <v>17618</v>
      </c>
      <c r="F65" s="458" t="s">
        <v>1243</v>
      </c>
      <c r="G65" s="458" t="s">
        <v>441</v>
      </c>
      <c r="H65" s="458" t="s">
        <v>119</v>
      </c>
      <c r="I65" s="459" t="n">
        <v>40750</v>
      </c>
      <c r="J65" s="460" t="n">
        <v>7</v>
      </c>
      <c r="K65" s="633" t="s">
        <v>47</v>
      </c>
      <c r="L65" s="460" t="s">
        <v>60</v>
      </c>
      <c r="M65" s="646" t="n">
        <f aca="false">I65-D65</f>
        <v>872</v>
      </c>
      <c r="N65" s="4"/>
      <c r="O65" s="345" t="s">
        <v>43</v>
      </c>
      <c r="P65" s="345"/>
      <c r="Q65" s="345"/>
      <c r="R65" s="345"/>
      <c r="S65" s="345" t="n">
        <f aca="false">COUNTIF($K$2:$K$476,"Categoria 1 - Produto Extremamente Tóxico")</f>
        <v>0</v>
      </c>
      <c r="T65" s="473" t="n">
        <f aca="false">(S65/S76)</f>
        <v>0</v>
      </c>
    </row>
    <row r="66" customFormat="false" ht="12.75" hidden="false" customHeight="true" outlineLevel="0" collapsed="false">
      <c r="A66" s="449" t="n">
        <v>6511</v>
      </c>
      <c r="B66" s="450" t="s">
        <v>17619</v>
      </c>
      <c r="C66" s="450" t="n">
        <v>2010</v>
      </c>
      <c r="D66" s="451" t="n">
        <v>40309</v>
      </c>
      <c r="E66" s="450" t="s">
        <v>17620</v>
      </c>
      <c r="F66" s="450" t="s">
        <v>3138</v>
      </c>
      <c r="G66" s="450" t="s">
        <v>144</v>
      </c>
      <c r="H66" s="450" t="s">
        <v>697</v>
      </c>
      <c r="I66" s="451" t="n">
        <v>40750</v>
      </c>
      <c r="J66" s="452" t="n">
        <v>7</v>
      </c>
      <c r="K66" s="633" t="s">
        <v>47</v>
      </c>
      <c r="L66" s="452" t="s">
        <v>60</v>
      </c>
      <c r="M66" s="645" t="n">
        <f aca="false">I66-D66</f>
        <v>441</v>
      </c>
      <c r="N66" s="4"/>
      <c r="O66" s="345" t="s">
        <v>44</v>
      </c>
      <c r="P66" s="345"/>
      <c r="Q66" s="345"/>
      <c r="R66" s="345"/>
      <c r="S66" s="345" t="n">
        <f aca="false">COUNTIF($K$2:$K$476,"Categoria 2 - Produto Altamente Tóxico")</f>
        <v>0</v>
      </c>
      <c r="T66" s="473" t="n">
        <f aca="false">(S66/S76)</f>
        <v>0</v>
      </c>
    </row>
    <row r="67" customFormat="false" ht="12.75" hidden="false" customHeight="true" outlineLevel="0" collapsed="false">
      <c r="A67" s="456" t="n">
        <v>6611</v>
      </c>
      <c r="B67" s="458" t="s">
        <v>17621</v>
      </c>
      <c r="C67" s="458" t="n">
        <v>2008</v>
      </c>
      <c r="D67" s="459" t="n">
        <v>39805</v>
      </c>
      <c r="E67" s="458" t="s">
        <v>17622</v>
      </c>
      <c r="F67" s="458" t="s">
        <v>1710</v>
      </c>
      <c r="G67" s="458" t="s">
        <v>1174</v>
      </c>
      <c r="H67" s="458" t="s">
        <v>10110</v>
      </c>
      <c r="I67" s="459" t="n">
        <v>40753</v>
      </c>
      <c r="J67" s="460" t="n">
        <v>7</v>
      </c>
      <c r="K67" s="633" t="s">
        <v>47</v>
      </c>
      <c r="L67" s="460" t="s">
        <v>58</v>
      </c>
      <c r="M67" s="646" t="n">
        <f aca="false">I67-D67</f>
        <v>948</v>
      </c>
      <c r="N67" s="4"/>
      <c r="O67" s="349" t="s">
        <v>45</v>
      </c>
      <c r="P67" s="349"/>
      <c r="Q67" s="349"/>
      <c r="R67" s="349"/>
      <c r="S67" s="349" t="n">
        <f aca="false">COUNTIF($K$2:$K$476,"II - Altamente tóxico")</f>
        <v>31</v>
      </c>
      <c r="T67" s="474" t="n">
        <f aca="false">(S67/S76)</f>
        <v>0.212328767123288</v>
      </c>
    </row>
    <row r="68" customFormat="false" ht="12.75" hidden="false" customHeight="true" outlineLevel="0" collapsed="false">
      <c r="A68" s="449" t="n">
        <v>6711</v>
      </c>
      <c r="B68" s="450" t="s">
        <v>17623</v>
      </c>
      <c r="C68" s="450" t="n">
        <v>2008</v>
      </c>
      <c r="D68" s="451" t="n">
        <v>39700</v>
      </c>
      <c r="E68" s="450" t="s">
        <v>17624</v>
      </c>
      <c r="F68" s="450" t="s">
        <v>17625</v>
      </c>
      <c r="G68" s="450" t="s">
        <v>1174</v>
      </c>
      <c r="H68" s="450" t="s">
        <v>5230</v>
      </c>
      <c r="I68" s="451" t="n">
        <v>40763</v>
      </c>
      <c r="J68" s="452" t="n">
        <v>8</v>
      </c>
      <c r="K68" s="633" t="s">
        <v>47</v>
      </c>
      <c r="L68" s="452" t="s">
        <v>58</v>
      </c>
      <c r="M68" s="645" t="n">
        <f aca="false">I68-D68</f>
        <v>1063</v>
      </c>
      <c r="N68" s="4"/>
      <c r="O68" s="349" t="s">
        <v>46</v>
      </c>
      <c r="P68" s="349"/>
      <c r="Q68" s="349"/>
      <c r="R68" s="349"/>
      <c r="S68" s="349" t="n">
        <f aca="false">COUNTIF($K$2:$K$476,"Categoria 3 - Produto Moderadamente Tóxico")</f>
        <v>0</v>
      </c>
      <c r="T68" s="474" t="n">
        <f aca="false">(S68/S76)</f>
        <v>0</v>
      </c>
    </row>
    <row r="69" customFormat="false" ht="12.75" hidden="false" customHeight="true" outlineLevel="0" collapsed="false">
      <c r="A69" s="456" t="n">
        <v>6811</v>
      </c>
      <c r="B69" s="458" t="s">
        <v>17626</v>
      </c>
      <c r="C69" s="458" t="n">
        <v>2008</v>
      </c>
      <c r="D69" s="459" t="n">
        <v>39771</v>
      </c>
      <c r="E69" s="458" t="s">
        <v>17627</v>
      </c>
      <c r="F69" s="458" t="s">
        <v>365</v>
      </c>
      <c r="G69" s="458" t="s">
        <v>1174</v>
      </c>
      <c r="H69" s="458" t="s">
        <v>17533</v>
      </c>
      <c r="I69" s="459" t="n">
        <v>40763</v>
      </c>
      <c r="J69" s="460" t="n">
        <v>8</v>
      </c>
      <c r="K69" s="633" t="s">
        <v>47</v>
      </c>
      <c r="L69" s="460" t="s">
        <v>58</v>
      </c>
      <c r="M69" s="646" t="n">
        <f aca="false">I69-D69</f>
        <v>992</v>
      </c>
      <c r="N69" s="4"/>
      <c r="O69" s="351" t="s">
        <v>47</v>
      </c>
      <c r="P69" s="351"/>
      <c r="Q69" s="351"/>
      <c r="R69" s="351"/>
      <c r="S69" s="351" t="n">
        <f aca="false">COUNTIF($K$2:$K$476,"III - Medianamente tóxico")</f>
        <v>56</v>
      </c>
      <c r="T69" s="475" t="n">
        <f aca="false">(S69/S76)</f>
        <v>0.383561643835616</v>
      </c>
    </row>
    <row r="70" customFormat="false" ht="12.75" hidden="false" customHeight="true" outlineLevel="0" collapsed="false">
      <c r="A70" s="449" t="n">
        <v>6911</v>
      </c>
      <c r="B70" s="450" t="s">
        <v>17628</v>
      </c>
      <c r="C70" s="450" t="n">
        <v>2008</v>
      </c>
      <c r="D70" s="451" t="n">
        <v>39588</v>
      </c>
      <c r="E70" s="450" t="s">
        <v>17629</v>
      </c>
      <c r="F70" s="450" t="s">
        <v>1080</v>
      </c>
      <c r="G70" s="450" t="s">
        <v>441</v>
      </c>
      <c r="H70" s="450" t="s">
        <v>14391</v>
      </c>
      <c r="I70" s="451" t="n">
        <v>40773</v>
      </c>
      <c r="J70" s="452" t="n">
        <v>8</v>
      </c>
      <c r="K70" s="631" t="s">
        <v>42</v>
      </c>
      <c r="L70" s="452" t="s">
        <v>58</v>
      </c>
      <c r="M70" s="645" t="n">
        <f aca="false">I70-D70</f>
        <v>1185</v>
      </c>
      <c r="N70" s="4"/>
      <c r="O70" s="351" t="s">
        <v>48</v>
      </c>
      <c r="P70" s="351"/>
      <c r="Q70" s="351"/>
      <c r="R70" s="351"/>
      <c r="S70" s="351" t="n">
        <f aca="false">COUNTIF($K$2:$K$476,"Categoria 4 - Produto Pouco Tóxico")</f>
        <v>0</v>
      </c>
      <c r="T70" s="475" t="n">
        <f aca="false">(S70/S76)</f>
        <v>0</v>
      </c>
    </row>
    <row r="71" customFormat="false" ht="12.75" hidden="false" customHeight="true" outlineLevel="0" collapsed="false">
      <c r="A71" s="456" t="n">
        <v>7011</v>
      </c>
      <c r="B71" s="458" t="s">
        <v>17630</v>
      </c>
      <c r="C71" s="458" t="n">
        <v>2008</v>
      </c>
      <c r="D71" s="459" t="n">
        <v>39588</v>
      </c>
      <c r="E71" s="458" t="s">
        <v>17631</v>
      </c>
      <c r="F71" s="458" t="s">
        <v>1080</v>
      </c>
      <c r="G71" s="458" t="s">
        <v>441</v>
      </c>
      <c r="H71" s="458" t="s">
        <v>14391</v>
      </c>
      <c r="I71" s="459" t="n">
        <v>40773</v>
      </c>
      <c r="J71" s="460" t="n">
        <v>8</v>
      </c>
      <c r="K71" s="631" t="s">
        <v>42</v>
      </c>
      <c r="L71" s="460" t="s">
        <v>58</v>
      </c>
      <c r="M71" s="646" t="n">
        <f aca="false">I71-D71</f>
        <v>1185</v>
      </c>
      <c r="N71" s="4"/>
      <c r="O71" s="351" t="s">
        <v>49</v>
      </c>
      <c r="P71" s="351"/>
      <c r="Q71" s="351"/>
      <c r="R71" s="351"/>
      <c r="S71" s="351" t="n">
        <f aca="false">COUNTIF($K$2:$K$476,"Categoria 5 - Produto Improvável de Causar Dano Agudo")</f>
        <v>0</v>
      </c>
      <c r="T71" s="475" t="n">
        <f aca="false">(S71/S76)</f>
        <v>0</v>
      </c>
    </row>
    <row r="72" customFormat="false" ht="12.75" hidden="false" customHeight="true" outlineLevel="0" collapsed="false">
      <c r="A72" s="449" t="n">
        <v>7111</v>
      </c>
      <c r="B72" s="450" t="s">
        <v>17632</v>
      </c>
      <c r="C72" s="450" t="n">
        <v>2010</v>
      </c>
      <c r="D72" s="451" t="n">
        <v>40344</v>
      </c>
      <c r="E72" s="450" t="s">
        <v>17633</v>
      </c>
      <c r="F72" s="450" t="s">
        <v>113</v>
      </c>
      <c r="G72" s="450" t="s">
        <v>441</v>
      </c>
      <c r="H72" s="450" t="s">
        <v>6570</v>
      </c>
      <c r="I72" s="451" t="n">
        <v>40779</v>
      </c>
      <c r="J72" s="452" t="n">
        <v>8</v>
      </c>
      <c r="K72" s="633" t="s">
        <v>47</v>
      </c>
      <c r="L72" s="452" t="s">
        <v>60</v>
      </c>
      <c r="M72" s="645" t="n">
        <f aca="false">I72-D72</f>
        <v>435</v>
      </c>
      <c r="N72" s="4"/>
      <c r="O72" s="353" t="s">
        <v>50</v>
      </c>
      <c r="P72" s="353"/>
      <c r="Q72" s="353"/>
      <c r="R72" s="353"/>
      <c r="S72" s="353" t="n">
        <f aca="false">COUNTIF($K$2:$K$476,"IV - Pouco tóxico")</f>
        <v>10</v>
      </c>
      <c r="T72" s="476" t="n">
        <f aca="false">(S72/S76)</f>
        <v>0.0684931506849315</v>
      </c>
    </row>
    <row r="73" customFormat="false" ht="12.75" hidden="false" customHeight="true" outlineLevel="0" collapsed="false">
      <c r="A73" s="456" t="n">
        <v>7211</v>
      </c>
      <c r="B73" s="458" t="s">
        <v>17634</v>
      </c>
      <c r="C73" s="458" t="n">
        <v>2008</v>
      </c>
      <c r="D73" s="459" t="n">
        <v>39750</v>
      </c>
      <c r="E73" s="458" t="s">
        <v>17635</v>
      </c>
      <c r="F73" s="458" t="s">
        <v>8232</v>
      </c>
      <c r="G73" s="458" t="s">
        <v>1174</v>
      </c>
      <c r="H73" s="458" t="s">
        <v>192</v>
      </c>
      <c r="I73" s="459" t="n">
        <v>40778</v>
      </c>
      <c r="J73" s="460" t="n">
        <v>8</v>
      </c>
      <c r="K73" s="633" t="s">
        <v>47</v>
      </c>
      <c r="L73" s="460" t="s">
        <v>60</v>
      </c>
      <c r="M73" s="646" t="n">
        <f aca="false">I73-D73</f>
        <v>1028</v>
      </c>
      <c r="N73" s="4"/>
      <c r="O73" s="353" t="s">
        <v>51</v>
      </c>
      <c r="P73" s="353"/>
      <c r="Q73" s="353"/>
      <c r="R73" s="353"/>
      <c r="S73" s="353" t="n">
        <f aca="false">COUNTIF($K$2:$K$476,"Não classificado - Produto não classificado")</f>
        <v>0</v>
      </c>
      <c r="T73" s="476" t="n">
        <f aca="false">(S73/S76)</f>
        <v>0</v>
      </c>
    </row>
    <row r="74" customFormat="false" ht="12.75" hidden="false" customHeight="true" outlineLevel="0" collapsed="false">
      <c r="A74" s="449" t="n">
        <v>7311</v>
      </c>
      <c r="B74" s="450" t="s">
        <v>17636</v>
      </c>
      <c r="C74" s="450" t="n">
        <v>2009</v>
      </c>
      <c r="D74" s="451" t="n">
        <v>39993</v>
      </c>
      <c r="E74" s="450" t="s">
        <v>17637</v>
      </c>
      <c r="F74" s="450" t="s">
        <v>699</v>
      </c>
      <c r="G74" s="450" t="s">
        <v>1174</v>
      </c>
      <c r="H74" s="450" t="s">
        <v>15940</v>
      </c>
      <c r="I74" s="451" t="n">
        <v>40778</v>
      </c>
      <c r="J74" s="452" t="n">
        <v>8</v>
      </c>
      <c r="K74" s="631" t="s">
        <v>42</v>
      </c>
      <c r="L74" s="452" t="s">
        <v>60</v>
      </c>
      <c r="M74" s="645" t="n">
        <f aca="false">I74-D74</f>
        <v>785</v>
      </c>
      <c r="N74" s="4"/>
      <c r="O74" s="353" t="s">
        <v>2407</v>
      </c>
      <c r="P74" s="353"/>
      <c r="Q74" s="353"/>
      <c r="R74" s="353"/>
      <c r="S74" s="353" t="n">
        <f aca="false">COUNTIF($K$2:$K$476,"Não determinada devido à natureza do produto (Inimigos naturais)")</f>
        <v>5</v>
      </c>
      <c r="T74" s="476" t="n">
        <f aca="false">(S74/S76)</f>
        <v>0.0342465753424658</v>
      </c>
    </row>
    <row r="75" customFormat="false" ht="12.75" hidden="false" customHeight="true" outlineLevel="0" collapsed="false">
      <c r="A75" s="456" t="n">
        <v>7411</v>
      </c>
      <c r="B75" s="458" t="s">
        <v>17638</v>
      </c>
      <c r="C75" s="458" t="n">
        <v>2011</v>
      </c>
      <c r="D75" s="459" t="n">
        <v>40602</v>
      </c>
      <c r="E75" s="458" t="s">
        <v>17639</v>
      </c>
      <c r="F75" s="458" t="s">
        <v>699</v>
      </c>
      <c r="G75" s="458" t="s">
        <v>1174</v>
      </c>
      <c r="H75" s="458" t="s">
        <v>14391</v>
      </c>
      <c r="I75" s="459" t="n">
        <v>40779</v>
      </c>
      <c r="J75" s="460" t="n">
        <v>8</v>
      </c>
      <c r="K75" s="631" t="s">
        <v>42</v>
      </c>
      <c r="L75" s="460" t="s">
        <v>60</v>
      </c>
      <c r="M75" s="646" t="n">
        <f aca="false">I75-D75</f>
        <v>177</v>
      </c>
      <c r="N75" s="4"/>
      <c r="O75" s="478" t="s">
        <v>53</v>
      </c>
      <c r="P75" s="478"/>
      <c r="Q75" s="478"/>
      <c r="R75" s="478"/>
      <c r="S75" s="478" t="n">
        <f aca="false">COUNTIF($K$2:$K$476,"O perfil toxicológico foi considerado equivalente ao produto técnico de referência")</f>
        <v>0</v>
      </c>
      <c r="T75" s="479" t="n">
        <f aca="false">(S75/S76)</f>
        <v>0</v>
      </c>
    </row>
    <row r="76" customFormat="false" ht="12.75" hidden="false" customHeight="true" outlineLevel="0" collapsed="false">
      <c r="A76" s="449" t="n">
        <v>7511</v>
      </c>
      <c r="B76" s="450" t="s">
        <v>17640</v>
      </c>
      <c r="C76" s="450" t="n">
        <v>2009</v>
      </c>
      <c r="D76" s="451" t="n">
        <v>39933</v>
      </c>
      <c r="E76" s="450" t="s">
        <v>17641</v>
      </c>
      <c r="F76" s="450" t="s">
        <v>1277</v>
      </c>
      <c r="G76" s="450" t="s">
        <v>1174</v>
      </c>
      <c r="H76" s="450" t="s">
        <v>4431</v>
      </c>
      <c r="I76" s="451" t="n">
        <v>40779</v>
      </c>
      <c r="J76" s="452" t="n">
        <v>8</v>
      </c>
      <c r="K76" s="634" t="s">
        <v>45</v>
      </c>
      <c r="L76" s="452" t="s">
        <v>58</v>
      </c>
      <c r="M76" s="645" t="n">
        <f aca="false">I76-D76</f>
        <v>846</v>
      </c>
      <c r="N76" s="4"/>
      <c r="O76" s="419" t="s">
        <v>54</v>
      </c>
      <c r="P76" s="419"/>
      <c r="Q76" s="419"/>
      <c r="R76" s="419"/>
      <c r="S76" s="363" t="n">
        <f aca="false">SUM(S64:S75)</f>
        <v>146</v>
      </c>
      <c r="T76" s="364" t="n">
        <f aca="false">(S76/S76)</f>
        <v>1</v>
      </c>
    </row>
    <row r="77" customFormat="false" ht="12.75" hidden="false" customHeight="true" outlineLevel="0" collapsed="false">
      <c r="A77" s="456" t="n">
        <v>7611</v>
      </c>
      <c r="B77" s="458" t="s">
        <v>17642</v>
      </c>
      <c r="C77" s="458" t="n">
        <v>2011</v>
      </c>
      <c r="D77" s="459" t="n">
        <v>40647</v>
      </c>
      <c r="E77" s="458" t="s">
        <v>17643</v>
      </c>
      <c r="F77" s="458" t="s">
        <v>699</v>
      </c>
      <c r="G77" s="458" t="s">
        <v>1174</v>
      </c>
      <c r="H77" s="458" t="s">
        <v>184</v>
      </c>
      <c r="I77" s="459" t="n">
        <v>40776</v>
      </c>
      <c r="J77" s="460" t="n">
        <v>8</v>
      </c>
      <c r="K77" s="631" t="s">
        <v>42</v>
      </c>
      <c r="L77" s="460" t="s">
        <v>60</v>
      </c>
      <c r="M77" s="646" t="n">
        <f aca="false">I77-D77</f>
        <v>129</v>
      </c>
      <c r="N77" s="4"/>
      <c r="O77" s="153"/>
      <c r="P77" s="153"/>
      <c r="Q77" s="153"/>
      <c r="R77" s="153"/>
      <c r="S77" s="153"/>
      <c r="T77" s="153"/>
    </row>
    <row r="78" customFormat="false" ht="13.5" hidden="false" customHeight="true" outlineLevel="0" collapsed="false">
      <c r="A78" s="449" t="n">
        <v>7711</v>
      </c>
      <c r="B78" s="450" t="s">
        <v>17644</v>
      </c>
      <c r="C78" s="450" t="n">
        <v>2008</v>
      </c>
      <c r="D78" s="451" t="n">
        <v>39813</v>
      </c>
      <c r="E78" s="450" t="s">
        <v>17645</v>
      </c>
      <c r="F78" s="450" t="s">
        <v>3101</v>
      </c>
      <c r="G78" s="450" t="s">
        <v>1174</v>
      </c>
      <c r="H78" s="450" t="s">
        <v>17533</v>
      </c>
      <c r="I78" s="451" t="n">
        <v>40781</v>
      </c>
      <c r="J78" s="452" t="n">
        <v>8</v>
      </c>
      <c r="K78" s="633" t="s">
        <v>47</v>
      </c>
      <c r="L78" s="452" t="s">
        <v>61</v>
      </c>
      <c r="M78" s="645" t="n">
        <f aca="false">I78-D78</f>
        <v>968</v>
      </c>
      <c r="N78" s="4"/>
      <c r="O78" s="339" t="s">
        <v>102</v>
      </c>
      <c r="P78" s="339"/>
      <c r="Q78" s="339"/>
      <c r="R78" s="339"/>
      <c r="S78" s="339"/>
      <c r="T78" s="339"/>
    </row>
    <row r="79" customFormat="false" ht="12.75" hidden="false" customHeight="true" outlineLevel="0" collapsed="false">
      <c r="A79" s="456" t="n">
        <v>7811</v>
      </c>
      <c r="B79" s="458" t="s">
        <v>17646</v>
      </c>
      <c r="C79" s="458" t="n">
        <v>2009</v>
      </c>
      <c r="D79" s="459" t="n">
        <v>39902</v>
      </c>
      <c r="E79" s="458" t="s">
        <v>17647</v>
      </c>
      <c r="F79" s="458" t="s">
        <v>176</v>
      </c>
      <c r="G79" s="458" t="s">
        <v>1174</v>
      </c>
      <c r="H79" s="458" t="s">
        <v>17533</v>
      </c>
      <c r="I79" s="459" t="n">
        <v>40779</v>
      </c>
      <c r="J79" s="460" t="n">
        <v>8</v>
      </c>
      <c r="K79" s="633" t="s">
        <v>47</v>
      </c>
      <c r="L79" s="460" t="s">
        <v>60</v>
      </c>
      <c r="M79" s="646" t="n">
        <f aca="false">I79-D79</f>
        <v>877</v>
      </c>
      <c r="N79" s="4"/>
      <c r="O79" s="339"/>
      <c r="P79" s="339"/>
      <c r="Q79" s="339"/>
      <c r="R79" s="339"/>
      <c r="S79" s="339"/>
      <c r="T79" s="339"/>
    </row>
    <row r="80" customFormat="false" ht="12.75" hidden="false" customHeight="true" outlineLevel="0" collapsed="false">
      <c r="A80" s="449" t="n">
        <v>7911</v>
      </c>
      <c r="B80" s="450" t="s">
        <v>17648</v>
      </c>
      <c r="C80" s="450" t="n">
        <v>2008</v>
      </c>
      <c r="D80" s="451" t="n">
        <v>39644</v>
      </c>
      <c r="E80" s="450" t="s">
        <v>17649</v>
      </c>
      <c r="F80" s="450" t="s">
        <v>7360</v>
      </c>
      <c r="G80" s="450" t="s">
        <v>1174</v>
      </c>
      <c r="H80" s="450" t="s">
        <v>2677</v>
      </c>
      <c r="I80" s="451" t="n">
        <v>40780</v>
      </c>
      <c r="J80" s="452" t="n">
        <v>8</v>
      </c>
      <c r="K80" s="631" t="s">
        <v>42</v>
      </c>
      <c r="L80" s="452" t="s">
        <v>60</v>
      </c>
      <c r="M80" s="645" t="n">
        <f aca="false">I80-D80</f>
        <v>1136</v>
      </c>
      <c r="N80" s="4"/>
      <c r="O80" s="340" t="s">
        <v>38</v>
      </c>
      <c r="P80" s="340"/>
      <c r="Q80" s="340"/>
      <c r="R80" s="340"/>
      <c r="S80" s="374" t="s">
        <v>343</v>
      </c>
      <c r="T80" s="375" t="s">
        <v>41</v>
      </c>
    </row>
    <row r="81" customFormat="false" ht="13.5" hidden="false" customHeight="true" outlineLevel="0" collapsed="false">
      <c r="A81" s="456" t="n">
        <v>8011</v>
      </c>
      <c r="B81" s="458" t="s">
        <v>17650</v>
      </c>
      <c r="C81" s="458" t="n">
        <v>2009</v>
      </c>
      <c r="D81" s="459" t="n">
        <v>39933</v>
      </c>
      <c r="E81" s="458" t="s">
        <v>17651</v>
      </c>
      <c r="F81" s="458" t="s">
        <v>1916</v>
      </c>
      <c r="G81" s="458" t="s">
        <v>1174</v>
      </c>
      <c r="H81" s="458" t="s">
        <v>1059</v>
      </c>
      <c r="I81" s="459" t="n">
        <v>40779</v>
      </c>
      <c r="J81" s="460" t="n">
        <v>8</v>
      </c>
      <c r="K81" s="633" t="s">
        <v>47</v>
      </c>
      <c r="L81" s="460" t="s">
        <v>58</v>
      </c>
      <c r="M81" s="646" t="n">
        <f aca="false">I81-D81</f>
        <v>846</v>
      </c>
      <c r="N81" s="4"/>
      <c r="O81" s="480" t="s">
        <v>57</v>
      </c>
      <c r="P81" s="480"/>
      <c r="Q81" s="480"/>
      <c r="R81" s="480"/>
      <c r="S81" s="536" t="n">
        <f aca="false">COUNTIF($L$2:$L$476,"I - Produto altamente perigoso ao meio ambiente")</f>
        <v>6</v>
      </c>
      <c r="T81" s="377" t="n">
        <f aca="false">(S81/S85)</f>
        <v>0.0410958904109589</v>
      </c>
    </row>
    <row r="82" customFormat="false" ht="13.5" hidden="false" customHeight="true" outlineLevel="0" collapsed="false">
      <c r="A82" s="449" t="n">
        <v>8111</v>
      </c>
      <c r="B82" s="450" t="s">
        <v>17652</v>
      </c>
      <c r="C82" s="450" t="n">
        <v>2009</v>
      </c>
      <c r="D82" s="451" t="n">
        <v>39847</v>
      </c>
      <c r="E82" s="450" t="s">
        <v>17653</v>
      </c>
      <c r="F82" s="450" t="s">
        <v>2003</v>
      </c>
      <c r="G82" s="450" t="s">
        <v>441</v>
      </c>
      <c r="H82" s="450" t="s">
        <v>16610</v>
      </c>
      <c r="I82" s="451" t="n">
        <v>40786</v>
      </c>
      <c r="J82" s="452" t="n">
        <v>8</v>
      </c>
      <c r="K82" s="631" t="s">
        <v>42</v>
      </c>
      <c r="L82" s="452" t="s">
        <v>60</v>
      </c>
      <c r="M82" s="645" t="n">
        <f aca="false">I82-D82</f>
        <v>939</v>
      </c>
      <c r="N82" s="4"/>
      <c r="O82" s="378" t="s">
        <v>58</v>
      </c>
      <c r="P82" s="378"/>
      <c r="Q82" s="378"/>
      <c r="R82" s="378"/>
      <c r="S82" s="537" t="n">
        <f aca="false">COUNTIF($L$2:$L$476,"II - Produto muito perigoso ao meio ambiente")</f>
        <v>67</v>
      </c>
      <c r="T82" s="379" t="n">
        <f aca="false">(S82/S85)</f>
        <v>0.458904109589041</v>
      </c>
    </row>
    <row r="83" customFormat="false" ht="13.5" hidden="false" customHeight="true" outlineLevel="0" collapsed="false">
      <c r="A83" s="456" t="n">
        <v>8211</v>
      </c>
      <c r="B83" s="458" t="s">
        <v>17654</v>
      </c>
      <c r="C83" s="458" t="n">
        <v>2005</v>
      </c>
      <c r="D83" s="459" t="n">
        <v>38415</v>
      </c>
      <c r="E83" s="458" t="s">
        <v>17655</v>
      </c>
      <c r="F83" s="458" t="s">
        <v>365</v>
      </c>
      <c r="G83" s="458" t="s">
        <v>144</v>
      </c>
      <c r="H83" s="458" t="s">
        <v>134</v>
      </c>
      <c r="I83" s="459" t="n">
        <v>40786</v>
      </c>
      <c r="J83" s="460" t="n">
        <v>8</v>
      </c>
      <c r="K83" s="633" t="s">
        <v>47</v>
      </c>
      <c r="L83" s="460" t="s">
        <v>60</v>
      </c>
      <c r="M83" s="646" t="n">
        <f aca="false">I83-D83</f>
        <v>2371</v>
      </c>
      <c r="N83" s="4"/>
      <c r="O83" s="380" t="s">
        <v>60</v>
      </c>
      <c r="P83" s="380"/>
      <c r="Q83" s="380"/>
      <c r="R83" s="380"/>
      <c r="S83" s="536" t="n">
        <f aca="false">COUNTIF($L$2:$L$476,"III - Produto perigoso ao meio ambiente")</f>
        <v>56</v>
      </c>
      <c r="T83" s="377" t="n">
        <f aca="false">(S83/S85)</f>
        <v>0.383561643835616</v>
      </c>
    </row>
    <row r="84" customFormat="false" ht="14.25" hidden="false" customHeight="true" outlineLevel="0" collapsed="false">
      <c r="A84" s="449" t="n">
        <v>8311</v>
      </c>
      <c r="B84" s="450" t="s">
        <v>17656</v>
      </c>
      <c r="C84" s="450" t="n">
        <v>2007</v>
      </c>
      <c r="D84" s="451" t="n">
        <v>39413</v>
      </c>
      <c r="E84" s="450" t="s">
        <v>17657</v>
      </c>
      <c r="F84" s="450" t="s">
        <v>705</v>
      </c>
      <c r="G84" s="450" t="s">
        <v>441</v>
      </c>
      <c r="H84" s="450" t="s">
        <v>4045</v>
      </c>
      <c r="I84" s="451" t="n">
        <v>40787</v>
      </c>
      <c r="J84" s="452" t="n">
        <v>9</v>
      </c>
      <c r="K84" s="631" t="s">
        <v>42</v>
      </c>
      <c r="L84" s="452" t="s">
        <v>58</v>
      </c>
      <c r="M84" s="645" t="n">
        <f aca="false">I84-D84</f>
        <v>1374</v>
      </c>
      <c r="N84" s="4"/>
      <c r="O84" s="378" t="s">
        <v>61</v>
      </c>
      <c r="P84" s="378"/>
      <c r="Q84" s="378"/>
      <c r="R84" s="378"/>
      <c r="S84" s="537" t="n">
        <f aca="false">COUNTIF($L$2:$L$476,"IV - Produto pouco perigoso ao meio ambiente")</f>
        <v>17</v>
      </c>
      <c r="T84" s="379" t="n">
        <f aca="false">(S84/S85)</f>
        <v>0.116438356164384</v>
      </c>
    </row>
    <row r="85" customFormat="false" ht="12.75" hidden="false" customHeight="true" outlineLevel="0" collapsed="false">
      <c r="A85" s="456" t="n">
        <v>8411</v>
      </c>
      <c r="B85" s="458" t="s">
        <v>17658</v>
      </c>
      <c r="C85" s="458" t="n">
        <v>2009</v>
      </c>
      <c r="D85" s="459" t="n">
        <v>39884</v>
      </c>
      <c r="E85" s="458" t="s">
        <v>17659</v>
      </c>
      <c r="F85" s="458" t="s">
        <v>180</v>
      </c>
      <c r="G85" s="458" t="s">
        <v>1174</v>
      </c>
      <c r="H85" s="458" t="s">
        <v>350</v>
      </c>
      <c r="I85" s="459" t="n">
        <v>40787</v>
      </c>
      <c r="J85" s="460" t="n">
        <v>9</v>
      </c>
      <c r="K85" s="633" t="s">
        <v>47</v>
      </c>
      <c r="L85" s="460" t="s">
        <v>58</v>
      </c>
      <c r="M85" s="646" t="n">
        <f aca="false">I85-D85</f>
        <v>903</v>
      </c>
      <c r="N85" s="4"/>
      <c r="O85" s="340" t="s">
        <v>54</v>
      </c>
      <c r="P85" s="340"/>
      <c r="Q85" s="340"/>
      <c r="R85" s="340"/>
      <c r="S85" s="363" t="n">
        <f aca="false">SUM(S81:S84)</f>
        <v>146</v>
      </c>
      <c r="T85" s="364" t="n">
        <f aca="false">(S85/S85)</f>
        <v>1</v>
      </c>
    </row>
    <row r="86" customFormat="false" ht="12.75" hidden="false" customHeight="true" outlineLevel="0" collapsed="false">
      <c r="A86" s="449" t="n">
        <v>8511</v>
      </c>
      <c r="B86" s="450" t="s">
        <v>17660</v>
      </c>
      <c r="C86" s="450" t="n">
        <v>2007</v>
      </c>
      <c r="D86" s="451" t="n">
        <v>39353</v>
      </c>
      <c r="E86" s="450" t="s">
        <v>17661</v>
      </c>
      <c r="F86" s="450" t="s">
        <v>17662</v>
      </c>
      <c r="G86" s="450" t="s">
        <v>441</v>
      </c>
      <c r="H86" s="450" t="s">
        <v>16610</v>
      </c>
      <c r="I86" s="451" t="n">
        <v>40802</v>
      </c>
      <c r="J86" s="452" t="n">
        <v>9</v>
      </c>
      <c r="K86" s="633" t="s">
        <v>47</v>
      </c>
      <c r="L86" s="452" t="s">
        <v>58</v>
      </c>
      <c r="M86" s="645" t="n">
        <f aca="false">I86-D86</f>
        <v>1449</v>
      </c>
      <c r="N86" s="4"/>
      <c r="O86" s="153"/>
      <c r="P86" s="153"/>
      <c r="Q86" s="153"/>
      <c r="R86" s="153"/>
      <c r="S86" s="153"/>
      <c r="T86" s="153"/>
    </row>
    <row r="87" customFormat="false" ht="14.25" hidden="false" customHeight="true" outlineLevel="0" collapsed="false">
      <c r="A87" s="456" t="n">
        <v>8611</v>
      </c>
      <c r="B87" s="458" t="s">
        <v>17663</v>
      </c>
      <c r="C87" s="458" t="n">
        <v>2009</v>
      </c>
      <c r="D87" s="459" t="n">
        <v>40177</v>
      </c>
      <c r="E87" s="458" t="s">
        <v>17664</v>
      </c>
      <c r="F87" s="625" t="s">
        <v>10875</v>
      </c>
      <c r="G87" s="458" t="s">
        <v>125</v>
      </c>
      <c r="H87" s="458" t="s">
        <v>391</v>
      </c>
      <c r="I87" s="459" t="n">
        <v>40798</v>
      </c>
      <c r="J87" s="460" t="n">
        <v>9</v>
      </c>
      <c r="K87" s="633" t="s">
        <v>47</v>
      </c>
      <c r="L87" s="460" t="s">
        <v>61</v>
      </c>
      <c r="M87" s="646" t="n">
        <f aca="false">I87-D87</f>
        <v>621</v>
      </c>
      <c r="N87" s="4"/>
      <c r="O87" s="421" t="s">
        <v>425</v>
      </c>
      <c r="P87" s="421"/>
      <c r="Q87" s="421"/>
      <c r="R87" s="421"/>
      <c r="S87" s="153"/>
      <c r="T87" s="153"/>
    </row>
    <row r="88" customFormat="false" ht="12.75" hidden="false" customHeight="true" outlineLevel="0" collapsed="false">
      <c r="A88" s="449" t="n">
        <v>8711</v>
      </c>
      <c r="B88" s="450" t="s">
        <v>17665</v>
      </c>
      <c r="C88" s="450" t="n">
        <v>2006</v>
      </c>
      <c r="D88" s="451" t="n">
        <v>39021</v>
      </c>
      <c r="E88" s="450" t="s">
        <v>17666</v>
      </c>
      <c r="F88" s="450" t="s">
        <v>9647</v>
      </c>
      <c r="G88" s="450" t="s">
        <v>144</v>
      </c>
      <c r="H88" s="450" t="s">
        <v>1109</v>
      </c>
      <c r="I88" s="451" t="n">
        <v>40802</v>
      </c>
      <c r="J88" s="452" t="n">
        <v>9</v>
      </c>
      <c r="K88" s="631" t="s">
        <v>42</v>
      </c>
      <c r="L88" s="452" t="s">
        <v>60</v>
      </c>
      <c r="M88" s="645" t="n">
        <f aca="false">I88-D88</f>
        <v>1781</v>
      </c>
      <c r="N88" s="4"/>
      <c r="O88" s="421"/>
      <c r="P88" s="421"/>
      <c r="Q88" s="421"/>
      <c r="R88" s="421"/>
      <c r="S88" s="153"/>
      <c r="T88" s="153"/>
    </row>
    <row r="89" customFormat="false" ht="12.75" hidden="false" customHeight="true" outlineLevel="0" collapsed="false">
      <c r="A89" s="456" t="n">
        <v>8811</v>
      </c>
      <c r="B89" s="458" t="s">
        <v>17667</v>
      </c>
      <c r="C89" s="458" t="n">
        <v>2008</v>
      </c>
      <c r="D89" s="459" t="n">
        <v>39808</v>
      </c>
      <c r="E89" s="458" t="s">
        <v>17668</v>
      </c>
      <c r="F89" s="458" t="s">
        <v>13755</v>
      </c>
      <c r="G89" s="458" t="s">
        <v>441</v>
      </c>
      <c r="H89" s="458" t="s">
        <v>4431</v>
      </c>
      <c r="I89" s="459" t="n">
        <v>40802</v>
      </c>
      <c r="J89" s="460" t="n">
        <v>9</v>
      </c>
      <c r="K89" s="631" t="s">
        <v>42</v>
      </c>
      <c r="L89" s="460" t="s">
        <v>58</v>
      </c>
      <c r="M89" s="646" t="n">
        <f aca="false">I89-D89</f>
        <v>994</v>
      </c>
      <c r="N89" s="4"/>
      <c r="O89" s="390" t="s">
        <v>69</v>
      </c>
      <c r="P89" s="422" t="s">
        <v>433</v>
      </c>
      <c r="Q89" s="422"/>
      <c r="R89" s="422"/>
      <c r="S89" s="153"/>
      <c r="T89" s="153"/>
    </row>
    <row r="90" customFormat="false" ht="12.75" hidden="false" customHeight="true" outlineLevel="0" collapsed="false">
      <c r="A90" s="449" t="n">
        <v>8911</v>
      </c>
      <c r="B90" s="450" t="s">
        <v>17669</v>
      </c>
      <c r="C90" s="450" t="n">
        <v>2009</v>
      </c>
      <c r="D90" s="451" t="n">
        <v>39843</v>
      </c>
      <c r="E90" s="450" t="s">
        <v>17670</v>
      </c>
      <c r="F90" s="450" t="s">
        <v>699</v>
      </c>
      <c r="G90" s="450" t="s">
        <v>1174</v>
      </c>
      <c r="H90" s="450" t="s">
        <v>12073</v>
      </c>
      <c r="I90" s="451" t="n">
        <v>40802</v>
      </c>
      <c r="J90" s="452" t="n">
        <v>9</v>
      </c>
      <c r="K90" s="631" t="s">
        <v>42</v>
      </c>
      <c r="L90" s="452" t="s">
        <v>60</v>
      </c>
      <c r="M90" s="645" t="n">
        <f aca="false">I90-D90</f>
        <v>959</v>
      </c>
      <c r="N90" s="4"/>
      <c r="O90" s="394" t="s">
        <v>1474</v>
      </c>
      <c r="P90" s="481" t="e">
        <f aca="false">AVERAGEIF(G2:G476,"PT",M2:M476)</f>
        <v>#DIV/0!</v>
      </c>
      <c r="Q90" s="481"/>
      <c r="R90" s="481"/>
      <c r="S90" s="153"/>
      <c r="T90" s="153"/>
    </row>
    <row r="91" customFormat="false" ht="12.75" hidden="false" customHeight="true" outlineLevel="0" collapsed="false">
      <c r="A91" s="456" t="n">
        <v>9011</v>
      </c>
      <c r="B91" s="458" t="s">
        <v>17671</v>
      </c>
      <c r="C91" s="458" t="n">
        <v>2009</v>
      </c>
      <c r="D91" s="459" t="n">
        <v>40168</v>
      </c>
      <c r="E91" s="458" t="s">
        <v>17672</v>
      </c>
      <c r="F91" s="458" t="s">
        <v>14177</v>
      </c>
      <c r="G91" s="458" t="s">
        <v>144</v>
      </c>
      <c r="H91" s="458" t="s">
        <v>697</v>
      </c>
      <c r="I91" s="459" t="n">
        <v>40802</v>
      </c>
      <c r="J91" s="460" t="n">
        <v>9</v>
      </c>
      <c r="K91" s="632" t="s">
        <v>50</v>
      </c>
      <c r="L91" s="460" t="s">
        <v>60</v>
      </c>
      <c r="M91" s="646" t="n">
        <f aca="false">I91-D91</f>
        <v>634</v>
      </c>
      <c r="N91" s="4"/>
      <c r="O91" s="396" t="s">
        <v>1188</v>
      </c>
      <c r="P91" s="482" t="n">
        <f aca="false">AVERAGEIF(G2:G477,"PTN",M2:M477)</f>
        <v>1680</v>
      </c>
      <c r="Q91" s="482"/>
      <c r="R91" s="482"/>
      <c r="S91" s="153"/>
      <c r="T91" s="153"/>
    </row>
    <row r="92" customFormat="false" ht="12.75" hidden="false" customHeight="true" outlineLevel="0" collapsed="false">
      <c r="A92" s="449" t="n">
        <v>9111</v>
      </c>
      <c r="B92" s="450" t="s">
        <v>17673</v>
      </c>
      <c r="C92" s="450" t="n">
        <v>2008</v>
      </c>
      <c r="D92" s="451" t="n">
        <v>39580</v>
      </c>
      <c r="E92" s="450" t="s">
        <v>17674</v>
      </c>
      <c r="F92" s="450" t="s">
        <v>17675</v>
      </c>
      <c r="G92" s="450" t="s">
        <v>144</v>
      </c>
      <c r="H92" s="450" t="s">
        <v>119</v>
      </c>
      <c r="I92" s="451" t="n">
        <v>40807</v>
      </c>
      <c r="J92" s="452" t="n">
        <v>9</v>
      </c>
      <c r="K92" s="633" t="s">
        <v>47</v>
      </c>
      <c r="L92" s="452" t="s">
        <v>58</v>
      </c>
      <c r="M92" s="645" t="n">
        <f aca="false">I92-D92</f>
        <v>1227</v>
      </c>
      <c r="N92" s="4"/>
      <c r="O92" s="394" t="s">
        <v>1174</v>
      </c>
      <c r="P92" s="481" t="n">
        <f aca="false">AVERAGEIF(G2:G476,"PTE",M2:M476)</f>
        <v>927.75</v>
      </c>
      <c r="Q92" s="481"/>
      <c r="R92" s="481"/>
      <c r="S92" s="153"/>
      <c r="T92" s="153"/>
    </row>
    <row r="93" customFormat="false" ht="15" hidden="false" customHeight="true" outlineLevel="0" collapsed="false">
      <c r="A93" s="456" t="n">
        <v>9211</v>
      </c>
      <c r="B93" s="458" t="s">
        <v>17676</v>
      </c>
      <c r="C93" s="458" t="n">
        <v>2011</v>
      </c>
      <c r="D93" s="459" t="n">
        <v>40744</v>
      </c>
      <c r="E93" s="458" t="s">
        <v>17677</v>
      </c>
      <c r="F93" s="625" t="s">
        <v>288</v>
      </c>
      <c r="G93" s="458" t="s">
        <v>130</v>
      </c>
      <c r="H93" s="458" t="s">
        <v>17678</v>
      </c>
      <c r="I93" s="459" t="n">
        <v>40807</v>
      </c>
      <c r="J93" s="460" t="n">
        <v>9</v>
      </c>
      <c r="K93" s="632" t="s">
        <v>2407</v>
      </c>
      <c r="L93" s="460" t="s">
        <v>61</v>
      </c>
      <c r="M93" s="646" t="n">
        <f aca="false">I93-D93</f>
        <v>63</v>
      </c>
      <c r="N93" s="4"/>
      <c r="O93" s="396" t="s">
        <v>8</v>
      </c>
      <c r="P93" s="482" t="e">
        <f aca="false">AVERAGEIF(G2:G476,"Pré-Mistura",M2:M476)</f>
        <v>#DIV/0!</v>
      </c>
      <c r="Q93" s="482"/>
      <c r="R93" s="482"/>
      <c r="S93" s="153"/>
      <c r="T93" s="153"/>
    </row>
    <row r="94" customFormat="false" ht="12.75" hidden="false" customHeight="true" outlineLevel="0" collapsed="false">
      <c r="A94" s="449" t="n">
        <v>9311</v>
      </c>
      <c r="B94" s="450" t="s">
        <v>17679</v>
      </c>
      <c r="C94" s="450" t="n">
        <v>2009</v>
      </c>
      <c r="D94" s="451" t="n">
        <v>40093</v>
      </c>
      <c r="E94" s="450" t="s">
        <v>17680</v>
      </c>
      <c r="F94" s="450" t="s">
        <v>207</v>
      </c>
      <c r="G94" s="450" t="s">
        <v>144</v>
      </c>
      <c r="H94" s="450" t="s">
        <v>697</v>
      </c>
      <c r="I94" s="451" t="n">
        <v>40807</v>
      </c>
      <c r="J94" s="452" t="n">
        <v>9</v>
      </c>
      <c r="K94" s="634" t="s">
        <v>45</v>
      </c>
      <c r="L94" s="452" t="s">
        <v>57</v>
      </c>
      <c r="M94" s="645" t="n">
        <f aca="false">I94-D94</f>
        <v>714</v>
      </c>
      <c r="N94" s="4"/>
      <c r="O94" s="394" t="s">
        <v>144</v>
      </c>
      <c r="P94" s="481" t="n">
        <f aca="false">AVERAGEIF(G2:G476,"PF",M2:M476)</f>
        <v>1254.84375</v>
      </c>
      <c r="Q94" s="481"/>
      <c r="R94" s="481"/>
      <c r="S94" s="153"/>
      <c r="T94" s="153"/>
    </row>
    <row r="95" customFormat="false" ht="12.75" hidden="false" customHeight="true" outlineLevel="0" collapsed="false">
      <c r="A95" s="456" t="n">
        <v>9411</v>
      </c>
      <c r="B95" s="458" t="s">
        <v>17681</v>
      </c>
      <c r="C95" s="458" t="n">
        <v>2008</v>
      </c>
      <c r="D95" s="459" t="n">
        <v>39758</v>
      </c>
      <c r="E95" s="458" t="s">
        <v>17682</v>
      </c>
      <c r="F95" s="458" t="s">
        <v>579</v>
      </c>
      <c r="G95" s="458" t="s">
        <v>144</v>
      </c>
      <c r="H95" s="458" t="s">
        <v>373</v>
      </c>
      <c r="I95" s="459" t="n">
        <v>40808</v>
      </c>
      <c r="J95" s="460" t="n">
        <v>9</v>
      </c>
      <c r="K95" s="633" t="s">
        <v>47</v>
      </c>
      <c r="L95" s="460" t="s">
        <v>58</v>
      </c>
      <c r="M95" s="646" t="n">
        <f aca="false">I95-D95</f>
        <v>1050</v>
      </c>
      <c r="N95" s="4"/>
      <c r="O95" s="396" t="s">
        <v>115</v>
      </c>
      <c r="P95" s="482" t="n">
        <f aca="false">AVERAGEIF(G2:G476,"PFN",M2:M476)</f>
        <v>1683</v>
      </c>
      <c r="Q95" s="482"/>
      <c r="R95" s="482"/>
      <c r="S95" s="153"/>
      <c r="T95" s="153"/>
    </row>
    <row r="96" customFormat="false" ht="12.75" hidden="false" customHeight="true" outlineLevel="0" collapsed="false">
      <c r="A96" s="449" t="n">
        <v>9511</v>
      </c>
      <c r="B96" s="450" t="s">
        <v>17683</v>
      </c>
      <c r="C96" s="450" t="n">
        <v>2008</v>
      </c>
      <c r="D96" s="451" t="n">
        <v>39647</v>
      </c>
      <c r="E96" s="450" t="s">
        <v>17684</v>
      </c>
      <c r="F96" s="450" t="s">
        <v>14177</v>
      </c>
      <c r="G96" s="450" t="s">
        <v>1174</v>
      </c>
      <c r="H96" s="450" t="s">
        <v>2677</v>
      </c>
      <c r="I96" s="451" t="n">
        <v>40808</v>
      </c>
      <c r="J96" s="452" t="n">
        <v>9</v>
      </c>
      <c r="K96" s="633" t="s">
        <v>47</v>
      </c>
      <c r="L96" s="452" t="s">
        <v>60</v>
      </c>
      <c r="M96" s="645" t="n">
        <f aca="false">I96-D96</f>
        <v>1161</v>
      </c>
      <c r="N96" s="4"/>
      <c r="O96" s="394" t="s">
        <v>441</v>
      </c>
      <c r="P96" s="481" t="n">
        <f aca="false">AVERAGEIF(G2:G476,"PF/PTE",M2:M476)</f>
        <v>976.388888888889</v>
      </c>
      <c r="Q96" s="481"/>
      <c r="R96" s="481"/>
      <c r="S96" s="153"/>
      <c r="T96" s="153"/>
    </row>
    <row r="97" customFormat="false" ht="12.75" hidden="false" customHeight="true" outlineLevel="0" collapsed="false">
      <c r="A97" s="456" t="n">
        <v>9611</v>
      </c>
      <c r="B97" s="458" t="s">
        <v>17685</v>
      </c>
      <c r="C97" s="458" t="n">
        <v>2010</v>
      </c>
      <c r="D97" s="459" t="n">
        <v>40533</v>
      </c>
      <c r="E97" s="458" t="s">
        <v>17686</v>
      </c>
      <c r="F97" s="625" t="s">
        <v>17687</v>
      </c>
      <c r="G97" s="458" t="s">
        <v>125</v>
      </c>
      <c r="H97" s="458" t="s">
        <v>10653</v>
      </c>
      <c r="I97" s="459" t="n">
        <v>40809</v>
      </c>
      <c r="J97" s="460" t="n">
        <v>9</v>
      </c>
      <c r="K97" s="632" t="s">
        <v>2407</v>
      </c>
      <c r="L97" s="460" t="s">
        <v>61</v>
      </c>
      <c r="M97" s="646" t="n">
        <f aca="false">I97-D97</f>
        <v>276</v>
      </c>
      <c r="N97" s="4"/>
      <c r="O97" s="396" t="s">
        <v>125</v>
      </c>
      <c r="P97" s="482" t="n">
        <f aca="false">AVERAGEIF(G2:G476,"Bio",M2:M476)</f>
        <v>765.384615384615</v>
      </c>
      <c r="Q97" s="482"/>
      <c r="R97" s="482"/>
    </row>
    <row r="98" customFormat="false" ht="12.75" hidden="false" customHeight="true" outlineLevel="0" collapsed="false">
      <c r="A98" s="449" t="n">
        <v>9711</v>
      </c>
      <c r="B98" s="450" t="s">
        <v>17688</v>
      </c>
      <c r="C98" s="450" t="n">
        <v>2008</v>
      </c>
      <c r="D98" s="451" t="n">
        <v>39701</v>
      </c>
      <c r="E98" s="450" t="s">
        <v>17689</v>
      </c>
      <c r="F98" s="450" t="s">
        <v>569</v>
      </c>
      <c r="G98" s="450" t="s">
        <v>441</v>
      </c>
      <c r="H98" s="450" t="s">
        <v>16484</v>
      </c>
      <c r="I98" s="451" t="n">
        <v>40812</v>
      </c>
      <c r="J98" s="452" t="n">
        <v>9</v>
      </c>
      <c r="K98" s="631" t="s">
        <v>42</v>
      </c>
      <c r="L98" s="452" t="s">
        <v>58</v>
      </c>
      <c r="M98" s="645" t="n">
        <f aca="false">I98-D98</f>
        <v>1111</v>
      </c>
      <c r="N98" s="4"/>
      <c r="O98" s="394" t="s">
        <v>130</v>
      </c>
      <c r="P98" s="481" t="n">
        <f aca="false">AVERAGEIF(G2:G476,"Bio/Org",M2:M476)</f>
        <v>99.6666666666667</v>
      </c>
      <c r="Q98" s="481"/>
      <c r="R98" s="481"/>
    </row>
    <row r="99" customFormat="false" ht="12.75" hidden="false" customHeight="true" outlineLevel="0" collapsed="false">
      <c r="A99" s="456" t="n">
        <v>9811</v>
      </c>
      <c r="B99" s="458" t="s">
        <v>17690</v>
      </c>
      <c r="C99" s="458" t="n">
        <v>2009</v>
      </c>
      <c r="D99" s="459" t="n">
        <v>40147</v>
      </c>
      <c r="E99" s="458" t="s">
        <v>17691</v>
      </c>
      <c r="F99" s="458" t="s">
        <v>449</v>
      </c>
      <c r="G99" s="458" t="s">
        <v>1174</v>
      </c>
      <c r="H99" s="458" t="s">
        <v>354</v>
      </c>
      <c r="I99" s="459" t="n">
        <v>40814</v>
      </c>
      <c r="J99" s="460" t="n">
        <v>9</v>
      </c>
      <c r="K99" s="633" t="s">
        <v>47</v>
      </c>
      <c r="L99" s="460" t="s">
        <v>58</v>
      </c>
      <c r="M99" s="646" t="n">
        <f aca="false">I99-D99</f>
        <v>667</v>
      </c>
      <c r="N99" s="4"/>
      <c r="O99" s="398" t="s">
        <v>86</v>
      </c>
      <c r="P99" s="399" t="n">
        <f aca="false">AVERAGE(M2:M494)</f>
        <v>990.287671232877</v>
      </c>
      <c r="Q99" s="399"/>
      <c r="R99" s="399"/>
    </row>
    <row r="100" customFormat="false" ht="12.75" hidden="false" customHeight="true" outlineLevel="0" collapsed="false">
      <c r="A100" s="449" t="n">
        <v>9911</v>
      </c>
      <c r="B100" s="450" t="s">
        <v>17692</v>
      </c>
      <c r="C100" s="450" t="n">
        <v>2008</v>
      </c>
      <c r="D100" s="451" t="n">
        <v>39813</v>
      </c>
      <c r="E100" s="450" t="s">
        <v>17693</v>
      </c>
      <c r="F100" s="450" t="s">
        <v>4675</v>
      </c>
      <c r="G100" s="450" t="s">
        <v>144</v>
      </c>
      <c r="H100" s="450" t="s">
        <v>10110</v>
      </c>
      <c r="I100" s="451" t="n">
        <v>40814</v>
      </c>
      <c r="J100" s="452" t="n">
        <v>9</v>
      </c>
      <c r="K100" s="631" t="s">
        <v>42</v>
      </c>
      <c r="L100" s="452" t="s">
        <v>58</v>
      </c>
      <c r="M100" s="645" t="n">
        <f aca="false">I100-D100</f>
        <v>1001</v>
      </c>
      <c r="N100" s="4"/>
      <c r="O100" s="4"/>
      <c r="P100" s="4"/>
      <c r="Q100" s="4"/>
      <c r="R100" s="4"/>
    </row>
    <row r="101" customFormat="false" ht="12.75" hidden="false" customHeight="true" outlineLevel="0" collapsed="false">
      <c r="A101" s="456" t="n">
        <v>10011</v>
      </c>
      <c r="B101" s="458" t="s">
        <v>17694</v>
      </c>
      <c r="C101" s="458" t="n">
        <v>2009</v>
      </c>
      <c r="D101" s="459" t="n">
        <v>39905</v>
      </c>
      <c r="E101" s="458" t="s">
        <v>17695</v>
      </c>
      <c r="F101" s="458" t="s">
        <v>1609</v>
      </c>
      <c r="G101" s="458" t="s">
        <v>144</v>
      </c>
      <c r="H101" s="458" t="s">
        <v>119</v>
      </c>
      <c r="I101" s="459" t="n">
        <v>40814</v>
      </c>
      <c r="J101" s="460" t="n">
        <v>9</v>
      </c>
      <c r="K101" s="633" t="s">
        <v>47</v>
      </c>
      <c r="L101" s="460" t="s">
        <v>58</v>
      </c>
      <c r="M101" s="646" t="n">
        <f aca="false">I101-D101</f>
        <v>909</v>
      </c>
      <c r="N101" s="4"/>
      <c r="O101" s="4"/>
      <c r="P101" s="4"/>
      <c r="Q101" s="4"/>
      <c r="R101" s="4"/>
    </row>
    <row r="102" customFormat="false" ht="12.75" hidden="false" customHeight="true" outlineLevel="0" collapsed="false">
      <c r="A102" s="449" t="n">
        <v>10111</v>
      </c>
      <c r="B102" s="450" t="s">
        <v>17696</v>
      </c>
      <c r="C102" s="450" t="n">
        <v>2008</v>
      </c>
      <c r="D102" s="451" t="n">
        <v>39771</v>
      </c>
      <c r="E102" s="450" t="s">
        <v>17697</v>
      </c>
      <c r="F102" s="450" t="s">
        <v>17698</v>
      </c>
      <c r="G102" s="450" t="s">
        <v>1174</v>
      </c>
      <c r="H102" s="450" t="s">
        <v>2654</v>
      </c>
      <c r="I102" s="451" t="n">
        <v>40815</v>
      </c>
      <c r="J102" s="452" t="n">
        <v>9</v>
      </c>
      <c r="K102" s="633" t="s">
        <v>47</v>
      </c>
      <c r="L102" s="452" t="s">
        <v>58</v>
      </c>
      <c r="M102" s="645" t="n">
        <f aca="false">I102-D102</f>
        <v>1044</v>
      </c>
      <c r="N102" s="4"/>
      <c r="O102" s="4"/>
      <c r="P102" s="4"/>
      <c r="Q102" s="4"/>
      <c r="R102" s="4"/>
    </row>
    <row r="103" customFormat="false" ht="12.75" hidden="false" customHeight="true" outlineLevel="0" collapsed="false">
      <c r="A103" s="456" t="n">
        <v>10211</v>
      </c>
      <c r="B103" s="458" t="s">
        <v>17699</v>
      </c>
      <c r="C103" s="458" t="n">
        <v>2009</v>
      </c>
      <c r="D103" s="459" t="n">
        <v>39959</v>
      </c>
      <c r="E103" s="458" t="s">
        <v>17700</v>
      </c>
      <c r="F103" s="458" t="s">
        <v>449</v>
      </c>
      <c r="G103" s="458" t="s">
        <v>1174</v>
      </c>
      <c r="H103" s="458" t="s">
        <v>4431</v>
      </c>
      <c r="I103" s="459" t="n">
        <v>40816</v>
      </c>
      <c r="J103" s="460" t="n">
        <v>9</v>
      </c>
      <c r="K103" s="633" t="s">
        <v>47</v>
      </c>
      <c r="L103" s="460" t="s">
        <v>58</v>
      </c>
      <c r="M103" s="646" t="n">
        <f aca="false">I103-D103</f>
        <v>857</v>
      </c>
      <c r="N103" s="4"/>
      <c r="O103" s="4"/>
      <c r="P103" s="4"/>
      <c r="Q103" s="4"/>
      <c r="R103" s="4"/>
    </row>
    <row r="104" customFormat="false" ht="12.75" hidden="false" customHeight="true" outlineLevel="0" collapsed="false">
      <c r="A104" s="449" t="n">
        <v>10311</v>
      </c>
      <c r="B104" s="450" t="s">
        <v>17701</v>
      </c>
      <c r="C104" s="450" t="n">
        <v>2009</v>
      </c>
      <c r="D104" s="451" t="n">
        <v>40149</v>
      </c>
      <c r="E104" s="450" t="s">
        <v>17702</v>
      </c>
      <c r="F104" s="450" t="s">
        <v>1277</v>
      </c>
      <c r="G104" s="450" t="s">
        <v>1174</v>
      </c>
      <c r="H104" s="450" t="s">
        <v>15133</v>
      </c>
      <c r="I104" s="451" t="n">
        <v>40816</v>
      </c>
      <c r="J104" s="452" t="n">
        <v>9</v>
      </c>
      <c r="K104" s="634" t="s">
        <v>45</v>
      </c>
      <c r="L104" s="452" t="s">
        <v>58</v>
      </c>
      <c r="M104" s="645" t="n">
        <f aca="false">I104-D104</f>
        <v>667</v>
      </c>
      <c r="N104" s="4"/>
      <c r="O104" s="4"/>
      <c r="P104" s="4"/>
      <c r="Q104" s="4"/>
      <c r="R104" s="4"/>
    </row>
    <row r="105" customFormat="false" ht="12.75" hidden="false" customHeight="true" outlineLevel="0" collapsed="false">
      <c r="A105" s="456" t="n">
        <v>10411</v>
      </c>
      <c r="B105" s="458" t="s">
        <v>17703</v>
      </c>
      <c r="C105" s="458" t="n">
        <v>2009</v>
      </c>
      <c r="D105" s="459" t="n">
        <v>40150</v>
      </c>
      <c r="E105" s="458" t="s">
        <v>17704</v>
      </c>
      <c r="F105" s="458" t="s">
        <v>17705</v>
      </c>
      <c r="G105" s="458" t="s">
        <v>144</v>
      </c>
      <c r="H105" s="458" t="s">
        <v>14761</v>
      </c>
      <c r="I105" s="459" t="n">
        <v>40819</v>
      </c>
      <c r="J105" s="460" t="n">
        <v>10</v>
      </c>
      <c r="K105" s="633" t="s">
        <v>47</v>
      </c>
      <c r="L105" s="460" t="s">
        <v>60</v>
      </c>
      <c r="M105" s="646" t="n">
        <f aca="false">I105-D105</f>
        <v>669</v>
      </c>
      <c r="N105" s="4"/>
      <c r="O105" s="4"/>
      <c r="P105" s="4"/>
      <c r="Q105" s="4"/>
      <c r="R105" s="4"/>
    </row>
    <row r="106" customFormat="false" ht="12.75" hidden="false" customHeight="true" outlineLevel="0" collapsed="false">
      <c r="A106" s="449" t="n">
        <v>10511</v>
      </c>
      <c r="B106" s="450" t="s">
        <v>17706</v>
      </c>
      <c r="C106" s="450" t="n">
        <v>2009</v>
      </c>
      <c r="D106" s="451" t="n">
        <v>40070</v>
      </c>
      <c r="E106" s="450" t="s">
        <v>17707</v>
      </c>
      <c r="F106" s="450" t="s">
        <v>214</v>
      </c>
      <c r="G106" s="450" t="s">
        <v>441</v>
      </c>
      <c r="H106" s="450" t="s">
        <v>6570</v>
      </c>
      <c r="I106" s="451" t="n">
        <v>40823</v>
      </c>
      <c r="J106" s="452" t="n">
        <v>10</v>
      </c>
      <c r="K106" s="631" t="s">
        <v>42</v>
      </c>
      <c r="L106" s="452" t="s">
        <v>58</v>
      </c>
      <c r="M106" s="645" t="n">
        <f aca="false">I106-D106</f>
        <v>753</v>
      </c>
      <c r="N106" s="4"/>
      <c r="O106" s="4"/>
      <c r="P106" s="4"/>
      <c r="Q106" s="4"/>
      <c r="R106" s="4"/>
    </row>
    <row r="107" customFormat="false" ht="12.75" hidden="false" customHeight="true" outlineLevel="0" collapsed="false">
      <c r="A107" s="456" t="n">
        <v>10611</v>
      </c>
      <c r="B107" s="458" t="s">
        <v>17708</v>
      </c>
      <c r="C107" s="458" t="n">
        <v>2009</v>
      </c>
      <c r="D107" s="459" t="n">
        <v>40087</v>
      </c>
      <c r="E107" s="458" t="s">
        <v>17709</v>
      </c>
      <c r="F107" s="458" t="s">
        <v>214</v>
      </c>
      <c r="G107" s="458" t="s">
        <v>441</v>
      </c>
      <c r="H107" s="458" t="s">
        <v>6570</v>
      </c>
      <c r="I107" s="459" t="n">
        <v>40823</v>
      </c>
      <c r="J107" s="460" t="n">
        <v>10</v>
      </c>
      <c r="K107" s="631" t="s">
        <v>42</v>
      </c>
      <c r="L107" s="460" t="s">
        <v>58</v>
      </c>
      <c r="M107" s="646" t="n">
        <f aca="false">I107-D107</f>
        <v>736</v>
      </c>
      <c r="N107" s="4"/>
      <c r="O107" s="4"/>
      <c r="P107" s="4"/>
      <c r="Q107" s="4"/>
      <c r="R107" s="4"/>
    </row>
    <row r="108" customFormat="false" ht="12.75" hidden="false" customHeight="true" outlineLevel="0" collapsed="false">
      <c r="A108" s="449" t="n">
        <v>10711</v>
      </c>
      <c r="B108" s="450" t="s">
        <v>17710</v>
      </c>
      <c r="C108" s="450" t="n">
        <v>2010</v>
      </c>
      <c r="D108" s="451" t="n">
        <v>40379</v>
      </c>
      <c r="E108" s="450" t="s">
        <v>17711</v>
      </c>
      <c r="F108" s="450" t="s">
        <v>6303</v>
      </c>
      <c r="G108" s="450" t="s">
        <v>125</v>
      </c>
      <c r="H108" s="450" t="s">
        <v>17712</v>
      </c>
      <c r="I108" s="451" t="n">
        <v>40823</v>
      </c>
      <c r="J108" s="452" t="n">
        <v>10</v>
      </c>
      <c r="K108" s="632" t="s">
        <v>50</v>
      </c>
      <c r="L108" s="452" t="s">
        <v>61</v>
      </c>
      <c r="M108" s="645" t="n">
        <f aca="false">I108-D108</f>
        <v>444</v>
      </c>
      <c r="N108" s="4"/>
      <c r="O108" s="4"/>
      <c r="P108" s="4"/>
      <c r="Q108" s="4"/>
      <c r="R108" s="4"/>
    </row>
    <row r="109" customFormat="false" ht="12.75" hidden="false" customHeight="true" outlineLevel="0" collapsed="false">
      <c r="A109" s="456" t="n">
        <v>10811</v>
      </c>
      <c r="B109" s="458" t="s">
        <v>17713</v>
      </c>
      <c r="C109" s="458" t="n">
        <v>2010</v>
      </c>
      <c r="D109" s="459" t="n">
        <v>40358</v>
      </c>
      <c r="E109" s="458" t="s">
        <v>17714</v>
      </c>
      <c r="F109" s="458" t="s">
        <v>1916</v>
      </c>
      <c r="G109" s="458" t="s">
        <v>1174</v>
      </c>
      <c r="H109" s="458" t="s">
        <v>13028</v>
      </c>
      <c r="I109" s="459" t="n">
        <v>40823</v>
      </c>
      <c r="J109" s="460" t="n">
        <v>10</v>
      </c>
      <c r="K109" s="633" t="s">
        <v>47</v>
      </c>
      <c r="L109" s="460" t="s">
        <v>58</v>
      </c>
      <c r="M109" s="646" t="n">
        <f aca="false">I109-D109</f>
        <v>465</v>
      </c>
      <c r="N109" s="4"/>
      <c r="O109" s="4"/>
      <c r="P109" s="4"/>
      <c r="Q109" s="4"/>
      <c r="R109" s="4"/>
    </row>
    <row r="110" customFormat="false" ht="12.75" hidden="false" customHeight="true" outlineLevel="0" collapsed="false">
      <c r="A110" s="449" t="n">
        <v>10911</v>
      </c>
      <c r="B110" s="450" t="s">
        <v>17715</v>
      </c>
      <c r="C110" s="450" t="n">
        <v>2009</v>
      </c>
      <c r="D110" s="451" t="n">
        <v>40150</v>
      </c>
      <c r="E110" s="450" t="s">
        <v>17716</v>
      </c>
      <c r="F110" s="450" t="s">
        <v>17705</v>
      </c>
      <c r="G110" s="450" t="s">
        <v>144</v>
      </c>
      <c r="H110" s="450" t="s">
        <v>14761</v>
      </c>
      <c r="I110" s="451" t="n">
        <v>40830</v>
      </c>
      <c r="J110" s="452" t="n">
        <v>10</v>
      </c>
      <c r="K110" s="633" t="s">
        <v>47</v>
      </c>
      <c r="L110" s="452" t="s">
        <v>60</v>
      </c>
      <c r="M110" s="645" t="n">
        <f aca="false">I110-D110</f>
        <v>680</v>
      </c>
      <c r="N110" s="4"/>
      <c r="O110" s="4"/>
      <c r="P110" s="4"/>
      <c r="Q110" s="4"/>
      <c r="R110" s="4"/>
    </row>
    <row r="111" customFormat="false" ht="12.75" hidden="false" customHeight="true" outlineLevel="0" collapsed="false">
      <c r="A111" s="456" t="n">
        <v>11011</v>
      </c>
      <c r="B111" s="458" t="s">
        <v>17717</v>
      </c>
      <c r="C111" s="458" t="n">
        <v>2009</v>
      </c>
      <c r="D111" s="459" t="n">
        <v>39904</v>
      </c>
      <c r="E111" s="458" t="s">
        <v>17718</v>
      </c>
      <c r="F111" s="458" t="s">
        <v>446</v>
      </c>
      <c r="G111" s="458" t="s">
        <v>1174</v>
      </c>
      <c r="H111" s="458" t="s">
        <v>1042</v>
      </c>
      <c r="I111" s="459" t="n">
        <v>40835</v>
      </c>
      <c r="J111" s="460" t="n">
        <v>10</v>
      </c>
      <c r="K111" s="634" t="s">
        <v>45</v>
      </c>
      <c r="L111" s="460" t="s">
        <v>58</v>
      </c>
      <c r="M111" s="646" t="n">
        <f aca="false">I111-D111</f>
        <v>931</v>
      </c>
      <c r="N111" s="4"/>
      <c r="O111" s="4"/>
      <c r="P111" s="4"/>
      <c r="Q111" s="4"/>
      <c r="R111" s="4"/>
    </row>
    <row r="112" customFormat="false" ht="12.75" hidden="false" customHeight="true" outlineLevel="0" collapsed="false">
      <c r="A112" s="449" t="n">
        <v>11111</v>
      </c>
      <c r="B112" s="450" t="s">
        <v>17719</v>
      </c>
      <c r="C112" s="450" t="n">
        <v>2009</v>
      </c>
      <c r="D112" s="451" t="n">
        <v>39953</v>
      </c>
      <c r="E112" s="450" t="s">
        <v>17720</v>
      </c>
      <c r="F112" s="450" t="s">
        <v>1277</v>
      </c>
      <c r="G112" s="450" t="s">
        <v>1174</v>
      </c>
      <c r="H112" s="450" t="s">
        <v>350</v>
      </c>
      <c r="I112" s="451" t="n">
        <v>40836</v>
      </c>
      <c r="J112" s="452" t="n">
        <v>10</v>
      </c>
      <c r="K112" s="634" t="s">
        <v>45</v>
      </c>
      <c r="L112" s="452" t="s">
        <v>58</v>
      </c>
      <c r="M112" s="645" t="n">
        <f aca="false">I112-D112</f>
        <v>883</v>
      </c>
      <c r="N112" s="4"/>
      <c r="O112" s="4"/>
      <c r="P112" s="4"/>
      <c r="Q112" s="4"/>
      <c r="R112" s="4"/>
    </row>
    <row r="113" customFormat="false" ht="12.75" hidden="false" customHeight="true" outlineLevel="0" collapsed="false">
      <c r="A113" s="456" t="n">
        <v>11211</v>
      </c>
      <c r="B113" s="458" t="s">
        <v>17721</v>
      </c>
      <c r="C113" s="458" t="n">
        <v>2010</v>
      </c>
      <c r="D113" s="459" t="n">
        <v>40315</v>
      </c>
      <c r="E113" s="458" t="s">
        <v>17722</v>
      </c>
      <c r="F113" s="458" t="s">
        <v>699</v>
      </c>
      <c r="G113" s="458" t="s">
        <v>1174</v>
      </c>
      <c r="H113" s="458" t="s">
        <v>5230</v>
      </c>
      <c r="I113" s="459" t="n">
        <v>40837</v>
      </c>
      <c r="J113" s="460" t="n">
        <v>10</v>
      </c>
      <c r="K113" s="631" t="s">
        <v>42</v>
      </c>
      <c r="L113" s="460" t="s">
        <v>60</v>
      </c>
      <c r="M113" s="646" t="n">
        <f aca="false">I113-D113</f>
        <v>522</v>
      </c>
    </row>
    <row r="114" customFormat="false" ht="12.75" hidden="false" customHeight="true" outlineLevel="0" collapsed="false">
      <c r="A114" s="449" t="n">
        <v>11311</v>
      </c>
      <c r="B114" s="450" t="s">
        <v>17723</v>
      </c>
      <c r="C114" s="450" t="n">
        <v>2010</v>
      </c>
      <c r="D114" s="451" t="n">
        <v>40361</v>
      </c>
      <c r="E114" s="450" t="s">
        <v>17724</v>
      </c>
      <c r="F114" s="450" t="s">
        <v>699</v>
      </c>
      <c r="G114" s="450" t="s">
        <v>1174</v>
      </c>
      <c r="H114" s="450" t="s">
        <v>3727</v>
      </c>
      <c r="I114" s="451" t="n">
        <v>40837</v>
      </c>
      <c r="J114" s="452" t="n">
        <v>10</v>
      </c>
      <c r="K114" s="631" t="s">
        <v>42</v>
      </c>
      <c r="L114" s="452" t="s">
        <v>60</v>
      </c>
      <c r="M114" s="645" t="n">
        <f aca="false">I114-D114</f>
        <v>476</v>
      </c>
    </row>
    <row r="115" customFormat="false" ht="12.75" hidden="false" customHeight="true" outlineLevel="0" collapsed="false">
      <c r="A115" s="456" t="n">
        <v>11411</v>
      </c>
      <c r="B115" s="458" t="s">
        <v>17725</v>
      </c>
      <c r="C115" s="458" t="n">
        <v>2009</v>
      </c>
      <c r="D115" s="459" t="n">
        <v>40079</v>
      </c>
      <c r="E115" s="458" t="s">
        <v>17726</v>
      </c>
      <c r="F115" s="458" t="s">
        <v>699</v>
      </c>
      <c r="G115" s="458" t="s">
        <v>1174</v>
      </c>
      <c r="H115" s="458" t="s">
        <v>471</v>
      </c>
      <c r="I115" s="459" t="n">
        <v>40837</v>
      </c>
      <c r="J115" s="460" t="n">
        <v>10</v>
      </c>
      <c r="K115" s="631" t="s">
        <v>42</v>
      </c>
      <c r="L115" s="460" t="s">
        <v>60</v>
      </c>
      <c r="M115" s="646" t="n">
        <f aca="false">I115-D115</f>
        <v>758</v>
      </c>
    </row>
    <row r="116" customFormat="false" ht="12.75" hidden="false" customHeight="true" outlineLevel="0" collapsed="false">
      <c r="A116" s="449" t="n">
        <v>11511</v>
      </c>
      <c r="B116" s="450" t="s">
        <v>17727</v>
      </c>
      <c r="C116" s="450" t="n">
        <v>2010</v>
      </c>
      <c r="D116" s="451" t="n">
        <v>40326</v>
      </c>
      <c r="E116" s="450" t="s">
        <v>17728</v>
      </c>
      <c r="F116" s="450" t="s">
        <v>699</v>
      </c>
      <c r="G116" s="450" t="s">
        <v>1174</v>
      </c>
      <c r="H116" s="450" t="s">
        <v>6755</v>
      </c>
      <c r="I116" s="451" t="n">
        <v>40837</v>
      </c>
      <c r="J116" s="452" t="n">
        <v>10</v>
      </c>
      <c r="K116" s="631" t="s">
        <v>42</v>
      </c>
      <c r="L116" s="452" t="s">
        <v>60</v>
      </c>
      <c r="M116" s="645" t="n">
        <f aca="false">I116-D116</f>
        <v>511</v>
      </c>
    </row>
    <row r="117" customFormat="false" ht="12.75" hidden="false" customHeight="true" outlineLevel="0" collapsed="false">
      <c r="A117" s="456" t="n">
        <v>11611</v>
      </c>
      <c r="B117" s="458" t="s">
        <v>17729</v>
      </c>
      <c r="C117" s="458" t="n">
        <v>2008</v>
      </c>
      <c r="D117" s="459" t="n">
        <v>39801</v>
      </c>
      <c r="E117" s="458" t="s">
        <v>17730</v>
      </c>
      <c r="F117" s="458" t="s">
        <v>705</v>
      </c>
      <c r="G117" s="458" t="s">
        <v>441</v>
      </c>
      <c r="H117" s="458" t="s">
        <v>5230</v>
      </c>
      <c r="I117" s="459" t="n">
        <v>40848</v>
      </c>
      <c r="J117" s="460" t="n">
        <v>11</v>
      </c>
      <c r="K117" s="631" t="s">
        <v>42</v>
      </c>
      <c r="L117" s="460" t="s">
        <v>58</v>
      </c>
      <c r="M117" s="646" t="n">
        <f aca="false">I117-D117</f>
        <v>1047</v>
      </c>
    </row>
    <row r="118" customFormat="false" ht="12.75" hidden="false" customHeight="true" outlineLevel="0" collapsed="false">
      <c r="A118" s="449" t="n">
        <v>11711</v>
      </c>
      <c r="B118" s="450" t="s">
        <v>17731</v>
      </c>
      <c r="C118" s="450" t="n">
        <v>2006</v>
      </c>
      <c r="D118" s="451" t="n">
        <v>39073</v>
      </c>
      <c r="E118" s="450" t="s">
        <v>17732</v>
      </c>
      <c r="F118" s="450" t="s">
        <v>7420</v>
      </c>
      <c r="G118" s="450" t="s">
        <v>144</v>
      </c>
      <c r="H118" s="450" t="s">
        <v>15548</v>
      </c>
      <c r="I118" s="451" t="n">
        <v>40854</v>
      </c>
      <c r="J118" s="452" t="n">
        <v>11</v>
      </c>
      <c r="K118" s="633" t="s">
        <v>47</v>
      </c>
      <c r="L118" s="452" t="s">
        <v>60</v>
      </c>
      <c r="M118" s="645" t="n">
        <f aca="false">I118-D118</f>
        <v>1781</v>
      </c>
    </row>
    <row r="119" customFormat="false" ht="12.75" hidden="false" customHeight="true" outlineLevel="0" collapsed="false">
      <c r="A119" s="456" t="n">
        <v>11811</v>
      </c>
      <c r="B119" s="458" t="s">
        <v>17733</v>
      </c>
      <c r="C119" s="458" t="n">
        <v>2009</v>
      </c>
      <c r="D119" s="459" t="n">
        <v>40127</v>
      </c>
      <c r="E119" s="458" t="s">
        <v>17734</v>
      </c>
      <c r="F119" s="458" t="s">
        <v>8232</v>
      </c>
      <c r="G119" s="458" t="s">
        <v>441</v>
      </c>
      <c r="H119" s="458" t="s">
        <v>192</v>
      </c>
      <c r="I119" s="459" t="n">
        <v>40850</v>
      </c>
      <c r="J119" s="460" t="n">
        <v>11</v>
      </c>
      <c r="K119" s="634" t="s">
        <v>45</v>
      </c>
      <c r="L119" s="460" t="s">
        <v>60</v>
      </c>
      <c r="M119" s="646" t="n">
        <f aca="false">I119-D119</f>
        <v>723</v>
      </c>
    </row>
    <row r="120" customFormat="false" ht="12.75" hidden="false" customHeight="true" outlineLevel="0" collapsed="false">
      <c r="A120" s="449" t="n">
        <v>11911</v>
      </c>
      <c r="B120" s="450" t="s">
        <v>17735</v>
      </c>
      <c r="C120" s="450" t="n">
        <v>2010</v>
      </c>
      <c r="D120" s="451" t="n">
        <v>40379</v>
      </c>
      <c r="E120" s="450" t="s">
        <v>17736</v>
      </c>
      <c r="F120" s="450" t="s">
        <v>191</v>
      </c>
      <c r="G120" s="450" t="s">
        <v>144</v>
      </c>
      <c r="H120" s="450" t="s">
        <v>2421</v>
      </c>
      <c r="I120" s="451" t="n">
        <v>40851</v>
      </c>
      <c r="J120" s="452" t="n">
        <v>11</v>
      </c>
      <c r="K120" s="633" t="s">
        <v>47</v>
      </c>
      <c r="L120" s="452" t="s">
        <v>58</v>
      </c>
      <c r="M120" s="645" t="n">
        <f aca="false">I120-D120</f>
        <v>472</v>
      </c>
    </row>
    <row r="121" customFormat="false" ht="12.75" hidden="false" customHeight="true" outlineLevel="0" collapsed="false">
      <c r="A121" s="456" t="n">
        <v>12011</v>
      </c>
      <c r="B121" s="458" t="s">
        <v>17737</v>
      </c>
      <c r="C121" s="458" t="n">
        <v>2009</v>
      </c>
      <c r="D121" s="459" t="n">
        <v>40057</v>
      </c>
      <c r="E121" s="458" t="s">
        <v>17738</v>
      </c>
      <c r="F121" s="458" t="s">
        <v>823</v>
      </c>
      <c r="G121" s="458" t="s">
        <v>1174</v>
      </c>
      <c r="H121" s="458" t="s">
        <v>14391</v>
      </c>
      <c r="I121" s="459" t="n">
        <v>40858</v>
      </c>
      <c r="J121" s="460" t="n">
        <v>11</v>
      </c>
      <c r="K121" s="634" t="s">
        <v>45</v>
      </c>
      <c r="L121" s="460" t="s">
        <v>60</v>
      </c>
      <c r="M121" s="646" t="n">
        <f aca="false">I121-D121</f>
        <v>801</v>
      </c>
    </row>
    <row r="122" customFormat="false" ht="12.75" hidden="false" customHeight="true" outlineLevel="0" collapsed="false">
      <c r="A122" s="449" t="n">
        <v>12111</v>
      </c>
      <c r="B122" s="450" t="s">
        <v>17739</v>
      </c>
      <c r="C122" s="450" t="n">
        <v>2010</v>
      </c>
      <c r="D122" s="451" t="n">
        <v>40266</v>
      </c>
      <c r="E122" s="450" t="s">
        <v>17740</v>
      </c>
      <c r="F122" s="450" t="s">
        <v>1277</v>
      </c>
      <c r="G122" s="450" t="s">
        <v>1174</v>
      </c>
      <c r="H122" s="450" t="s">
        <v>192</v>
      </c>
      <c r="I122" s="451" t="n">
        <v>40876</v>
      </c>
      <c r="J122" s="452" t="n">
        <v>11</v>
      </c>
      <c r="K122" s="634" t="s">
        <v>45</v>
      </c>
      <c r="L122" s="452" t="s">
        <v>58</v>
      </c>
      <c r="M122" s="645" t="n">
        <f aca="false">I122-D122</f>
        <v>610</v>
      </c>
    </row>
    <row r="123" customFormat="false" ht="12.75" hidden="false" customHeight="true" outlineLevel="0" collapsed="false">
      <c r="A123" s="456" t="n">
        <v>12211</v>
      </c>
      <c r="B123" s="458" t="s">
        <v>17741</v>
      </c>
      <c r="C123" s="458" t="n">
        <v>2006</v>
      </c>
      <c r="D123" s="459" t="n">
        <v>39059</v>
      </c>
      <c r="E123" s="458" t="s">
        <v>17742</v>
      </c>
      <c r="F123" s="458" t="s">
        <v>1097</v>
      </c>
      <c r="G123" s="458" t="s">
        <v>1174</v>
      </c>
      <c r="H123" s="458" t="s">
        <v>10110</v>
      </c>
      <c r="I123" s="459" t="n">
        <v>40878</v>
      </c>
      <c r="J123" s="460" t="n">
        <v>12</v>
      </c>
      <c r="K123" s="631" t="s">
        <v>42</v>
      </c>
      <c r="L123" s="460" t="s">
        <v>60</v>
      </c>
      <c r="M123" s="646" t="n">
        <f aca="false">I123-D123</f>
        <v>1819</v>
      </c>
    </row>
    <row r="124" customFormat="false" ht="12.75" hidden="false" customHeight="true" outlineLevel="0" collapsed="false">
      <c r="A124" s="449" t="n">
        <v>12311</v>
      </c>
      <c r="B124" s="450" t="s">
        <v>17743</v>
      </c>
      <c r="C124" s="450" t="n">
        <v>2008</v>
      </c>
      <c r="D124" s="451" t="n">
        <v>39491</v>
      </c>
      <c r="E124" s="450" t="s">
        <v>17744</v>
      </c>
      <c r="F124" s="450" t="s">
        <v>365</v>
      </c>
      <c r="G124" s="450" t="s">
        <v>1174</v>
      </c>
      <c r="H124" s="450" t="s">
        <v>192</v>
      </c>
      <c r="I124" s="451" t="n">
        <v>40878</v>
      </c>
      <c r="J124" s="452" t="n">
        <v>12</v>
      </c>
      <c r="K124" s="634" t="s">
        <v>45</v>
      </c>
      <c r="L124" s="452" t="s">
        <v>58</v>
      </c>
      <c r="M124" s="645" t="n">
        <f aca="false">I124-D124</f>
        <v>1387</v>
      </c>
    </row>
    <row r="125" customFormat="false" ht="12.75" hidden="false" customHeight="true" outlineLevel="0" collapsed="false">
      <c r="A125" s="456" t="n">
        <v>12411</v>
      </c>
      <c r="B125" s="458" t="s">
        <v>17745</v>
      </c>
      <c r="C125" s="458" t="n">
        <v>2009</v>
      </c>
      <c r="D125" s="459" t="n">
        <v>40175</v>
      </c>
      <c r="E125" s="458" t="s">
        <v>17746</v>
      </c>
      <c r="F125" s="458" t="s">
        <v>17747</v>
      </c>
      <c r="G125" s="458" t="s">
        <v>144</v>
      </c>
      <c r="H125" s="458" t="s">
        <v>1791</v>
      </c>
      <c r="I125" s="459" t="n">
        <v>40878</v>
      </c>
      <c r="J125" s="460" t="n">
        <v>12</v>
      </c>
      <c r="K125" s="634" t="s">
        <v>45</v>
      </c>
      <c r="L125" s="460" t="s">
        <v>58</v>
      </c>
      <c r="M125" s="646" t="n">
        <f aca="false">I125-D125</f>
        <v>703</v>
      </c>
    </row>
    <row r="126" customFormat="false" ht="12.75" hidden="false" customHeight="true" outlineLevel="0" collapsed="false">
      <c r="A126" s="449" t="n">
        <v>12511</v>
      </c>
      <c r="B126" s="450" t="s">
        <v>17748</v>
      </c>
      <c r="C126" s="450" t="n">
        <v>2009</v>
      </c>
      <c r="D126" s="451" t="n">
        <v>39849</v>
      </c>
      <c r="E126" s="450" t="s">
        <v>17749</v>
      </c>
      <c r="F126" s="624" t="s">
        <v>10875</v>
      </c>
      <c r="G126" s="450" t="s">
        <v>125</v>
      </c>
      <c r="H126" s="450" t="s">
        <v>17712</v>
      </c>
      <c r="I126" s="451" t="n">
        <v>40878</v>
      </c>
      <c r="J126" s="452" t="n">
        <v>12</v>
      </c>
      <c r="K126" s="632" t="s">
        <v>50</v>
      </c>
      <c r="L126" s="452" t="s">
        <v>61</v>
      </c>
      <c r="M126" s="645" t="n">
        <f aca="false">I126-D126</f>
        <v>1029</v>
      </c>
    </row>
    <row r="127" customFormat="false" ht="12.75" hidden="false" customHeight="true" outlineLevel="0" collapsed="false">
      <c r="A127" s="456" t="n">
        <v>12611</v>
      </c>
      <c r="B127" s="458" t="s">
        <v>17750</v>
      </c>
      <c r="C127" s="458" t="n">
        <v>2009</v>
      </c>
      <c r="D127" s="459" t="n">
        <v>39987</v>
      </c>
      <c r="E127" s="458" t="s">
        <v>17751</v>
      </c>
      <c r="F127" s="458" t="s">
        <v>1511</v>
      </c>
      <c r="G127" s="458" t="s">
        <v>1174</v>
      </c>
      <c r="H127" s="458" t="s">
        <v>16484</v>
      </c>
      <c r="I127" s="459" t="n">
        <v>40882</v>
      </c>
      <c r="J127" s="460" t="n">
        <v>12</v>
      </c>
      <c r="K127" s="633" t="s">
        <v>47</v>
      </c>
      <c r="L127" s="460" t="s">
        <v>58</v>
      </c>
      <c r="M127" s="646" t="n">
        <f aca="false">I127-D127</f>
        <v>895</v>
      </c>
    </row>
    <row r="128" customFormat="false" ht="12.75" hidden="false" customHeight="true" outlineLevel="0" collapsed="false">
      <c r="A128" s="449" t="n">
        <v>12711</v>
      </c>
      <c r="B128" s="450" t="s">
        <v>17752</v>
      </c>
      <c r="C128" s="450" t="n">
        <v>2009</v>
      </c>
      <c r="D128" s="451" t="n">
        <v>39954</v>
      </c>
      <c r="E128" s="450" t="s">
        <v>17753</v>
      </c>
      <c r="F128" s="450" t="s">
        <v>3844</v>
      </c>
      <c r="G128" s="450" t="s">
        <v>1174</v>
      </c>
      <c r="H128" s="450" t="s">
        <v>17533</v>
      </c>
      <c r="I128" s="451" t="n">
        <v>40891</v>
      </c>
      <c r="J128" s="452" t="n">
        <v>12</v>
      </c>
      <c r="K128" s="633" t="s">
        <v>47</v>
      </c>
      <c r="L128" s="452" t="s">
        <v>58</v>
      </c>
      <c r="M128" s="645" t="n">
        <f aca="false">I128-D128</f>
        <v>937</v>
      </c>
    </row>
    <row r="129" customFormat="false" ht="12.75" hidden="false" customHeight="true" outlineLevel="0" collapsed="false">
      <c r="A129" s="456" t="n">
        <v>12811</v>
      </c>
      <c r="B129" s="458" t="s">
        <v>17754</v>
      </c>
      <c r="C129" s="458" t="n">
        <v>2009</v>
      </c>
      <c r="D129" s="459" t="n">
        <v>39855</v>
      </c>
      <c r="E129" s="458" t="s">
        <v>17755</v>
      </c>
      <c r="F129" s="458" t="s">
        <v>3844</v>
      </c>
      <c r="G129" s="458" t="s">
        <v>1174</v>
      </c>
      <c r="H129" s="458" t="s">
        <v>5230</v>
      </c>
      <c r="I129" s="459" t="n">
        <v>40891</v>
      </c>
      <c r="J129" s="460" t="n">
        <v>12</v>
      </c>
      <c r="K129" s="633" t="s">
        <v>47</v>
      </c>
      <c r="L129" s="460" t="s">
        <v>58</v>
      </c>
      <c r="M129" s="646" t="n">
        <f aca="false">I129-D129</f>
        <v>1036</v>
      </c>
    </row>
    <row r="130" customFormat="false" ht="12.75" hidden="false" customHeight="true" outlineLevel="0" collapsed="false">
      <c r="A130" s="449" t="n">
        <v>12911</v>
      </c>
      <c r="B130" s="450" t="s">
        <v>17756</v>
      </c>
      <c r="C130" s="450" t="n">
        <v>2009</v>
      </c>
      <c r="D130" s="451" t="n">
        <v>40057</v>
      </c>
      <c r="E130" s="450" t="s">
        <v>17757</v>
      </c>
      <c r="F130" s="450" t="s">
        <v>8232</v>
      </c>
      <c r="G130" s="450" t="s">
        <v>441</v>
      </c>
      <c r="H130" s="450" t="s">
        <v>192</v>
      </c>
      <c r="I130" s="451" t="n">
        <v>40891</v>
      </c>
      <c r="J130" s="452" t="n">
        <v>12</v>
      </c>
      <c r="K130" s="634" t="s">
        <v>45</v>
      </c>
      <c r="L130" s="452" t="s">
        <v>60</v>
      </c>
      <c r="M130" s="645" t="n">
        <f aca="false">I130-D130</f>
        <v>834</v>
      </c>
    </row>
    <row r="131" customFormat="false" ht="12.75" hidden="false" customHeight="true" outlineLevel="0" collapsed="false">
      <c r="A131" s="456" t="n">
        <v>13011</v>
      </c>
      <c r="B131" s="458" t="s">
        <v>17758</v>
      </c>
      <c r="C131" s="458" t="n">
        <v>2008</v>
      </c>
      <c r="D131" s="459" t="n">
        <v>39750</v>
      </c>
      <c r="E131" s="458" t="s">
        <v>17759</v>
      </c>
      <c r="F131" s="458" t="s">
        <v>365</v>
      </c>
      <c r="G131" s="458" t="s">
        <v>441</v>
      </c>
      <c r="H131" s="458" t="s">
        <v>5230</v>
      </c>
      <c r="I131" s="459" t="n">
        <v>40892</v>
      </c>
      <c r="J131" s="460" t="n">
        <v>12</v>
      </c>
      <c r="K131" s="633" t="s">
        <v>47</v>
      </c>
      <c r="L131" s="460" t="s">
        <v>60</v>
      </c>
      <c r="M131" s="646" t="n">
        <f aca="false">I131-D131</f>
        <v>1142</v>
      </c>
    </row>
    <row r="132" customFormat="false" ht="12.75" hidden="false" customHeight="true" outlineLevel="0" collapsed="false">
      <c r="A132" s="449" t="n">
        <v>13111</v>
      </c>
      <c r="B132" s="602" t="s">
        <v>10996</v>
      </c>
      <c r="C132" s="602" t="s">
        <v>10996</v>
      </c>
      <c r="D132" s="557" t="s">
        <v>10996</v>
      </c>
      <c r="E132" s="602" t="s">
        <v>10996</v>
      </c>
      <c r="F132" s="602" t="s">
        <v>10996</v>
      </c>
      <c r="G132" s="602" t="s">
        <v>10996</v>
      </c>
      <c r="H132" s="602" t="s">
        <v>10996</v>
      </c>
      <c r="I132" s="557" t="s">
        <v>10996</v>
      </c>
      <c r="J132" s="282" t="s">
        <v>10996</v>
      </c>
      <c r="K132" s="282" t="s">
        <v>10996</v>
      </c>
      <c r="L132" s="282" t="s">
        <v>10996</v>
      </c>
      <c r="M132" s="648" t="s">
        <v>10996</v>
      </c>
    </row>
    <row r="133" customFormat="false" ht="12.75" hidden="false" customHeight="true" outlineLevel="0" collapsed="false">
      <c r="A133" s="456" t="n">
        <v>13211</v>
      </c>
      <c r="B133" s="458" t="s">
        <v>17760</v>
      </c>
      <c r="C133" s="458" t="n">
        <v>2008</v>
      </c>
      <c r="D133" s="459" t="n">
        <v>39771</v>
      </c>
      <c r="E133" s="458" t="s">
        <v>17761</v>
      </c>
      <c r="F133" s="458" t="s">
        <v>365</v>
      </c>
      <c r="G133" s="458" t="s">
        <v>1174</v>
      </c>
      <c r="H133" s="458" t="s">
        <v>350</v>
      </c>
      <c r="I133" s="459" t="n">
        <v>40892</v>
      </c>
      <c r="J133" s="460" t="n">
        <v>12</v>
      </c>
      <c r="K133" s="634" t="s">
        <v>45</v>
      </c>
      <c r="L133" s="460" t="s">
        <v>60</v>
      </c>
      <c r="M133" s="646" t="n">
        <f aca="false">I133-D133</f>
        <v>1121</v>
      </c>
    </row>
    <row r="134" customFormat="false" ht="12.75" hidden="false" customHeight="true" outlineLevel="0" collapsed="false">
      <c r="A134" s="449" t="n">
        <v>13311</v>
      </c>
      <c r="B134" s="450" t="s">
        <v>17762</v>
      </c>
      <c r="C134" s="450" t="n">
        <v>2009</v>
      </c>
      <c r="D134" s="451" t="n">
        <v>39842</v>
      </c>
      <c r="E134" s="450" t="s">
        <v>17763</v>
      </c>
      <c r="F134" s="624" t="s">
        <v>6315</v>
      </c>
      <c r="G134" s="450" t="s">
        <v>125</v>
      </c>
      <c r="H134" s="450" t="s">
        <v>17712</v>
      </c>
      <c r="I134" s="451" t="n">
        <v>40898</v>
      </c>
      <c r="J134" s="452" t="n">
        <v>12</v>
      </c>
      <c r="K134" s="632" t="s">
        <v>50</v>
      </c>
      <c r="L134" s="452" t="s">
        <v>61</v>
      </c>
      <c r="M134" s="645" t="n">
        <f aca="false">I134-D134</f>
        <v>1056</v>
      </c>
    </row>
    <row r="135" customFormat="false" ht="12.75" hidden="false" customHeight="true" outlineLevel="0" collapsed="false">
      <c r="A135" s="456" t="n">
        <v>13411</v>
      </c>
      <c r="B135" s="458" t="s">
        <v>17764</v>
      </c>
      <c r="C135" s="458" t="n">
        <v>2009</v>
      </c>
      <c r="D135" s="459" t="n">
        <v>39987</v>
      </c>
      <c r="E135" s="458" t="s">
        <v>17765</v>
      </c>
      <c r="F135" s="458" t="s">
        <v>17012</v>
      </c>
      <c r="G135" s="458" t="s">
        <v>144</v>
      </c>
      <c r="H135" s="458" t="s">
        <v>1791</v>
      </c>
      <c r="I135" s="459" t="n">
        <v>40898</v>
      </c>
      <c r="J135" s="460" t="n">
        <v>12</v>
      </c>
      <c r="K135" s="634" t="s">
        <v>45</v>
      </c>
      <c r="L135" s="460" t="s">
        <v>58</v>
      </c>
      <c r="M135" s="646" t="n">
        <f aca="false">I135-D135</f>
        <v>911</v>
      </c>
    </row>
    <row r="136" customFormat="false" ht="12.75" hidden="false" customHeight="true" outlineLevel="0" collapsed="false">
      <c r="A136" s="449" t="n">
        <v>13511</v>
      </c>
      <c r="B136" s="450" t="s">
        <v>17766</v>
      </c>
      <c r="C136" s="450" t="n">
        <v>2009</v>
      </c>
      <c r="D136" s="451" t="n">
        <v>39988</v>
      </c>
      <c r="E136" s="450" t="s">
        <v>17767</v>
      </c>
      <c r="F136" s="450" t="s">
        <v>17012</v>
      </c>
      <c r="G136" s="450" t="s">
        <v>144</v>
      </c>
      <c r="H136" s="450" t="s">
        <v>1791</v>
      </c>
      <c r="I136" s="451" t="n">
        <v>40898</v>
      </c>
      <c r="J136" s="452" t="n">
        <v>12</v>
      </c>
      <c r="K136" s="634" t="s">
        <v>45</v>
      </c>
      <c r="L136" s="452" t="s">
        <v>58</v>
      </c>
      <c r="M136" s="645" t="n">
        <f aca="false">I136-D136</f>
        <v>910</v>
      </c>
    </row>
    <row r="137" customFormat="false" ht="12.75" hidden="false" customHeight="true" outlineLevel="0" collapsed="false">
      <c r="A137" s="456" t="n">
        <v>13611</v>
      </c>
      <c r="B137" s="458" t="s">
        <v>17768</v>
      </c>
      <c r="C137" s="458" t="n">
        <v>2008</v>
      </c>
      <c r="D137" s="459" t="n">
        <v>39808</v>
      </c>
      <c r="E137" s="458" t="s">
        <v>17769</v>
      </c>
      <c r="F137" s="458" t="s">
        <v>2003</v>
      </c>
      <c r="G137" s="458" t="s">
        <v>441</v>
      </c>
      <c r="H137" s="458" t="s">
        <v>4431</v>
      </c>
      <c r="I137" s="459" t="n">
        <v>40900</v>
      </c>
      <c r="J137" s="460" t="n">
        <v>12</v>
      </c>
      <c r="K137" s="633" t="s">
        <v>47</v>
      </c>
      <c r="L137" s="460" t="s">
        <v>60</v>
      </c>
      <c r="M137" s="646" t="n">
        <f aca="false">I137-D137</f>
        <v>1092</v>
      </c>
    </row>
    <row r="138" customFormat="false" ht="12.75" hidden="false" customHeight="true" outlineLevel="0" collapsed="false">
      <c r="A138" s="449" t="n">
        <v>13711</v>
      </c>
      <c r="B138" s="450" t="s">
        <v>17770</v>
      </c>
      <c r="C138" s="450" t="n">
        <v>2008</v>
      </c>
      <c r="D138" s="451" t="n">
        <v>39700</v>
      </c>
      <c r="E138" s="450" t="s">
        <v>17771</v>
      </c>
      <c r="F138" s="450" t="s">
        <v>8232</v>
      </c>
      <c r="G138" s="450" t="s">
        <v>441</v>
      </c>
      <c r="H138" s="450" t="s">
        <v>184</v>
      </c>
      <c r="I138" s="451" t="n">
        <v>40900</v>
      </c>
      <c r="J138" s="452" t="n">
        <v>12</v>
      </c>
      <c r="K138" s="633" t="s">
        <v>47</v>
      </c>
      <c r="L138" s="452" t="s">
        <v>60</v>
      </c>
      <c r="M138" s="645" t="n">
        <f aca="false">I138-D138</f>
        <v>1200</v>
      </c>
    </row>
    <row r="139" customFormat="false" ht="12.75" hidden="false" customHeight="true" outlineLevel="0" collapsed="false">
      <c r="A139" s="456" t="n">
        <v>13811</v>
      </c>
      <c r="B139" s="458" t="s">
        <v>17772</v>
      </c>
      <c r="C139" s="458" t="n">
        <v>2009</v>
      </c>
      <c r="D139" s="459" t="n">
        <v>39948</v>
      </c>
      <c r="E139" s="458" t="s">
        <v>17773</v>
      </c>
      <c r="F139" s="458" t="s">
        <v>1609</v>
      </c>
      <c r="G139" s="458" t="s">
        <v>441</v>
      </c>
      <c r="H139" s="458" t="s">
        <v>12073</v>
      </c>
      <c r="I139" s="459" t="n">
        <v>40900</v>
      </c>
      <c r="J139" s="460" t="n">
        <v>12</v>
      </c>
      <c r="K139" s="634" t="s">
        <v>45</v>
      </c>
      <c r="L139" s="460" t="s">
        <v>58</v>
      </c>
      <c r="M139" s="646" t="n">
        <f aca="false">I139-D139</f>
        <v>952</v>
      </c>
    </row>
    <row r="140" customFormat="false" ht="12.75" hidden="false" customHeight="true" outlineLevel="0" collapsed="false">
      <c r="A140" s="449" t="n">
        <v>13911</v>
      </c>
      <c r="B140" s="450" t="s">
        <v>17774</v>
      </c>
      <c r="C140" s="450" t="n">
        <v>2011</v>
      </c>
      <c r="D140" s="451" t="n">
        <v>40813</v>
      </c>
      <c r="E140" s="450" t="s">
        <v>17775</v>
      </c>
      <c r="F140" s="624" t="s">
        <v>288</v>
      </c>
      <c r="G140" s="450" t="s">
        <v>130</v>
      </c>
      <c r="H140" s="450" t="s">
        <v>17776</v>
      </c>
      <c r="I140" s="451" t="n">
        <v>40900</v>
      </c>
      <c r="J140" s="452" t="n">
        <v>12</v>
      </c>
      <c r="K140" s="632" t="s">
        <v>2407</v>
      </c>
      <c r="L140" s="452" t="s">
        <v>61</v>
      </c>
      <c r="M140" s="645" t="n">
        <f aca="false">I140-D140</f>
        <v>87</v>
      </c>
    </row>
    <row r="141" customFormat="false" ht="12.75" hidden="false" customHeight="true" outlineLevel="0" collapsed="false">
      <c r="A141" s="456" t="n">
        <v>14011</v>
      </c>
      <c r="B141" s="458" t="s">
        <v>17777</v>
      </c>
      <c r="C141" s="458" t="n">
        <v>2007</v>
      </c>
      <c r="D141" s="459" t="n">
        <v>39335</v>
      </c>
      <c r="E141" s="458" t="s">
        <v>17778</v>
      </c>
      <c r="F141" s="458" t="s">
        <v>14571</v>
      </c>
      <c r="G141" s="458" t="s">
        <v>441</v>
      </c>
      <c r="H141" s="458" t="s">
        <v>12073</v>
      </c>
      <c r="I141" s="459" t="n">
        <v>40903</v>
      </c>
      <c r="J141" s="460" t="n">
        <v>12</v>
      </c>
      <c r="K141" s="633" t="s">
        <v>47</v>
      </c>
      <c r="L141" s="460" t="s">
        <v>60</v>
      </c>
      <c r="M141" s="646" t="n">
        <f aca="false">I141-D141</f>
        <v>1568</v>
      </c>
    </row>
    <row r="142" customFormat="false" ht="12.75" hidden="false" customHeight="true" outlineLevel="0" collapsed="false">
      <c r="A142" s="449" t="n">
        <v>14111</v>
      </c>
      <c r="B142" s="450" t="s">
        <v>17779</v>
      </c>
      <c r="C142" s="450" t="n">
        <v>2007</v>
      </c>
      <c r="D142" s="451" t="n">
        <v>39310</v>
      </c>
      <c r="E142" s="450" t="s">
        <v>17780</v>
      </c>
      <c r="F142" s="450" t="s">
        <v>823</v>
      </c>
      <c r="G142" s="450" t="s">
        <v>1174</v>
      </c>
      <c r="H142" s="450" t="s">
        <v>16610</v>
      </c>
      <c r="I142" s="451" t="n">
        <v>40903</v>
      </c>
      <c r="J142" s="452" t="n">
        <v>12</v>
      </c>
      <c r="K142" s="633" t="s">
        <v>47</v>
      </c>
      <c r="L142" s="452" t="s">
        <v>58</v>
      </c>
      <c r="M142" s="645" t="n">
        <f aca="false">I142-D142</f>
        <v>1593</v>
      </c>
    </row>
    <row r="143" customFormat="false" ht="12.75" hidden="false" customHeight="true" outlineLevel="0" collapsed="false">
      <c r="A143" s="456" t="n">
        <v>14211</v>
      </c>
      <c r="B143" s="458" t="s">
        <v>17781</v>
      </c>
      <c r="C143" s="458" t="n">
        <v>2010</v>
      </c>
      <c r="D143" s="459" t="n">
        <v>40430</v>
      </c>
      <c r="E143" s="458" t="s">
        <v>17782</v>
      </c>
      <c r="F143" s="458" t="s">
        <v>17783</v>
      </c>
      <c r="G143" s="458" t="s">
        <v>144</v>
      </c>
      <c r="H143" s="458" t="s">
        <v>373</v>
      </c>
      <c r="I143" s="459" t="n">
        <v>40904</v>
      </c>
      <c r="J143" s="460" t="n">
        <v>12</v>
      </c>
      <c r="K143" s="633" t="s">
        <v>47</v>
      </c>
      <c r="L143" s="460" t="s">
        <v>58</v>
      </c>
      <c r="M143" s="646" t="n">
        <f aca="false">I143-D143</f>
        <v>474</v>
      </c>
    </row>
    <row r="144" customFormat="false" ht="12.75" hidden="false" customHeight="true" outlineLevel="0" collapsed="false">
      <c r="A144" s="449" t="n">
        <v>14311</v>
      </c>
      <c r="B144" s="450" t="s">
        <v>17784</v>
      </c>
      <c r="C144" s="450" t="n">
        <v>2009</v>
      </c>
      <c r="D144" s="451" t="n">
        <v>39902</v>
      </c>
      <c r="E144" s="450" t="s">
        <v>17785</v>
      </c>
      <c r="F144" s="450" t="s">
        <v>1277</v>
      </c>
      <c r="G144" s="450" t="s">
        <v>1174</v>
      </c>
      <c r="H144" s="450" t="s">
        <v>14391</v>
      </c>
      <c r="I144" s="451" t="n">
        <v>40905</v>
      </c>
      <c r="J144" s="452" t="n">
        <v>12</v>
      </c>
      <c r="K144" s="634" t="s">
        <v>45</v>
      </c>
      <c r="L144" s="452" t="s">
        <v>58</v>
      </c>
      <c r="M144" s="645" t="n">
        <f aca="false">I144-D144</f>
        <v>1003</v>
      </c>
    </row>
    <row r="145" customFormat="false" ht="12.75" hidden="false" customHeight="true" outlineLevel="0" collapsed="false">
      <c r="A145" s="456" t="n">
        <v>14411</v>
      </c>
      <c r="B145" s="458" t="s">
        <v>17786</v>
      </c>
      <c r="C145" s="458" t="n">
        <v>2011</v>
      </c>
      <c r="D145" s="459" t="n">
        <v>40756</v>
      </c>
      <c r="E145" s="458" t="s">
        <v>17787</v>
      </c>
      <c r="F145" s="625" t="s">
        <v>288</v>
      </c>
      <c r="G145" s="458" t="s">
        <v>130</v>
      </c>
      <c r="H145" s="458" t="s">
        <v>9581</v>
      </c>
      <c r="I145" s="459" t="n">
        <v>40905</v>
      </c>
      <c r="J145" s="460" t="n">
        <v>12</v>
      </c>
      <c r="K145" s="632" t="s">
        <v>2407</v>
      </c>
      <c r="L145" s="460" t="s">
        <v>61</v>
      </c>
      <c r="M145" s="646" t="n">
        <f aca="false">I145-D145</f>
        <v>149</v>
      </c>
    </row>
    <row r="146" customFormat="false" ht="12.75" hidden="false" customHeight="true" outlineLevel="0" collapsed="false">
      <c r="A146" s="449" t="n">
        <v>14511</v>
      </c>
      <c r="B146" s="450" t="s">
        <v>17788</v>
      </c>
      <c r="C146" s="450" t="n">
        <v>2008</v>
      </c>
      <c r="D146" s="451" t="n">
        <v>39605</v>
      </c>
      <c r="E146" s="450" t="s">
        <v>17789</v>
      </c>
      <c r="F146" s="450" t="s">
        <v>3444</v>
      </c>
      <c r="G146" s="450" t="s">
        <v>441</v>
      </c>
      <c r="H146" s="450" t="s">
        <v>16610</v>
      </c>
      <c r="I146" s="451" t="n">
        <v>40906</v>
      </c>
      <c r="J146" s="452" t="n">
        <v>12</v>
      </c>
      <c r="K146" s="633" t="s">
        <v>47</v>
      </c>
      <c r="L146" s="452" t="s">
        <v>58</v>
      </c>
      <c r="M146" s="645" t="n">
        <f aca="false">I146-D146</f>
        <v>1301</v>
      </c>
    </row>
    <row r="147" customFormat="false" ht="12.75" hidden="false" customHeight="true" outlineLevel="0" collapsed="false">
      <c r="A147" s="456" t="n">
        <v>14611</v>
      </c>
      <c r="B147" s="458" t="s">
        <v>17790</v>
      </c>
      <c r="C147" s="458" t="n">
        <v>2009</v>
      </c>
      <c r="D147" s="459" t="n">
        <v>40014</v>
      </c>
      <c r="E147" s="458" t="s">
        <v>17791</v>
      </c>
      <c r="F147" s="458" t="s">
        <v>1080</v>
      </c>
      <c r="G147" s="458" t="s">
        <v>441</v>
      </c>
      <c r="H147" s="458" t="s">
        <v>350</v>
      </c>
      <c r="I147" s="459" t="n">
        <v>40907</v>
      </c>
      <c r="J147" s="460" t="n">
        <v>12</v>
      </c>
      <c r="K147" s="631" t="s">
        <v>42</v>
      </c>
      <c r="L147" s="460" t="s">
        <v>58</v>
      </c>
      <c r="M147" s="646" t="n">
        <f aca="false">I147-D147</f>
        <v>893</v>
      </c>
    </row>
    <row r="148" customFormat="false" ht="12.75" hidden="false" customHeight="true" outlineLevel="0" collapsed="false">
      <c r="A148" s="449" t="n">
        <v>14711</v>
      </c>
      <c r="B148" s="450" t="s">
        <v>17792</v>
      </c>
      <c r="C148" s="450" t="n">
        <v>2008</v>
      </c>
      <c r="D148" s="451" t="n">
        <v>39710</v>
      </c>
      <c r="E148" s="450" t="s">
        <v>17793</v>
      </c>
      <c r="F148" s="450" t="s">
        <v>7360</v>
      </c>
      <c r="G148" s="450" t="s">
        <v>441</v>
      </c>
      <c r="H148" s="450" t="s">
        <v>2677</v>
      </c>
      <c r="I148" s="451" t="n">
        <v>40907</v>
      </c>
      <c r="J148" s="452" t="n">
        <v>12</v>
      </c>
      <c r="K148" s="631" t="s">
        <v>42</v>
      </c>
      <c r="L148" s="452" t="s">
        <v>60</v>
      </c>
      <c r="M148" s="645" t="n">
        <f aca="false">I148-D148</f>
        <v>1197</v>
      </c>
    </row>
  </sheetData>
  <autoFilter ref="A1:M149"/>
  <mergeCells count="76">
    <mergeCell ref="O2:P2"/>
    <mergeCell ref="O14:S15"/>
    <mergeCell ref="O16:S16"/>
    <mergeCell ref="O17:S17"/>
    <mergeCell ref="O18:S18"/>
    <mergeCell ref="O19:S19"/>
    <mergeCell ref="O20:S20"/>
    <mergeCell ref="O21:S21"/>
    <mergeCell ref="O22:S22"/>
    <mergeCell ref="O23:S23"/>
    <mergeCell ref="O24:S24"/>
    <mergeCell ref="O26:S27"/>
    <mergeCell ref="P28:R28"/>
    <mergeCell ref="P29:R29"/>
    <mergeCell ref="P30:R30"/>
    <mergeCell ref="P31:R31"/>
    <mergeCell ref="P32:R32"/>
    <mergeCell ref="P33:R33"/>
    <mergeCell ref="P34:R34"/>
    <mergeCell ref="P35:R35"/>
    <mergeCell ref="P36:R36"/>
    <mergeCell ref="P37:R37"/>
    <mergeCell ref="P38:R38"/>
    <mergeCell ref="P39:R39"/>
    <mergeCell ref="P40:R40"/>
    <mergeCell ref="P41:R41"/>
    <mergeCell ref="P42:R42"/>
    <mergeCell ref="O44:S45"/>
    <mergeCell ref="P46:R46"/>
    <mergeCell ref="P47:R47"/>
    <mergeCell ref="P48:R48"/>
    <mergeCell ref="P49:R49"/>
    <mergeCell ref="P50:R50"/>
    <mergeCell ref="P51:R51"/>
    <mergeCell ref="P52:R52"/>
    <mergeCell ref="P53:R53"/>
    <mergeCell ref="P54:R54"/>
    <mergeCell ref="P55:R55"/>
    <mergeCell ref="P56:R56"/>
    <mergeCell ref="P57:R57"/>
    <mergeCell ref="P58:R58"/>
    <mergeCell ref="P59:R59"/>
    <mergeCell ref="O61:T62"/>
    <mergeCell ref="O63:R63"/>
    <mergeCell ref="O64:R64"/>
    <mergeCell ref="O65:R65"/>
    <mergeCell ref="O66:R66"/>
    <mergeCell ref="O67:R67"/>
    <mergeCell ref="O68:R68"/>
    <mergeCell ref="O69:R69"/>
    <mergeCell ref="O70:R70"/>
    <mergeCell ref="O71:R71"/>
    <mergeCell ref="O72:R72"/>
    <mergeCell ref="O73:R73"/>
    <mergeCell ref="O74:R74"/>
    <mergeCell ref="O75:R75"/>
    <mergeCell ref="O76:R76"/>
    <mergeCell ref="O78:T79"/>
    <mergeCell ref="O80:R80"/>
    <mergeCell ref="O81:R81"/>
    <mergeCell ref="O82:R82"/>
    <mergeCell ref="O83:R83"/>
    <mergeCell ref="O84:R84"/>
    <mergeCell ref="O85:R85"/>
    <mergeCell ref="O87:R88"/>
    <mergeCell ref="P89:R89"/>
    <mergeCell ref="P90:R90"/>
    <mergeCell ref="P91:R91"/>
    <mergeCell ref="P92:R92"/>
    <mergeCell ref="P93:R93"/>
    <mergeCell ref="P94:R94"/>
    <mergeCell ref="P95:R95"/>
    <mergeCell ref="P96:R96"/>
    <mergeCell ref="P97:R97"/>
    <mergeCell ref="P98:R98"/>
    <mergeCell ref="P99:R9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
  <sheetViews>
    <sheetView showFormulas="false" showGridLines="true" showRowColHeaders="true" showZeros="true" rightToLeft="false" tabSelected="false" showOutlineSymbols="true" defaultGridColor="true" view="normal" topLeftCell="A1" colorId="64" zoomScale="51" zoomScaleNormal="51" zoomScalePageLayoutView="100" workbookViewId="0">
      <selection pane="topLeft" activeCell="U34" activeCellId="0" sqref="U34"/>
    </sheetView>
  </sheetViews>
  <sheetFormatPr defaultColWidth="8.4296875" defaultRowHeight="12.75" customHeight="false" zeroHeight="false" outlineLevelRow="0" outlineLevelCol="0"/>
  <sheetData/>
  <printOptions headings="false" gridLines="false" gridLinesSet="true" horizontalCentered="false" verticalCentered="false"/>
  <pageMargins left="0" right="0" top="0" bottom="0" header="0.511811023622047" footer="0.511811023622047"/>
  <pageSetup paperSize="77"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0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B1" activeCellId="0" sqref="B1"/>
    </sheetView>
  </sheetViews>
  <sheetFormatPr defaultColWidth="14.2890625" defaultRowHeight="12.75" customHeight="false" zeroHeight="false" outlineLevelRow="0" outlineLevelCol="0"/>
  <cols>
    <col collapsed="false" customWidth="true" hidden="false" outlineLevel="0" max="1" min="1" style="0" width="15.85"/>
    <col collapsed="false" customWidth="true" hidden="false" outlineLevel="0" max="2" min="2" style="0" width="24.71"/>
    <col collapsed="false" customWidth="true" hidden="false" outlineLevel="0" max="3" min="3" style="0" width="26.57"/>
    <col collapsed="false" customWidth="true" hidden="false" outlineLevel="0" max="4" min="4" style="0" width="32"/>
    <col collapsed="false" customWidth="true" hidden="false" outlineLevel="0" max="6" min="5" style="0" width="34.85"/>
    <col collapsed="false" customWidth="true" hidden="false" outlineLevel="0" max="7" min="7" style="0" width="12.29"/>
    <col collapsed="false" customWidth="true" hidden="false" outlineLevel="0" max="8" min="8" style="0" width="24.29"/>
    <col collapsed="false" customWidth="true" hidden="false" outlineLevel="0" max="9" min="9" style="0" width="24.43"/>
    <col collapsed="false" customWidth="true" hidden="false" outlineLevel="0" max="10" min="10" style="0" width="24.14"/>
    <col collapsed="false" customWidth="true" hidden="false" outlineLevel="0" max="11" min="11" style="0" width="60.14"/>
    <col collapsed="false" customWidth="true" hidden="false" outlineLevel="0" max="12" min="12" style="0" width="58.85"/>
    <col collapsed="false" customWidth="true" hidden="false" outlineLevel="0" max="13" min="13" style="0" width="45.29"/>
    <col collapsed="false" customWidth="true" hidden="false" outlineLevel="0" max="14" min="14" style="0" width="9.14"/>
    <col collapsed="false" customWidth="true" hidden="false" outlineLevel="0" max="15" min="15" style="0" width="27.14"/>
    <col collapsed="false" customWidth="true" hidden="false" outlineLevel="0" max="16" min="16" style="0" width="9.85"/>
    <col collapsed="false" customWidth="true" hidden="false" outlineLevel="0" max="17" min="17" style="0" width="3.42"/>
    <col collapsed="false" customWidth="true" hidden="false" outlineLevel="0" max="18" min="18" style="0" width="39"/>
    <col collapsed="false" customWidth="true" hidden="false" outlineLevel="0" max="19" min="19" style="0" width="62.85"/>
    <col collapsed="false" customWidth="true" hidden="false" outlineLevel="0" max="20" min="20" style="0" width="13.71"/>
    <col collapsed="false" customWidth="true" hidden="false" outlineLevel="0" max="26" min="21" style="0" width="8.71"/>
  </cols>
  <sheetData>
    <row r="1" customFormat="false" ht="12.75" hidden="false" customHeight="true" outlineLevel="0" collapsed="false">
      <c r="A1" s="582" t="s">
        <v>92</v>
      </c>
      <c r="B1" s="585" t="s">
        <v>93</v>
      </c>
      <c r="C1" s="585" t="s">
        <v>89</v>
      </c>
      <c r="D1" s="584" t="s">
        <v>94</v>
      </c>
      <c r="E1" s="585" t="s">
        <v>95</v>
      </c>
      <c r="F1" s="585" t="s">
        <v>96</v>
      </c>
      <c r="G1" s="585" t="s">
        <v>97</v>
      </c>
      <c r="H1" s="585" t="s">
        <v>98</v>
      </c>
      <c r="I1" s="584" t="s">
        <v>99</v>
      </c>
      <c r="J1" s="585" t="s">
        <v>62</v>
      </c>
      <c r="K1" s="586" t="s">
        <v>101</v>
      </c>
      <c r="L1" s="586" t="s">
        <v>102</v>
      </c>
      <c r="M1" s="279" t="s">
        <v>103</v>
      </c>
      <c r="N1" s="4"/>
      <c r="O1" s="4"/>
      <c r="P1" s="4"/>
      <c r="Q1" s="4"/>
      <c r="R1" s="4"/>
      <c r="S1" s="4"/>
    </row>
    <row r="2" customFormat="false" ht="12.75" hidden="false" customHeight="true" outlineLevel="0" collapsed="false">
      <c r="A2" s="449" t="n">
        <v>110</v>
      </c>
      <c r="B2" s="450" t="s">
        <v>17794</v>
      </c>
      <c r="C2" s="450" t="n">
        <v>2008</v>
      </c>
      <c r="D2" s="451" t="n">
        <v>39561</v>
      </c>
      <c r="E2" s="450" t="s">
        <v>17795</v>
      </c>
      <c r="F2" s="450" t="s">
        <v>17796</v>
      </c>
      <c r="G2" s="450" t="s">
        <v>1174</v>
      </c>
      <c r="H2" s="450" t="s">
        <v>17797</v>
      </c>
      <c r="I2" s="451" t="n">
        <v>40186</v>
      </c>
      <c r="J2" s="452" t="n">
        <v>1</v>
      </c>
      <c r="K2" s="631" t="s">
        <v>42</v>
      </c>
      <c r="L2" s="452" t="s">
        <v>58</v>
      </c>
      <c r="M2" s="455" t="n">
        <f aca="false">I2-D2</f>
        <v>625</v>
      </c>
      <c r="N2" s="4"/>
      <c r="O2" s="280" t="s">
        <v>17798</v>
      </c>
      <c r="P2" s="280"/>
      <c r="Q2" s="146"/>
      <c r="R2" s="146"/>
      <c r="S2" s="146"/>
    </row>
    <row r="3" customFormat="false" ht="12.75" hidden="false" customHeight="true" outlineLevel="0" collapsed="false">
      <c r="A3" s="456" t="n">
        <v>210</v>
      </c>
      <c r="B3" s="458" t="s">
        <v>17799</v>
      </c>
      <c r="C3" s="458" t="n">
        <v>2007</v>
      </c>
      <c r="D3" s="459" t="n">
        <v>39443</v>
      </c>
      <c r="E3" s="458" t="s">
        <v>17800</v>
      </c>
      <c r="F3" s="458" t="s">
        <v>17801</v>
      </c>
      <c r="G3" s="458" t="s">
        <v>1174</v>
      </c>
      <c r="H3" s="458" t="s">
        <v>2172</v>
      </c>
      <c r="I3" s="459" t="n">
        <v>40186</v>
      </c>
      <c r="J3" s="460" t="n">
        <v>1</v>
      </c>
      <c r="K3" s="631" t="s">
        <v>42</v>
      </c>
      <c r="L3" s="460" t="s">
        <v>58</v>
      </c>
      <c r="M3" s="463" t="n">
        <f aca="false">I3-D3</f>
        <v>743</v>
      </c>
      <c r="N3" s="4"/>
      <c r="O3" s="281" t="s">
        <v>1182</v>
      </c>
      <c r="P3" s="281" t="n">
        <f aca="false">COUNTIF($G$2:$G$476,"PT")</f>
        <v>2</v>
      </c>
      <c r="Q3" s="146"/>
      <c r="R3" s="146"/>
      <c r="S3" s="146"/>
    </row>
    <row r="4" customFormat="false" ht="12.75" hidden="false" customHeight="true" outlineLevel="0" collapsed="false">
      <c r="A4" s="449" t="n">
        <v>310</v>
      </c>
      <c r="B4" s="450" t="s">
        <v>17802</v>
      </c>
      <c r="C4" s="450" t="n">
        <v>2008</v>
      </c>
      <c r="D4" s="451" t="n">
        <v>39654</v>
      </c>
      <c r="E4" s="450" t="s">
        <v>17803</v>
      </c>
      <c r="F4" s="450" t="s">
        <v>446</v>
      </c>
      <c r="G4" s="450" t="s">
        <v>441</v>
      </c>
      <c r="H4" s="450" t="s">
        <v>109</v>
      </c>
      <c r="I4" s="451" t="n">
        <v>40189</v>
      </c>
      <c r="J4" s="452" t="n">
        <v>1</v>
      </c>
      <c r="K4" s="633" t="s">
        <v>47</v>
      </c>
      <c r="L4" s="452" t="s">
        <v>60</v>
      </c>
      <c r="M4" s="455" t="n">
        <f aca="false">I4-D4</f>
        <v>535</v>
      </c>
      <c r="N4" s="4"/>
      <c r="O4" s="282" t="s">
        <v>1188</v>
      </c>
      <c r="P4" s="282" t="n">
        <f aca="false">COUNTIF($G$2:$G$476,"PTN")</f>
        <v>0</v>
      </c>
      <c r="Q4" s="153"/>
      <c r="R4" s="153"/>
      <c r="S4" s="153"/>
    </row>
    <row r="5" customFormat="false" ht="12.75" hidden="false" customHeight="true" outlineLevel="0" collapsed="false">
      <c r="A5" s="456" t="n">
        <v>410</v>
      </c>
      <c r="B5" s="458" t="s">
        <v>17804</v>
      </c>
      <c r="C5" s="458" t="n">
        <v>2004</v>
      </c>
      <c r="D5" s="459" t="n">
        <v>38327</v>
      </c>
      <c r="E5" s="458" t="s">
        <v>17805</v>
      </c>
      <c r="F5" s="458" t="s">
        <v>1987</v>
      </c>
      <c r="G5" s="458" t="s">
        <v>8</v>
      </c>
      <c r="H5" s="458" t="s">
        <v>4438</v>
      </c>
      <c r="I5" s="459" t="n">
        <v>40189</v>
      </c>
      <c r="J5" s="460" t="n">
        <v>1</v>
      </c>
      <c r="K5" s="634" t="s">
        <v>45</v>
      </c>
      <c r="L5" s="460" t="s">
        <v>58</v>
      </c>
      <c r="M5" s="463" t="n">
        <f aca="false">I5-D5</f>
        <v>1862</v>
      </c>
      <c r="N5" s="4"/>
      <c r="O5" s="283" t="s">
        <v>1192</v>
      </c>
      <c r="P5" s="283" t="n">
        <f aca="false">COUNTIF($G$2:$G$476,"PTE")</f>
        <v>35</v>
      </c>
      <c r="Q5" s="153"/>
      <c r="R5" s="153"/>
      <c r="S5" s="153"/>
    </row>
    <row r="6" customFormat="false" ht="12.75" hidden="false" customHeight="true" outlineLevel="0" collapsed="false">
      <c r="A6" s="449" t="n">
        <v>510</v>
      </c>
      <c r="B6" s="450" t="s">
        <v>17806</v>
      </c>
      <c r="C6" s="450" t="n">
        <v>2008</v>
      </c>
      <c r="D6" s="451" t="n">
        <v>39562</v>
      </c>
      <c r="E6" s="450" t="s">
        <v>17807</v>
      </c>
      <c r="F6" s="450" t="s">
        <v>9647</v>
      </c>
      <c r="G6" s="450" t="s">
        <v>441</v>
      </c>
      <c r="H6" s="450" t="s">
        <v>1059</v>
      </c>
      <c r="I6" s="451" t="n">
        <v>40192</v>
      </c>
      <c r="J6" s="452" t="n">
        <v>1</v>
      </c>
      <c r="K6" s="633" t="s">
        <v>47</v>
      </c>
      <c r="L6" s="452" t="s">
        <v>60</v>
      </c>
      <c r="M6" s="455" t="n">
        <f aca="false">I6-D6</f>
        <v>630</v>
      </c>
      <c r="N6" s="4"/>
      <c r="O6" s="282" t="s">
        <v>8</v>
      </c>
      <c r="P6" s="282" t="n">
        <f aca="false">COUNTIF($G$2:$G$476,"Pré-Mistura")</f>
        <v>2</v>
      </c>
      <c r="Q6" s="153"/>
      <c r="R6" s="153"/>
      <c r="S6" s="153"/>
    </row>
    <row r="7" customFormat="false" ht="12.75" hidden="false" customHeight="true" outlineLevel="0" collapsed="false">
      <c r="A7" s="456" t="n">
        <v>610</v>
      </c>
      <c r="B7" s="458" t="s">
        <v>17808</v>
      </c>
      <c r="C7" s="458" t="n">
        <v>2008</v>
      </c>
      <c r="D7" s="459" t="n">
        <v>39742</v>
      </c>
      <c r="E7" s="458" t="s">
        <v>17809</v>
      </c>
      <c r="F7" s="458" t="s">
        <v>17810</v>
      </c>
      <c r="G7" s="458" t="s">
        <v>115</v>
      </c>
      <c r="H7" s="458" t="s">
        <v>453</v>
      </c>
      <c r="I7" s="459" t="n">
        <v>40205</v>
      </c>
      <c r="J7" s="460" t="n">
        <v>1</v>
      </c>
      <c r="K7" s="634" t="s">
        <v>45</v>
      </c>
      <c r="L7" s="460" t="s">
        <v>57</v>
      </c>
      <c r="M7" s="463" t="n">
        <f aca="false">I7-D7</f>
        <v>463</v>
      </c>
      <c r="N7" s="4"/>
      <c r="O7" s="283" t="s">
        <v>110</v>
      </c>
      <c r="P7" s="283" t="n">
        <f aca="false">COUNTIF($G$2:$G$476,"PF")</f>
        <v>26</v>
      </c>
      <c r="Q7" s="153"/>
      <c r="R7" s="153"/>
      <c r="S7" s="153"/>
    </row>
    <row r="8" customFormat="false" ht="12.75" hidden="false" customHeight="true" outlineLevel="0" collapsed="false">
      <c r="A8" s="449" t="n">
        <v>710</v>
      </c>
      <c r="B8" s="450" t="s">
        <v>17811</v>
      </c>
      <c r="C8" s="450" t="n">
        <v>2008</v>
      </c>
      <c r="D8" s="451" t="n">
        <v>34514</v>
      </c>
      <c r="E8" s="450" t="s">
        <v>17812</v>
      </c>
      <c r="F8" s="450" t="s">
        <v>17813</v>
      </c>
      <c r="G8" s="450" t="s">
        <v>144</v>
      </c>
      <c r="H8" s="450" t="s">
        <v>17814</v>
      </c>
      <c r="I8" s="451" t="n">
        <v>40206</v>
      </c>
      <c r="J8" s="452" t="n">
        <v>1</v>
      </c>
      <c r="K8" s="631" t="s">
        <v>42</v>
      </c>
      <c r="L8" s="452" t="s">
        <v>57</v>
      </c>
      <c r="M8" s="455" t="n">
        <f aca="false">I8-D8</f>
        <v>5692</v>
      </c>
      <c r="N8" s="4"/>
      <c r="O8" s="282" t="s">
        <v>115</v>
      </c>
      <c r="P8" s="282" t="n">
        <f aca="false">COUNTIF($G$2:$G$476,"PFN")</f>
        <v>1</v>
      </c>
      <c r="Q8" s="153"/>
      <c r="R8" s="153"/>
      <c r="S8" s="153"/>
    </row>
    <row r="9" customFormat="false" ht="12.75" hidden="false" customHeight="true" outlineLevel="0" collapsed="false">
      <c r="A9" s="456" t="n">
        <v>810</v>
      </c>
      <c r="B9" s="458" t="s">
        <v>17815</v>
      </c>
      <c r="C9" s="458" t="n">
        <v>2006</v>
      </c>
      <c r="D9" s="459" t="n">
        <v>38835</v>
      </c>
      <c r="E9" s="458" t="s">
        <v>17816</v>
      </c>
      <c r="F9" s="458" t="s">
        <v>17817</v>
      </c>
      <c r="G9" s="458" t="s">
        <v>144</v>
      </c>
      <c r="H9" s="458" t="s">
        <v>413</v>
      </c>
      <c r="I9" s="459" t="n">
        <v>40233</v>
      </c>
      <c r="J9" s="460" t="n">
        <v>2</v>
      </c>
      <c r="K9" s="634" t="s">
        <v>45</v>
      </c>
      <c r="L9" s="460" t="s">
        <v>60</v>
      </c>
      <c r="M9" s="463" t="n">
        <f aca="false">I9-D9</f>
        <v>1398</v>
      </c>
      <c r="N9" s="4"/>
      <c r="O9" s="283" t="s">
        <v>120</v>
      </c>
      <c r="P9" s="283" t="n">
        <f aca="false">COUNTIF($G$2:$G$476,"PF/PTE")</f>
        <v>34</v>
      </c>
      <c r="Q9" s="153"/>
      <c r="R9" s="153"/>
      <c r="S9" s="153"/>
    </row>
    <row r="10" customFormat="false" ht="12.75" hidden="false" customHeight="true" outlineLevel="0" collapsed="false">
      <c r="A10" s="449" t="n">
        <v>910</v>
      </c>
      <c r="B10" s="450" t="s">
        <v>17818</v>
      </c>
      <c r="C10" s="450" t="n">
        <v>2007</v>
      </c>
      <c r="D10" s="451" t="n">
        <v>39384</v>
      </c>
      <c r="E10" s="450" t="s">
        <v>17819</v>
      </c>
      <c r="F10" s="450" t="s">
        <v>990</v>
      </c>
      <c r="G10" s="450" t="s">
        <v>1174</v>
      </c>
      <c r="H10" s="450" t="s">
        <v>12073</v>
      </c>
      <c r="I10" s="451" t="n">
        <v>40233</v>
      </c>
      <c r="J10" s="452" t="n">
        <v>2</v>
      </c>
      <c r="K10" s="633" t="s">
        <v>47</v>
      </c>
      <c r="L10" s="452" t="s">
        <v>60</v>
      </c>
      <c r="M10" s="455" t="n">
        <f aca="false">I10-D10</f>
        <v>849</v>
      </c>
      <c r="N10" s="4"/>
      <c r="O10" s="282" t="s">
        <v>125</v>
      </c>
      <c r="P10" s="282" t="n">
        <f aca="false">COUNTIF($G$2:$G$476,"Bio")</f>
        <v>4</v>
      </c>
      <c r="Q10" s="153"/>
      <c r="R10" s="153"/>
      <c r="S10" s="153"/>
    </row>
    <row r="11" customFormat="false" ht="13.5" hidden="false" customHeight="true" outlineLevel="0" collapsed="false">
      <c r="A11" s="456" t="n">
        <v>1010</v>
      </c>
      <c r="B11" s="458" t="s">
        <v>17820</v>
      </c>
      <c r="C11" s="458" t="n">
        <v>2008</v>
      </c>
      <c r="D11" s="459" t="n">
        <v>39731</v>
      </c>
      <c r="E11" s="458" t="s">
        <v>17821</v>
      </c>
      <c r="F11" s="458" t="s">
        <v>17822</v>
      </c>
      <c r="G11" s="458" t="s">
        <v>441</v>
      </c>
      <c r="H11" s="458" t="s">
        <v>1059</v>
      </c>
      <c r="I11" s="459" t="n">
        <v>40235</v>
      </c>
      <c r="J11" s="460" t="n">
        <v>2</v>
      </c>
      <c r="K11" s="631" t="s">
        <v>42</v>
      </c>
      <c r="L11" s="460" t="s">
        <v>60</v>
      </c>
      <c r="M11" s="463" t="n">
        <f aca="false">I11-D11</f>
        <v>504</v>
      </c>
      <c r="N11" s="4"/>
      <c r="O11" s="284" t="s">
        <v>130</v>
      </c>
      <c r="P11" s="284" t="n">
        <f aca="false">COUNTIF($G$2:$G$476,"Bio/Org")</f>
        <v>0</v>
      </c>
      <c r="Q11" s="153"/>
      <c r="R11" s="153"/>
      <c r="S11" s="153"/>
    </row>
    <row r="12" customFormat="false" ht="14.25" hidden="false" customHeight="true" outlineLevel="0" collapsed="false">
      <c r="A12" s="449" t="n">
        <v>1110</v>
      </c>
      <c r="B12" s="450" t="s">
        <v>17823</v>
      </c>
      <c r="C12" s="450" t="n">
        <v>2006</v>
      </c>
      <c r="D12" s="451" t="n">
        <v>39052</v>
      </c>
      <c r="E12" s="450" t="s">
        <v>17824</v>
      </c>
      <c r="F12" s="450" t="s">
        <v>17825</v>
      </c>
      <c r="G12" s="450" t="s">
        <v>144</v>
      </c>
      <c r="H12" s="450" t="s">
        <v>17826</v>
      </c>
      <c r="I12" s="451" t="n">
        <v>40238</v>
      </c>
      <c r="J12" s="452" t="n">
        <v>3</v>
      </c>
      <c r="K12" s="631" t="s">
        <v>42</v>
      </c>
      <c r="L12" s="452" t="s">
        <v>58</v>
      </c>
      <c r="M12" s="455" t="n">
        <f aca="false">I12-D12</f>
        <v>1186</v>
      </c>
      <c r="N12" s="4"/>
      <c r="O12" s="285" t="s">
        <v>140</v>
      </c>
      <c r="P12" s="286" t="n">
        <f aca="false">SUM(P3:P11)</f>
        <v>104</v>
      </c>
      <c r="Q12" s="153"/>
      <c r="R12" s="153"/>
      <c r="S12" s="153"/>
    </row>
    <row r="13" customFormat="false" ht="14.25" hidden="false" customHeight="true" outlineLevel="0" collapsed="false">
      <c r="A13" s="456" t="n">
        <v>1210</v>
      </c>
      <c r="B13" s="458" t="s">
        <v>17827</v>
      </c>
      <c r="C13" s="458" t="n">
        <v>2007</v>
      </c>
      <c r="D13" s="459" t="n">
        <v>39101</v>
      </c>
      <c r="E13" s="458" t="s">
        <v>17828</v>
      </c>
      <c r="F13" s="458" t="s">
        <v>5241</v>
      </c>
      <c r="G13" s="458" t="s">
        <v>1174</v>
      </c>
      <c r="H13" s="458" t="s">
        <v>413</v>
      </c>
      <c r="I13" s="459" t="n">
        <v>40241</v>
      </c>
      <c r="J13" s="460" t="n">
        <v>3</v>
      </c>
      <c r="K13" s="633" t="s">
        <v>47</v>
      </c>
      <c r="L13" s="460" t="s">
        <v>60</v>
      </c>
      <c r="M13" s="463" t="n">
        <f aca="false">I13-D13</f>
        <v>1140</v>
      </c>
      <c r="N13" s="4"/>
      <c r="O13" s="153"/>
      <c r="P13" s="153"/>
      <c r="Q13" s="153"/>
      <c r="R13" s="287"/>
      <c r="S13" s="287"/>
    </row>
    <row r="14" customFormat="false" ht="14.25" hidden="false" customHeight="true" outlineLevel="0" collapsed="false">
      <c r="A14" s="449" t="n">
        <v>1310</v>
      </c>
      <c r="B14" s="450" t="s">
        <v>17829</v>
      </c>
      <c r="C14" s="450" t="n">
        <v>1999</v>
      </c>
      <c r="D14" s="451" t="n">
        <v>36294</v>
      </c>
      <c r="E14" s="450" t="s">
        <v>17830</v>
      </c>
      <c r="F14" s="450" t="s">
        <v>780</v>
      </c>
      <c r="G14" s="450" t="s">
        <v>441</v>
      </c>
      <c r="H14" s="450" t="s">
        <v>14391</v>
      </c>
      <c r="I14" s="451" t="n">
        <v>40245</v>
      </c>
      <c r="J14" s="452" t="n">
        <v>3</v>
      </c>
      <c r="K14" s="631" t="s">
        <v>42</v>
      </c>
      <c r="L14" s="452" t="s">
        <v>60</v>
      </c>
      <c r="M14" s="455" t="n">
        <f aca="false">I14-D14</f>
        <v>3951</v>
      </c>
      <c r="N14" s="4"/>
      <c r="O14" s="411" t="s">
        <v>151</v>
      </c>
      <c r="P14" s="411"/>
      <c r="Q14" s="411"/>
      <c r="R14" s="411"/>
      <c r="S14" s="411"/>
    </row>
    <row r="15" customFormat="false" ht="15.75" hidden="false" customHeight="true" outlineLevel="0" collapsed="false">
      <c r="A15" s="456" t="n">
        <v>1410</v>
      </c>
      <c r="B15" s="458" t="s">
        <v>17831</v>
      </c>
      <c r="C15" s="458" t="n">
        <v>2006</v>
      </c>
      <c r="D15" s="459" t="n">
        <v>38849</v>
      </c>
      <c r="E15" s="458" t="s">
        <v>17832</v>
      </c>
      <c r="F15" s="458" t="s">
        <v>3984</v>
      </c>
      <c r="G15" s="458" t="s">
        <v>144</v>
      </c>
      <c r="H15" s="458" t="s">
        <v>6633</v>
      </c>
      <c r="I15" s="459" t="n">
        <v>40260</v>
      </c>
      <c r="J15" s="460" t="n">
        <v>3</v>
      </c>
      <c r="K15" s="631" t="s">
        <v>42</v>
      </c>
      <c r="L15" s="460" t="s">
        <v>60</v>
      </c>
      <c r="M15" s="463" t="n">
        <f aca="false">I15-D15</f>
        <v>1411</v>
      </c>
      <c r="N15" s="4"/>
      <c r="O15" s="411"/>
      <c r="P15" s="411"/>
      <c r="Q15" s="411"/>
      <c r="R15" s="411"/>
      <c r="S15" s="411"/>
    </row>
    <row r="16" customFormat="false" ht="15.75" hidden="false" customHeight="true" outlineLevel="0" collapsed="false">
      <c r="A16" s="449" t="n">
        <v>1510</v>
      </c>
      <c r="B16" s="450" t="s">
        <v>17833</v>
      </c>
      <c r="C16" s="450" t="n">
        <v>2008</v>
      </c>
      <c r="D16" s="451" t="n">
        <v>39540</v>
      </c>
      <c r="E16" s="450" t="s">
        <v>17834</v>
      </c>
      <c r="F16" s="450" t="s">
        <v>365</v>
      </c>
      <c r="G16" s="450" t="s">
        <v>441</v>
      </c>
      <c r="H16" s="450" t="s">
        <v>2176</v>
      </c>
      <c r="I16" s="451" t="n">
        <v>40268</v>
      </c>
      <c r="J16" s="452" t="n">
        <v>3</v>
      </c>
      <c r="K16" s="631" t="s">
        <v>42</v>
      </c>
      <c r="L16" s="452" t="s">
        <v>60</v>
      </c>
      <c r="M16" s="455" t="n">
        <f aca="false">I16-D16</f>
        <v>728</v>
      </c>
      <c r="N16" s="4"/>
      <c r="O16" s="412" t="s">
        <v>2194</v>
      </c>
      <c r="P16" s="412"/>
      <c r="Q16" s="412"/>
      <c r="R16" s="412"/>
      <c r="S16" s="412"/>
    </row>
    <row r="17" customFormat="false" ht="12.75" hidden="false" customHeight="true" outlineLevel="0" collapsed="false">
      <c r="A17" s="456" t="n">
        <v>1610</v>
      </c>
      <c r="B17" s="458" t="s">
        <v>17835</v>
      </c>
      <c r="C17" s="458" t="n">
        <v>2006</v>
      </c>
      <c r="D17" s="459" t="n">
        <v>38866</v>
      </c>
      <c r="E17" s="458" t="s">
        <v>17836</v>
      </c>
      <c r="F17" s="458" t="s">
        <v>17837</v>
      </c>
      <c r="G17" s="458" t="s">
        <v>441</v>
      </c>
      <c r="H17" s="458" t="s">
        <v>17797</v>
      </c>
      <c r="I17" s="459" t="n">
        <v>40273</v>
      </c>
      <c r="J17" s="460" t="n">
        <v>4</v>
      </c>
      <c r="K17" s="633" t="s">
        <v>47</v>
      </c>
      <c r="L17" s="460" t="s">
        <v>58</v>
      </c>
      <c r="M17" s="463" t="n">
        <f aca="false">I17-D17</f>
        <v>1407</v>
      </c>
      <c r="N17" s="4"/>
      <c r="O17" s="413" t="s">
        <v>2198</v>
      </c>
      <c r="P17" s="413"/>
      <c r="Q17" s="413"/>
      <c r="R17" s="413"/>
      <c r="S17" s="413"/>
    </row>
    <row r="18" customFormat="false" ht="12.75" hidden="false" customHeight="true" outlineLevel="0" collapsed="false">
      <c r="A18" s="449" t="n">
        <v>1710</v>
      </c>
      <c r="B18" s="450" t="s">
        <v>17838</v>
      </c>
      <c r="C18" s="450" t="n">
        <v>2008</v>
      </c>
      <c r="D18" s="451" t="n">
        <v>39808</v>
      </c>
      <c r="E18" s="450" t="s">
        <v>17839</v>
      </c>
      <c r="F18" s="450" t="s">
        <v>17840</v>
      </c>
      <c r="G18" s="450" t="s">
        <v>441</v>
      </c>
      <c r="H18" s="450" t="s">
        <v>4431</v>
      </c>
      <c r="I18" s="451" t="n">
        <v>40275</v>
      </c>
      <c r="J18" s="452" t="n">
        <v>4</v>
      </c>
      <c r="K18" s="631" t="s">
        <v>42</v>
      </c>
      <c r="L18" s="452" t="s">
        <v>58</v>
      </c>
      <c r="M18" s="455" t="n">
        <f aca="false">I18-D18</f>
        <v>467</v>
      </c>
      <c r="N18" s="4"/>
      <c r="O18" s="414" t="s">
        <v>2203</v>
      </c>
      <c r="P18" s="414"/>
      <c r="Q18" s="414"/>
      <c r="R18" s="414"/>
      <c r="S18" s="414"/>
    </row>
    <row r="19" customFormat="false" ht="12.75" hidden="false" customHeight="true" outlineLevel="0" collapsed="false">
      <c r="A19" s="456" t="n">
        <v>1810</v>
      </c>
      <c r="B19" s="458" t="s">
        <v>17841</v>
      </c>
      <c r="C19" s="458" t="n">
        <v>2008</v>
      </c>
      <c r="D19" s="459" t="n">
        <v>39562</v>
      </c>
      <c r="E19" s="458" t="s">
        <v>17842</v>
      </c>
      <c r="F19" s="458" t="s">
        <v>365</v>
      </c>
      <c r="G19" s="458" t="s">
        <v>441</v>
      </c>
      <c r="H19" s="458" t="s">
        <v>1059</v>
      </c>
      <c r="I19" s="459" t="n">
        <v>40276</v>
      </c>
      <c r="J19" s="460" t="n">
        <v>4</v>
      </c>
      <c r="K19" s="631" t="s">
        <v>42</v>
      </c>
      <c r="L19" s="460" t="s">
        <v>60</v>
      </c>
      <c r="M19" s="463" t="n">
        <f aca="false">I19-D19</f>
        <v>714</v>
      </c>
      <c r="N19" s="4"/>
      <c r="O19" s="413" t="s">
        <v>2207</v>
      </c>
      <c r="P19" s="413"/>
      <c r="Q19" s="413"/>
      <c r="R19" s="413"/>
      <c r="S19" s="413"/>
    </row>
    <row r="20" customFormat="false" ht="12.75" hidden="false" customHeight="true" outlineLevel="0" collapsed="false">
      <c r="A20" s="449" t="n">
        <v>1910</v>
      </c>
      <c r="B20" s="450" t="s">
        <v>17843</v>
      </c>
      <c r="C20" s="450" t="n">
        <v>2008</v>
      </c>
      <c r="D20" s="451" t="n">
        <v>39640</v>
      </c>
      <c r="E20" s="450" t="s">
        <v>17844</v>
      </c>
      <c r="F20" s="450" t="s">
        <v>17840</v>
      </c>
      <c r="G20" s="450" t="s">
        <v>1174</v>
      </c>
      <c r="H20" s="450" t="s">
        <v>2296</v>
      </c>
      <c r="I20" s="451" t="n">
        <v>40280</v>
      </c>
      <c r="J20" s="452" t="n">
        <v>4</v>
      </c>
      <c r="K20" s="631" t="s">
        <v>42</v>
      </c>
      <c r="L20" s="452" t="s">
        <v>58</v>
      </c>
      <c r="M20" s="455" t="n">
        <f aca="false">I20-D20</f>
        <v>640</v>
      </c>
      <c r="N20" s="4"/>
      <c r="O20" s="414" t="s">
        <v>2211</v>
      </c>
      <c r="P20" s="414"/>
      <c r="Q20" s="414"/>
      <c r="R20" s="414"/>
      <c r="S20" s="414"/>
    </row>
    <row r="21" customFormat="false" ht="12.75" hidden="false" customHeight="true" outlineLevel="0" collapsed="false">
      <c r="A21" s="456" t="n">
        <v>2010</v>
      </c>
      <c r="B21" s="458" t="s">
        <v>17845</v>
      </c>
      <c r="C21" s="458" t="n">
        <v>2006</v>
      </c>
      <c r="D21" s="459" t="n">
        <v>38747</v>
      </c>
      <c r="E21" s="458" t="s">
        <v>17846</v>
      </c>
      <c r="F21" s="458" t="s">
        <v>15802</v>
      </c>
      <c r="G21" s="458" t="s">
        <v>441</v>
      </c>
      <c r="H21" s="458" t="s">
        <v>8003</v>
      </c>
      <c r="I21" s="459" t="n">
        <v>40294</v>
      </c>
      <c r="J21" s="460" t="n">
        <v>4</v>
      </c>
      <c r="K21" s="631" t="s">
        <v>42</v>
      </c>
      <c r="L21" s="460" t="s">
        <v>58</v>
      </c>
      <c r="M21" s="463" t="n">
        <f aca="false">I21-D21</f>
        <v>1547</v>
      </c>
      <c r="N21" s="4"/>
      <c r="O21" s="413" t="s">
        <v>2215</v>
      </c>
      <c r="P21" s="413"/>
      <c r="Q21" s="413"/>
      <c r="R21" s="413"/>
      <c r="S21" s="413"/>
    </row>
    <row r="22" customFormat="false" ht="12.75" hidden="false" customHeight="true" outlineLevel="0" collapsed="false">
      <c r="A22" s="449" t="n">
        <v>2110</v>
      </c>
      <c r="B22" s="450" t="s">
        <v>17847</v>
      </c>
      <c r="C22" s="450" t="n">
        <v>2001</v>
      </c>
      <c r="D22" s="451" t="n">
        <v>36923</v>
      </c>
      <c r="E22" s="450" t="s">
        <v>17848</v>
      </c>
      <c r="F22" s="450" t="s">
        <v>17849</v>
      </c>
      <c r="G22" s="450" t="s">
        <v>441</v>
      </c>
      <c r="H22" s="450" t="s">
        <v>17850</v>
      </c>
      <c r="I22" s="451" t="n">
        <v>40295</v>
      </c>
      <c r="J22" s="452" t="n">
        <v>4</v>
      </c>
      <c r="K22" s="631" t="s">
        <v>42</v>
      </c>
      <c r="L22" s="452" t="s">
        <v>60</v>
      </c>
      <c r="M22" s="455" t="n">
        <f aca="false">I22-D22</f>
        <v>3372</v>
      </c>
      <c r="N22" s="4"/>
      <c r="O22" s="414" t="s">
        <v>2220</v>
      </c>
      <c r="P22" s="414"/>
      <c r="Q22" s="414"/>
      <c r="R22" s="414"/>
      <c r="S22" s="414"/>
    </row>
    <row r="23" customFormat="false" ht="13.5" hidden="false" customHeight="true" outlineLevel="0" collapsed="false">
      <c r="A23" s="456" t="n">
        <v>2210</v>
      </c>
      <c r="B23" s="458" t="s">
        <v>17851</v>
      </c>
      <c r="C23" s="458" t="n">
        <v>2006</v>
      </c>
      <c r="D23" s="459" t="n">
        <v>39079</v>
      </c>
      <c r="E23" s="458" t="s">
        <v>17852</v>
      </c>
      <c r="F23" s="458" t="s">
        <v>17853</v>
      </c>
      <c r="G23" s="458" t="s">
        <v>144</v>
      </c>
      <c r="H23" s="458" t="s">
        <v>17854</v>
      </c>
      <c r="I23" s="459" t="n">
        <v>40297</v>
      </c>
      <c r="J23" s="460" t="n">
        <v>4</v>
      </c>
      <c r="K23" s="631" t="s">
        <v>42</v>
      </c>
      <c r="L23" s="460" t="s">
        <v>60</v>
      </c>
      <c r="M23" s="463" t="n">
        <f aca="false">I23-D23</f>
        <v>1218</v>
      </c>
      <c r="N23" s="4"/>
      <c r="O23" s="413" t="s">
        <v>2225</v>
      </c>
      <c r="P23" s="413"/>
      <c r="Q23" s="413"/>
      <c r="R23" s="413"/>
      <c r="S23" s="413"/>
    </row>
    <row r="24" customFormat="false" ht="13.5" hidden="false" customHeight="true" outlineLevel="0" collapsed="false">
      <c r="A24" s="449" t="n">
        <v>2310</v>
      </c>
      <c r="B24" s="450" t="s">
        <v>17855</v>
      </c>
      <c r="C24" s="450" t="n">
        <v>2000</v>
      </c>
      <c r="D24" s="451" t="n">
        <v>36868</v>
      </c>
      <c r="E24" s="450" t="s">
        <v>17856</v>
      </c>
      <c r="F24" s="450" t="s">
        <v>4623</v>
      </c>
      <c r="G24" s="450" t="s">
        <v>144</v>
      </c>
      <c r="H24" s="450" t="s">
        <v>10110</v>
      </c>
      <c r="I24" s="451" t="n">
        <v>40303</v>
      </c>
      <c r="J24" s="452" t="n">
        <v>5</v>
      </c>
      <c r="K24" s="631" t="s">
        <v>42</v>
      </c>
      <c r="L24" s="452" t="s">
        <v>60</v>
      </c>
      <c r="M24" s="455" t="n">
        <f aca="false">I24-D24</f>
        <v>3435</v>
      </c>
      <c r="N24" s="4"/>
      <c r="O24" s="415" t="s">
        <v>2229</v>
      </c>
      <c r="P24" s="415"/>
      <c r="Q24" s="415"/>
      <c r="R24" s="415"/>
      <c r="S24" s="415"/>
    </row>
    <row r="25" customFormat="false" ht="12.75" hidden="false" customHeight="true" outlineLevel="0" collapsed="false">
      <c r="A25" s="456" t="n">
        <v>2410</v>
      </c>
      <c r="B25" s="458" t="s">
        <v>17857</v>
      </c>
      <c r="C25" s="458" t="n">
        <v>2009</v>
      </c>
      <c r="D25" s="459" t="n">
        <v>39909</v>
      </c>
      <c r="E25" s="458" t="s">
        <v>17858</v>
      </c>
      <c r="F25" s="458" t="s">
        <v>288</v>
      </c>
      <c r="G25" s="458" t="s">
        <v>125</v>
      </c>
      <c r="H25" s="458" t="s">
        <v>17859</v>
      </c>
      <c r="I25" s="459" t="n">
        <v>40322</v>
      </c>
      <c r="J25" s="460" t="n">
        <v>5</v>
      </c>
      <c r="K25" s="632" t="s">
        <v>2407</v>
      </c>
      <c r="L25" s="460" t="s">
        <v>61</v>
      </c>
      <c r="M25" s="463" t="n">
        <f aca="false">I25-D25</f>
        <v>413</v>
      </c>
      <c r="N25" s="4"/>
      <c r="O25" s="153"/>
      <c r="P25" s="153"/>
      <c r="Q25" s="153"/>
      <c r="R25" s="153"/>
      <c r="S25" s="153"/>
    </row>
    <row r="26" customFormat="false" ht="13.5" hidden="false" customHeight="true" outlineLevel="0" collapsed="false">
      <c r="A26" s="449" t="n">
        <v>2510</v>
      </c>
      <c r="B26" s="450" t="s">
        <v>17860</v>
      </c>
      <c r="C26" s="450" t="n">
        <v>2008</v>
      </c>
      <c r="D26" s="451" t="n">
        <v>39518</v>
      </c>
      <c r="E26" s="450" t="s">
        <v>17861</v>
      </c>
      <c r="F26" s="450" t="s">
        <v>17862</v>
      </c>
      <c r="G26" s="450" t="s">
        <v>1174</v>
      </c>
      <c r="H26" s="450" t="s">
        <v>2172</v>
      </c>
      <c r="I26" s="451" t="n">
        <v>40323</v>
      </c>
      <c r="J26" s="452" t="n">
        <v>5</v>
      </c>
      <c r="K26" s="632" t="s">
        <v>50</v>
      </c>
      <c r="L26" s="452" t="s">
        <v>58</v>
      </c>
      <c r="M26" s="455" t="n">
        <f aca="false">I26-D26</f>
        <v>805</v>
      </c>
      <c r="N26" s="4"/>
      <c r="O26" s="326" t="s">
        <v>185</v>
      </c>
      <c r="P26" s="326"/>
      <c r="Q26" s="326"/>
      <c r="R26" s="326"/>
      <c r="S26" s="326"/>
    </row>
    <row r="27" customFormat="false" ht="13.5" hidden="false" customHeight="true" outlineLevel="0" collapsed="false">
      <c r="A27" s="456" t="n">
        <v>2610</v>
      </c>
      <c r="B27" s="458" t="s">
        <v>17863</v>
      </c>
      <c r="C27" s="458" t="n">
        <v>2006</v>
      </c>
      <c r="D27" s="459" t="n">
        <v>38951</v>
      </c>
      <c r="E27" s="458" t="s">
        <v>17864</v>
      </c>
      <c r="F27" s="458" t="s">
        <v>17817</v>
      </c>
      <c r="G27" s="458" t="s">
        <v>144</v>
      </c>
      <c r="H27" s="458" t="s">
        <v>413</v>
      </c>
      <c r="I27" s="459" t="n">
        <v>40329</v>
      </c>
      <c r="J27" s="460" t="n">
        <v>5</v>
      </c>
      <c r="K27" s="634" t="s">
        <v>45</v>
      </c>
      <c r="L27" s="460" t="s">
        <v>60</v>
      </c>
      <c r="M27" s="463" t="n">
        <f aca="false">I27-D27</f>
        <v>1378</v>
      </c>
      <c r="N27" s="4"/>
      <c r="O27" s="326"/>
      <c r="P27" s="326"/>
      <c r="Q27" s="326"/>
      <c r="R27" s="326"/>
      <c r="S27" s="326"/>
    </row>
    <row r="28" customFormat="false" ht="12.75" hidden="false" customHeight="true" outlineLevel="0" collapsed="false">
      <c r="A28" s="449" t="n">
        <v>2710</v>
      </c>
      <c r="B28" s="450" t="s">
        <v>17865</v>
      </c>
      <c r="C28" s="450" t="n">
        <v>2007</v>
      </c>
      <c r="D28" s="451" t="n">
        <v>39106</v>
      </c>
      <c r="E28" s="450" t="s">
        <v>17866</v>
      </c>
      <c r="F28" s="450" t="s">
        <v>365</v>
      </c>
      <c r="G28" s="450" t="s">
        <v>441</v>
      </c>
      <c r="H28" s="450" t="s">
        <v>15992</v>
      </c>
      <c r="I28" s="451" t="n">
        <v>40330</v>
      </c>
      <c r="J28" s="452" t="n">
        <v>6</v>
      </c>
      <c r="K28" s="631" t="s">
        <v>42</v>
      </c>
      <c r="L28" s="452" t="s">
        <v>60</v>
      </c>
      <c r="M28" s="455" t="n">
        <f aca="false">I28-D28</f>
        <v>1224</v>
      </c>
      <c r="N28" s="4"/>
      <c r="O28" s="309" t="s">
        <v>39</v>
      </c>
      <c r="P28" s="416" t="s">
        <v>40</v>
      </c>
      <c r="Q28" s="416"/>
      <c r="R28" s="416"/>
      <c r="S28" s="313" t="s">
        <v>41</v>
      </c>
    </row>
    <row r="29" customFormat="false" ht="12.75" hidden="false" customHeight="true" outlineLevel="0" collapsed="false">
      <c r="A29" s="456" t="n">
        <v>2810</v>
      </c>
      <c r="B29" s="458" t="s">
        <v>17867</v>
      </c>
      <c r="C29" s="458" t="n">
        <v>2008</v>
      </c>
      <c r="D29" s="459" t="n">
        <v>39700</v>
      </c>
      <c r="E29" s="458" t="s">
        <v>17868</v>
      </c>
      <c r="F29" s="458" t="s">
        <v>4087</v>
      </c>
      <c r="G29" s="458" t="s">
        <v>125</v>
      </c>
      <c r="H29" s="458" t="s">
        <v>17859</v>
      </c>
      <c r="I29" s="459" t="n">
        <v>40333</v>
      </c>
      <c r="J29" s="460" t="n">
        <v>6</v>
      </c>
      <c r="K29" s="632" t="s">
        <v>2407</v>
      </c>
      <c r="L29" s="460" t="s">
        <v>61</v>
      </c>
      <c r="M29" s="463" t="n">
        <f aca="false">I29-D29</f>
        <v>633</v>
      </c>
      <c r="N29" s="4"/>
      <c r="O29" s="283" t="n">
        <v>1996</v>
      </c>
      <c r="P29" s="314" t="n">
        <f aca="false">COUNTIF($C$2:$C$503,"1996")</f>
        <v>1</v>
      </c>
      <c r="Q29" s="314"/>
      <c r="R29" s="314"/>
      <c r="S29" s="315" t="n">
        <f aca="false">P29/P42</f>
        <v>0.00961538461538462</v>
      </c>
    </row>
    <row r="30" customFormat="false" ht="12.75" hidden="false" customHeight="true" outlineLevel="0" collapsed="false">
      <c r="A30" s="449" t="n">
        <v>2910</v>
      </c>
      <c r="B30" s="450" t="s">
        <v>17869</v>
      </c>
      <c r="C30" s="450" t="n">
        <v>1999</v>
      </c>
      <c r="D30" s="451" t="n">
        <v>36455</v>
      </c>
      <c r="E30" s="450" t="s">
        <v>17870</v>
      </c>
      <c r="F30" s="450" t="s">
        <v>138</v>
      </c>
      <c r="G30" s="450" t="s">
        <v>144</v>
      </c>
      <c r="H30" s="450" t="s">
        <v>4900</v>
      </c>
      <c r="I30" s="451" t="n">
        <v>40340</v>
      </c>
      <c r="J30" s="452" t="n">
        <v>6</v>
      </c>
      <c r="K30" s="631" t="s">
        <v>42</v>
      </c>
      <c r="L30" s="452" t="s">
        <v>60</v>
      </c>
      <c r="M30" s="455" t="n">
        <f aca="false">I30-D30</f>
        <v>3885</v>
      </c>
      <c r="N30" s="4"/>
      <c r="O30" s="282" t="n">
        <v>1999</v>
      </c>
      <c r="P30" s="282" t="n">
        <f aca="false">COUNTIF($C$2:$C$503,"1999")</f>
        <v>3</v>
      </c>
      <c r="Q30" s="282"/>
      <c r="R30" s="282"/>
      <c r="S30" s="316" t="n">
        <f aca="false">P30/P42</f>
        <v>0.0288461538461538</v>
      </c>
    </row>
    <row r="31" customFormat="false" ht="12.75" hidden="false" customHeight="true" outlineLevel="0" collapsed="false">
      <c r="A31" s="456" t="n">
        <v>3010</v>
      </c>
      <c r="B31" s="458" t="s">
        <v>17871</v>
      </c>
      <c r="C31" s="458" t="n">
        <v>2008</v>
      </c>
      <c r="D31" s="459" t="n">
        <v>39485</v>
      </c>
      <c r="E31" s="458" t="s">
        <v>17872</v>
      </c>
      <c r="F31" s="458" t="s">
        <v>10629</v>
      </c>
      <c r="G31" s="458" t="s">
        <v>441</v>
      </c>
      <c r="H31" s="458" t="s">
        <v>2172</v>
      </c>
      <c r="I31" s="459" t="n">
        <v>40343</v>
      </c>
      <c r="J31" s="460" t="n">
        <v>6</v>
      </c>
      <c r="K31" s="631" t="s">
        <v>42</v>
      </c>
      <c r="L31" s="460" t="s">
        <v>58</v>
      </c>
      <c r="M31" s="463" t="n">
        <f aca="false">I31-D31</f>
        <v>858</v>
      </c>
      <c r="N31" s="4"/>
      <c r="O31" s="283" t="n">
        <v>2000</v>
      </c>
      <c r="P31" s="283" t="n">
        <f aca="false">COUNTIF($C$2:$C$503,"2000")</f>
        <v>1</v>
      </c>
      <c r="Q31" s="283"/>
      <c r="R31" s="283"/>
      <c r="S31" s="315" t="n">
        <f aca="false">P31/P42</f>
        <v>0.00961538461538462</v>
      </c>
    </row>
    <row r="32" customFormat="false" ht="12.75" hidden="false" customHeight="true" outlineLevel="0" collapsed="false">
      <c r="A32" s="449" t="n">
        <v>3110</v>
      </c>
      <c r="B32" s="450" t="s">
        <v>17873</v>
      </c>
      <c r="C32" s="450" t="n">
        <v>2008</v>
      </c>
      <c r="D32" s="451" t="n">
        <v>39647</v>
      </c>
      <c r="E32" s="450" t="s">
        <v>17874</v>
      </c>
      <c r="F32" s="450" t="s">
        <v>365</v>
      </c>
      <c r="G32" s="450" t="s">
        <v>1174</v>
      </c>
      <c r="H32" s="450" t="s">
        <v>17875</v>
      </c>
      <c r="I32" s="451" t="n">
        <v>40350</v>
      </c>
      <c r="J32" s="452" t="n">
        <v>6</v>
      </c>
      <c r="K32" s="634" t="s">
        <v>45</v>
      </c>
      <c r="L32" s="452" t="s">
        <v>60</v>
      </c>
      <c r="M32" s="455" t="n">
        <f aca="false">I32-D32</f>
        <v>703</v>
      </c>
      <c r="N32" s="4"/>
      <c r="O32" s="282" t="n">
        <v>2001</v>
      </c>
      <c r="P32" s="282" t="n">
        <f aca="false">COUNTIF($C$2:$C$503,"2001")</f>
        <v>2</v>
      </c>
      <c r="Q32" s="282"/>
      <c r="R32" s="282"/>
      <c r="S32" s="316" t="n">
        <f aca="false">P32/P42</f>
        <v>0.0192307692307692</v>
      </c>
    </row>
    <row r="33" customFormat="false" ht="12.75" hidden="false" customHeight="true" outlineLevel="0" collapsed="false">
      <c r="A33" s="456" t="n">
        <v>3210</v>
      </c>
      <c r="B33" s="458" t="s">
        <v>17876</v>
      </c>
      <c r="C33" s="458" t="n">
        <v>2007</v>
      </c>
      <c r="D33" s="459" t="n">
        <v>39351</v>
      </c>
      <c r="E33" s="458" t="s">
        <v>17877</v>
      </c>
      <c r="F33" s="458" t="s">
        <v>3260</v>
      </c>
      <c r="G33" s="458" t="s">
        <v>1174</v>
      </c>
      <c r="H33" s="458" t="s">
        <v>17878</v>
      </c>
      <c r="I33" s="459" t="n">
        <v>40351</v>
      </c>
      <c r="J33" s="460" t="n">
        <v>6</v>
      </c>
      <c r="K33" s="631" t="s">
        <v>42</v>
      </c>
      <c r="L33" s="460" t="s">
        <v>60</v>
      </c>
      <c r="M33" s="463" t="n">
        <f aca="false">I33-D33</f>
        <v>1000</v>
      </c>
      <c r="N33" s="4"/>
      <c r="O33" s="283" t="n">
        <v>2002</v>
      </c>
      <c r="P33" s="283" t="n">
        <f aca="false">COUNTIF($C$2:$C$503,"2002")</f>
        <v>0</v>
      </c>
      <c r="Q33" s="283"/>
      <c r="R33" s="283"/>
      <c r="S33" s="315" t="n">
        <f aca="false">P33/P42</f>
        <v>0</v>
      </c>
    </row>
    <row r="34" customFormat="false" ht="12.75" hidden="false" customHeight="true" outlineLevel="0" collapsed="false">
      <c r="A34" s="449" t="n">
        <v>3310</v>
      </c>
      <c r="B34" s="450" t="s">
        <v>17879</v>
      </c>
      <c r="C34" s="450" t="n">
        <v>2006</v>
      </c>
      <c r="D34" s="451" t="n">
        <v>39071</v>
      </c>
      <c r="E34" s="450" t="s">
        <v>17880</v>
      </c>
      <c r="F34" s="450" t="s">
        <v>365</v>
      </c>
      <c r="G34" s="450" t="s">
        <v>441</v>
      </c>
      <c r="H34" s="450" t="s">
        <v>14391</v>
      </c>
      <c r="I34" s="451" t="n">
        <v>40352</v>
      </c>
      <c r="J34" s="452" t="n">
        <v>6</v>
      </c>
      <c r="K34" s="633" t="s">
        <v>47</v>
      </c>
      <c r="L34" s="452" t="s">
        <v>60</v>
      </c>
      <c r="M34" s="455" t="n">
        <f aca="false">I34-D34</f>
        <v>1281</v>
      </c>
      <c r="N34" s="4"/>
      <c r="O34" s="282" t="n">
        <v>2003</v>
      </c>
      <c r="P34" s="282" t="n">
        <f aca="false">COUNTIF($C$2:$C$503,"2003")</f>
        <v>0</v>
      </c>
      <c r="Q34" s="282"/>
      <c r="R34" s="282"/>
      <c r="S34" s="316" t="n">
        <f aca="false">P34/P42</f>
        <v>0</v>
      </c>
    </row>
    <row r="35" customFormat="false" ht="12.75" hidden="false" customHeight="true" outlineLevel="0" collapsed="false">
      <c r="A35" s="456" t="n">
        <v>3410</v>
      </c>
      <c r="B35" s="458" t="s">
        <v>17881</v>
      </c>
      <c r="C35" s="458" t="n">
        <v>2009</v>
      </c>
      <c r="D35" s="459" t="n">
        <v>39860</v>
      </c>
      <c r="E35" s="458" t="s">
        <v>17882</v>
      </c>
      <c r="F35" s="458" t="s">
        <v>3844</v>
      </c>
      <c r="G35" s="458" t="s">
        <v>1174</v>
      </c>
      <c r="H35" s="458" t="s">
        <v>4333</v>
      </c>
      <c r="I35" s="459" t="n">
        <v>40353</v>
      </c>
      <c r="J35" s="460" t="n">
        <v>6</v>
      </c>
      <c r="K35" s="633" t="s">
        <v>47</v>
      </c>
      <c r="L35" s="460" t="s">
        <v>58</v>
      </c>
      <c r="M35" s="463" t="n">
        <f aca="false">I35-D35</f>
        <v>493</v>
      </c>
      <c r="N35" s="4"/>
      <c r="O35" s="283" t="n">
        <v>2004</v>
      </c>
      <c r="P35" s="283" t="n">
        <f aca="false">COUNTIF($C$2:$C$503,"2004")</f>
        <v>2</v>
      </c>
      <c r="Q35" s="283"/>
      <c r="R35" s="283"/>
      <c r="S35" s="315" t="n">
        <f aca="false">P35/P42</f>
        <v>0.0192307692307692</v>
      </c>
    </row>
    <row r="36" customFormat="false" ht="12.75" hidden="false" customHeight="true" outlineLevel="0" collapsed="false">
      <c r="A36" s="449" t="n">
        <v>3510</v>
      </c>
      <c r="B36" s="450" t="s">
        <v>17883</v>
      </c>
      <c r="C36" s="450" t="n">
        <v>2007</v>
      </c>
      <c r="D36" s="451" t="n">
        <v>39413</v>
      </c>
      <c r="E36" s="450" t="s">
        <v>17884</v>
      </c>
      <c r="F36" s="450" t="s">
        <v>17885</v>
      </c>
      <c r="G36" s="450" t="s">
        <v>1174</v>
      </c>
      <c r="H36" s="450" t="s">
        <v>4431</v>
      </c>
      <c r="I36" s="451" t="n">
        <v>40353</v>
      </c>
      <c r="J36" s="452" t="n">
        <v>6</v>
      </c>
      <c r="K36" s="633" t="s">
        <v>47</v>
      </c>
      <c r="L36" s="452" t="s">
        <v>58</v>
      </c>
      <c r="M36" s="455" t="n">
        <f aca="false">I36-D36</f>
        <v>940</v>
      </c>
      <c r="N36" s="4"/>
      <c r="O36" s="282" t="n">
        <v>2005</v>
      </c>
      <c r="P36" s="282" t="n">
        <f aca="false">COUNTIF($C$2:$C$503,"2005")</f>
        <v>1</v>
      </c>
      <c r="Q36" s="282"/>
      <c r="R36" s="282"/>
      <c r="S36" s="316" t="n">
        <f aca="false">P36/P42</f>
        <v>0.00961538461538462</v>
      </c>
    </row>
    <row r="37" customFormat="false" ht="12.75" hidden="false" customHeight="true" outlineLevel="0" collapsed="false">
      <c r="A37" s="456" t="n">
        <v>3610</v>
      </c>
      <c r="B37" s="458" t="s">
        <v>17886</v>
      </c>
      <c r="C37" s="458" t="n">
        <v>2009</v>
      </c>
      <c r="D37" s="459" t="n">
        <v>40147</v>
      </c>
      <c r="E37" s="458" t="s">
        <v>17887</v>
      </c>
      <c r="F37" s="458" t="s">
        <v>1357</v>
      </c>
      <c r="G37" s="458" t="s">
        <v>441</v>
      </c>
      <c r="H37" s="458" t="s">
        <v>4333</v>
      </c>
      <c r="I37" s="459" t="n">
        <v>40353</v>
      </c>
      <c r="J37" s="460" t="n">
        <v>6</v>
      </c>
      <c r="K37" s="631" t="s">
        <v>42</v>
      </c>
      <c r="L37" s="460" t="s">
        <v>58</v>
      </c>
      <c r="M37" s="463" t="n">
        <f aca="false">I37-D37</f>
        <v>206</v>
      </c>
      <c r="N37" s="4"/>
      <c r="O37" s="283" t="n">
        <v>2006</v>
      </c>
      <c r="P37" s="283" t="n">
        <f aca="false">COUNTIF($C$2:$C$503,"2006")</f>
        <v>17</v>
      </c>
      <c r="Q37" s="283"/>
      <c r="R37" s="283"/>
      <c r="S37" s="315" t="n">
        <f aca="false">P37/P42</f>
        <v>0.163461538461538</v>
      </c>
    </row>
    <row r="38" customFormat="false" ht="12.75" hidden="false" customHeight="true" outlineLevel="0" collapsed="false">
      <c r="A38" s="449" t="n">
        <v>3710</v>
      </c>
      <c r="B38" s="450" t="s">
        <v>17888</v>
      </c>
      <c r="C38" s="450" t="n">
        <v>2008</v>
      </c>
      <c r="D38" s="451" t="n">
        <v>39506</v>
      </c>
      <c r="E38" s="450" t="s">
        <v>17889</v>
      </c>
      <c r="F38" s="450" t="s">
        <v>17890</v>
      </c>
      <c r="G38" s="450" t="s">
        <v>1174</v>
      </c>
      <c r="H38" s="450" t="s">
        <v>17891</v>
      </c>
      <c r="I38" s="451" t="n">
        <v>40357</v>
      </c>
      <c r="J38" s="452" t="n">
        <v>6</v>
      </c>
      <c r="K38" s="631" t="s">
        <v>42</v>
      </c>
      <c r="L38" s="452" t="s">
        <v>58</v>
      </c>
      <c r="M38" s="455" t="n">
        <f aca="false">I38-D38</f>
        <v>851</v>
      </c>
      <c r="N38" s="4"/>
      <c r="O38" s="282" t="n">
        <v>2007</v>
      </c>
      <c r="P38" s="282" t="n">
        <f aca="false">COUNTIF($C$2:$C$503,"2007")</f>
        <v>14</v>
      </c>
      <c r="Q38" s="282"/>
      <c r="R38" s="282"/>
      <c r="S38" s="316" t="n">
        <f aca="false">P38/P42</f>
        <v>0.134615384615385</v>
      </c>
    </row>
    <row r="39" customFormat="false" ht="12.75" hidden="false" customHeight="true" outlineLevel="0" collapsed="false">
      <c r="A39" s="456" t="n">
        <v>3810</v>
      </c>
      <c r="B39" s="458" t="s">
        <v>17892</v>
      </c>
      <c r="C39" s="458" t="n">
        <v>2007</v>
      </c>
      <c r="D39" s="459" t="n">
        <v>39391</v>
      </c>
      <c r="E39" s="458" t="s">
        <v>17893</v>
      </c>
      <c r="F39" s="458" t="s">
        <v>5401</v>
      </c>
      <c r="G39" s="458" t="s">
        <v>441</v>
      </c>
      <c r="H39" s="458" t="s">
        <v>17894</v>
      </c>
      <c r="I39" s="459" t="n">
        <v>40358</v>
      </c>
      <c r="J39" s="460" t="n">
        <v>6</v>
      </c>
      <c r="K39" s="633" t="s">
        <v>47</v>
      </c>
      <c r="L39" s="460" t="s">
        <v>58</v>
      </c>
      <c r="M39" s="463" t="n">
        <f aca="false">I39-D39</f>
        <v>967</v>
      </c>
      <c r="N39" s="4"/>
      <c r="O39" s="283" t="n">
        <v>2008</v>
      </c>
      <c r="P39" s="283" t="n">
        <f aca="false">COUNTIF($C$2:$C$503,"2008")</f>
        <v>43</v>
      </c>
      <c r="Q39" s="283"/>
      <c r="R39" s="283"/>
      <c r="S39" s="315" t="n">
        <f aca="false">P39/P42</f>
        <v>0.413461538461538</v>
      </c>
    </row>
    <row r="40" customFormat="false" ht="12.75" hidden="false" customHeight="true" outlineLevel="0" collapsed="false">
      <c r="A40" s="449" t="n">
        <v>3910</v>
      </c>
      <c r="B40" s="450" t="s">
        <v>17895</v>
      </c>
      <c r="C40" s="450" t="n">
        <v>2008</v>
      </c>
      <c r="D40" s="451" t="n">
        <v>39813</v>
      </c>
      <c r="E40" s="450" t="s">
        <v>17896</v>
      </c>
      <c r="F40" s="450" t="s">
        <v>17840</v>
      </c>
      <c r="G40" s="450" t="s">
        <v>1174</v>
      </c>
      <c r="H40" s="450" t="s">
        <v>813</v>
      </c>
      <c r="I40" s="451" t="n">
        <v>40359</v>
      </c>
      <c r="J40" s="452" t="n">
        <v>6</v>
      </c>
      <c r="K40" s="634" t="s">
        <v>45</v>
      </c>
      <c r="L40" s="452" t="s">
        <v>58</v>
      </c>
      <c r="M40" s="455" t="n">
        <f aca="false">I40-D40</f>
        <v>546</v>
      </c>
      <c r="N40" s="4"/>
      <c r="O40" s="282" t="n">
        <v>2009</v>
      </c>
      <c r="P40" s="282" t="n">
        <f aca="false">COUNTIF($C$2:$C$503,"2009")</f>
        <v>19</v>
      </c>
      <c r="Q40" s="282"/>
      <c r="R40" s="282"/>
      <c r="S40" s="316" t="n">
        <f aca="false">P40/P42</f>
        <v>0.182692307692308</v>
      </c>
    </row>
    <row r="41" customFormat="false" ht="12.75" hidden="false" customHeight="true" outlineLevel="0" collapsed="false">
      <c r="A41" s="456" t="n">
        <v>4010</v>
      </c>
      <c r="B41" s="458" t="s">
        <v>17897</v>
      </c>
      <c r="C41" s="458" t="n">
        <v>2004</v>
      </c>
      <c r="D41" s="459" t="n">
        <v>38288</v>
      </c>
      <c r="E41" s="458" t="s">
        <v>17898</v>
      </c>
      <c r="F41" s="458" t="s">
        <v>17899</v>
      </c>
      <c r="G41" s="458" t="s">
        <v>1474</v>
      </c>
      <c r="H41" s="458" t="s">
        <v>413</v>
      </c>
      <c r="I41" s="459" t="n">
        <v>40364</v>
      </c>
      <c r="J41" s="460" t="n">
        <v>7</v>
      </c>
      <c r="K41" s="634" t="s">
        <v>45</v>
      </c>
      <c r="L41" s="460" t="s">
        <v>57</v>
      </c>
      <c r="M41" s="463" t="n">
        <f aca="false">I41-D41</f>
        <v>2076</v>
      </c>
      <c r="N41" s="4"/>
      <c r="O41" s="283" t="n">
        <v>2010</v>
      </c>
      <c r="P41" s="283" t="n">
        <f aca="false">COUNTIF($C$2:$C$503,"2010")</f>
        <v>1</v>
      </c>
      <c r="Q41" s="283"/>
      <c r="R41" s="283"/>
      <c r="S41" s="315" t="n">
        <f aca="false">P41/P42</f>
        <v>0.00961538461538462</v>
      </c>
    </row>
    <row r="42" customFormat="false" ht="12.75" hidden="false" customHeight="true" outlineLevel="0" collapsed="false">
      <c r="A42" s="449" t="n">
        <v>4110</v>
      </c>
      <c r="B42" s="450" t="s">
        <v>17900</v>
      </c>
      <c r="C42" s="450" t="n">
        <v>2009</v>
      </c>
      <c r="D42" s="451" t="n">
        <v>39846</v>
      </c>
      <c r="E42" s="450" t="s">
        <v>17901</v>
      </c>
      <c r="F42" s="450" t="s">
        <v>1609</v>
      </c>
      <c r="G42" s="450" t="s">
        <v>441</v>
      </c>
      <c r="H42" s="450" t="s">
        <v>4431</v>
      </c>
      <c r="I42" s="451" t="n">
        <v>40365</v>
      </c>
      <c r="J42" s="452" t="n">
        <v>7</v>
      </c>
      <c r="K42" s="634" t="s">
        <v>45</v>
      </c>
      <c r="L42" s="452" t="s">
        <v>57</v>
      </c>
      <c r="M42" s="455" t="n">
        <f aca="false">I42-D42</f>
        <v>519</v>
      </c>
      <c r="N42" s="4"/>
      <c r="O42" s="323" t="s">
        <v>56</v>
      </c>
      <c r="P42" s="418" t="n">
        <f aca="false">SUM(P29:R41)</f>
        <v>104</v>
      </c>
      <c r="Q42" s="418"/>
      <c r="R42" s="418"/>
      <c r="S42" s="325" t="n">
        <f aca="false">SUM(S29:S41)</f>
        <v>1</v>
      </c>
    </row>
    <row r="43" customFormat="false" ht="12.75" hidden="false" customHeight="true" outlineLevel="0" collapsed="false">
      <c r="A43" s="456" t="n">
        <v>4210</v>
      </c>
      <c r="B43" s="458" t="s">
        <v>17902</v>
      </c>
      <c r="C43" s="458" t="n">
        <v>2006</v>
      </c>
      <c r="D43" s="459" t="n">
        <v>38923</v>
      </c>
      <c r="E43" s="458" t="s">
        <v>17903</v>
      </c>
      <c r="F43" s="458" t="s">
        <v>211</v>
      </c>
      <c r="G43" s="458" t="s">
        <v>441</v>
      </c>
      <c r="H43" s="458" t="s">
        <v>15992</v>
      </c>
      <c r="I43" s="459" t="n">
        <v>40368</v>
      </c>
      <c r="J43" s="460" t="n">
        <v>7</v>
      </c>
      <c r="K43" s="631" t="s">
        <v>42</v>
      </c>
      <c r="L43" s="460" t="s">
        <v>58</v>
      </c>
      <c r="M43" s="463" t="n">
        <f aca="false">I43-D43</f>
        <v>1445</v>
      </c>
      <c r="N43" s="4"/>
      <c r="O43" s="153"/>
      <c r="P43" s="153"/>
      <c r="Q43" s="153"/>
      <c r="R43" s="153"/>
      <c r="S43" s="153"/>
    </row>
    <row r="44" customFormat="false" ht="13.5" hidden="false" customHeight="true" outlineLevel="0" collapsed="false">
      <c r="A44" s="449" t="n">
        <v>4310</v>
      </c>
      <c r="B44" s="450" t="s">
        <v>17904</v>
      </c>
      <c r="C44" s="450" t="n">
        <v>2008</v>
      </c>
      <c r="D44" s="451" t="n">
        <v>39799</v>
      </c>
      <c r="E44" s="450" t="s">
        <v>17905</v>
      </c>
      <c r="F44" s="450" t="s">
        <v>17817</v>
      </c>
      <c r="G44" s="450" t="s">
        <v>1174</v>
      </c>
      <c r="H44" s="450" t="s">
        <v>3056</v>
      </c>
      <c r="I44" s="451" t="n">
        <v>40378</v>
      </c>
      <c r="J44" s="452" t="n">
        <v>7</v>
      </c>
      <c r="K44" s="633" t="s">
        <v>47</v>
      </c>
      <c r="L44" s="452" t="s">
        <v>60</v>
      </c>
      <c r="M44" s="455" t="n">
        <f aca="false">I44-D44</f>
        <v>579</v>
      </c>
      <c r="N44" s="4"/>
      <c r="O44" s="326" t="s">
        <v>272</v>
      </c>
      <c r="P44" s="326"/>
      <c r="Q44" s="326"/>
      <c r="R44" s="326"/>
      <c r="S44" s="326"/>
    </row>
    <row r="45" customFormat="false" ht="13.5" hidden="false" customHeight="true" outlineLevel="0" collapsed="false">
      <c r="A45" s="456" t="n">
        <v>4410</v>
      </c>
      <c r="B45" s="458" t="s">
        <v>17906</v>
      </c>
      <c r="C45" s="458" t="n">
        <v>2009</v>
      </c>
      <c r="D45" s="459" t="n">
        <v>39875</v>
      </c>
      <c r="E45" s="458" t="s">
        <v>17907</v>
      </c>
      <c r="F45" s="458" t="s">
        <v>1609</v>
      </c>
      <c r="G45" s="458" t="s">
        <v>441</v>
      </c>
      <c r="H45" s="458" t="s">
        <v>4431</v>
      </c>
      <c r="I45" s="459" t="n">
        <v>40378</v>
      </c>
      <c r="J45" s="460" t="n">
        <v>7</v>
      </c>
      <c r="K45" s="634" t="s">
        <v>45</v>
      </c>
      <c r="L45" s="460" t="s">
        <v>58</v>
      </c>
      <c r="M45" s="463" t="n">
        <f aca="false">I45-D45</f>
        <v>503</v>
      </c>
      <c r="N45" s="4"/>
      <c r="O45" s="326"/>
      <c r="P45" s="326"/>
      <c r="Q45" s="326"/>
      <c r="R45" s="326"/>
      <c r="S45" s="326"/>
    </row>
    <row r="46" customFormat="false" ht="12.75" hidden="false" customHeight="true" outlineLevel="0" collapsed="false">
      <c r="A46" s="449" t="n">
        <v>4510</v>
      </c>
      <c r="B46" s="450" t="s">
        <v>17908</v>
      </c>
      <c r="C46" s="450" t="n">
        <v>2008</v>
      </c>
      <c r="D46" s="451" t="n">
        <v>39640</v>
      </c>
      <c r="E46" s="450" t="s">
        <v>17909</v>
      </c>
      <c r="F46" s="450" t="s">
        <v>3260</v>
      </c>
      <c r="G46" s="450" t="s">
        <v>1174</v>
      </c>
      <c r="H46" s="450" t="s">
        <v>17875</v>
      </c>
      <c r="I46" s="451" t="n">
        <v>40380</v>
      </c>
      <c r="J46" s="452" t="n">
        <v>7</v>
      </c>
      <c r="K46" s="631" t="s">
        <v>42</v>
      </c>
      <c r="L46" s="452" t="s">
        <v>60</v>
      </c>
      <c r="M46" s="455" t="n">
        <f aca="false">I46-D46</f>
        <v>740</v>
      </c>
      <c r="N46" s="4"/>
      <c r="O46" s="309" t="s">
        <v>100</v>
      </c>
      <c r="P46" s="416" t="s">
        <v>40</v>
      </c>
      <c r="Q46" s="416"/>
      <c r="R46" s="416"/>
      <c r="S46" s="313" t="s">
        <v>41</v>
      </c>
    </row>
    <row r="47" customFormat="false" ht="12.75" hidden="false" customHeight="true" outlineLevel="0" collapsed="false">
      <c r="A47" s="456" t="n">
        <v>4610</v>
      </c>
      <c r="B47" s="458" t="s">
        <v>17910</v>
      </c>
      <c r="C47" s="458" t="n">
        <v>2008</v>
      </c>
      <c r="D47" s="459" t="n">
        <v>39813</v>
      </c>
      <c r="E47" s="458" t="s">
        <v>17911</v>
      </c>
      <c r="F47" s="458" t="s">
        <v>17817</v>
      </c>
      <c r="G47" s="458" t="s">
        <v>1174</v>
      </c>
      <c r="H47" s="458" t="s">
        <v>2176</v>
      </c>
      <c r="I47" s="459" t="n">
        <v>40382</v>
      </c>
      <c r="J47" s="460" t="n">
        <v>7</v>
      </c>
      <c r="K47" s="633" t="s">
        <v>47</v>
      </c>
      <c r="L47" s="460" t="s">
        <v>60</v>
      </c>
      <c r="M47" s="463" t="n">
        <f aca="false">I47-D47</f>
        <v>569</v>
      </c>
      <c r="N47" s="4"/>
      <c r="O47" s="314" t="s">
        <v>63</v>
      </c>
      <c r="P47" s="314" t="n">
        <f aca="false">COUNTIF($J$2:$J$476,"1")</f>
        <v>7</v>
      </c>
      <c r="Q47" s="314"/>
      <c r="R47" s="314"/>
      <c r="S47" s="469" t="n">
        <f aca="false">(P47/P59)</f>
        <v>0.0673076923076923</v>
      </c>
    </row>
    <row r="48" customFormat="false" ht="12.75" hidden="false" customHeight="true" outlineLevel="0" collapsed="false">
      <c r="A48" s="449" t="n">
        <v>4710</v>
      </c>
      <c r="B48" s="450" t="s">
        <v>17912</v>
      </c>
      <c r="C48" s="450" t="n">
        <v>2008</v>
      </c>
      <c r="D48" s="451" t="n">
        <v>39667</v>
      </c>
      <c r="E48" s="450" t="s">
        <v>17913</v>
      </c>
      <c r="F48" s="450" t="s">
        <v>1609</v>
      </c>
      <c r="G48" s="450" t="s">
        <v>1174</v>
      </c>
      <c r="H48" s="450" t="s">
        <v>2296</v>
      </c>
      <c r="I48" s="451" t="n">
        <v>40385</v>
      </c>
      <c r="J48" s="452" t="n">
        <v>7</v>
      </c>
      <c r="K48" s="631" t="s">
        <v>42</v>
      </c>
      <c r="L48" s="452" t="s">
        <v>57</v>
      </c>
      <c r="M48" s="455" t="n">
        <f aca="false">I48-D48</f>
        <v>718</v>
      </c>
      <c r="N48" s="4"/>
      <c r="O48" s="282" t="s">
        <v>64</v>
      </c>
      <c r="P48" s="282" t="n">
        <f aca="false">COUNTIF($J$2:$J$476,"2")</f>
        <v>3</v>
      </c>
      <c r="Q48" s="282"/>
      <c r="R48" s="282"/>
      <c r="S48" s="316" t="n">
        <f aca="false">(P48/P59)</f>
        <v>0.0288461538461538</v>
      </c>
    </row>
    <row r="49" customFormat="false" ht="12.75" hidden="false" customHeight="true" outlineLevel="0" collapsed="false">
      <c r="A49" s="456" t="n">
        <v>4810</v>
      </c>
      <c r="B49" s="458" t="s">
        <v>17914</v>
      </c>
      <c r="C49" s="458" t="n">
        <v>2007</v>
      </c>
      <c r="D49" s="459" t="n">
        <v>39427</v>
      </c>
      <c r="E49" s="458" t="s">
        <v>17915</v>
      </c>
      <c r="F49" s="458" t="s">
        <v>17916</v>
      </c>
      <c r="G49" s="458" t="s">
        <v>144</v>
      </c>
      <c r="H49" s="458" t="s">
        <v>5888</v>
      </c>
      <c r="I49" s="459" t="n">
        <v>40392</v>
      </c>
      <c r="J49" s="460" t="n">
        <v>8</v>
      </c>
      <c r="K49" s="631" t="s">
        <v>42</v>
      </c>
      <c r="L49" s="460" t="s">
        <v>58</v>
      </c>
      <c r="M49" s="463" t="n">
        <f aca="false">I49-D49</f>
        <v>965</v>
      </c>
      <c r="N49" s="4"/>
      <c r="O49" s="283" t="s">
        <v>66</v>
      </c>
      <c r="P49" s="283" t="n">
        <f aca="false">COUNTIF($J$2:$J$476,"3")</f>
        <v>5</v>
      </c>
      <c r="Q49" s="283"/>
      <c r="R49" s="283"/>
      <c r="S49" s="315" t="n">
        <f aca="false">(P49/P59)</f>
        <v>0.0480769230769231</v>
      </c>
      <c r="T49" s="153"/>
    </row>
    <row r="50" customFormat="false" ht="12.75" hidden="false" customHeight="true" outlineLevel="0" collapsed="false">
      <c r="A50" s="449" t="n">
        <v>4910</v>
      </c>
      <c r="B50" s="450" t="s">
        <v>17917</v>
      </c>
      <c r="C50" s="450" t="n">
        <v>1996</v>
      </c>
      <c r="D50" s="451" t="n">
        <v>35230</v>
      </c>
      <c r="E50" s="450" t="s">
        <v>17918</v>
      </c>
      <c r="F50" s="450" t="s">
        <v>17919</v>
      </c>
      <c r="G50" s="450" t="s">
        <v>144</v>
      </c>
      <c r="H50" s="450" t="s">
        <v>9189</v>
      </c>
      <c r="I50" s="451" t="n">
        <v>40393</v>
      </c>
      <c r="J50" s="452" t="n">
        <v>8</v>
      </c>
      <c r="K50" s="632" t="s">
        <v>50</v>
      </c>
      <c r="L50" s="452" t="s">
        <v>60</v>
      </c>
      <c r="M50" s="455" t="n">
        <f aca="false">I50-D50</f>
        <v>5163</v>
      </c>
      <c r="N50" s="4"/>
      <c r="O50" s="282" t="s">
        <v>67</v>
      </c>
      <c r="P50" s="282" t="n">
        <f aca="false">COUNTIF($J$2:$J$476,"4")</f>
        <v>7</v>
      </c>
      <c r="Q50" s="282"/>
      <c r="R50" s="282"/>
      <c r="S50" s="316" t="n">
        <f aca="false">(P50/P59)</f>
        <v>0.0673076923076923</v>
      </c>
      <c r="T50" s="153"/>
    </row>
    <row r="51" customFormat="false" ht="12.75" hidden="false" customHeight="true" outlineLevel="0" collapsed="false">
      <c r="A51" s="456" t="n">
        <v>5010</v>
      </c>
      <c r="B51" s="458" t="s">
        <v>17920</v>
      </c>
      <c r="C51" s="458" t="n">
        <v>2006</v>
      </c>
      <c r="D51" s="459" t="n">
        <v>39001</v>
      </c>
      <c r="E51" s="458" t="s">
        <v>17921</v>
      </c>
      <c r="F51" s="458" t="s">
        <v>12386</v>
      </c>
      <c r="G51" s="458" t="s">
        <v>144</v>
      </c>
      <c r="H51" s="458" t="s">
        <v>9189</v>
      </c>
      <c r="I51" s="459" t="n">
        <v>40393</v>
      </c>
      <c r="J51" s="460" t="n">
        <v>8</v>
      </c>
      <c r="K51" s="633" t="s">
        <v>47</v>
      </c>
      <c r="L51" s="460" t="s">
        <v>60</v>
      </c>
      <c r="M51" s="463" t="n">
        <f aca="false">I51-D51</f>
        <v>1392</v>
      </c>
      <c r="N51" s="4"/>
      <c r="O51" s="283" t="s">
        <v>68</v>
      </c>
      <c r="P51" s="283" t="n">
        <f aca="false">COUNTIF($J$2:$J$476,"5")</f>
        <v>4</v>
      </c>
      <c r="Q51" s="283"/>
      <c r="R51" s="283"/>
      <c r="S51" s="315" t="n">
        <f aca="false">(P51/P59)</f>
        <v>0.0384615384615385</v>
      </c>
      <c r="T51" s="153"/>
    </row>
    <row r="52" customFormat="false" ht="13.5" hidden="false" customHeight="true" outlineLevel="0" collapsed="false">
      <c r="A52" s="449" t="n">
        <v>5110</v>
      </c>
      <c r="B52" s="450" t="s">
        <v>17922</v>
      </c>
      <c r="C52" s="450" t="n">
        <v>2006</v>
      </c>
      <c r="D52" s="451" t="n">
        <v>39080</v>
      </c>
      <c r="E52" s="450" t="s">
        <v>17923</v>
      </c>
      <c r="F52" s="450" t="s">
        <v>17924</v>
      </c>
      <c r="G52" s="450" t="s">
        <v>144</v>
      </c>
      <c r="H52" s="450" t="s">
        <v>453</v>
      </c>
      <c r="I52" s="451" t="n">
        <v>40393</v>
      </c>
      <c r="J52" s="452" t="n">
        <v>8</v>
      </c>
      <c r="K52" s="633" t="s">
        <v>47</v>
      </c>
      <c r="L52" s="452" t="s">
        <v>57</v>
      </c>
      <c r="M52" s="455" t="n">
        <f aca="false">I52-D52</f>
        <v>1313</v>
      </c>
      <c r="N52" s="4"/>
      <c r="O52" s="282" t="s">
        <v>70</v>
      </c>
      <c r="P52" s="282" t="n">
        <f aca="false">COUNTIF($J$2:$J$476,"6")</f>
        <v>13</v>
      </c>
      <c r="Q52" s="282"/>
      <c r="R52" s="282"/>
      <c r="S52" s="316" t="n">
        <f aca="false">(P52/P59)</f>
        <v>0.125</v>
      </c>
      <c r="T52" s="153"/>
    </row>
    <row r="53" customFormat="false" ht="13.5" hidden="false" customHeight="true" outlineLevel="0" collapsed="false">
      <c r="A53" s="456" t="n">
        <v>5210</v>
      </c>
      <c r="B53" s="458" t="s">
        <v>17925</v>
      </c>
      <c r="C53" s="458" t="n">
        <v>2006</v>
      </c>
      <c r="D53" s="459" t="n">
        <v>38989</v>
      </c>
      <c r="E53" s="458" t="s">
        <v>17926</v>
      </c>
      <c r="F53" s="458" t="s">
        <v>17924</v>
      </c>
      <c r="G53" s="458" t="s">
        <v>144</v>
      </c>
      <c r="H53" s="458" t="s">
        <v>453</v>
      </c>
      <c r="I53" s="459" t="n">
        <v>40393</v>
      </c>
      <c r="J53" s="460" t="n">
        <v>8</v>
      </c>
      <c r="K53" s="633" t="s">
        <v>47</v>
      </c>
      <c r="L53" s="460" t="s">
        <v>57</v>
      </c>
      <c r="M53" s="463" t="n">
        <f aca="false">I53-D53</f>
        <v>1404</v>
      </c>
      <c r="N53" s="4"/>
      <c r="O53" s="283" t="s">
        <v>72</v>
      </c>
      <c r="P53" s="283" t="n">
        <f aca="false">COUNTIF($J$2:$J$476,"7")</f>
        <v>8</v>
      </c>
      <c r="Q53" s="283"/>
      <c r="R53" s="283"/>
      <c r="S53" s="315" t="n">
        <f aca="false">(P53/P59)</f>
        <v>0.0769230769230769</v>
      </c>
      <c r="T53" s="153"/>
    </row>
    <row r="54" customFormat="false" ht="12.75" hidden="false" customHeight="true" outlineLevel="0" collapsed="false">
      <c r="A54" s="449" t="n">
        <v>5310</v>
      </c>
      <c r="B54" s="450" t="s">
        <v>17927</v>
      </c>
      <c r="C54" s="450" t="n">
        <v>2006</v>
      </c>
      <c r="D54" s="451" t="n">
        <v>38898</v>
      </c>
      <c r="E54" s="450" t="s">
        <v>17928</v>
      </c>
      <c r="F54" s="450" t="s">
        <v>17929</v>
      </c>
      <c r="G54" s="450" t="s">
        <v>1474</v>
      </c>
      <c r="H54" s="450" t="s">
        <v>413</v>
      </c>
      <c r="I54" s="451" t="n">
        <v>40402</v>
      </c>
      <c r="J54" s="452" t="n">
        <v>8</v>
      </c>
      <c r="K54" s="634" t="s">
        <v>45</v>
      </c>
      <c r="L54" s="452" t="s">
        <v>60</v>
      </c>
      <c r="M54" s="455" t="n">
        <f aca="false">I54-D54</f>
        <v>1504</v>
      </c>
      <c r="N54" s="4"/>
      <c r="O54" s="282" t="s">
        <v>74</v>
      </c>
      <c r="P54" s="282" t="n">
        <f aca="false">COUNTIF($J$2:$J$476,"8")</f>
        <v>14</v>
      </c>
      <c r="Q54" s="282"/>
      <c r="R54" s="282"/>
      <c r="S54" s="316" t="n">
        <f aca="false">(P54/P59)</f>
        <v>0.134615384615385</v>
      </c>
      <c r="T54" s="153"/>
    </row>
    <row r="55" customFormat="false" ht="12.75" hidden="false" customHeight="true" outlineLevel="0" collapsed="false">
      <c r="A55" s="456" t="n">
        <v>5410</v>
      </c>
      <c r="B55" s="458" t="s">
        <v>17930</v>
      </c>
      <c r="C55" s="458" t="n">
        <v>2008</v>
      </c>
      <c r="D55" s="459" t="n">
        <v>39758</v>
      </c>
      <c r="E55" s="458" t="s">
        <v>17931</v>
      </c>
      <c r="F55" s="458" t="s">
        <v>10629</v>
      </c>
      <c r="G55" s="458" t="s">
        <v>1174</v>
      </c>
      <c r="H55" s="458" t="s">
        <v>8003</v>
      </c>
      <c r="I55" s="459" t="n">
        <v>40414</v>
      </c>
      <c r="J55" s="460" t="n">
        <v>8</v>
      </c>
      <c r="K55" s="631" t="s">
        <v>42</v>
      </c>
      <c r="L55" s="460" t="s">
        <v>58</v>
      </c>
      <c r="M55" s="463" t="n">
        <f aca="false">I55-D55</f>
        <v>656</v>
      </c>
      <c r="N55" s="4"/>
      <c r="O55" s="283" t="s">
        <v>76</v>
      </c>
      <c r="P55" s="283" t="n">
        <f aca="false">COUNTIF($J$2:$J$476,"9")</f>
        <v>13</v>
      </c>
      <c r="Q55" s="283"/>
      <c r="R55" s="283"/>
      <c r="S55" s="315" t="n">
        <f aca="false">(P55/P59)</f>
        <v>0.125</v>
      </c>
      <c r="T55" s="153"/>
    </row>
    <row r="56" customFormat="false" ht="12.75" hidden="false" customHeight="true" outlineLevel="0" collapsed="false">
      <c r="A56" s="449" t="n">
        <v>5510</v>
      </c>
      <c r="B56" s="450" t="s">
        <v>17932</v>
      </c>
      <c r="C56" s="450" t="n">
        <v>2007</v>
      </c>
      <c r="D56" s="451" t="n">
        <v>39307</v>
      </c>
      <c r="E56" s="450" t="s">
        <v>17933</v>
      </c>
      <c r="F56" s="450" t="s">
        <v>17934</v>
      </c>
      <c r="G56" s="450" t="s">
        <v>1174</v>
      </c>
      <c r="H56" s="450" t="s">
        <v>8003</v>
      </c>
      <c r="I56" s="451" t="n">
        <v>40417</v>
      </c>
      <c r="J56" s="452" t="n">
        <v>8</v>
      </c>
      <c r="K56" s="633" t="s">
        <v>47</v>
      </c>
      <c r="L56" s="452" t="s">
        <v>60</v>
      </c>
      <c r="M56" s="455" t="n">
        <f aca="false">I56-D56</f>
        <v>1110</v>
      </c>
      <c r="N56" s="4"/>
      <c r="O56" s="282" t="s">
        <v>78</v>
      </c>
      <c r="P56" s="282" t="n">
        <f aca="false">COUNTIF($J$2:$J$476,"10")</f>
        <v>8</v>
      </c>
      <c r="Q56" s="282"/>
      <c r="R56" s="282"/>
      <c r="S56" s="316" t="n">
        <f aca="false">(P56/P59)</f>
        <v>0.0769230769230769</v>
      </c>
      <c r="T56" s="153"/>
    </row>
    <row r="57" customFormat="false" ht="12.75" hidden="false" customHeight="true" outlineLevel="0" collapsed="false">
      <c r="A57" s="456" t="n">
        <v>5610</v>
      </c>
      <c r="B57" s="458" t="s">
        <v>17935</v>
      </c>
      <c r="C57" s="458" t="n">
        <v>2007</v>
      </c>
      <c r="D57" s="459" t="n">
        <v>39428</v>
      </c>
      <c r="E57" s="458" t="s">
        <v>17936</v>
      </c>
      <c r="F57" s="458" t="s">
        <v>446</v>
      </c>
      <c r="G57" s="458" t="s">
        <v>441</v>
      </c>
      <c r="H57" s="458" t="s">
        <v>17878</v>
      </c>
      <c r="I57" s="459" t="n">
        <v>40417</v>
      </c>
      <c r="J57" s="460" t="n">
        <v>8</v>
      </c>
      <c r="K57" s="634" t="s">
        <v>45</v>
      </c>
      <c r="L57" s="460" t="s">
        <v>60</v>
      </c>
      <c r="M57" s="463" t="n">
        <f aca="false">I57-D57</f>
        <v>989</v>
      </c>
      <c r="N57" s="4"/>
      <c r="O57" s="283" t="s">
        <v>80</v>
      </c>
      <c r="P57" s="283" t="n">
        <f aca="false">COUNTIF($J$2:$J$476,"11")</f>
        <v>11</v>
      </c>
      <c r="Q57" s="283"/>
      <c r="R57" s="283"/>
      <c r="S57" s="315" t="n">
        <f aca="false">(P57/P59)</f>
        <v>0.105769230769231</v>
      </c>
      <c r="T57" s="153"/>
    </row>
    <row r="58" customFormat="false" ht="12.75" hidden="false" customHeight="true" outlineLevel="0" collapsed="false">
      <c r="A58" s="449" t="n">
        <v>5710</v>
      </c>
      <c r="B58" s="450" t="s">
        <v>17937</v>
      </c>
      <c r="C58" s="450" t="n">
        <v>2006</v>
      </c>
      <c r="D58" s="451" t="n">
        <v>39021</v>
      </c>
      <c r="E58" s="450" t="s">
        <v>17938</v>
      </c>
      <c r="F58" s="450" t="s">
        <v>17939</v>
      </c>
      <c r="G58" s="450" t="s">
        <v>144</v>
      </c>
      <c r="H58" s="450" t="s">
        <v>9189</v>
      </c>
      <c r="I58" s="451" t="n">
        <v>40417</v>
      </c>
      <c r="J58" s="452" t="n">
        <v>8</v>
      </c>
      <c r="K58" s="633" t="s">
        <v>47</v>
      </c>
      <c r="L58" s="452" t="s">
        <v>60</v>
      </c>
      <c r="M58" s="455" t="n">
        <f aca="false">I58-D58</f>
        <v>1396</v>
      </c>
      <c r="N58" s="4"/>
      <c r="O58" s="336" t="s">
        <v>82</v>
      </c>
      <c r="P58" s="282" t="n">
        <f aca="false">COUNTIF($J$2:$J$476,"12")</f>
        <v>11</v>
      </c>
      <c r="Q58" s="282"/>
      <c r="R58" s="282"/>
      <c r="S58" s="470" t="n">
        <f aca="false">(P58/P59)</f>
        <v>0.105769230769231</v>
      </c>
      <c r="T58" s="153"/>
    </row>
    <row r="59" customFormat="false" ht="12.75" hidden="false" customHeight="true" outlineLevel="0" collapsed="false">
      <c r="A59" s="456" t="n">
        <v>5810</v>
      </c>
      <c r="B59" s="458" t="s">
        <v>17940</v>
      </c>
      <c r="C59" s="458" t="n">
        <v>2007</v>
      </c>
      <c r="D59" s="459" t="n">
        <v>39405</v>
      </c>
      <c r="E59" s="458" t="s">
        <v>17941</v>
      </c>
      <c r="F59" s="458" t="s">
        <v>990</v>
      </c>
      <c r="G59" s="458" t="s">
        <v>441</v>
      </c>
      <c r="H59" s="458" t="s">
        <v>6570</v>
      </c>
      <c r="I59" s="459" t="n">
        <v>40421</v>
      </c>
      <c r="J59" s="460" t="n">
        <v>8</v>
      </c>
      <c r="K59" s="631" t="s">
        <v>42</v>
      </c>
      <c r="L59" s="460" t="s">
        <v>60</v>
      </c>
      <c r="M59" s="463" t="n">
        <f aca="false">I59-D59</f>
        <v>1016</v>
      </c>
      <c r="N59" s="4"/>
      <c r="O59" s="323" t="s">
        <v>54</v>
      </c>
      <c r="P59" s="418" t="n">
        <f aca="false">SUM(P47:R58)</f>
        <v>104</v>
      </c>
      <c r="Q59" s="418"/>
      <c r="R59" s="418"/>
      <c r="S59" s="325" t="n">
        <f aca="false">SUM(S47:S58)</f>
        <v>1</v>
      </c>
      <c r="T59" s="153"/>
    </row>
    <row r="60" customFormat="false" ht="12.75" hidden="false" customHeight="true" outlineLevel="0" collapsed="false">
      <c r="A60" s="449" t="n">
        <v>5910</v>
      </c>
      <c r="B60" s="450" t="s">
        <v>17942</v>
      </c>
      <c r="C60" s="450" t="n">
        <v>2009</v>
      </c>
      <c r="D60" s="451" t="n">
        <v>39891</v>
      </c>
      <c r="E60" s="450" t="s">
        <v>17943</v>
      </c>
      <c r="F60" s="450" t="s">
        <v>10629</v>
      </c>
      <c r="G60" s="450" t="s">
        <v>1174</v>
      </c>
      <c r="H60" s="450" t="s">
        <v>2176</v>
      </c>
      <c r="I60" s="451" t="n">
        <v>40421</v>
      </c>
      <c r="J60" s="452" t="n">
        <v>8</v>
      </c>
      <c r="K60" s="631" t="s">
        <v>42</v>
      </c>
      <c r="L60" s="452" t="s">
        <v>58</v>
      </c>
      <c r="M60" s="455" t="n">
        <f aca="false">I60-D60</f>
        <v>530</v>
      </c>
      <c r="N60" s="4"/>
      <c r="O60" s="153"/>
      <c r="P60" s="153"/>
      <c r="Q60" s="153"/>
      <c r="R60" s="153"/>
      <c r="S60" s="153"/>
      <c r="T60" s="153"/>
    </row>
    <row r="61" customFormat="false" ht="13.5" hidden="false" customHeight="true" outlineLevel="0" collapsed="false">
      <c r="A61" s="456" t="n">
        <v>6010</v>
      </c>
      <c r="B61" s="458" t="s">
        <v>17944</v>
      </c>
      <c r="C61" s="458" t="n">
        <v>2005</v>
      </c>
      <c r="D61" s="459" t="n">
        <v>38700</v>
      </c>
      <c r="E61" s="458" t="s">
        <v>17945</v>
      </c>
      <c r="F61" s="458" t="s">
        <v>17946</v>
      </c>
      <c r="G61" s="458" t="s">
        <v>144</v>
      </c>
      <c r="H61" s="458" t="s">
        <v>17797</v>
      </c>
      <c r="I61" s="459" t="n">
        <v>40421</v>
      </c>
      <c r="J61" s="460" t="n">
        <v>8</v>
      </c>
      <c r="K61" s="633" t="s">
        <v>47</v>
      </c>
      <c r="L61" s="460" t="s">
        <v>58</v>
      </c>
      <c r="M61" s="463" t="n">
        <f aca="false">I61-D61</f>
        <v>1721</v>
      </c>
      <c r="N61" s="4"/>
      <c r="O61" s="339" t="s">
        <v>335</v>
      </c>
      <c r="P61" s="339"/>
      <c r="Q61" s="339"/>
      <c r="R61" s="339"/>
      <c r="S61" s="339"/>
      <c r="T61" s="339"/>
    </row>
    <row r="62" customFormat="false" ht="12.75" hidden="false" customHeight="true" outlineLevel="0" collapsed="false">
      <c r="A62" s="449" t="n">
        <v>6110</v>
      </c>
      <c r="B62" s="450" t="s">
        <v>17947</v>
      </c>
      <c r="C62" s="450" t="n">
        <v>2008</v>
      </c>
      <c r="D62" s="451" t="n">
        <v>39771</v>
      </c>
      <c r="E62" s="450" t="s">
        <v>17948</v>
      </c>
      <c r="F62" s="450" t="s">
        <v>1200</v>
      </c>
      <c r="G62" s="450" t="s">
        <v>441</v>
      </c>
      <c r="H62" s="450" t="s">
        <v>13006</v>
      </c>
      <c r="I62" s="451" t="n">
        <v>40421</v>
      </c>
      <c r="J62" s="452" t="n">
        <v>8</v>
      </c>
      <c r="K62" s="631" t="s">
        <v>42</v>
      </c>
      <c r="L62" s="452" t="s">
        <v>58</v>
      </c>
      <c r="M62" s="455" t="n">
        <f aca="false">I62-D62</f>
        <v>650</v>
      </c>
      <c r="N62" s="4"/>
      <c r="O62" s="339"/>
      <c r="P62" s="339"/>
      <c r="Q62" s="339"/>
      <c r="R62" s="339"/>
      <c r="S62" s="339"/>
      <c r="T62" s="339"/>
    </row>
    <row r="63" customFormat="false" ht="12.75" hidden="false" customHeight="true" outlineLevel="0" collapsed="false">
      <c r="A63" s="456" t="n">
        <v>6210</v>
      </c>
      <c r="B63" s="458" t="s">
        <v>17949</v>
      </c>
      <c r="C63" s="458" t="n">
        <v>2008</v>
      </c>
      <c r="D63" s="459" t="n">
        <v>39475</v>
      </c>
      <c r="E63" s="458" t="s">
        <v>17950</v>
      </c>
      <c r="F63" s="458" t="s">
        <v>17951</v>
      </c>
      <c r="G63" s="458" t="s">
        <v>144</v>
      </c>
      <c r="H63" s="458" t="s">
        <v>17854</v>
      </c>
      <c r="I63" s="459" t="n">
        <v>40423</v>
      </c>
      <c r="J63" s="460" t="n">
        <v>9</v>
      </c>
      <c r="K63" s="633" t="s">
        <v>47</v>
      </c>
      <c r="L63" s="460" t="s">
        <v>60</v>
      </c>
      <c r="M63" s="463" t="n">
        <f aca="false">I63-D63</f>
        <v>948</v>
      </c>
      <c r="N63" s="4"/>
      <c r="O63" s="340" t="s">
        <v>38</v>
      </c>
      <c r="P63" s="340"/>
      <c r="Q63" s="340"/>
      <c r="R63" s="340"/>
      <c r="S63" s="341" t="s">
        <v>343</v>
      </c>
      <c r="T63" s="342" t="s">
        <v>41</v>
      </c>
    </row>
    <row r="64" customFormat="false" ht="12.75" hidden="false" customHeight="true" outlineLevel="0" collapsed="false">
      <c r="A64" s="449" t="n">
        <v>6310</v>
      </c>
      <c r="B64" s="450" t="s">
        <v>17952</v>
      </c>
      <c r="C64" s="450" t="n">
        <v>2008</v>
      </c>
      <c r="D64" s="451" t="n">
        <v>39475</v>
      </c>
      <c r="E64" s="450" t="s">
        <v>17953</v>
      </c>
      <c r="F64" s="450" t="s">
        <v>17951</v>
      </c>
      <c r="G64" s="450" t="s">
        <v>144</v>
      </c>
      <c r="H64" s="450" t="s">
        <v>17854</v>
      </c>
      <c r="I64" s="451" t="n">
        <v>40423</v>
      </c>
      <c r="J64" s="452" t="n">
        <v>9</v>
      </c>
      <c r="K64" s="633" t="s">
        <v>47</v>
      </c>
      <c r="L64" s="452" t="s">
        <v>60</v>
      </c>
      <c r="M64" s="455" t="n">
        <f aca="false">I64-D64</f>
        <v>948</v>
      </c>
      <c r="N64" s="4"/>
      <c r="O64" s="471" t="s">
        <v>42</v>
      </c>
      <c r="P64" s="471"/>
      <c r="Q64" s="471"/>
      <c r="R64" s="471"/>
      <c r="S64" s="471" t="n">
        <f aca="false">COUNTIF($K$2:$K$476,"I - Extremamente tóxico")</f>
        <v>46</v>
      </c>
      <c r="T64" s="472" t="n">
        <f aca="false">(S64/S76)</f>
        <v>0.442307692307692</v>
      </c>
    </row>
    <row r="65" customFormat="false" ht="12.75" hidden="false" customHeight="true" outlineLevel="0" collapsed="false">
      <c r="A65" s="456" t="n">
        <v>6410</v>
      </c>
      <c r="B65" s="458" t="s">
        <v>17954</v>
      </c>
      <c r="C65" s="458" t="n">
        <v>2008</v>
      </c>
      <c r="D65" s="459" t="n">
        <v>39750</v>
      </c>
      <c r="E65" s="458" t="s">
        <v>17955</v>
      </c>
      <c r="F65" s="458" t="s">
        <v>365</v>
      </c>
      <c r="G65" s="458" t="s">
        <v>441</v>
      </c>
      <c r="H65" s="458" t="s">
        <v>17956</v>
      </c>
      <c r="I65" s="459" t="n">
        <v>40423</v>
      </c>
      <c r="J65" s="460" t="n">
        <v>9</v>
      </c>
      <c r="K65" s="633" t="s">
        <v>47</v>
      </c>
      <c r="L65" s="460" t="s">
        <v>60</v>
      </c>
      <c r="M65" s="463" t="n">
        <f aca="false">I65-D65</f>
        <v>673</v>
      </c>
      <c r="N65" s="4"/>
      <c r="O65" s="345" t="s">
        <v>43</v>
      </c>
      <c r="P65" s="345"/>
      <c r="Q65" s="345"/>
      <c r="R65" s="345"/>
      <c r="S65" s="345" t="n">
        <f aca="false">COUNTIF($K$2:$K$476,"Categoria 1 - Produto Extremamente Tóxico")</f>
        <v>0</v>
      </c>
      <c r="T65" s="473" t="n">
        <f aca="false">(S65/S76)</f>
        <v>0</v>
      </c>
    </row>
    <row r="66" customFormat="false" ht="12.75" hidden="false" customHeight="true" outlineLevel="0" collapsed="false">
      <c r="A66" s="449" t="n">
        <v>6510</v>
      </c>
      <c r="B66" s="450" t="s">
        <v>17957</v>
      </c>
      <c r="C66" s="450" t="n">
        <v>2008</v>
      </c>
      <c r="D66" s="451" t="n">
        <v>39455</v>
      </c>
      <c r="E66" s="450" t="s">
        <v>17958</v>
      </c>
      <c r="F66" s="450" t="s">
        <v>17959</v>
      </c>
      <c r="G66" s="450" t="s">
        <v>144</v>
      </c>
      <c r="H66" s="450" t="s">
        <v>413</v>
      </c>
      <c r="I66" s="451" t="n">
        <v>40434</v>
      </c>
      <c r="J66" s="452" t="n">
        <v>9</v>
      </c>
      <c r="K66" s="631" t="s">
        <v>42</v>
      </c>
      <c r="L66" s="452" t="s">
        <v>58</v>
      </c>
      <c r="M66" s="455" t="n">
        <f aca="false">I66-D66</f>
        <v>979</v>
      </c>
      <c r="N66" s="4"/>
      <c r="O66" s="345" t="s">
        <v>44</v>
      </c>
      <c r="P66" s="345"/>
      <c r="Q66" s="345"/>
      <c r="R66" s="345"/>
      <c r="S66" s="345" t="n">
        <f aca="false">COUNTIF($K$2:$K$476,"Categoria 2 - Produto Altamente Tóxico")</f>
        <v>0</v>
      </c>
      <c r="T66" s="473" t="n">
        <f aca="false">(S66/S76)</f>
        <v>0</v>
      </c>
    </row>
    <row r="67" customFormat="false" ht="12.75" hidden="false" customHeight="true" outlineLevel="0" collapsed="false">
      <c r="A67" s="456" t="n">
        <v>6610</v>
      </c>
      <c r="B67" s="458" t="s">
        <v>17960</v>
      </c>
      <c r="C67" s="458" t="n">
        <v>2006</v>
      </c>
      <c r="D67" s="459" t="n">
        <v>38806</v>
      </c>
      <c r="E67" s="458" t="s">
        <v>17961</v>
      </c>
      <c r="F67" s="458" t="s">
        <v>17962</v>
      </c>
      <c r="G67" s="458" t="s">
        <v>144</v>
      </c>
      <c r="H67" s="458" t="s">
        <v>4900</v>
      </c>
      <c r="I67" s="459" t="n">
        <v>40435</v>
      </c>
      <c r="J67" s="460" t="n">
        <v>9</v>
      </c>
      <c r="K67" s="631" t="s">
        <v>42</v>
      </c>
      <c r="L67" s="460" t="s">
        <v>60</v>
      </c>
      <c r="M67" s="463" t="n">
        <f aca="false">I67-D67</f>
        <v>1629</v>
      </c>
      <c r="N67" s="4"/>
      <c r="O67" s="349" t="s">
        <v>45</v>
      </c>
      <c r="P67" s="349"/>
      <c r="Q67" s="349"/>
      <c r="R67" s="349"/>
      <c r="S67" s="349" t="n">
        <f aca="false">COUNTIF($K$2:$K$476,"II - Altamente tóxico")</f>
        <v>20</v>
      </c>
      <c r="T67" s="474" t="n">
        <f aca="false">(S67/S76)</f>
        <v>0.192307692307692</v>
      </c>
    </row>
    <row r="68" customFormat="false" ht="12.75" hidden="false" customHeight="true" outlineLevel="0" collapsed="false">
      <c r="A68" s="449" t="n">
        <v>6710</v>
      </c>
      <c r="B68" s="450" t="s">
        <v>17963</v>
      </c>
      <c r="C68" s="450" t="n">
        <v>2007</v>
      </c>
      <c r="D68" s="451" t="n">
        <v>39437</v>
      </c>
      <c r="E68" s="450" t="s">
        <v>17964</v>
      </c>
      <c r="F68" s="450" t="s">
        <v>17965</v>
      </c>
      <c r="G68" s="450" t="s">
        <v>144</v>
      </c>
      <c r="H68" s="450" t="s">
        <v>453</v>
      </c>
      <c r="I68" s="451" t="n">
        <v>40435</v>
      </c>
      <c r="J68" s="452" t="n">
        <v>9</v>
      </c>
      <c r="K68" s="631" t="s">
        <v>42</v>
      </c>
      <c r="L68" s="452" t="s">
        <v>58</v>
      </c>
      <c r="M68" s="455" t="n">
        <f aca="false">I68-D68</f>
        <v>998</v>
      </c>
      <c r="N68" s="4"/>
      <c r="O68" s="349" t="s">
        <v>46</v>
      </c>
      <c r="P68" s="349"/>
      <c r="Q68" s="349"/>
      <c r="R68" s="349"/>
      <c r="S68" s="349" t="n">
        <f aca="false">COUNTIF($K$2:$K$476,"Categoria 3 - Produto Moderadamente Tóxico")</f>
        <v>0</v>
      </c>
      <c r="T68" s="474" t="n">
        <f aca="false">(S68/S76)</f>
        <v>0</v>
      </c>
    </row>
    <row r="69" customFormat="false" ht="14.25" hidden="false" customHeight="true" outlineLevel="0" collapsed="false">
      <c r="A69" s="456" t="n">
        <v>6810</v>
      </c>
      <c r="B69" s="458" t="s">
        <v>17966</v>
      </c>
      <c r="C69" s="458" t="n">
        <v>2008</v>
      </c>
      <c r="D69" s="459" t="n">
        <v>39470</v>
      </c>
      <c r="E69" s="458" t="s">
        <v>17967</v>
      </c>
      <c r="F69" s="458" t="s">
        <v>6303</v>
      </c>
      <c r="G69" s="458" t="s">
        <v>125</v>
      </c>
      <c r="H69" s="458" t="s">
        <v>17678</v>
      </c>
      <c r="I69" s="459" t="n">
        <v>40435</v>
      </c>
      <c r="J69" s="460" t="n">
        <v>9</v>
      </c>
      <c r="K69" s="632" t="s">
        <v>50</v>
      </c>
      <c r="L69" s="460" t="s">
        <v>61</v>
      </c>
      <c r="M69" s="463" t="n">
        <f aca="false">I69-D69</f>
        <v>965</v>
      </c>
      <c r="N69" s="4"/>
      <c r="O69" s="351" t="s">
        <v>47</v>
      </c>
      <c r="P69" s="351"/>
      <c r="Q69" s="351"/>
      <c r="R69" s="351"/>
      <c r="S69" s="351" t="n">
        <f aca="false">COUNTIF($K$2:$K$476,"III - Medianamente tóxico")</f>
        <v>33</v>
      </c>
      <c r="T69" s="475" t="n">
        <f aca="false">(S69/S76)</f>
        <v>0.317307692307692</v>
      </c>
    </row>
    <row r="70" customFormat="false" ht="13.5" hidden="false" customHeight="true" outlineLevel="0" collapsed="false">
      <c r="A70" s="449" t="n">
        <v>6910</v>
      </c>
      <c r="B70" s="450" t="s">
        <v>17968</v>
      </c>
      <c r="C70" s="450" t="n">
        <v>2008</v>
      </c>
      <c r="D70" s="451" t="n">
        <v>39636</v>
      </c>
      <c r="E70" s="450" t="s">
        <v>17969</v>
      </c>
      <c r="F70" s="450" t="s">
        <v>3418</v>
      </c>
      <c r="G70" s="450" t="s">
        <v>1174</v>
      </c>
      <c r="H70" s="450" t="s">
        <v>4900</v>
      </c>
      <c r="I70" s="451" t="n">
        <v>40435</v>
      </c>
      <c r="J70" s="452" t="n">
        <v>9</v>
      </c>
      <c r="K70" s="634" t="s">
        <v>45</v>
      </c>
      <c r="L70" s="452" t="s">
        <v>58</v>
      </c>
      <c r="M70" s="455" t="n">
        <f aca="false">I70-D70</f>
        <v>799</v>
      </c>
      <c r="N70" s="4"/>
      <c r="O70" s="351" t="s">
        <v>48</v>
      </c>
      <c r="P70" s="351"/>
      <c r="Q70" s="351"/>
      <c r="R70" s="351"/>
      <c r="S70" s="351" t="n">
        <f aca="false">COUNTIF($K$2:$K$476,"Categoria 4 - Produto Pouco Tóxico")</f>
        <v>0</v>
      </c>
      <c r="T70" s="475" t="n">
        <f aca="false">(S70/S76)</f>
        <v>0</v>
      </c>
    </row>
    <row r="71" customFormat="false" ht="12.75" hidden="false" customHeight="true" outlineLevel="0" collapsed="false">
      <c r="A71" s="456" t="n">
        <v>7010</v>
      </c>
      <c r="B71" s="458" t="s">
        <v>17970</v>
      </c>
      <c r="C71" s="458" t="n">
        <v>2008</v>
      </c>
      <c r="D71" s="459" t="n">
        <v>39813</v>
      </c>
      <c r="E71" s="458" t="s">
        <v>17971</v>
      </c>
      <c r="F71" s="458" t="s">
        <v>6303</v>
      </c>
      <c r="G71" s="458" t="s">
        <v>125</v>
      </c>
      <c r="H71" s="458" t="s">
        <v>6426</v>
      </c>
      <c r="I71" s="459" t="n">
        <v>40435</v>
      </c>
      <c r="J71" s="460" t="n">
        <v>9</v>
      </c>
      <c r="K71" s="633" t="s">
        <v>47</v>
      </c>
      <c r="L71" s="460" t="s">
        <v>61</v>
      </c>
      <c r="M71" s="463" t="n">
        <f aca="false">I71-D71</f>
        <v>622</v>
      </c>
      <c r="N71" s="4"/>
      <c r="O71" s="351" t="s">
        <v>49</v>
      </c>
      <c r="P71" s="351"/>
      <c r="Q71" s="351"/>
      <c r="R71" s="351"/>
      <c r="S71" s="351" t="n">
        <f aca="false">COUNTIF($K$2:$K$476,"Categoria 5 - Produto Improvável de Causar Dano Agudo")</f>
        <v>0</v>
      </c>
      <c r="T71" s="475" t="n">
        <f aca="false">(S71/S76)</f>
        <v>0</v>
      </c>
    </row>
    <row r="72" customFormat="false" ht="12.75" hidden="false" customHeight="true" outlineLevel="0" collapsed="false">
      <c r="A72" s="449" t="n">
        <v>7110</v>
      </c>
      <c r="B72" s="450" t="s">
        <v>17972</v>
      </c>
      <c r="C72" s="450" t="n">
        <v>2001</v>
      </c>
      <c r="D72" s="451" t="n">
        <v>37188</v>
      </c>
      <c r="E72" s="450" t="s">
        <v>17973</v>
      </c>
      <c r="F72" s="450" t="s">
        <v>9757</v>
      </c>
      <c r="G72" s="450" t="s">
        <v>144</v>
      </c>
      <c r="H72" s="450" t="s">
        <v>413</v>
      </c>
      <c r="I72" s="451" t="n">
        <v>40435</v>
      </c>
      <c r="J72" s="452" t="n">
        <v>9</v>
      </c>
      <c r="K72" s="631" t="s">
        <v>42</v>
      </c>
      <c r="L72" s="452" t="s">
        <v>58</v>
      </c>
      <c r="M72" s="455" t="n">
        <f aca="false">I72-D72</f>
        <v>3247</v>
      </c>
      <c r="N72" s="4"/>
      <c r="O72" s="353" t="s">
        <v>50</v>
      </c>
      <c r="P72" s="353"/>
      <c r="Q72" s="353"/>
      <c r="R72" s="353"/>
      <c r="S72" s="353" t="n">
        <f aca="false">COUNTIF($K$2:$K$476,"IV - Pouco tóxico")</f>
        <v>3</v>
      </c>
      <c r="T72" s="476" t="n">
        <f aca="false">(S72/S76)</f>
        <v>0.0288461538461538</v>
      </c>
    </row>
    <row r="73" customFormat="false" ht="12.75" hidden="false" customHeight="true" outlineLevel="0" collapsed="false">
      <c r="A73" s="456" t="n">
        <v>7210</v>
      </c>
      <c r="B73" s="458" t="s">
        <v>17974</v>
      </c>
      <c r="C73" s="458" t="n">
        <v>2009</v>
      </c>
      <c r="D73" s="459" t="n">
        <v>39885</v>
      </c>
      <c r="E73" s="458" t="s">
        <v>17975</v>
      </c>
      <c r="F73" s="458" t="s">
        <v>5401</v>
      </c>
      <c r="G73" s="458" t="s">
        <v>1174</v>
      </c>
      <c r="H73" s="458" t="s">
        <v>17976</v>
      </c>
      <c r="I73" s="459" t="n">
        <v>40443</v>
      </c>
      <c r="J73" s="460" t="n">
        <v>9</v>
      </c>
      <c r="K73" s="633" t="s">
        <v>47</v>
      </c>
      <c r="L73" s="460" t="s">
        <v>60</v>
      </c>
      <c r="M73" s="463" t="n">
        <f aca="false">I73-D73</f>
        <v>558</v>
      </c>
      <c r="N73" s="4"/>
      <c r="O73" s="353" t="s">
        <v>51</v>
      </c>
      <c r="P73" s="353"/>
      <c r="Q73" s="353"/>
      <c r="R73" s="353"/>
      <c r="S73" s="353" t="n">
        <f aca="false">COUNTIF($K$2:$K$476,"Não classificado - Produto não classificado")</f>
        <v>0</v>
      </c>
      <c r="T73" s="476" t="n">
        <f aca="false">(S73/S76)</f>
        <v>0</v>
      </c>
    </row>
    <row r="74" customFormat="false" ht="12.75" hidden="false" customHeight="true" outlineLevel="0" collapsed="false">
      <c r="A74" s="449" t="n">
        <v>7310</v>
      </c>
      <c r="B74" s="450" t="s">
        <v>17977</v>
      </c>
      <c r="C74" s="450" t="n">
        <v>2008</v>
      </c>
      <c r="D74" s="451" t="n">
        <v>39492</v>
      </c>
      <c r="E74" s="450" t="s">
        <v>17978</v>
      </c>
      <c r="F74" s="450" t="s">
        <v>3418</v>
      </c>
      <c r="G74" s="450" t="s">
        <v>1174</v>
      </c>
      <c r="H74" s="450" t="s">
        <v>4900</v>
      </c>
      <c r="I74" s="451" t="n">
        <v>40449</v>
      </c>
      <c r="J74" s="452" t="n">
        <v>9</v>
      </c>
      <c r="K74" s="633" t="s">
        <v>47</v>
      </c>
      <c r="L74" s="452" t="s">
        <v>58</v>
      </c>
      <c r="M74" s="455" t="n">
        <f aca="false">I74-D74</f>
        <v>957</v>
      </c>
      <c r="N74" s="4"/>
      <c r="O74" s="353" t="s">
        <v>2407</v>
      </c>
      <c r="P74" s="353"/>
      <c r="Q74" s="353"/>
      <c r="R74" s="353"/>
      <c r="S74" s="353" t="n">
        <f aca="false">COUNTIF($K$2:$K$476,"Não determinada devido à natureza do produto (Inimigos naturais)")</f>
        <v>2</v>
      </c>
      <c r="T74" s="476" t="n">
        <f aca="false">(S74/S76)</f>
        <v>0.0192307692307692</v>
      </c>
    </row>
    <row r="75" customFormat="false" ht="12.75" hidden="false" customHeight="true" outlineLevel="0" collapsed="false">
      <c r="A75" s="456" t="n">
        <v>7410</v>
      </c>
      <c r="B75" s="458" t="s">
        <v>17979</v>
      </c>
      <c r="C75" s="458" t="n">
        <v>2008</v>
      </c>
      <c r="D75" s="459" t="n">
        <v>39597</v>
      </c>
      <c r="E75" s="458" t="s">
        <v>17980</v>
      </c>
      <c r="F75" s="458" t="s">
        <v>365</v>
      </c>
      <c r="G75" s="458" t="s">
        <v>1174</v>
      </c>
      <c r="H75" s="458" t="s">
        <v>17981</v>
      </c>
      <c r="I75" s="459" t="n">
        <v>40451</v>
      </c>
      <c r="J75" s="460" t="n">
        <v>9</v>
      </c>
      <c r="K75" s="634" t="s">
        <v>45</v>
      </c>
      <c r="L75" s="460" t="s">
        <v>58</v>
      </c>
      <c r="M75" s="463" t="n">
        <f aca="false">I75-D75</f>
        <v>854</v>
      </c>
      <c r="N75" s="4"/>
      <c r="O75" s="478" t="s">
        <v>53</v>
      </c>
      <c r="P75" s="478"/>
      <c r="Q75" s="478"/>
      <c r="R75" s="478"/>
      <c r="S75" s="478" t="n">
        <f aca="false">COUNTIF($K$2:$K$476,"O perfil toxicológico foi considerado equivalente ao produto técnico de referência")</f>
        <v>0</v>
      </c>
      <c r="T75" s="479" t="n">
        <f aca="false">(S75/S76)</f>
        <v>0</v>
      </c>
    </row>
    <row r="76" customFormat="false" ht="12.75" hidden="false" customHeight="true" outlineLevel="0" collapsed="false">
      <c r="A76" s="449" t="n">
        <v>7510</v>
      </c>
      <c r="B76" s="450" t="s">
        <v>17982</v>
      </c>
      <c r="C76" s="450" t="n">
        <v>2008</v>
      </c>
      <c r="D76" s="451" t="n">
        <v>39785</v>
      </c>
      <c r="E76" s="450" t="s">
        <v>17983</v>
      </c>
      <c r="F76" s="450" t="s">
        <v>17817</v>
      </c>
      <c r="G76" s="450" t="s">
        <v>1174</v>
      </c>
      <c r="H76" s="450" t="s">
        <v>4333</v>
      </c>
      <c r="I76" s="451" t="n">
        <v>40452</v>
      </c>
      <c r="J76" s="452" t="n">
        <v>10</v>
      </c>
      <c r="K76" s="633" t="s">
        <v>47</v>
      </c>
      <c r="L76" s="452" t="s">
        <v>60</v>
      </c>
      <c r="M76" s="455" t="n">
        <f aca="false">I76-D76</f>
        <v>667</v>
      </c>
      <c r="N76" s="4"/>
      <c r="O76" s="419" t="s">
        <v>54</v>
      </c>
      <c r="P76" s="419"/>
      <c r="Q76" s="419"/>
      <c r="R76" s="419"/>
      <c r="S76" s="363" t="n">
        <f aca="false">SUM(S64:S75)</f>
        <v>104</v>
      </c>
      <c r="T76" s="364" t="n">
        <f aca="false">(S76/S76)</f>
        <v>1</v>
      </c>
    </row>
    <row r="77" customFormat="false" ht="12.75" hidden="false" customHeight="true" outlineLevel="0" collapsed="false">
      <c r="A77" s="456" t="n">
        <v>7610</v>
      </c>
      <c r="B77" s="458" t="s">
        <v>17984</v>
      </c>
      <c r="C77" s="458" t="n">
        <v>2007</v>
      </c>
      <c r="D77" s="459" t="n">
        <v>39351</v>
      </c>
      <c r="E77" s="458" t="s">
        <v>17985</v>
      </c>
      <c r="F77" s="458" t="s">
        <v>3418</v>
      </c>
      <c r="G77" s="458" t="s">
        <v>1174</v>
      </c>
      <c r="H77" s="458" t="s">
        <v>17878</v>
      </c>
      <c r="I77" s="459" t="n">
        <v>40459</v>
      </c>
      <c r="J77" s="460" t="n">
        <v>10</v>
      </c>
      <c r="K77" s="633" t="s">
        <v>47</v>
      </c>
      <c r="L77" s="460" t="s">
        <v>58</v>
      </c>
      <c r="M77" s="463" t="n">
        <f aca="false">I77-D77</f>
        <v>1108</v>
      </c>
      <c r="N77" s="4"/>
      <c r="O77" s="153"/>
      <c r="P77" s="153"/>
      <c r="Q77" s="153"/>
      <c r="R77" s="153"/>
      <c r="S77" s="153"/>
      <c r="T77" s="153"/>
    </row>
    <row r="78" customFormat="false" ht="13.5" hidden="false" customHeight="true" outlineLevel="0" collapsed="false">
      <c r="A78" s="449" t="n">
        <v>7710</v>
      </c>
      <c r="B78" s="450" t="s">
        <v>17986</v>
      </c>
      <c r="C78" s="450" t="n">
        <v>2009</v>
      </c>
      <c r="D78" s="451" t="n">
        <v>39834</v>
      </c>
      <c r="E78" s="450" t="s">
        <v>17877</v>
      </c>
      <c r="F78" s="450" t="s">
        <v>3260</v>
      </c>
      <c r="G78" s="450" t="s">
        <v>1174</v>
      </c>
      <c r="H78" s="450" t="s">
        <v>4333</v>
      </c>
      <c r="I78" s="451" t="n">
        <v>40471</v>
      </c>
      <c r="J78" s="452" t="n">
        <v>10</v>
      </c>
      <c r="K78" s="631" t="s">
        <v>42</v>
      </c>
      <c r="L78" s="452" t="s">
        <v>60</v>
      </c>
      <c r="M78" s="455" t="n">
        <f aca="false">I78-D78</f>
        <v>637</v>
      </c>
      <c r="N78" s="4"/>
      <c r="O78" s="339" t="s">
        <v>102</v>
      </c>
      <c r="P78" s="339"/>
      <c r="Q78" s="339"/>
      <c r="R78" s="339"/>
      <c r="S78" s="339"/>
      <c r="T78" s="339"/>
    </row>
    <row r="79" customFormat="false" ht="12.75" hidden="false" customHeight="true" outlineLevel="0" collapsed="false">
      <c r="A79" s="456" t="n">
        <v>7810</v>
      </c>
      <c r="B79" s="458" t="s">
        <v>17987</v>
      </c>
      <c r="C79" s="458" t="n">
        <v>2008</v>
      </c>
      <c r="D79" s="459" t="n">
        <v>39547</v>
      </c>
      <c r="E79" s="458" t="s">
        <v>17988</v>
      </c>
      <c r="F79" s="458" t="s">
        <v>17862</v>
      </c>
      <c r="G79" s="458" t="s">
        <v>441</v>
      </c>
      <c r="H79" s="458" t="s">
        <v>2172</v>
      </c>
      <c r="I79" s="459" t="n">
        <v>40472</v>
      </c>
      <c r="J79" s="460" t="n">
        <v>10</v>
      </c>
      <c r="K79" s="633" t="s">
        <v>47</v>
      </c>
      <c r="L79" s="460" t="s">
        <v>60</v>
      </c>
      <c r="M79" s="463" t="n">
        <f aca="false">I79-D79</f>
        <v>925</v>
      </c>
      <c r="N79" s="4"/>
      <c r="O79" s="339"/>
      <c r="P79" s="339"/>
      <c r="Q79" s="339"/>
      <c r="R79" s="339"/>
      <c r="S79" s="339"/>
      <c r="T79" s="339"/>
    </row>
    <row r="80" customFormat="false" ht="12.75" hidden="false" customHeight="true" outlineLevel="0" collapsed="false">
      <c r="A80" s="449" t="n">
        <v>7910</v>
      </c>
      <c r="B80" s="450" t="s">
        <v>17989</v>
      </c>
      <c r="C80" s="450" t="n">
        <v>2008</v>
      </c>
      <c r="D80" s="451" t="n">
        <v>39644</v>
      </c>
      <c r="E80" s="450" t="s">
        <v>17990</v>
      </c>
      <c r="F80" s="450" t="s">
        <v>17862</v>
      </c>
      <c r="G80" s="450" t="s">
        <v>441</v>
      </c>
      <c r="H80" s="450" t="s">
        <v>2172</v>
      </c>
      <c r="I80" s="451" t="n">
        <v>40472</v>
      </c>
      <c r="J80" s="452" t="n">
        <v>10</v>
      </c>
      <c r="K80" s="633" t="s">
        <v>47</v>
      </c>
      <c r="L80" s="452" t="s">
        <v>60</v>
      </c>
      <c r="M80" s="455" t="n">
        <f aca="false">I80-D80</f>
        <v>828</v>
      </c>
      <c r="N80" s="4"/>
      <c r="O80" s="340" t="s">
        <v>38</v>
      </c>
      <c r="P80" s="340"/>
      <c r="Q80" s="340"/>
      <c r="R80" s="340"/>
      <c r="S80" s="374" t="s">
        <v>343</v>
      </c>
      <c r="T80" s="375" t="s">
        <v>41</v>
      </c>
    </row>
    <row r="81" customFormat="false" ht="13.5" hidden="false" customHeight="true" outlineLevel="0" collapsed="false">
      <c r="A81" s="456" t="n">
        <v>8010</v>
      </c>
      <c r="B81" s="458" t="s">
        <v>17991</v>
      </c>
      <c r="C81" s="458" t="n">
        <v>2008</v>
      </c>
      <c r="D81" s="459" t="n">
        <v>39681</v>
      </c>
      <c r="E81" s="458" t="s">
        <v>17992</v>
      </c>
      <c r="F81" s="458" t="s">
        <v>17993</v>
      </c>
      <c r="G81" s="458" t="s">
        <v>1174</v>
      </c>
      <c r="H81" s="458" t="s">
        <v>17850</v>
      </c>
      <c r="I81" s="459" t="n">
        <v>40472</v>
      </c>
      <c r="J81" s="460" t="n">
        <v>10</v>
      </c>
      <c r="K81" s="631" t="s">
        <v>42</v>
      </c>
      <c r="L81" s="460" t="s">
        <v>57</v>
      </c>
      <c r="M81" s="463" t="n">
        <f aca="false">I81-D81</f>
        <v>791</v>
      </c>
      <c r="N81" s="4"/>
      <c r="O81" s="480" t="s">
        <v>57</v>
      </c>
      <c r="P81" s="480"/>
      <c r="Q81" s="480"/>
      <c r="R81" s="480"/>
      <c r="S81" s="536" t="n">
        <f aca="false">COUNTIF($L$2:$L$476,"I - Produto altamente perigoso ao meio ambiente")</f>
        <v>9</v>
      </c>
      <c r="T81" s="377" t="n">
        <f aca="false">(S81/S85)</f>
        <v>0.0865384615384615</v>
      </c>
    </row>
    <row r="82" customFormat="false" ht="13.5" hidden="false" customHeight="true" outlineLevel="0" collapsed="false">
      <c r="A82" s="449" t="n">
        <v>8110</v>
      </c>
      <c r="B82" s="450" t="s">
        <v>17994</v>
      </c>
      <c r="C82" s="450" t="n">
        <v>2006</v>
      </c>
      <c r="D82" s="451" t="n">
        <v>39001</v>
      </c>
      <c r="E82" s="450" t="s">
        <v>17995</v>
      </c>
      <c r="F82" s="450" t="s">
        <v>1987</v>
      </c>
      <c r="G82" s="450" t="s">
        <v>1174</v>
      </c>
      <c r="H82" s="450" t="s">
        <v>4438</v>
      </c>
      <c r="I82" s="451" t="n">
        <v>40472</v>
      </c>
      <c r="J82" s="452" t="n">
        <v>10</v>
      </c>
      <c r="K82" s="634" t="s">
        <v>45</v>
      </c>
      <c r="L82" s="452" t="s">
        <v>58</v>
      </c>
      <c r="M82" s="455" t="n">
        <f aca="false">I82-D82</f>
        <v>1471</v>
      </c>
      <c r="N82" s="4"/>
      <c r="O82" s="378" t="s">
        <v>58</v>
      </c>
      <c r="P82" s="378"/>
      <c r="Q82" s="378"/>
      <c r="R82" s="378"/>
      <c r="S82" s="537" t="n">
        <f aca="false">COUNTIF($L$2:$L$476,"II - Produto muito perigoso ao meio ambiente")</f>
        <v>41</v>
      </c>
      <c r="T82" s="379" t="n">
        <f aca="false">(S82/S85)</f>
        <v>0.394230769230769</v>
      </c>
    </row>
    <row r="83" customFormat="false" ht="13.5" hidden="false" customHeight="true" outlineLevel="0" collapsed="false">
      <c r="A83" s="456" t="n">
        <v>8210</v>
      </c>
      <c r="B83" s="458" t="s">
        <v>17996</v>
      </c>
      <c r="C83" s="458" t="n">
        <v>2009</v>
      </c>
      <c r="D83" s="459" t="n">
        <v>40135</v>
      </c>
      <c r="E83" s="458" t="s">
        <v>17997</v>
      </c>
      <c r="F83" s="458" t="s">
        <v>3777</v>
      </c>
      <c r="G83" s="458" t="s">
        <v>441</v>
      </c>
      <c r="H83" s="458" t="s">
        <v>4333</v>
      </c>
      <c r="I83" s="459" t="n">
        <v>40480</v>
      </c>
      <c r="J83" s="460" t="n">
        <v>10</v>
      </c>
      <c r="K83" s="631" t="s">
        <v>42</v>
      </c>
      <c r="L83" s="460" t="s">
        <v>58</v>
      </c>
      <c r="M83" s="463" t="n">
        <f aca="false">I83-D83</f>
        <v>345</v>
      </c>
      <c r="N83" s="4"/>
      <c r="O83" s="380" t="s">
        <v>60</v>
      </c>
      <c r="P83" s="380"/>
      <c r="Q83" s="380"/>
      <c r="R83" s="380"/>
      <c r="S83" s="536" t="n">
        <f aca="false">COUNTIF($L$2:$L$476,"III - Produto perigoso ao meio ambiente")</f>
        <v>50</v>
      </c>
      <c r="T83" s="377" t="n">
        <f aca="false">(S83/S85)</f>
        <v>0.480769230769231</v>
      </c>
    </row>
    <row r="84" customFormat="false" ht="14.25" hidden="false" customHeight="true" outlineLevel="0" collapsed="false">
      <c r="A84" s="449" t="n">
        <v>8310</v>
      </c>
      <c r="B84" s="450" t="s">
        <v>17998</v>
      </c>
      <c r="C84" s="450" t="n">
        <v>2008</v>
      </c>
      <c r="D84" s="451" t="n">
        <v>39758</v>
      </c>
      <c r="E84" s="450" t="s">
        <v>17999</v>
      </c>
      <c r="F84" s="450" t="s">
        <v>18000</v>
      </c>
      <c r="G84" s="450" t="s">
        <v>1174</v>
      </c>
      <c r="H84" s="450" t="s">
        <v>4333</v>
      </c>
      <c r="I84" s="451" t="n">
        <v>40486</v>
      </c>
      <c r="J84" s="452" t="n">
        <v>11</v>
      </c>
      <c r="K84" s="634" t="s">
        <v>45</v>
      </c>
      <c r="L84" s="452" t="s">
        <v>58</v>
      </c>
      <c r="M84" s="455" t="n">
        <f aca="false">I84-D84</f>
        <v>728</v>
      </c>
      <c r="N84" s="4"/>
      <c r="O84" s="378" t="s">
        <v>61</v>
      </c>
      <c r="P84" s="378"/>
      <c r="Q84" s="378"/>
      <c r="R84" s="378"/>
      <c r="S84" s="537" t="n">
        <f aca="false">COUNTIF($L$2:$L$476,"IV - Produto pouco perigoso ao meio ambiente")</f>
        <v>4</v>
      </c>
      <c r="T84" s="379" t="n">
        <f aca="false">(S84/S85)</f>
        <v>0.0384615384615385</v>
      </c>
    </row>
    <row r="85" customFormat="false" ht="12.75" hidden="false" customHeight="true" outlineLevel="0" collapsed="false">
      <c r="A85" s="456" t="n">
        <v>8410</v>
      </c>
      <c r="B85" s="458" t="s">
        <v>18001</v>
      </c>
      <c r="C85" s="458" t="n">
        <v>2009</v>
      </c>
      <c r="D85" s="459" t="n">
        <v>39843</v>
      </c>
      <c r="E85" s="458" t="s">
        <v>18002</v>
      </c>
      <c r="F85" s="458" t="s">
        <v>3260</v>
      </c>
      <c r="G85" s="458" t="s">
        <v>441</v>
      </c>
      <c r="H85" s="458" t="s">
        <v>2176</v>
      </c>
      <c r="I85" s="459" t="n">
        <v>40487</v>
      </c>
      <c r="J85" s="460" t="n">
        <v>11</v>
      </c>
      <c r="K85" s="633" t="s">
        <v>47</v>
      </c>
      <c r="L85" s="460" t="s">
        <v>60</v>
      </c>
      <c r="M85" s="463" t="n">
        <f aca="false">I85-D85</f>
        <v>644</v>
      </c>
      <c r="N85" s="4"/>
      <c r="O85" s="340" t="s">
        <v>54</v>
      </c>
      <c r="P85" s="340"/>
      <c r="Q85" s="340"/>
      <c r="R85" s="340"/>
      <c r="S85" s="363" t="n">
        <f aca="false">SUM(S81:S84)</f>
        <v>104</v>
      </c>
      <c r="T85" s="364" t="n">
        <f aca="false">(S85/S85)</f>
        <v>1</v>
      </c>
    </row>
    <row r="86" customFormat="false" ht="13.5" hidden="false" customHeight="true" outlineLevel="0" collapsed="false">
      <c r="A86" s="449" t="n">
        <v>8510</v>
      </c>
      <c r="B86" s="450" t="s">
        <v>18003</v>
      </c>
      <c r="C86" s="450" t="n">
        <v>2009</v>
      </c>
      <c r="D86" s="451" t="n">
        <v>40057</v>
      </c>
      <c r="E86" s="450" t="s">
        <v>18004</v>
      </c>
      <c r="F86" s="450" t="s">
        <v>138</v>
      </c>
      <c r="G86" s="450" t="s">
        <v>441</v>
      </c>
      <c r="H86" s="450" t="s">
        <v>17797</v>
      </c>
      <c r="I86" s="451" t="n">
        <v>40493</v>
      </c>
      <c r="J86" s="452" t="n">
        <v>11</v>
      </c>
      <c r="K86" s="631" t="s">
        <v>42</v>
      </c>
      <c r="L86" s="452" t="s">
        <v>60</v>
      </c>
      <c r="M86" s="455" t="n">
        <f aca="false">I86-D86</f>
        <v>436</v>
      </c>
      <c r="N86" s="4"/>
      <c r="O86" s="153"/>
      <c r="P86" s="153"/>
      <c r="Q86" s="153"/>
      <c r="R86" s="153"/>
      <c r="S86" s="153"/>
      <c r="T86" s="153"/>
    </row>
    <row r="87" customFormat="false" ht="13.5" hidden="false" customHeight="true" outlineLevel="0" collapsed="false">
      <c r="A87" s="456" t="n">
        <v>8610</v>
      </c>
      <c r="B87" s="458" t="s">
        <v>18005</v>
      </c>
      <c r="C87" s="458" t="n">
        <v>2008</v>
      </c>
      <c r="D87" s="459" t="n">
        <v>39744</v>
      </c>
      <c r="E87" s="458" t="s">
        <v>18006</v>
      </c>
      <c r="F87" s="458" t="s">
        <v>17993</v>
      </c>
      <c r="G87" s="458" t="s">
        <v>1174</v>
      </c>
      <c r="H87" s="458" t="s">
        <v>2172</v>
      </c>
      <c r="I87" s="459" t="n">
        <v>40493</v>
      </c>
      <c r="J87" s="460" t="n">
        <v>11</v>
      </c>
      <c r="K87" s="631" t="s">
        <v>42</v>
      </c>
      <c r="L87" s="460" t="s">
        <v>57</v>
      </c>
      <c r="M87" s="463" t="n">
        <f aca="false">I87-D87</f>
        <v>749</v>
      </c>
      <c r="N87" s="4"/>
      <c r="O87" s="421" t="s">
        <v>425</v>
      </c>
      <c r="P87" s="421"/>
      <c r="Q87" s="421"/>
      <c r="R87" s="421"/>
      <c r="S87" s="153"/>
      <c r="T87" s="153"/>
    </row>
    <row r="88" customFormat="false" ht="12.75" hidden="false" customHeight="true" outlineLevel="0" collapsed="false">
      <c r="A88" s="449" t="n">
        <v>8710</v>
      </c>
      <c r="B88" s="450" t="s">
        <v>18007</v>
      </c>
      <c r="C88" s="450" t="n">
        <v>2009</v>
      </c>
      <c r="D88" s="451" t="n">
        <v>39902</v>
      </c>
      <c r="E88" s="450" t="s">
        <v>18008</v>
      </c>
      <c r="F88" s="450" t="s">
        <v>1357</v>
      </c>
      <c r="G88" s="450" t="s">
        <v>1174</v>
      </c>
      <c r="H88" s="450" t="s">
        <v>18009</v>
      </c>
      <c r="I88" s="451" t="n">
        <v>40493</v>
      </c>
      <c r="J88" s="452" t="n">
        <v>11</v>
      </c>
      <c r="K88" s="631" t="s">
        <v>42</v>
      </c>
      <c r="L88" s="452" t="s">
        <v>60</v>
      </c>
      <c r="M88" s="455" t="n">
        <f aca="false">I88-D88</f>
        <v>591</v>
      </c>
      <c r="N88" s="4"/>
      <c r="O88" s="421"/>
      <c r="P88" s="421"/>
      <c r="Q88" s="421"/>
      <c r="R88" s="421"/>
      <c r="S88" s="153"/>
      <c r="T88" s="153"/>
    </row>
    <row r="89" customFormat="false" ht="13.5" hidden="false" customHeight="true" outlineLevel="0" collapsed="false">
      <c r="A89" s="456" t="n">
        <v>8810</v>
      </c>
      <c r="B89" s="458" t="s">
        <v>18010</v>
      </c>
      <c r="C89" s="458" t="n">
        <v>1999</v>
      </c>
      <c r="D89" s="459" t="n">
        <v>36378</v>
      </c>
      <c r="E89" s="458" t="s">
        <v>18011</v>
      </c>
      <c r="F89" s="458" t="s">
        <v>3260</v>
      </c>
      <c r="G89" s="458" t="s">
        <v>144</v>
      </c>
      <c r="H89" s="458" t="s">
        <v>285</v>
      </c>
      <c r="I89" s="459" t="n">
        <v>40493</v>
      </c>
      <c r="J89" s="460" t="n">
        <v>11</v>
      </c>
      <c r="K89" s="634" t="s">
        <v>45</v>
      </c>
      <c r="L89" s="460" t="s">
        <v>60</v>
      </c>
      <c r="M89" s="463" t="n">
        <f aca="false">I89-D89</f>
        <v>4115</v>
      </c>
      <c r="N89" s="4"/>
      <c r="O89" s="390" t="s">
        <v>69</v>
      </c>
      <c r="P89" s="422" t="s">
        <v>433</v>
      </c>
      <c r="Q89" s="422"/>
      <c r="R89" s="422"/>
      <c r="S89" s="153"/>
      <c r="T89" s="153"/>
    </row>
    <row r="90" customFormat="false" ht="13.5" hidden="false" customHeight="true" outlineLevel="0" collapsed="false">
      <c r="A90" s="449" t="n">
        <v>8910</v>
      </c>
      <c r="B90" s="450" t="s">
        <v>18012</v>
      </c>
      <c r="C90" s="450" t="n">
        <v>2006</v>
      </c>
      <c r="D90" s="451" t="n">
        <v>38887</v>
      </c>
      <c r="E90" s="450" t="s">
        <v>18013</v>
      </c>
      <c r="F90" s="450" t="s">
        <v>3260</v>
      </c>
      <c r="G90" s="450" t="s">
        <v>8</v>
      </c>
      <c r="H90" s="450" t="s">
        <v>18014</v>
      </c>
      <c r="I90" s="451" t="n">
        <v>40493</v>
      </c>
      <c r="J90" s="452" t="n">
        <v>11</v>
      </c>
      <c r="K90" s="634" t="s">
        <v>45</v>
      </c>
      <c r="L90" s="452" t="s">
        <v>60</v>
      </c>
      <c r="M90" s="455" t="n">
        <f aca="false">I90-D90</f>
        <v>1606</v>
      </c>
      <c r="N90" s="4"/>
      <c r="O90" s="394" t="s">
        <v>1474</v>
      </c>
      <c r="P90" s="481" t="n">
        <f aca="false">AVERAGEIF(G2:G476,"PT",M2:M476)</f>
        <v>1790</v>
      </c>
      <c r="Q90" s="481"/>
      <c r="R90" s="481"/>
      <c r="S90" s="153"/>
      <c r="T90" s="153"/>
    </row>
    <row r="91" customFormat="false" ht="13.5" hidden="false" customHeight="true" outlineLevel="0" collapsed="false">
      <c r="A91" s="456" t="n">
        <v>9010</v>
      </c>
      <c r="B91" s="458" t="s">
        <v>18015</v>
      </c>
      <c r="C91" s="458" t="n">
        <v>2008</v>
      </c>
      <c r="D91" s="459" t="n">
        <v>39749</v>
      </c>
      <c r="E91" s="458" t="s">
        <v>18016</v>
      </c>
      <c r="F91" s="458" t="s">
        <v>18017</v>
      </c>
      <c r="G91" s="458" t="s">
        <v>441</v>
      </c>
      <c r="H91" s="458" t="s">
        <v>17981</v>
      </c>
      <c r="I91" s="459" t="n">
        <v>40493</v>
      </c>
      <c r="J91" s="460" t="n">
        <v>11</v>
      </c>
      <c r="K91" s="633" t="s">
        <v>47</v>
      </c>
      <c r="L91" s="460" t="s">
        <v>60</v>
      </c>
      <c r="M91" s="463" t="n">
        <f aca="false">I91-D91</f>
        <v>744</v>
      </c>
      <c r="N91" s="4"/>
      <c r="O91" s="396" t="s">
        <v>1188</v>
      </c>
      <c r="P91" s="482" t="e">
        <f aca="false">AVERAGEIF(G2:G477,"PTN",M2:M477)</f>
        <v>#DIV/0!</v>
      </c>
      <c r="Q91" s="482"/>
      <c r="R91" s="482"/>
      <c r="S91" s="153"/>
      <c r="T91" s="153"/>
    </row>
    <row r="92" customFormat="false" ht="14.25" hidden="false" customHeight="true" outlineLevel="0" collapsed="false">
      <c r="A92" s="449" t="n">
        <v>9110</v>
      </c>
      <c r="B92" s="450" t="s">
        <v>18018</v>
      </c>
      <c r="C92" s="450" t="n">
        <v>2009</v>
      </c>
      <c r="D92" s="451" t="n">
        <v>39853</v>
      </c>
      <c r="E92" s="450" t="s">
        <v>18019</v>
      </c>
      <c r="F92" s="450" t="s">
        <v>18020</v>
      </c>
      <c r="G92" s="450" t="s">
        <v>441</v>
      </c>
      <c r="H92" s="450" t="s">
        <v>961</v>
      </c>
      <c r="I92" s="451" t="n">
        <v>40493</v>
      </c>
      <c r="J92" s="452" t="n">
        <v>11</v>
      </c>
      <c r="K92" s="634" t="s">
        <v>45</v>
      </c>
      <c r="L92" s="452" t="s">
        <v>60</v>
      </c>
      <c r="M92" s="455" t="n">
        <f aca="false">I92-D92</f>
        <v>640</v>
      </c>
      <c r="N92" s="4"/>
      <c r="O92" s="394" t="s">
        <v>1174</v>
      </c>
      <c r="P92" s="481" t="n">
        <f aca="false">AVERAGEIF(G2:G476,"PTE",M2:M476)</f>
        <v>779.542857142857</v>
      </c>
      <c r="Q92" s="481"/>
      <c r="R92" s="481"/>
      <c r="S92" s="153"/>
      <c r="T92" s="153"/>
    </row>
    <row r="93" customFormat="false" ht="12.75" hidden="false" customHeight="true" outlineLevel="0" collapsed="false">
      <c r="A93" s="456" t="n">
        <v>9210</v>
      </c>
      <c r="B93" s="458" t="s">
        <v>18021</v>
      </c>
      <c r="C93" s="458" t="n">
        <v>2008</v>
      </c>
      <c r="D93" s="459" t="n">
        <v>39765</v>
      </c>
      <c r="E93" s="458" t="s">
        <v>18022</v>
      </c>
      <c r="F93" s="458" t="s">
        <v>18023</v>
      </c>
      <c r="G93" s="458" t="s">
        <v>144</v>
      </c>
      <c r="H93" s="458" t="s">
        <v>4438</v>
      </c>
      <c r="I93" s="459" t="n">
        <v>40493</v>
      </c>
      <c r="J93" s="460" t="n">
        <v>11</v>
      </c>
      <c r="K93" s="633" t="s">
        <v>47</v>
      </c>
      <c r="L93" s="460" t="s">
        <v>58</v>
      </c>
      <c r="M93" s="463" t="n">
        <f aca="false">I93-D93</f>
        <v>728</v>
      </c>
      <c r="N93" s="4"/>
      <c r="O93" s="396" t="s">
        <v>8</v>
      </c>
      <c r="P93" s="482" t="n">
        <f aca="false">AVERAGEIF(G2:G476,"Pré-Mistura",M2:M476)</f>
        <v>1734</v>
      </c>
      <c r="Q93" s="482"/>
      <c r="R93" s="482"/>
      <c r="S93" s="153"/>
      <c r="T93" s="153"/>
    </row>
    <row r="94" customFormat="false" ht="12.75" hidden="false" customHeight="true" outlineLevel="0" collapsed="false">
      <c r="A94" s="449" t="n">
        <v>9310</v>
      </c>
      <c r="B94" s="450" t="s">
        <v>18024</v>
      </c>
      <c r="C94" s="450" t="n">
        <v>2008</v>
      </c>
      <c r="D94" s="451" t="n">
        <v>39609</v>
      </c>
      <c r="E94" s="450" t="s">
        <v>18025</v>
      </c>
      <c r="F94" s="450" t="s">
        <v>18026</v>
      </c>
      <c r="G94" s="450" t="s">
        <v>144</v>
      </c>
      <c r="H94" s="450" t="s">
        <v>4438</v>
      </c>
      <c r="I94" s="451" t="n">
        <v>40499</v>
      </c>
      <c r="J94" s="452" t="n">
        <v>11</v>
      </c>
      <c r="K94" s="631" t="s">
        <v>42</v>
      </c>
      <c r="L94" s="452" t="s">
        <v>58</v>
      </c>
      <c r="M94" s="455" t="n">
        <f aca="false">I94-D94</f>
        <v>890</v>
      </c>
      <c r="N94" s="4"/>
      <c r="O94" s="394" t="s">
        <v>144</v>
      </c>
      <c r="P94" s="481" t="n">
        <f aca="false">AVERAGEIF(G2:G476,"PF",M2:M476)</f>
        <v>1897.42307692308</v>
      </c>
      <c r="Q94" s="481"/>
      <c r="R94" s="481"/>
      <c r="S94" s="153"/>
      <c r="T94" s="153"/>
    </row>
    <row r="95" customFormat="false" ht="13.5" hidden="false" customHeight="true" outlineLevel="0" collapsed="false">
      <c r="A95" s="456" t="n">
        <v>9410</v>
      </c>
      <c r="B95" s="458" t="s">
        <v>18027</v>
      </c>
      <c r="C95" s="458" t="n">
        <v>2008</v>
      </c>
      <c r="D95" s="459" t="n">
        <v>39685</v>
      </c>
      <c r="E95" s="458" t="s">
        <v>18028</v>
      </c>
      <c r="F95" s="458" t="s">
        <v>17796</v>
      </c>
      <c r="G95" s="458" t="s">
        <v>1174</v>
      </c>
      <c r="H95" s="458" t="s">
        <v>3901</v>
      </c>
      <c r="I95" s="459" t="n">
        <v>40514</v>
      </c>
      <c r="J95" s="460" t="n">
        <v>12</v>
      </c>
      <c r="K95" s="631" t="s">
        <v>42</v>
      </c>
      <c r="L95" s="460" t="s">
        <v>60</v>
      </c>
      <c r="M95" s="463" t="n">
        <f aca="false">I95-D95</f>
        <v>829</v>
      </c>
      <c r="N95" s="4"/>
      <c r="O95" s="396" t="s">
        <v>115</v>
      </c>
      <c r="P95" s="482" t="n">
        <f aca="false">AVERAGEIF(G2:G476,"PFN",M2:M476)</f>
        <v>463</v>
      </c>
      <c r="Q95" s="482"/>
      <c r="R95" s="482"/>
      <c r="S95" s="153"/>
      <c r="T95" s="153"/>
    </row>
    <row r="96" customFormat="false" ht="13.5" hidden="false" customHeight="true" outlineLevel="0" collapsed="false">
      <c r="A96" s="449" t="n">
        <v>9510</v>
      </c>
      <c r="B96" s="450" t="s">
        <v>18029</v>
      </c>
      <c r="C96" s="450" t="n">
        <v>2008</v>
      </c>
      <c r="D96" s="451" t="n">
        <v>39699</v>
      </c>
      <c r="E96" s="450" t="s">
        <v>18030</v>
      </c>
      <c r="F96" s="450" t="s">
        <v>17796</v>
      </c>
      <c r="G96" s="450" t="s">
        <v>1174</v>
      </c>
      <c r="H96" s="450" t="s">
        <v>18009</v>
      </c>
      <c r="I96" s="451" t="n">
        <v>40514</v>
      </c>
      <c r="J96" s="452" t="n">
        <v>12</v>
      </c>
      <c r="K96" s="631" t="s">
        <v>42</v>
      </c>
      <c r="L96" s="452" t="s">
        <v>60</v>
      </c>
      <c r="M96" s="455" t="n">
        <f aca="false">I96-D96</f>
        <v>815</v>
      </c>
      <c r="N96" s="4"/>
      <c r="O96" s="394" t="s">
        <v>441</v>
      </c>
      <c r="P96" s="481" t="n">
        <f aca="false">AVERAGEIF(G2:G476,"PF/PTE",M2:M476)</f>
        <v>951.558823529412</v>
      </c>
      <c r="Q96" s="481"/>
      <c r="R96" s="481"/>
      <c r="S96" s="153"/>
      <c r="T96" s="153"/>
    </row>
    <row r="97" customFormat="false" ht="12.75" hidden="false" customHeight="true" outlineLevel="0" collapsed="false">
      <c r="A97" s="456" t="n">
        <v>9610</v>
      </c>
      <c r="B97" s="458" t="s">
        <v>18031</v>
      </c>
      <c r="C97" s="458" t="n">
        <v>2008</v>
      </c>
      <c r="D97" s="459" t="n">
        <v>39735</v>
      </c>
      <c r="E97" s="458" t="s">
        <v>18032</v>
      </c>
      <c r="F97" s="458" t="s">
        <v>17817</v>
      </c>
      <c r="G97" s="458" t="s">
        <v>1174</v>
      </c>
      <c r="H97" s="458" t="s">
        <v>18033</v>
      </c>
      <c r="I97" s="459" t="n">
        <v>40520</v>
      </c>
      <c r="J97" s="460" t="n">
        <v>12</v>
      </c>
      <c r="K97" s="633" t="s">
        <v>47</v>
      </c>
      <c r="L97" s="460" t="s">
        <v>60</v>
      </c>
      <c r="M97" s="463" t="n">
        <f aca="false">I97-D97</f>
        <v>785</v>
      </c>
      <c r="N97" s="4"/>
      <c r="O97" s="396" t="s">
        <v>125</v>
      </c>
      <c r="P97" s="482" t="n">
        <f aca="false">AVERAGEIF(G2:G476,"Bio",M2:M476)</f>
        <v>658.25</v>
      </c>
      <c r="Q97" s="482"/>
      <c r="R97" s="482"/>
    </row>
    <row r="98" customFormat="false" ht="12.75" hidden="false" customHeight="true" outlineLevel="0" collapsed="false">
      <c r="A98" s="449" t="n">
        <v>9710</v>
      </c>
      <c r="B98" s="450" t="s">
        <v>18034</v>
      </c>
      <c r="C98" s="450" t="n">
        <v>2009</v>
      </c>
      <c r="D98" s="451" t="n">
        <v>39966</v>
      </c>
      <c r="E98" s="450" t="s">
        <v>18035</v>
      </c>
      <c r="F98" s="450" t="s">
        <v>18036</v>
      </c>
      <c r="G98" s="450" t="s">
        <v>441</v>
      </c>
      <c r="H98" s="450" t="s">
        <v>184</v>
      </c>
      <c r="I98" s="451" t="n">
        <v>40522</v>
      </c>
      <c r="J98" s="452" t="n">
        <v>12</v>
      </c>
      <c r="K98" s="631" t="s">
        <v>42</v>
      </c>
      <c r="L98" s="452" t="s">
        <v>58</v>
      </c>
      <c r="M98" s="455" t="n">
        <f aca="false">I98-D98</f>
        <v>556</v>
      </c>
      <c r="N98" s="4"/>
      <c r="O98" s="394" t="s">
        <v>130</v>
      </c>
      <c r="P98" s="481" t="e">
        <f aca="false">AVERAGEIF(G2:G476,"Bio/Org",M2:M476)</f>
        <v>#DIV/0!</v>
      </c>
      <c r="Q98" s="481"/>
      <c r="R98" s="481"/>
    </row>
    <row r="99" customFormat="false" ht="12.75" hidden="false" customHeight="true" outlineLevel="0" collapsed="false">
      <c r="A99" s="456" t="n">
        <v>9810</v>
      </c>
      <c r="B99" s="458" t="s">
        <v>18037</v>
      </c>
      <c r="C99" s="458" t="n">
        <v>2009</v>
      </c>
      <c r="D99" s="459" t="n">
        <v>39981</v>
      </c>
      <c r="E99" s="458" t="s">
        <v>18038</v>
      </c>
      <c r="F99" s="458" t="s">
        <v>18036</v>
      </c>
      <c r="G99" s="458" t="s">
        <v>441</v>
      </c>
      <c r="H99" s="458" t="s">
        <v>184</v>
      </c>
      <c r="I99" s="459" t="n">
        <v>40522</v>
      </c>
      <c r="J99" s="460" t="n">
        <v>12</v>
      </c>
      <c r="K99" s="631" t="s">
        <v>42</v>
      </c>
      <c r="L99" s="460" t="s">
        <v>58</v>
      </c>
      <c r="M99" s="463" t="n">
        <f aca="false">I99-D99</f>
        <v>541</v>
      </c>
      <c r="N99" s="4"/>
      <c r="O99" s="398" t="s">
        <v>86</v>
      </c>
      <c r="P99" s="399" t="n">
        <f aca="false">AVERAGE(M2:M494)</f>
        <v>1145.32692307692</v>
      </c>
      <c r="Q99" s="399"/>
      <c r="R99" s="399"/>
    </row>
    <row r="100" customFormat="false" ht="12.75" hidden="false" customHeight="true" outlineLevel="0" collapsed="false">
      <c r="A100" s="449" t="n">
        <v>9910</v>
      </c>
      <c r="B100" s="450" t="s">
        <v>18039</v>
      </c>
      <c r="C100" s="450" t="n">
        <v>2009</v>
      </c>
      <c r="D100" s="451" t="n">
        <v>40057</v>
      </c>
      <c r="E100" s="450" t="s">
        <v>18040</v>
      </c>
      <c r="F100" s="450" t="s">
        <v>3260</v>
      </c>
      <c r="G100" s="450" t="s">
        <v>441</v>
      </c>
      <c r="H100" s="450" t="s">
        <v>350</v>
      </c>
      <c r="I100" s="451" t="n">
        <v>40528</v>
      </c>
      <c r="J100" s="452" t="n">
        <v>12</v>
      </c>
      <c r="K100" s="633" t="s">
        <v>47</v>
      </c>
      <c r="L100" s="452" t="s">
        <v>60</v>
      </c>
      <c r="M100" s="455" t="n">
        <f aca="false">I100-D100</f>
        <v>471</v>
      </c>
      <c r="N100" s="4"/>
      <c r="O100" s="4"/>
      <c r="P100" s="4"/>
      <c r="Q100" s="4"/>
      <c r="R100" s="4"/>
    </row>
    <row r="101" customFormat="false" ht="12.75" hidden="false" customHeight="true" outlineLevel="0" collapsed="false">
      <c r="A101" s="456" t="n">
        <v>10010</v>
      </c>
      <c r="B101" s="458" t="s">
        <v>18041</v>
      </c>
      <c r="C101" s="458" t="n">
        <v>2010</v>
      </c>
      <c r="D101" s="459" t="n">
        <v>39099</v>
      </c>
      <c r="E101" s="458" t="s">
        <v>18042</v>
      </c>
      <c r="F101" s="458" t="s">
        <v>668</v>
      </c>
      <c r="G101" s="458" t="s">
        <v>441</v>
      </c>
      <c r="H101" s="458" t="s">
        <v>350</v>
      </c>
      <c r="I101" s="459" t="n">
        <v>40528</v>
      </c>
      <c r="J101" s="460" t="n">
        <v>12</v>
      </c>
      <c r="K101" s="631" t="s">
        <v>42</v>
      </c>
      <c r="L101" s="460" t="s">
        <v>58</v>
      </c>
      <c r="M101" s="463" t="n">
        <f aca="false">I101-D101</f>
        <v>1429</v>
      </c>
      <c r="N101" s="4"/>
      <c r="O101" s="4"/>
      <c r="P101" s="4"/>
      <c r="Q101" s="4"/>
      <c r="R101" s="4"/>
    </row>
    <row r="102" customFormat="false" ht="12.75" hidden="false" customHeight="true" outlineLevel="0" collapsed="false">
      <c r="A102" s="449" t="n">
        <v>10110</v>
      </c>
      <c r="B102" s="450" t="s">
        <v>18043</v>
      </c>
      <c r="C102" s="450" t="n">
        <v>2009</v>
      </c>
      <c r="D102" s="451" t="n">
        <v>39987</v>
      </c>
      <c r="E102" s="450" t="s">
        <v>18044</v>
      </c>
      <c r="F102" s="450" t="s">
        <v>3844</v>
      </c>
      <c r="G102" s="450" t="s">
        <v>144</v>
      </c>
      <c r="H102" s="450" t="s">
        <v>2421</v>
      </c>
      <c r="I102" s="451" t="n">
        <v>40533</v>
      </c>
      <c r="J102" s="452" t="n">
        <v>12</v>
      </c>
      <c r="K102" s="631" t="s">
        <v>42</v>
      </c>
      <c r="L102" s="452" t="s">
        <v>58</v>
      </c>
      <c r="M102" s="455" t="n">
        <f aca="false">I102-D102</f>
        <v>546</v>
      </c>
      <c r="N102" s="4"/>
      <c r="O102" s="4"/>
      <c r="P102" s="4"/>
      <c r="Q102" s="4"/>
      <c r="R102" s="4"/>
    </row>
    <row r="103" customFormat="false" ht="12.75" hidden="false" customHeight="true" outlineLevel="0" collapsed="false">
      <c r="A103" s="456" t="n">
        <v>10210</v>
      </c>
      <c r="B103" s="458" t="s">
        <v>18045</v>
      </c>
      <c r="C103" s="458" t="n">
        <v>2009</v>
      </c>
      <c r="D103" s="459" t="n">
        <v>39925</v>
      </c>
      <c r="E103" s="458" t="s">
        <v>18046</v>
      </c>
      <c r="F103" s="458" t="s">
        <v>1609</v>
      </c>
      <c r="G103" s="458" t="s">
        <v>441</v>
      </c>
      <c r="H103" s="458" t="s">
        <v>354</v>
      </c>
      <c r="I103" s="459" t="n">
        <v>40533</v>
      </c>
      <c r="J103" s="460" t="n">
        <v>12</v>
      </c>
      <c r="K103" s="634" t="s">
        <v>45</v>
      </c>
      <c r="L103" s="460" t="s">
        <v>58</v>
      </c>
      <c r="M103" s="463" t="n">
        <f aca="false">I103-D103</f>
        <v>608</v>
      </c>
      <c r="N103" s="4"/>
      <c r="O103" s="4"/>
      <c r="P103" s="4"/>
      <c r="Q103" s="4"/>
      <c r="R103" s="4"/>
    </row>
    <row r="104" customFormat="false" ht="12.75" hidden="false" customHeight="true" outlineLevel="0" collapsed="false">
      <c r="A104" s="449" t="n">
        <v>10310</v>
      </c>
      <c r="B104" s="450" t="s">
        <v>18047</v>
      </c>
      <c r="C104" s="450" t="n">
        <v>2007</v>
      </c>
      <c r="D104" s="451" t="n">
        <v>39185</v>
      </c>
      <c r="E104" s="450" t="s">
        <v>18048</v>
      </c>
      <c r="F104" s="450" t="s">
        <v>17934</v>
      </c>
      <c r="G104" s="450" t="s">
        <v>144</v>
      </c>
      <c r="H104" s="450" t="s">
        <v>2421</v>
      </c>
      <c r="I104" s="451" t="n">
        <v>40533</v>
      </c>
      <c r="J104" s="452" t="n">
        <v>12</v>
      </c>
      <c r="K104" s="633" t="s">
        <v>47</v>
      </c>
      <c r="L104" s="452" t="s">
        <v>60</v>
      </c>
      <c r="M104" s="455" t="n">
        <f aca="false">I104-D104</f>
        <v>1348</v>
      </c>
      <c r="N104" s="4"/>
      <c r="O104" s="4"/>
      <c r="P104" s="4"/>
      <c r="Q104" s="4"/>
      <c r="R104" s="4"/>
    </row>
    <row r="105" customFormat="false" ht="12.75" hidden="false" customHeight="true" outlineLevel="0" collapsed="false">
      <c r="A105" s="456" t="n">
        <v>10410</v>
      </c>
      <c r="B105" s="458" t="s">
        <v>18049</v>
      </c>
      <c r="C105" s="458" t="n">
        <v>2009</v>
      </c>
      <c r="D105" s="459" t="n">
        <v>39834</v>
      </c>
      <c r="E105" s="458" t="s">
        <v>18050</v>
      </c>
      <c r="F105" s="458" t="s">
        <v>1080</v>
      </c>
      <c r="G105" s="458" t="s">
        <v>1174</v>
      </c>
      <c r="H105" s="458" t="s">
        <v>350</v>
      </c>
      <c r="I105" s="459" t="n">
        <v>40542</v>
      </c>
      <c r="J105" s="460" t="n">
        <v>12</v>
      </c>
      <c r="K105" s="634" t="s">
        <v>45</v>
      </c>
      <c r="L105" s="460" t="s">
        <v>58</v>
      </c>
      <c r="M105" s="463" t="n">
        <f aca="false">I105-D105</f>
        <v>708</v>
      </c>
      <c r="N105" s="4"/>
      <c r="O105" s="4"/>
      <c r="P105" s="4"/>
      <c r="Q105" s="4"/>
      <c r="R105" s="4"/>
    </row>
  </sheetData>
  <autoFilter ref="A1:I106"/>
  <mergeCells count="76">
    <mergeCell ref="O2:P2"/>
    <mergeCell ref="O14:S15"/>
    <mergeCell ref="O16:S16"/>
    <mergeCell ref="O17:S17"/>
    <mergeCell ref="O18:S18"/>
    <mergeCell ref="O19:S19"/>
    <mergeCell ref="O20:S20"/>
    <mergeCell ref="O21:S21"/>
    <mergeCell ref="O22:S22"/>
    <mergeCell ref="O23:S23"/>
    <mergeCell ref="O24:S24"/>
    <mergeCell ref="O26:S27"/>
    <mergeCell ref="P28:R28"/>
    <mergeCell ref="P29:R29"/>
    <mergeCell ref="P30:R30"/>
    <mergeCell ref="P31:R31"/>
    <mergeCell ref="P32:R32"/>
    <mergeCell ref="P33:R33"/>
    <mergeCell ref="P34:R34"/>
    <mergeCell ref="P35:R35"/>
    <mergeCell ref="P36:R36"/>
    <mergeCell ref="P37:R37"/>
    <mergeCell ref="P38:R38"/>
    <mergeCell ref="P39:R39"/>
    <mergeCell ref="P40:R40"/>
    <mergeCell ref="P41:R41"/>
    <mergeCell ref="P42:R42"/>
    <mergeCell ref="O44:S45"/>
    <mergeCell ref="P46:R46"/>
    <mergeCell ref="P47:R47"/>
    <mergeCell ref="P48:R48"/>
    <mergeCell ref="P49:R49"/>
    <mergeCell ref="P50:R50"/>
    <mergeCell ref="P51:R51"/>
    <mergeCell ref="P52:R52"/>
    <mergeCell ref="P53:R53"/>
    <mergeCell ref="P54:R54"/>
    <mergeCell ref="P55:R55"/>
    <mergeCell ref="P56:R56"/>
    <mergeCell ref="P57:R57"/>
    <mergeCell ref="P58:R58"/>
    <mergeCell ref="P59:R59"/>
    <mergeCell ref="O61:T62"/>
    <mergeCell ref="O63:R63"/>
    <mergeCell ref="O64:R64"/>
    <mergeCell ref="O65:R65"/>
    <mergeCell ref="O66:R66"/>
    <mergeCell ref="O67:R67"/>
    <mergeCell ref="O68:R68"/>
    <mergeCell ref="O69:R69"/>
    <mergeCell ref="O70:R70"/>
    <mergeCell ref="O71:R71"/>
    <mergeCell ref="O72:R72"/>
    <mergeCell ref="O73:R73"/>
    <mergeCell ref="O74:R74"/>
    <mergeCell ref="O75:R75"/>
    <mergeCell ref="O76:R76"/>
    <mergeCell ref="O78:T79"/>
    <mergeCell ref="O80:R80"/>
    <mergeCell ref="O81:R81"/>
    <mergeCell ref="O82:R82"/>
    <mergeCell ref="O83:R83"/>
    <mergeCell ref="O84:R84"/>
    <mergeCell ref="O85:R85"/>
    <mergeCell ref="O87:R88"/>
    <mergeCell ref="P89:R89"/>
    <mergeCell ref="P90:R90"/>
    <mergeCell ref="P91:R91"/>
    <mergeCell ref="P92:R92"/>
    <mergeCell ref="P93:R93"/>
    <mergeCell ref="P94:R94"/>
    <mergeCell ref="P95:R95"/>
    <mergeCell ref="P96:R96"/>
    <mergeCell ref="P97:R97"/>
    <mergeCell ref="P98:R98"/>
    <mergeCell ref="P99:R99"/>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3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B1" activeCellId="0" sqref="B1"/>
    </sheetView>
  </sheetViews>
  <sheetFormatPr defaultColWidth="14.2890625" defaultRowHeight="12.75" customHeight="false" zeroHeight="false" outlineLevelRow="0" outlineLevelCol="0"/>
  <cols>
    <col collapsed="false" customWidth="true" hidden="false" outlineLevel="0" max="1" min="1" style="0" width="17.29"/>
    <col collapsed="false" customWidth="true" hidden="false" outlineLevel="0" max="2" min="2" style="0" width="22.29"/>
    <col collapsed="false" customWidth="true" hidden="false" outlineLevel="0" max="3" min="3" style="0" width="23.85"/>
    <col collapsed="false" customWidth="true" hidden="false" outlineLevel="0" max="4" min="4" style="0" width="24.57"/>
    <col collapsed="false" customWidth="true" hidden="false" outlineLevel="0" max="5" min="5" style="0" width="39"/>
    <col collapsed="false" customWidth="true" hidden="false" outlineLevel="0" max="6" min="6" style="0" width="41.58"/>
    <col collapsed="false" customWidth="true" hidden="false" outlineLevel="0" max="7" min="7" style="0" width="11.85"/>
    <col collapsed="false" customWidth="true" hidden="false" outlineLevel="0" max="8" min="8" style="0" width="27.57"/>
    <col collapsed="false" customWidth="true" hidden="false" outlineLevel="0" max="9" min="9" style="0" width="23.29"/>
    <col collapsed="false" customWidth="true" hidden="false" outlineLevel="0" max="10" min="10" style="0" width="24.14"/>
    <col collapsed="false" customWidth="true" hidden="false" outlineLevel="0" max="11" min="11" style="0" width="41.28"/>
    <col collapsed="false" customWidth="true" hidden="false" outlineLevel="0" max="12" min="12" style="0" width="58.85"/>
    <col collapsed="false" customWidth="true" hidden="false" outlineLevel="0" max="13" min="13" style="0" width="37.29"/>
    <col collapsed="false" customWidth="true" hidden="false" outlineLevel="0" max="14" min="14" style="0" width="9.14"/>
    <col collapsed="false" customWidth="true" hidden="false" outlineLevel="0" max="15" min="15" style="0" width="27.14"/>
    <col collapsed="false" customWidth="true" hidden="false" outlineLevel="0" max="16" min="16" style="0" width="9.85"/>
    <col collapsed="false" customWidth="true" hidden="false" outlineLevel="0" max="17" min="17" style="0" width="3.42"/>
    <col collapsed="false" customWidth="true" hidden="false" outlineLevel="0" max="18" min="18" style="0" width="39"/>
    <col collapsed="false" customWidth="true" hidden="false" outlineLevel="0" max="19" min="19" style="0" width="62.85"/>
    <col collapsed="false" customWidth="true" hidden="false" outlineLevel="0" max="20" min="20" style="0" width="13.71"/>
    <col collapsed="false" customWidth="true" hidden="false" outlineLevel="0" max="26" min="21" style="0" width="8.71"/>
  </cols>
  <sheetData>
    <row r="1" customFormat="false" ht="12.75" hidden="false" customHeight="true" outlineLevel="0" collapsed="false">
      <c r="A1" s="582" t="s">
        <v>92</v>
      </c>
      <c r="B1" s="585" t="s">
        <v>93</v>
      </c>
      <c r="C1" s="585" t="s">
        <v>89</v>
      </c>
      <c r="D1" s="584" t="s">
        <v>94</v>
      </c>
      <c r="E1" s="585" t="s">
        <v>95</v>
      </c>
      <c r="F1" s="585" t="s">
        <v>96</v>
      </c>
      <c r="G1" s="585" t="s">
        <v>97</v>
      </c>
      <c r="H1" s="585" t="s">
        <v>98</v>
      </c>
      <c r="I1" s="584" t="s">
        <v>99</v>
      </c>
      <c r="J1" s="585" t="s">
        <v>62</v>
      </c>
      <c r="K1" s="586" t="s">
        <v>101</v>
      </c>
      <c r="L1" s="586" t="s">
        <v>102</v>
      </c>
      <c r="M1" s="279" t="s">
        <v>103</v>
      </c>
      <c r="N1" s="4"/>
      <c r="O1" s="4"/>
      <c r="P1" s="4"/>
      <c r="Q1" s="4"/>
      <c r="R1" s="4"/>
      <c r="S1" s="4"/>
    </row>
    <row r="2" customFormat="false" ht="12.75" hidden="false" customHeight="true" outlineLevel="0" collapsed="false">
      <c r="A2" s="449" t="n">
        <v>109</v>
      </c>
      <c r="B2" s="450" t="s">
        <v>18051</v>
      </c>
      <c r="C2" s="450" t="n">
        <v>2007</v>
      </c>
      <c r="D2" s="451" t="n">
        <v>39370</v>
      </c>
      <c r="E2" s="450" t="s">
        <v>18052</v>
      </c>
      <c r="F2" s="450" t="s">
        <v>18053</v>
      </c>
      <c r="G2" s="450" t="s">
        <v>1174</v>
      </c>
      <c r="H2" s="450" t="s">
        <v>18054</v>
      </c>
      <c r="I2" s="451" t="n">
        <v>39820</v>
      </c>
      <c r="J2" s="452" t="n">
        <v>1</v>
      </c>
      <c r="K2" s="631" t="s">
        <v>42</v>
      </c>
      <c r="L2" s="452" t="s">
        <v>58</v>
      </c>
      <c r="M2" s="455" t="n">
        <f aca="false">I2-D2</f>
        <v>450</v>
      </c>
      <c r="N2" s="4"/>
      <c r="O2" s="280" t="s">
        <v>18055</v>
      </c>
      <c r="P2" s="280"/>
      <c r="Q2" s="146"/>
      <c r="R2" s="146"/>
      <c r="S2" s="146"/>
    </row>
    <row r="3" customFormat="false" ht="12.75" hidden="false" customHeight="true" outlineLevel="0" collapsed="false">
      <c r="A3" s="456" t="n">
        <v>209</v>
      </c>
      <c r="B3" s="458" t="s">
        <v>18056</v>
      </c>
      <c r="C3" s="458" t="n">
        <v>2006</v>
      </c>
      <c r="D3" s="459" t="n">
        <v>38799</v>
      </c>
      <c r="E3" s="458" t="s">
        <v>18057</v>
      </c>
      <c r="F3" s="458" t="s">
        <v>17591</v>
      </c>
      <c r="G3" s="458" t="s">
        <v>115</v>
      </c>
      <c r="H3" s="458" t="s">
        <v>453</v>
      </c>
      <c r="I3" s="459" t="n">
        <v>39826</v>
      </c>
      <c r="J3" s="460" t="n">
        <v>1</v>
      </c>
      <c r="K3" s="634" t="s">
        <v>45</v>
      </c>
      <c r="L3" s="458" t="s">
        <v>61</v>
      </c>
      <c r="M3" s="463" t="n">
        <f aca="false">I3-D3</f>
        <v>1027</v>
      </c>
      <c r="N3" s="4"/>
      <c r="O3" s="281" t="s">
        <v>1182</v>
      </c>
      <c r="P3" s="281" t="n">
        <f aca="false">COUNTIF($G$2:$G$476,"PT")</f>
        <v>4</v>
      </c>
      <c r="Q3" s="146"/>
      <c r="R3" s="146"/>
      <c r="S3" s="146"/>
    </row>
    <row r="4" customFormat="false" ht="12.75" hidden="false" customHeight="true" outlineLevel="0" collapsed="false">
      <c r="A4" s="449" t="n">
        <v>309</v>
      </c>
      <c r="B4" s="450" t="s">
        <v>18058</v>
      </c>
      <c r="C4" s="450" t="n">
        <v>2006</v>
      </c>
      <c r="D4" s="451" t="n">
        <v>39003</v>
      </c>
      <c r="E4" s="450" t="s">
        <v>18059</v>
      </c>
      <c r="F4" s="450" t="s">
        <v>172</v>
      </c>
      <c r="G4" s="450" t="s">
        <v>441</v>
      </c>
      <c r="H4" s="450" t="s">
        <v>18060</v>
      </c>
      <c r="I4" s="451" t="n">
        <v>39828</v>
      </c>
      <c r="J4" s="452" t="n">
        <v>1</v>
      </c>
      <c r="K4" s="631" t="s">
        <v>42</v>
      </c>
      <c r="L4" s="452" t="s">
        <v>58</v>
      </c>
      <c r="M4" s="455" t="n">
        <f aca="false">I4-D4</f>
        <v>825</v>
      </c>
      <c r="N4" s="4"/>
      <c r="O4" s="282" t="s">
        <v>1188</v>
      </c>
      <c r="P4" s="282" t="n">
        <f aca="false">COUNTIF($G$2:$G$476,"PTN")</f>
        <v>4</v>
      </c>
      <c r="Q4" s="153"/>
      <c r="R4" s="153"/>
      <c r="S4" s="153"/>
    </row>
    <row r="5" customFormat="false" ht="12.75" hidden="false" customHeight="true" outlineLevel="0" collapsed="false">
      <c r="A5" s="456" t="n">
        <v>409</v>
      </c>
      <c r="B5" s="458" t="s">
        <v>18061</v>
      </c>
      <c r="C5" s="458" t="n">
        <v>2006</v>
      </c>
      <c r="D5" s="459" t="n">
        <v>39016</v>
      </c>
      <c r="E5" s="458" t="s">
        <v>18062</v>
      </c>
      <c r="F5" s="458" t="s">
        <v>18063</v>
      </c>
      <c r="G5" s="458" t="s">
        <v>144</v>
      </c>
      <c r="H5" s="458" t="s">
        <v>413</v>
      </c>
      <c r="I5" s="459" t="n">
        <v>39828</v>
      </c>
      <c r="J5" s="460" t="n">
        <v>1</v>
      </c>
      <c r="K5" s="634" t="s">
        <v>45</v>
      </c>
      <c r="L5" s="458" t="s">
        <v>58</v>
      </c>
      <c r="M5" s="463" t="n">
        <f aca="false">I5-D5</f>
        <v>812</v>
      </c>
      <c r="N5" s="4"/>
      <c r="O5" s="283" t="s">
        <v>1192</v>
      </c>
      <c r="P5" s="283" t="n">
        <f aca="false">COUNTIF($G$2:$G$476,"PTE")</f>
        <v>28</v>
      </c>
      <c r="Q5" s="153"/>
      <c r="R5" s="153"/>
      <c r="S5" s="153"/>
    </row>
    <row r="6" customFormat="false" ht="12.75" hidden="false" customHeight="true" outlineLevel="0" collapsed="false">
      <c r="A6" s="449" t="n">
        <v>509</v>
      </c>
      <c r="B6" s="450" t="s">
        <v>18064</v>
      </c>
      <c r="C6" s="450" t="n">
        <v>2006</v>
      </c>
      <c r="D6" s="451" t="n">
        <v>38946</v>
      </c>
      <c r="E6" s="450" t="s">
        <v>18065</v>
      </c>
      <c r="F6" s="450" t="s">
        <v>18066</v>
      </c>
      <c r="G6" s="450" t="s">
        <v>441</v>
      </c>
      <c r="H6" s="450" t="s">
        <v>15247</v>
      </c>
      <c r="I6" s="451" t="n">
        <v>39829</v>
      </c>
      <c r="J6" s="452" t="n">
        <v>1</v>
      </c>
      <c r="K6" s="631" t="s">
        <v>42</v>
      </c>
      <c r="L6" s="452" t="s">
        <v>58</v>
      </c>
      <c r="M6" s="455" t="n">
        <f aca="false">I6-D6</f>
        <v>883</v>
      </c>
      <c r="N6" s="4"/>
      <c r="O6" s="282" t="s">
        <v>8</v>
      </c>
      <c r="P6" s="282" t="n">
        <f aca="false">COUNTIF($G$2:$G$476,"Pré-Mistura")</f>
        <v>0</v>
      </c>
      <c r="Q6" s="153"/>
      <c r="R6" s="153"/>
      <c r="S6" s="153"/>
    </row>
    <row r="7" customFormat="false" ht="12.75" hidden="false" customHeight="true" outlineLevel="0" collapsed="false">
      <c r="A7" s="456" t="n">
        <v>609</v>
      </c>
      <c r="B7" s="458" t="s">
        <v>18067</v>
      </c>
      <c r="C7" s="458" t="n">
        <v>2007</v>
      </c>
      <c r="D7" s="459" t="n">
        <v>39279</v>
      </c>
      <c r="E7" s="458" t="s">
        <v>18068</v>
      </c>
      <c r="F7" s="458" t="s">
        <v>8232</v>
      </c>
      <c r="G7" s="458" t="s">
        <v>441</v>
      </c>
      <c r="H7" s="458" t="s">
        <v>18069</v>
      </c>
      <c r="I7" s="459" t="n">
        <v>39829</v>
      </c>
      <c r="J7" s="460" t="n">
        <v>1</v>
      </c>
      <c r="K7" s="633" t="s">
        <v>47</v>
      </c>
      <c r="L7" s="458" t="s">
        <v>58</v>
      </c>
      <c r="M7" s="463" t="n">
        <f aca="false">I7-D7</f>
        <v>550</v>
      </c>
      <c r="N7" s="4"/>
      <c r="O7" s="283" t="s">
        <v>110</v>
      </c>
      <c r="P7" s="283" t="n">
        <f aca="false">COUNTIF($G$2:$G$476,"PF")</f>
        <v>30</v>
      </c>
      <c r="Q7" s="153"/>
      <c r="R7" s="153"/>
      <c r="S7" s="153"/>
    </row>
    <row r="8" customFormat="false" ht="12.75" hidden="false" customHeight="true" outlineLevel="0" collapsed="false">
      <c r="A8" s="449" t="n">
        <v>709</v>
      </c>
      <c r="B8" s="450" t="s">
        <v>18070</v>
      </c>
      <c r="C8" s="450" t="n">
        <v>2007</v>
      </c>
      <c r="D8" s="451" t="n">
        <v>39246</v>
      </c>
      <c r="E8" s="450" t="s">
        <v>18071</v>
      </c>
      <c r="F8" s="450" t="s">
        <v>18066</v>
      </c>
      <c r="G8" s="450" t="s">
        <v>1174</v>
      </c>
      <c r="H8" s="450" t="s">
        <v>17981</v>
      </c>
      <c r="I8" s="451" t="n">
        <v>39832</v>
      </c>
      <c r="J8" s="452" t="n">
        <v>1</v>
      </c>
      <c r="K8" s="631" t="s">
        <v>42</v>
      </c>
      <c r="L8" s="452" t="s">
        <v>58</v>
      </c>
      <c r="M8" s="455" t="n">
        <f aca="false">I8-D8</f>
        <v>586</v>
      </c>
      <c r="N8" s="4"/>
      <c r="O8" s="282" t="s">
        <v>115</v>
      </c>
      <c r="P8" s="282" t="n">
        <f aca="false">COUNTIF($G$2:$G$476,"PFN")</f>
        <v>7</v>
      </c>
      <c r="Q8" s="153"/>
      <c r="R8" s="153"/>
      <c r="S8" s="153"/>
    </row>
    <row r="9" customFormat="false" ht="12.75" hidden="false" customHeight="true" outlineLevel="0" collapsed="false">
      <c r="A9" s="456" t="n">
        <v>809</v>
      </c>
      <c r="B9" s="458" t="s">
        <v>18072</v>
      </c>
      <c r="C9" s="458" t="n">
        <v>2006</v>
      </c>
      <c r="D9" s="459" t="n">
        <v>38761</v>
      </c>
      <c r="E9" s="458" t="s">
        <v>18073</v>
      </c>
      <c r="F9" s="458" t="s">
        <v>17591</v>
      </c>
      <c r="G9" s="458" t="s">
        <v>115</v>
      </c>
      <c r="H9" s="458" t="s">
        <v>453</v>
      </c>
      <c r="I9" s="459" t="n">
        <v>39832</v>
      </c>
      <c r="J9" s="460" t="n">
        <v>1</v>
      </c>
      <c r="K9" s="634" t="s">
        <v>45</v>
      </c>
      <c r="L9" s="458" t="s">
        <v>61</v>
      </c>
      <c r="M9" s="463" t="n">
        <f aca="false">I9-D9</f>
        <v>1071</v>
      </c>
      <c r="N9" s="4"/>
      <c r="O9" s="283" t="s">
        <v>120</v>
      </c>
      <c r="P9" s="283" t="n">
        <f aca="false">COUNTIF($G$2:$G$476,"PF/PTE")</f>
        <v>62</v>
      </c>
      <c r="Q9" s="153"/>
      <c r="R9" s="153"/>
      <c r="S9" s="153"/>
    </row>
    <row r="10" customFormat="false" ht="12.75" hidden="false" customHeight="true" outlineLevel="0" collapsed="false">
      <c r="A10" s="449" t="n">
        <v>909</v>
      </c>
      <c r="B10" s="450" t="s">
        <v>18074</v>
      </c>
      <c r="C10" s="450" t="n">
        <v>2004</v>
      </c>
      <c r="D10" s="451" t="n">
        <v>38343</v>
      </c>
      <c r="E10" s="450" t="s">
        <v>18075</v>
      </c>
      <c r="F10" s="450" t="s">
        <v>168</v>
      </c>
      <c r="G10" s="450" t="s">
        <v>441</v>
      </c>
      <c r="H10" s="450" t="s">
        <v>4900</v>
      </c>
      <c r="I10" s="451" t="n">
        <v>39843</v>
      </c>
      <c r="J10" s="452" t="n">
        <v>1</v>
      </c>
      <c r="K10" s="631" t="s">
        <v>42</v>
      </c>
      <c r="L10" s="452" t="s">
        <v>58</v>
      </c>
      <c r="M10" s="455" t="n">
        <f aca="false">I10-D10</f>
        <v>1500</v>
      </c>
      <c r="N10" s="4"/>
      <c r="O10" s="282" t="s">
        <v>125</v>
      </c>
      <c r="P10" s="282" t="n">
        <f aca="false">COUNTIF($G$2:$G$476,"Bio")</f>
        <v>2</v>
      </c>
      <c r="Q10" s="153"/>
      <c r="R10" s="153"/>
      <c r="S10" s="153"/>
    </row>
    <row r="11" customFormat="false" ht="12.75" hidden="false" customHeight="true" outlineLevel="0" collapsed="false">
      <c r="A11" s="456" t="n">
        <v>1009</v>
      </c>
      <c r="B11" s="458" t="s">
        <v>18076</v>
      </c>
      <c r="C11" s="458" t="n">
        <v>1998</v>
      </c>
      <c r="D11" s="459" t="n">
        <v>36115</v>
      </c>
      <c r="E11" s="458" t="s">
        <v>18077</v>
      </c>
      <c r="F11" s="458" t="s">
        <v>18078</v>
      </c>
      <c r="G11" s="458" t="s">
        <v>144</v>
      </c>
      <c r="H11" s="458" t="s">
        <v>4438</v>
      </c>
      <c r="I11" s="459" t="n">
        <v>39847</v>
      </c>
      <c r="J11" s="460" t="n">
        <v>2</v>
      </c>
      <c r="K11" s="634" t="s">
        <v>45</v>
      </c>
      <c r="L11" s="458" t="s">
        <v>58</v>
      </c>
      <c r="M11" s="463" t="n">
        <f aca="false">I11-D11</f>
        <v>3732</v>
      </c>
      <c r="N11" s="4"/>
      <c r="O11" s="284" t="s">
        <v>130</v>
      </c>
      <c r="P11" s="284" t="n">
        <f aca="false">COUNTIF($G$2:$G$476,"Bio/Org")</f>
        <v>0</v>
      </c>
      <c r="Q11" s="153"/>
      <c r="R11" s="153"/>
      <c r="S11" s="153"/>
    </row>
    <row r="12" customFormat="false" ht="12.75" hidden="false" customHeight="true" outlineLevel="0" collapsed="false">
      <c r="A12" s="449" t="n">
        <v>1109</v>
      </c>
      <c r="B12" s="450" t="s">
        <v>18079</v>
      </c>
      <c r="C12" s="450" t="n">
        <v>2008</v>
      </c>
      <c r="D12" s="451" t="n">
        <v>39476</v>
      </c>
      <c r="E12" s="450" t="s">
        <v>18080</v>
      </c>
      <c r="F12" s="450" t="s">
        <v>537</v>
      </c>
      <c r="G12" s="450" t="s">
        <v>441</v>
      </c>
      <c r="H12" s="450" t="s">
        <v>17894</v>
      </c>
      <c r="I12" s="451" t="n">
        <v>39850</v>
      </c>
      <c r="J12" s="452" t="n">
        <v>2</v>
      </c>
      <c r="K12" s="633" t="s">
        <v>47</v>
      </c>
      <c r="L12" s="452" t="s">
        <v>58</v>
      </c>
      <c r="M12" s="455" t="n">
        <f aca="false">I12-D12</f>
        <v>374</v>
      </c>
      <c r="N12" s="4"/>
      <c r="O12" s="285" t="s">
        <v>140</v>
      </c>
      <c r="P12" s="286" t="n">
        <f aca="false">SUM(P3:P11)</f>
        <v>137</v>
      </c>
      <c r="Q12" s="153"/>
      <c r="R12" s="153"/>
      <c r="S12" s="153"/>
    </row>
    <row r="13" customFormat="false" ht="12.75" hidden="false" customHeight="true" outlineLevel="0" collapsed="false">
      <c r="A13" s="456" t="n">
        <v>1209</v>
      </c>
      <c r="B13" s="458" t="s">
        <v>18081</v>
      </c>
      <c r="C13" s="458" t="n">
        <v>2006</v>
      </c>
      <c r="D13" s="459" t="n">
        <v>39069</v>
      </c>
      <c r="E13" s="458" t="s">
        <v>18082</v>
      </c>
      <c r="F13" s="458" t="s">
        <v>18083</v>
      </c>
      <c r="G13" s="458" t="s">
        <v>144</v>
      </c>
      <c r="H13" s="458" t="s">
        <v>4438</v>
      </c>
      <c r="I13" s="459" t="n">
        <v>39856</v>
      </c>
      <c r="J13" s="460" t="n">
        <v>2</v>
      </c>
      <c r="K13" s="634" t="s">
        <v>45</v>
      </c>
      <c r="L13" s="458" t="s">
        <v>58</v>
      </c>
      <c r="M13" s="463" t="n">
        <f aca="false">I13-D13</f>
        <v>787</v>
      </c>
      <c r="N13" s="4"/>
      <c r="O13" s="153"/>
      <c r="P13" s="153"/>
      <c r="Q13" s="153"/>
      <c r="R13" s="287"/>
      <c r="S13" s="287"/>
    </row>
    <row r="14" customFormat="false" ht="13.5" hidden="false" customHeight="true" outlineLevel="0" collapsed="false">
      <c r="A14" s="449" t="n">
        <v>1309</v>
      </c>
      <c r="B14" s="450" t="s">
        <v>18084</v>
      </c>
      <c r="C14" s="450" t="n">
        <v>2003</v>
      </c>
      <c r="D14" s="451" t="n">
        <v>37971</v>
      </c>
      <c r="E14" s="450" t="s">
        <v>18085</v>
      </c>
      <c r="F14" s="450" t="s">
        <v>18086</v>
      </c>
      <c r="G14" s="450" t="s">
        <v>1188</v>
      </c>
      <c r="H14" s="450" t="s">
        <v>5888</v>
      </c>
      <c r="I14" s="451" t="n">
        <v>39857</v>
      </c>
      <c r="J14" s="452" t="n">
        <v>2</v>
      </c>
      <c r="K14" s="633" t="s">
        <v>47</v>
      </c>
      <c r="L14" s="452" t="s">
        <v>60</v>
      </c>
      <c r="M14" s="455" t="n">
        <f aca="false">I14-D14</f>
        <v>1886</v>
      </c>
      <c r="N14" s="4"/>
      <c r="O14" s="411" t="s">
        <v>151</v>
      </c>
      <c r="P14" s="411"/>
      <c r="Q14" s="411"/>
      <c r="R14" s="411"/>
      <c r="S14" s="411"/>
    </row>
    <row r="15" customFormat="false" ht="14.25" hidden="false" customHeight="true" outlineLevel="0" collapsed="false">
      <c r="A15" s="456" t="n">
        <v>1409</v>
      </c>
      <c r="B15" s="458" t="s">
        <v>18087</v>
      </c>
      <c r="C15" s="458" t="n">
        <v>2008</v>
      </c>
      <c r="D15" s="459" t="n">
        <v>39563</v>
      </c>
      <c r="E15" s="458" t="s">
        <v>18088</v>
      </c>
      <c r="F15" s="458" t="s">
        <v>5359</v>
      </c>
      <c r="G15" s="458" t="s">
        <v>441</v>
      </c>
      <c r="H15" s="458" t="s">
        <v>3056</v>
      </c>
      <c r="I15" s="459" t="n">
        <v>39857</v>
      </c>
      <c r="J15" s="460" t="n">
        <v>2</v>
      </c>
      <c r="K15" s="631" t="s">
        <v>42</v>
      </c>
      <c r="L15" s="458" t="s">
        <v>58</v>
      </c>
      <c r="M15" s="463" t="n">
        <f aca="false">I15-D15</f>
        <v>294</v>
      </c>
      <c r="N15" s="4"/>
      <c r="O15" s="411"/>
      <c r="P15" s="411"/>
      <c r="Q15" s="411"/>
      <c r="R15" s="411"/>
      <c r="S15" s="411"/>
    </row>
    <row r="16" customFormat="false" ht="12.75" hidden="false" customHeight="true" outlineLevel="0" collapsed="false">
      <c r="A16" s="449" t="n">
        <v>1509</v>
      </c>
      <c r="B16" s="450" t="s">
        <v>18089</v>
      </c>
      <c r="C16" s="450" t="n">
        <v>2008</v>
      </c>
      <c r="D16" s="451" t="n">
        <v>39531</v>
      </c>
      <c r="E16" s="450" t="s">
        <v>18090</v>
      </c>
      <c r="F16" s="450" t="s">
        <v>5359</v>
      </c>
      <c r="G16" s="450" t="s">
        <v>441</v>
      </c>
      <c r="H16" s="450" t="s">
        <v>3056</v>
      </c>
      <c r="I16" s="451" t="n">
        <v>39857</v>
      </c>
      <c r="J16" s="452" t="n">
        <v>2</v>
      </c>
      <c r="K16" s="631" t="s">
        <v>42</v>
      </c>
      <c r="L16" s="452" t="s">
        <v>58</v>
      </c>
      <c r="M16" s="455" t="n">
        <f aca="false">I16-D16</f>
        <v>326</v>
      </c>
      <c r="N16" s="4"/>
      <c r="O16" s="412" t="s">
        <v>2194</v>
      </c>
      <c r="P16" s="412"/>
      <c r="Q16" s="412"/>
      <c r="R16" s="412"/>
      <c r="S16" s="412"/>
    </row>
    <row r="17" customFormat="false" ht="12.75" hidden="false" customHeight="true" outlineLevel="0" collapsed="false">
      <c r="A17" s="456" t="n">
        <v>1609</v>
      </c>
      <c r="B17" s="458" t="s">
        <v>18091</v>
      </c>
      <c r="C17" s="458" t="n">
        <v>2007</v>
      </c>
      <c r="D17" s="459" t="n">
        <v>39444</v>
      </c>
      <c r="E17" s="458" t="s">
        <v>18092</v>
      </c>
      <c r="F17" s="458" t="s">
        <v>18066</v>
      </c>
      <c r="G17" s="458" t="s">
        <v>441</v>
      </c>
      <c r="H17" s="458" t="s">
        <v>17981</v>
      </c>
      <c r="I17" s="459" t="n">
        <v>39860</v>
      </c>
      <c r="J17" s="460" t="n">
        <v>2</v>
      </c>
      <c r="K17" s="631" t="s">
        <v>42</v>
      </c>
      <c r="L17" s="458" t="s">
        <v>58</v>
      </c>
      <c r="M17" s="463" t="n">
        <f aca="false">I17-D17</f>
        <v>416</v>
      </c>
      <c r="N17" s="4"/>
      <c r="O17" s="413" t="s">
        <v>2198</v>
      </c>
      <c r="P17" s="413"/>
      <c r="Q17" s="413"/>
      <c r="R17" s="413"/>
      <c r="S17" s="413"/>
    </row>
    <row r="18" customFormat="false" ht="12.75" hidden="false" customHeight="true" outlineLevel="0" collapsed="false">
      <c r="A18" s="449" t="n">
        <v>1709</v>
      </c>
      <c r="B18" s="450" t="s">
        <v>18093</v>
      </c>
      <c r="C18" s="450" t="n">
        <v>2003</v>
      </c>
      <c r="D18" s="451" t="n">
        <v>37977</v>
      </c>
      <c r="E18" s="450" t="s">
        <v>18094</v>
      </c>
      <c r="F18" s="450" t="s">
        <v>18086</v>
      </c>
      <c r="G18" s="450" t="s">
        <v>115</v>
      </c>
      <c r="H18" s="450" t="s">
        <v>5888</v>
      </c>
      <c r="I18" s="451" t="n">
        <v>39860</v>
      </c>
      <c r="J18" s="452" t="n">
        <v>2</v>
      </c>
      <c r="K18" s="633" t="s">
        <v>47</v>
      </c>
      <c r="L18" s="452" t="s">
        <v>58</v>
      </c>
      <c r="M18" s="455" t="n">
        <f aca="false">I18-D18</f>
        <v>1883</v>
      </c>
      <c r="N18" s="4"/>
      <c r="O18" s="414" t="s">
        <v>2203</v>
      </c>
      <c r="P18" s="414"/>
      <c r="Q18" s="414"/>
      <c r="R18" s="414"/>
      <c r="S18" s="414"/>
    </row>
    <row r="19" customFormat="false" ht="12.75" hidden="false" customHeight="true" outlineLevel="0" collapsed="false">
      <c r="A19" s="456" t="n">
        <v>1809</v>
      </c>
      <c r="B19" s="458" t="s">
        <v>18095</v>
      </c>
      <c r="C19" s="458" t="n">
        <v>2006</v>
      </c>
      <c r="D19" s="459" t="n">
        <v>39071</v>
      </c>
      <c r="E19" s="458" t="s">
        <v>18096</v>
      </c>
      <c r="F19" s="458" t="s">
        <v>17951</v>
      </c>
      <c r="G19" s="458" t="s">
        <v>144</v>
      </c>
      <c r="H19" s="458" t="s">
        <v>18097</v>
      </c>
      <c r="I19" s="459" t="n">
        <v>39861</v>
      </c>
      <c r="J19" s="460" t="n">
        <v>2</v>
      </c>
      <c r="K19" s="631" t="s">
        <v>42</v>
      </c>
      <c r="L19" s="458" t="s">
        <v>58</v>
      </c>
      <c r="M19" s="463" t="n">
        <f aca="false">I19-D19</f>
        <v>790</v>
      </c>
      <c r="N19" s="4"/>
      <c r="O19" s="413" t="s">
        <v>2207</v>
      </c>
      <c r="P19" s="413"/>
      <c r="Q19" s="413"/>
      <c r="R19" s="413"/>
      <c r="S19" s="413"/>
    </row>
    <row r="20" customFormat="false" ht="12.75" hidden="false" customHeight="true" outlineLevel="0" collapsed="false">
      <c r="A20" s="449" t="n">
        <v>1909</v>
      </c>
      <c r="B20" s="450" t="s">
        <v>18098</v>
      </c>
      <c r="C20" s="450" t="n">
        <v>2005</v>
      </c>
      <c r="D20" s="451" t="n">
        <v>38629</v>
      </c>
      <c r="E20" s="450" t="s">
        <v>18099</v>
      </c>
      <c r="F20" s="450" t="s">
        <v>18100</v>
      </c>
      <c r="G20" s="450" t="s">
        <v>1188</v>
      </c>
      <c r="H20" s="450" t="s">
        <v>413</v>
      </c>
      <c r="I20" s="451" t="n">
        <v>39877</v>
      </c>
      <c r="J20" s="452" t="n">
        <v>3</v>
      </c>
      <c r="K20" s="631" t="s">
        <v>42</v>
      </c>
      <c r="L20" s="452" t="s">
        <v>58</v>
      </c>
      <c r="M20" s="455" t="n">
        <f aca="false">I20-D20</f>
        <v>1248</v>
      </c>
      <c r="N20" s="4"/>
      <c r="O20" s="414" t="s">
        <v>2211</v>
      </c>
      <c r="P20" s="414"/>
      <c r="Q20" s="414"/>
      <c r="R20" s="414"/>
      <c r="S20" s="414"/>
    </row>
    <row r="21" customFormat="false" ht="12.75" hidden="false" customHeight="true" outlineLevel="0" collapsed="false">
      <c r="A21" s="456" t="n">
        <v>2009</v>
      </c>
      <c r="B21" s="458" t="s">
        <v>18101</v>
      </c>
      <c r="C21" s="458" t="n">
        <v>2007</v>
      </c>
      <c r="D21" s="459" t="n">
        <v>39443</v>
      </c>
      <c r="E21" s="458" t="s">
        <v>18102</v>
      </c>
      <c r="F21" s="458" t="s">
        <v>172</v>
      </c>
      <c r="G21" s="458" t="s">
        <v>441</v>
      </c>
      <c r="H21" s="458" t="s">
        <v>18060</v>
      </c>
      <c r="I21" s="459" t="n">
        <v>39881</v>
      </c>
      <c r="J21" s="460" t="n">
        <v>3</v>
      </c>
      <c r="K21" s="631" t="s">
        <v>42</v>
      </c>
      <c r="L21" s="458" t="s">
        <v>58</v>
      </c>
      <c r="M21" s="463" t="n">
        <f aca="false">I21-D21</f>
        <v>438</v>
      </c>
      <c r="N21" s="4"/>
      <c r="O21" s="413" t="s">
        <v>2215</v>
      </c>
      <c r="P21" s="413"/>
      <c r="Q21" s="413"/>
      <c r="R21" s="413"/>
      <c r="S21" s="413"/>
    </row>
    <row r="22" customFormat="false" ht="12.75" hidden="false" customHeight="true" outlineLevel="0" collapsed="false">
      <c r="A22" s="449" t="n">
        <v>2109</v>
      </c>
      <c r="B22" s="450" t="s">
        <v>18103</v>
      </c>
      <c r="C22" s="450" t="n">
        <v>2008</v>
      </c>
      <c r="D22" s="451" t="n">
        <v>39534</v>
      </c>
      <c r="E22" s="450" t="s">
        <v>18104</v>
      </c>
      <c r="F22" s="450" t="s">
        <v>606</v>
      </c>
      <c r="G22" s="450" t="s">
        <v>144</v>
      </c>
      <c r="H22" s="450" t="s">
        <v>4438</v>
      </c>
      <c r="I22" s="451" t="n">
        <v>39885</v>
      </c>
      <c r="J22" s="452" t="n">
        <v>3</v>
      </c>
      <c r="K22" s="632" t="s">
        <v>50</v>
      </c>
      <c r="L22" s="452" t="s">
        <v>58</v>
      </c>
      <c r="M22" s="455" t="n">
        <f aca="false">I22-D22</f>
        <v>351</v>
      </c>
      <c r="N22" s="4"/>
      <c r="O22" s="414" t="s">
        <v>2220</v>
      </c>
      <c r="P22" s="414"/>
      <c r="Q22" s="414"/>
      <c r="R22" s="414"/>
      <c r="S22" s="414"/>
    </row>
    <row r="23" customFormat="false" ht="12.75" hidden="false" customHeight="true" outlineLevel="0" collapsed="false">
      <c r="A23" s="456" t="n">
        <v>2209</v>
      </c>
      <c r="B23" s="458" t="s">
        <v>18105</v>
      </c>
      <c r="C23" s="458" t="n">
        <v>2008</v>
      </c>
      <c r="D23" s="459" t="n">
        <v>39534</v>
      </c>
      <c r="E23" s="458" t="s">
        <v>18106</v>
      </c>
      <c r="F23" s="458" t="s">
        <v>606</v>
      </c>
      <c r="G23" s="458" t="s">
        <v>144</v>
      </c>
      <c r="H23" s="458" t="s">
        <v>4438</v>
      </c>
      <c r="I23" s="459" t="n">
        <v>39885</v>
      </c>
      <c r="J23" s="460" t="n">
        <v>3</v>
      </c>
      <c r="K23" s="632" t="s">
        <v>50</v>
      </c>
      <c r="L23" s="458" t="s">
        <v>58</v>
      </c>
      <c r="M23" s="463" t="n">
        <f aca="false">I23-D23</f>
        <v>351</v>
      </c>
      <c r="N23" s="4"/>
      <c r="O23" s="413" t="s">
        <v>18107</v>
      </c>
      <c r="P23" s="413"/>
      <c r="Q23" s="413"/>
      <c r="R23" s="413"/>
      <c r="S23" s="413"/>
    </row>
    <row r="24" customFormat="false" ht="12.75" hidden="false" customHeight="true" outlineLevel="0" collapsed="false">
      <c r="A24" s="449" t="n">
        <v>2309</v>
      </c>
      <c r="B24" s="450" t="s">
        <v>18108</v>
      </c>
      <c r="C24" s="450" t="n">
        <v>2006</v>
      </c>
      <c r="D24" s="451" t="n">
        <v>39050</v>
      </c>
      <c r="E24" s="450" t="s">
        <v>18109</v>
      </c>
      <c r="F24" s="450" t="s">
        <v>15074</v>
      </c>
      <c r="G24" s="450" t="s">
        <v>144</v>
      </c>
      <c r="H24" s="450" t="s">
        <v>413</v>
      </c>
      <c r="I24" s="451" t="n">
        <v>39889</v>
      </c>
      <c r="J24" s="452" t="n">
        <v>3</v>
      </c>
      <c r="K24" s="633" t="s">
        <v>47</v>
      </c>
      <c r="L24" s="452" t="s">
        <v>60</v>
      </c>
      <c r="M24" s="455" t="n">
        <f aca="false">I24-D24</f>
        <v>839</v>
      </c>
      <c r="N24" s="4"/>
      <c r="O24" s="415" t="s">
        <v>2229</v>
      </c>
      <c r="P24" s="415"/>
      <c r="Q24" s="415"/>
      <c r="R24" s="415"/>
      <c r="S24" s="415"/>
    </row>
    <row r="25" customFormat="false" ht="12.75" hidden="false" customHeight="true" outlineLevel="0" collapsed="false">
      <c r="A25" s="456" t="n">
        <v>2409</v>
      </c>
      <c r="B25" s="458" t="s">
        <v>18110</v>
      </c>
      <c r="C25" s="458" t="n">
        <v>2008</v>
      </c>
      <c r="D25" s="459" t="n">
        <v>39475</v>
      </c>
      <c r="E25" s="458" t="s">
        <v>18111</v>
      </c>
      <c r="F25" s="458" t="s">
        <v>8232</v>
      </c>
      <c r="G25" s="458" t="s">
        <v>441</v>
      </c>
      <c r="H25" s="458" t="s">
        <v>354</v>
      </c>
      <c r="I25" s="459" t="n">
        <v>39890</v>
      </c>
      <c r="J25" s="460" t="n">
        <v>3</v>
      </c>
      <c r="K25" s="633" t="s">
        <v>47</v>
      </c>
      <c r="L25" s="458" t="s">
        <v>60</v>
      </c>
      <c r="M25" s="463" t="n">
        <f aca="false">I25-D25</f>
        <v>415</v>
      </c>
      <c r="N25" s="4"/>
      <c r="O25" s="153"/>
      <c r="P25" s="153"/>
      <c r="Q25" s="153"/>
      <c r="R25" s="153"/>
      <c r="S25" s="153"/>
    </row>
    <row r="26" customFormat="false" ht="13.5" hidden="false" customHeight="true" outlineLevel="0" collapsed="false">
      <c r="A26" s="449" t="n">
        <v>2509</v>
      </c>
      <c r="B26" s="450" t="s">
        <v>18112</v>
      </c>
      <c r="C26" s="450" t="n">
        <v>2005</v>
      </c>
      <c r="D26" s="451" t="n">
        <v>38636</v>
      </c>
      <c r="E26" s="450" t="s">
        <v>18113</v>
      </c>
      <c r="F26" s="450" t="s">
        <v>18100</v>
      </c>
      <c r="G26" s="450" t="s">
        <v>115</v>
      </c>
      <c r="H26" s="450" t="s">
        <v>413</v>
      </c>
      <c r="I26" s="451" t="n">
        <v>39892</v>
      </c>
      <c r="J26" s="452" t="n">
        <v>3</v>
      </c>
      <c r="K26" s="633" t="s">
        <v>47</v>
      </c>
      <c r="L26" s="452" t="s">
        <v>60</v>
      </c>
      <c r="M26" s="455" t="n">
        <f aca="false">I26-D26</f>
        <v>1256</v>
      </c>
      <c r="N26" s="4"/>
      <c r="O26" s="326" t="s">
        <v>185</v>
      </c>
      <c r="P26" s="326"/>
      <c r="Q26" s="326"/>
      <c r="R26" s="326"/>
      <c r="S26" s="326"/>
    </row>
    <row r="27" customFormat="false" ht="13.5" hidden="false" customHeight="true" outlineLevel="0" collapsed="false">
      <c r="A27" s="456" t="n">
        <v>2609</v>
      </c>
      <c r="B27" s="458" t="s">
        <v>18114</v>
      </c>
      <c r="C27" s="458" t="n">
        <v>2008</v>
      </c>
      <c r="D27" s="459" t="n">
        <v>39506</v>
      </c>
      <c r="E27" s="458" t="s">
        <v>18115</v>
      </c>
      <c r="F27" s="458" t="s">
        <v>6073</v>
      </c>
      <c r="G27" s="458" t="s">
        <v>1174</v>
      </c>
      <c r="H27" s="458" t="s">
        <v>1059</v>
      </c>
      <c r="I27" s="459" t="n">
        <v>39895</v>
      </c>
      <c r="J27" s="460" t="n">
        <v>3</v>
      </c>
      <c r="K27" s="633" t="s">
        <v>47</v>
      </c>
      <c r="L27" s="458" t="s">
        <v>58</v>
      </c>
      <c r="M27" s="463" t="n">
        <f aca="false">I27-D27</f>
        <v>389</v>
      </c>
      <c r="N27" s="4"/>
      <c r="O27" s="326"/>
      <c r="P27" s="326"/>
      <c r="Q27" s="326"/>
      <c r="R27" s="326"/>
      <c r="S27" s="326"/>
    </row>
    <row r="28" customFormat="false" ht="12.75" hidden="false" customHeight="true" outlineLevel="0" collapsed="false">
      <c r="A28" s="449" t="n">
        <v>2709</v>
      </c>
      <c r="B28" s="450" t="s">
        <v>18116</v>
      </c>
      <c r="C28" s="450" t="n">
        <v>2007</v>
      </c>
      <c r="D28" s="451" t="n">
        <v>39171</v>
      </c>
      <c r="E28" s="450" t="s">
        <v>18117</v>
      </c>
      <c r="F28" s="450" t="s">
        <v>18017</v>
      </c>
      <c r="G28" s="450" t="s">
        <v>1174</v>
      </c>
      <c r="H28" s="450" t="s">
        <v>17894</v>
      </c>
      <c r="I28" s="451" t="n">
        <v>39898</v>
      </c>
      <c r="J28" s="452" t="n">
        <v>3</v>
      </c>
      <c r="K28" s="633" t="s">
        <v>47</v>
      </c>
      <c r="L28" s="452" t="s">
        <v>60</v>
      </c>
      <c r="M28" s="455" t="n">
        <f aca="false">I28-D28</f>
        <v>727</v>
      </c>
      <c r="N28" s="4"/>
      <c r="O28" s="309" t="s">
        <v>39</v>
      </c>
      <c r="P28" s="416" t="s">
        <v>40</v>
      </c>
      <c r="Q28" s="416"/>
      <c r="R28" s="416"/>
      <c r="S28" s="313" t="s">
        <v>41</v>
      </c>
    </row>
    <row r="29" customFormat="false" ht="12.75" hidden="false" customHeight="true" outlineLevel="0" collapsed="false">
      <c r="A29" s="456" t="n">
        <v>2809</v>
      </c>
      <c r="B29" s="458" t="s">
        <v>18118</v>
      </c>
      <c r="C29" s="458" t="n">
        <v>2006</v>
      </c>
      <c r="D29" s="459" t="n">
        <v>38768</v>
      </c>
      <c r="E29" s="458" t="s">
        <v>18119</v>
      </c>
      <c r="F29" s="458" t="s">
        <v>379</v>
      </c>
      <c r="G29" s="458" t="s">
        <v>441</v>
      </c>
      <c r="H29" s="458" t="s">
        <v>2654</v>
      </c>
      <c r="I29" s="459" t="n">
        <v>39902</v>
      </c>
      <c r="J29" s="460" t="n">
        <v>3</v>
      </c>
      <c r="K29" s="631" t="s">
        <v>42</v>
      </c>
      <c r="L29" s="458" t="s">
        <v>58</v>
      </c>
      <c r="M29" s="463" t="n">
        <f aca="false">I29-D29</f>
        <v>1134</v>
      </c>
      <c r="N29" s="4"/>
      <c r="O29" s="283" t="n">
        <v>1997</v>
      </c>
      <c r="P29" s="283" t="n">
        <f aca="false">COUNTIF($C$2:$C$503,"1997")</f>
        <v>0</v>
      </c>
      <c r="Q29" s="283"/>
      <c r="R29" s="283"/>
      <c r="S29" s="315" t="n">
        <f aca="false">P29/P42</f>
        <v>0</v>
      </c>
    </row>
    <row r="30" customFormat="false" ht="12.75" hidden="false" customHeight="true" outlineLevel="0" collapsed="false">
      <c r="A30" s="449" t="n">
        <v>2909</v>
      </c>
      <c r="B30" s="450" t="s">
        <v>18120</v>
      </c>
      <c r="C30" s="450" t="n">
        <v>2006</v>
      </c>
      <c r="D30" s="451" t="n">
        <v>38953</v>
      </c>
      <c r="E30" s="450" t="s">
        <v>18121</v>
      </c>
      <c r="F30" s="450" t="s">
        <v>365</v>
      </c>
      <c r="G30" s="450" t="s">
        <v>441</v>
      </c>
      <c r="H30" s="450" t="s">
        <v>12073</v>
      </c>
      <c r="I30" s="451" t="n">
        <v>39904</v>
      </c>
      <c r="J30" s="452" t="n">
        <v>4</v>
      </c>
      <c r="K30" s="633" t="s">
        <v>47</v>
      </c>
      <c r="L30" s="452" t="s">
        <v>58</v>
      </c>
      <c r="M30" s="455" t="n">
        <f aca="false">I30-D30</f>
        <v>951</v>
      </c>
      <c r="N30" s="4"/>
      <c r="O30" s="282" t="n">
        <v>1998</v>
      </c>
      <c r="P30" s="282" t="n">
        <f aca="false">COUNTIF($C$2:$C$503,"1998")</f>
        <v>2</v>
      </c>
      <c r="Q30" s="282"/>
      <c r="R30" s="282"/>
      <c r="S30" s="316" t="n">
        <f aca="false">P30/P42</f>
        <v>0.0145985401459854</v>
      </c>
    </row>
    <row r="31" customFormat="false" ht="12.75" hidden="false" customHeight="true" outlineLevel="0" collapsed="false">
      <c r="A31" s="456" t="n">
        <v>3009</v>
      </c>
      <c r="B31" s="458" t="s">
        <v>18122</v>
      </c>
      <c r="C31" s="458" t="n">
        <v>2008</v>
      </c>
      <c r="D31" s="459" t="n">
        <v>39608</v>
      </c>
      <c r="E31" s="458" t="s">
        <v>18123</v>
      </c>
      <c r="F31" s="458" t="s">
        <v>1097</v>
      </c>
      <c r="G31" s="458" t="s">
        <v>441</v>
      </c>
      <c r="H31" s="458" t="s">
        <v>3056</v>
      </c>
      <c r="I31" s="459" t="n">
        <v>39904</v>
      </c>
      <c r="J31" s="460" t="n">
        <v>4</v>
      </c>
      <c r="K31" s="631" t="s">
        <v>42</v>
      </c>
      <c r="L31" s="458" t="s">
        <v>60</v>
      </c>
      <c r="M31" s="463" t="n">
        <f aca="false">I31-D31</f>
        <v>296</v>
      </c>
      <c r="N31" s="4"/>
      <c r="O31" s="283" t="n">
        <v>1999</v>
      </c>
      <c r="P31" s="283" t="n">
        <f aca="false">COUNTIF($C$2:$C$503,"1999")</f>
        <v>1</v>
      </c>
      <c r="Q31" s="283"/>
      <c r="R31" s="283"/>
      <c r="S31" s="315" t="n">
        <f aca="false">P31/P42</f>
        <v>0.0072992700729927</v>
      </c>
    </row>
    <row r="32" customFormat="false" ht="12.75" hidden="false" customHeight="true" outlineLevel="0" collapsed="false">
      <c r="A32" s="449" t="n">
        <v>3109</v>
      </c>
      <c r="B32" s="450" t="s">
        <v>18124</v>
      </c>
      <c r="C32" s="450" t="n">
        <v>2006</v>
      </c>
      <c r="D32" s="451" t="n">
        <v>39001</v>
      </c>
      <c r="E32" s="450" t="s">
        <v>18125</v>
      </c>
      <c r="F32" s="450" t="s">
        <v>3489</v>
      </c>
      <c r="G32" s="450" t="s">
        <v>144</v>
      </c>
      <c r="H32" s="450" t="s">
        <v>4438</v>
      </c>
      <c r="I32" s="451" t="n">
        <v>39905</v>
      </c>
      <c r="J32" s="452" t="n">
        <v>4</v>
      </c>
      <c r="K32" s="631" t="s">
        <v>42</v>
      </c>
      <c r="L32" s="452" t="s">
        <v>58</v>
      </c>
      <c r="M32" s="455" t="n">
        <f aca="false">I32-D32</f>
        <v>904</v>
      </c>
      <c r="N32" s="4"/>
      <c r="O32" s="282" t="n">
        <v>2000</v>
      </c>
      <c r="P32" s="282" t="n">
        <f aca="false">COUNTIF($C$2:$C$503,"2000")</f>
        <v>1</v>
      </c>
      <c r="Q32" s="282"/>
      <c r="R32" s="282"/>
      <c r="S32" s="316" t="n">
        <f aca="false">P32/P42</f>
        <v>0.0072992700729927</v>
      </c>
    </row>
    <row r="33" customFormat="false" ht="12.75" hidden="false" customHeight="true" outlineLevel="0" collapsed="false">
      <c r="A33" s="456" t="n">
        <v>3209</v>
      </c>
      <c r="B33" s="458" t="s">
        <v>18126</v>
      </c>
      <c r="C33" s="458" t="n">
        <v>2007</v>
      </c>
      <c r="D33" s="459" t="n">
        <v>39283</v>
      </c>
      <c r="E33" s="458" t="s">
        <v>18127</v>
      </c>
      <c r="F33" s="458" t="s">
        <v>1156</v>
      </c>
      <c r="G33" s="458" t="s">
        <v>441</v>
      </c>
      <c r="H33" s="458" t="s">
        <v>2172</v>
      </c>
      <c r="I33" s="459" t="n">
        <v>39906</v>
      </c>
      <c r="J33" s="460" t="n">
        <v>4</v>
      </c>
      <c r="K33" s="631" t="s">
        <v>42</v>
      </c>
      <c r="L33" s="458" t="s">
        <v>58</v>
      </c>
      <c r="M33" s="463" t="n">
        <f aca="false">I33-D33</f>
        <v>623</v>
      </c>
      <c r="N33" s="4"/>
      <c r="O33" s="283" t="n">
        <v>2001</v>
      </c>
      <c r="P33" s="283" t="n">
        <f aca="false">COUNTIF($C$2:$C$503,"2001")</f>
        <v>2</v>
      </c>
      <c r="Q33" s="283"/>
      <c r="R33" s="283"/>
      <c r="S33" s="315" t="n">
        <f aca="false">P33/P42</f>
        <v>0.0145985401459854</v>
      </c>
    </row>
    <row r="34" customFormat="false" ht="12.75" hidden="false" customHeight="true" outlineLevel="0" collapsed="false">
      <c r="A34" s="449" t="n">
        <v>3309</v>
      </c>
      <c r="B34" s="450" t="s">
        <v>18128</v>
      </c>
      <c r="C34" s="450" t="n">
        <v>2008</v>
      </c>
      <c r="D34" s="451" t="n">
        <v>39675</v>
      </c>
      <c r="E34" s="450" t="s">
        <v>18129</v>
      </c>
      <c r="F34" s="450" t="s">
        <v>1097</v>
      </c>
      <c r="G34" s="450" t="s">
        <v>441</v>
      </c>
      <c r="H34" s="450" t="s">
        <v>3056</v>
      </c>
      <c r="I34" s="451" t="n">
        <v>39909</v>
      </c>
      <c r="J34" s="452" t="n">
        <v>4</v>
      </c>
      <c r="K34" s="631" t="s">
        <v>42</v>
      </c>
      <c r="L34" s="452" t="s">
        <v>60</v>
      </c>
      <c r="M34" s="455" t="n">
        <f aca="false">I34-D34</f>
        <v>234</v>
      </c>
      <c r="N34" s="4"/>
      <c r="O34" s="282" t="n">
        <v>2002</v>
      </c>
      <c r="P34" s="282" t="n">
        <f aca="false">COUNTIF($C$2:$C$503,"2002")</f>
        <v>1</v>
      </c>
      <c r="Q34" s="282"/>
      <c r="R34" s="282"/>
      <c r="S34" s="316" t="n">
        <f aca="false">P34/P42</f>
        <v>0.0072992700729927</v>
      </c>
    </row>
    <row r="35" customFormat="false" ht="12.75" hidden="false" customHeight="true" outlineLevel="0" collapsed="false">
      <c r="A35" s="456" t="n">
        <v>3409</v>
      </c>
      <c r="B35" s="458" t="s">
        <v>18130</v>
      </c>
      <c r="C35" s="458" t="n">
        <v>2007</v>
      </c>
      <c r="D35" s="459" t="n">
        <v>39444</v>
      </c>
      <c r="E35" s="458" t="s">
        <v>18131</v>
      </c>
      <c r="F35" s="458" t="s">
        <v>18132</v>
      </c>
      <c r="G35" s="458" t="s">
        <v>441</v>
      </c>
      <c r="H35" s="458" t="s">
        <v>17981</v>
      </c>
      <c r="I35" s="459" t="n">
        <v>39909</v>
      </c>
      <c r="J35" s="460" t="n">
        <v>4</v>
      </c>
      <c r="K35" s="631" t="s">
        <v>42</v>
      </c>
      <c r="L35" s="458" t="s">
        <v>58</v>
      </c>
      <c r="M35" s="463" t="n">
        <f aca="false">I35-D35</f>
        <v>465</v>
      </c>
      <c r="N35" s="4"/>
      <c r="O35" s="283" t="n">
        <v>2003</v>
      </c>
      <c r="P35" s="283" t="n">
        <f aca="false">COUNTIF($C$2:$C$503,"2003")</f>
        <v>3</v>
      </c>
      <c r="Q35" s="283"/>
      <c r="R35" s="283"/>
      <c r="S35" s="315" t="n">
        <f aca="false">P35/P42</f>
        <v>0.0218978102189781</v>
      </c>
    </row>
    <row r="36" customFormat="false" ht="12.75" hidden="false" customHeight="true" outlineLevel="0" collapsed="false">
      <c r="A36" s="449" t="n">
        <v>3509</v>
      </c>
      <c r="B36" s="450" t="s">
        <v>18133</v>
      </c>
      <c r="C36" s="450" t="n">
        <v>2007</v>
      </c>
      <c r="D36" s="451" t="n">
        <v>39414</v>
      </c>
      <c r="E36" s="450" t="s">
        <v>18134</v>
      </c>
      <c r="F36" s="450" t="s">
        <v>18017</v>
      </c>
      <c r="G36" s="450" t="s">
        <v>1174</v>
      </c>
      <c r="H36" s="450" t="s">
        <v>2172</v>
      </c>
      <c r="I36" s="451" t="n">
        <v>39938</v>
      </c>
      <c r="J36" s="452" t="n">
        <v>5</v>
      </c>
      <c r="K36" s="633" t="s">
        <v>47</v>
      </c>
      <c r="L36" s="452" t="s">
        <v>60</v>
      </c>
      <c r="M36" s="455" t="n">
        <f aca="false">I36-D36</f>
        <v>524</v>
      </c>
      <c r="N36" s="4"/>
      <c r="O36" s="282" t="n">
        <v>2004</v>
      </c>
      <c r="P36" s="282" t="n">
        <f aca="false">COUNTIF($C$2:$C$503,"2004")</f>
        <v>2</v>
      </c>
      <c r="Q36" s="282"/>
      <c r="R36" s="282"/>
      <c r="S36" s="316" t="n">
        <f aca="false">P36/P42</f>
        <v>0.0145985401459854</v>
      </c>
    </row>
    <row r="37" customFormat="false" ht="12.75" hidden="false" customHeight="true" outlineLevel="0" collapsed="false">
      <c r="A37" s="456" t="n">
        <v>3609</v>
      </c>
      <c r="B37" s="458" t="s">
        <v>18135</v>
      </c>
      <c r="C37" s="458" t="n">
        <v>2006</v>
      </c>
      <c r="D37" s="459" t="n">
        <v>38889</v>
      </c>
      <c r="E37" s="458" t="s">
        <v>18136</v>
      </c>
      <c r="F37" s="458" t="s">
        <v>705</v>
      </c>
      <c r="G37" s="458" t="s">
        <v>1174</v>
      </c>
      <c r="H37" s="458" t="s">
        <v>12073</v>
      </c>
      <c r="I37" s="459" t="n">
        <v>39947</v>
      </c>
      <c r="J37" s="460" t="n">
        <v>5</v>
      </c>
      <c r="K37" s="633" t="s">
        <v>47</v>
      </c>
      <c r="L37" s="458" t="s">
        <v>58</v>
      </c>
      <c r="M37" s="463" t="n">
        <f aca="false">I37-D37</f>
        <v>1058</v>
      </c>
      <c r="N37" s="4"/>
      <c r="O37" s="283" t="n">
        <v>2005</v>
      </c>
      <c r="P37" s="283" t="n">
        <f aca="false">COUNTIF($C$2:$C$503,"2005")</f>
        <v>8</v>
      </c>
      <c r="Q37" s="283"/>
      <c r="R37" s="283"/>
      <c r="S37" s="315" t="n">
        <f aca="false">P37/P42</f>
        <v>0.0583941605839416</v>
      </c>
    </row>
    <row r="38" customFormat="false" ht="12.75" hidden="false" customHeight="true" outlineLevel="0" collapsed="false">
      <c r="A38" s="449" t="n">
        <v>3709</v>
      </c>
      <c r="B38" s="450" t="s">
        <v>18137</v>
      </c>
      <c r="C38" s="450" t="n">
        <v>2006</v>
      </c>
      <c r="D38" s="451" t="n">
        <v>39037</v>
      </c>
      <c r="E38" s="450" t="s">
        <v>18138</v>
      </c>
      <c r="F38" s="450" t="s">
        <v>705</v>
      </c>
      <c r="G38" s="450" t="s">
        <v>1174</v>
      </c>
      <c r="H38" s="450" t="s">
        <v>223</v>
      </c>
      <c r="I38" s="451" t="n">
        <v>39948</v>
      </c>
      <c r="J38" s="452" t="n">
        <v>5</v>
      </c>
      <c r="K38" s="633" t="s">
        <v>47</v>
      </c>
      <c r="L38" s="452" t="s">
        <v>58</v>
      </c>
      <c r="M38" s="455" t="n">
        <f aca="false">I38-D38</f>
        <v>911</v>
      </c>
      <c r="N38" s="4"/>
      <c r="O38" s="282" t="n">
        <v>2006</v>
      </c>
      <c r="P38" s="282" t="n">
        <f aca="false">COUNTIF($C$2:$C$503,"2006")</f>
        <v>35</v>
      </c>
      <c r="Q38" s="282"/>
      <c r="R38" s="282"/>
      <c r="S38" s="316" t="n">
        <f aca="false">P38/P42</f>
        <v>0.255474452554745</v>
      </c>
    </row>
    <row r="39" customFormat="false" ht="12.75" hidden="false" customHeight="true" outlineLevel="0" collapsed="false">
      <c r="A39" s="456" t="n">
        <v>3809</v>
      </c>
      <c r="B39" s="458" t="s">
        <v>18139</v>
      </c>
      <c r="C39" s="458" t="n">
        <v>2007</v>
      </c>
      <c r="D39" s="459" t="n">
        <v>39127</v>
      </c>
      <c r="E39" s="458" t="s">
        <v>18140</v>
      </c>
      <c r="F39" s="458" t="s">
        <v>361</v>
      </c>
      <c r="G39" s="458" t="s">
        <v>144</v>
      </c>
      <c r="H39" s="458" t="s">
        <v>453</v>
      </c>
      <c r="I39" s="459" t="n">
        <v>39953</v>
      </c>
      <c r="J39" s="460" t="n">
        <v>5</v>
      </c>
      <c r="K39" s="633" t="s">
        <v>47</v>
      </c>
      <c r="L39" s="458" t="s">
        <v>58</v>
      </c>
      <c r="M39" s="463" t="n">
        <f aca="false">I39-D39</f>
        <v>826</v>
      </c>
      <c r="N39" s="4"/>
      <c r="O39" s="283" t="n">
        <v>2007</v>
      </c>
      <c r="P39" s="283" t="n">
        <f aca="false">COUNTIF($C$2:$C$503,"2007")</f>
        <v>47</v>
      </c>
      <c r="Q39" s="283"/>
      <c r="R39" s="283"/>
      <c r="S39" s="315" t="n">
        <f aca="false">P39/P42</f>
        <v>0.343065693430657</v>
      </c>
    </row>
    <row r="40" customFormat="false" ht="12.75" hidden="false" customHeight="true" outlineLevel="0" collapsed="false">
      <c r="A40" s="449" t="n">
        <v>3909</v>
      </c>
      <c r="B40" s="450" t="s">
        <v>18141</v>
      </c>
      <c r="C40" s="450" t="n">
        <v>2003</v>
      </c>
      <c r="D40" s="451" t="n">
        <v>37868</v>
      </c>
      <c r="E40" s="450" t="s">
        <v>18142</v>
      </c>
      <c r="F40" s="450" t="s">
        <v>180</v>
      </c>
      <c r="G40" s="450" t="s">
        <v>441</v>
      </c>
      <c r="H40" s="450" t="s">
        <v>17797</v>
      </c>
      <c r="I40" s="451" t="n">
        <v>39958</v>
      </c>
      <c r="J40" s="452" t="n">
        <v>5</v>
      </c>
      <c r="K40" s="631" t="s">
        <v>42</v>
      </c>
      <c r="L40" s="452" t="s">
        <v>60</v>
      </c>
      <c r="M40" s="455" t="n">
        <f aca="false">I40-D40</f>
        <v>2090</v>
      </c>
      <c r="N40" s="4"/>
      <c r="O40" s="282" t="n">
        <v>2008</v>
      </c>
      <c r="P40" s="282" t="n">
        <f aca="false">COUNTIF($C$2:$C$503,"2008")</f>
        <v>35</v>
      </c>
      <c r="Q40" s="282"/>
      <c r="R40" s="282"/>
      <c r="S40" s="316" t="n">
        <f aca="false">P40/P42</f>
        <v>0.255474452554745</v>
      </c>
    </row>
    <row r="41" customFormat="false" ht="12.75" hidden="false" customHeight="true" outlineLevel="0" collapsed="false">
      <c r="A41" s="456" t="n">
        <v>4009</v>
      </c>
      <c r="B41" s="458" t="s">
        <v>18143</v>
      </c>
      <c r="C41" s="458" t="n">
        <v>2006</v>
      </c>
      <c r="D41" s="459" t="n">
        <v>39071</v>
      </c>
      <c r="E41" s="458" t="s">
        <v>18144</v>
      </c>
      <c r="F41" s="458" t="s">
        <v>18145</v>
      </c>
      <c r="G41" s="458" t="s">
        <v>1474</v>
      </c>
      <c r="H41" s="458" t="s">
        <v>18097</v>
      </c>
      <c r="I41" s="459" t="n">
        <v>39965</v>
      </c>
      <c r="J41" s="460" t="n">
        <v>6</v>
      </c>
      <c r="K41" s="631" t="s">
        <v>42</v>
      </c>
      <c r="L41" s="458" t="s">
        <v>58</v>
      </c>
      <c r="M41" s="463" t="n">
        <f aca="false">I41-D41</f>
        <v>894</v>
      </c>
      <c r="N41" s="4"/>
      <c r="O41" s="283" t="n">
        <v>2009</v>
      </c>
      <c r="P41" s="283" t="n">
        <f aca="false">COUNTIF($C$2:$C$503,"2009")</f>
        <v>0</v>
      </c>
      <c r="Q41" s="283"/>
      <c r="R41" s="283"/>
      <c r="S41" s="315" t="n">
        <f aca="false">P41/P42</f>
        <v>0</v>
      </c>
    </row>
    <row r="42" customFormat="false" ht="12.75" hidden="false" customHeight="true" outlineLevel="0" collapsed="false">
      <c r="A42" s="449" t="n">
        <v>4109</v>
      </c>
      <c r="B42" s="450" t="s">
        <v>18146</v>
      </c>
      <c r="C42" s="450" t="n">
        <v>2007</v>
      </c>
      <c r="D42" s="451" t="n">
        <v>39444</v>
      </c>
      <c r="E42" s="450" t="s">
        <v>18147</v>
      </c>
      <c r="F42" s="450" t="s">
        <v>17951</v>
      </c>
      <c r="G42" s="450" t="s">
        <v>1474</v>
      </c>
      <c r="H42" s="450" t="s">
        <v>972</v>
      </c>
      <c r="I42" s="451" t="n">
        <v>39967</v>
      </c>
      <c r="J42" s="452" t="n">
        <v>6</v>
      </c>
      <c r="K42" s="631" t="s">
        <v>42</v>
      </c>
      <c r="L42" s="452" t="s">
        <v>58</v>
      </c>
      <c r="M42" s="455" t="n">
        <f aca="false">I42-D42</f>
        <v>523</v>
      </c>
      <c r="N42" s="4"/>
      <c r="O42" s="323" t="s">
        <v>56</v>
      </c>
      <c r="P42" s="418" t="n">
        <f aca="false">SUM(P29:R41)</f>
        <v>137</v>
      </c>
      <c r="Q42" s="418"/>
      <c r="R42" s="418"/>
      <c r="S42" s="325" t="n">
        <f aca="false">SUM(S29:S41)</f>
        <v>1</v>
      </c>
    </row>
    <row r="43" customFormat="false" ht="12.75" hidden="false" customHeight="true" outlineLevel="0" collapsed="false">
      <c r="A43" s="456" t="n">
        <v>4209</v>
      </c>
      <c r="B43" s="458" t="s">
        <v>18148</v>
      </c>
      <c r="C43" s="458" t="n">
        <v>2007</v>
      </c>
      <c r="D43" s="459" t="n">
        <v>39444</v>
      </c>
      <c r="E43" s="458" t="s">
        <v>18149</v>
      </c>
      <c r="F43" s="458" t="s">
        <v>18145</v>
      </c>
      <c r="G43" s="458" t="s">
        <v>1474</v>
      </c>
      <c r="H43" s="458" t="s">
        <v>972</v>
      </c>
      <c r="I43" s="459" t="n">
        <v>39967</v>
      </c>
      <c r="J43" s="460" t="n">
        <v>6</v>
      </c>
      <c r="K43" s="631" t="s">
        <v>42</v>
      </c>
      <c r="L43" s="458" t="s">
        <v>58</v>
      </c>
      <c r="M43" s="463" t="n">
        <f aca="false">I43-D43</f>
        <v>523</v>
      </c>
      <c r="N43" s="4"/>
      <c r="O43" s="153"/>
      <c r="P43" s="153"/>
      <c r="Q43" s="153"/>
      <c r="R43" s="153"/>
      <c r="S43" s="153"/>
    </row>
    <row r="44" customFormat="false" ht="13.5" hidden="false" customHeight="true" outlineLevel="0" collapsed="false">
      <c r="A44" s="449" t="n">
        <v>4309</v>
      </c>
      <c r="B44" s="450" t="s">
        <v>18150</v>
      </c>
      <c r="C44" s="450" t="n">
        <v>2008</v>
      </c>
      <c r="D44" s="451" t="n">
        <v>39554</v>
      </c>
      <c r="E44" s="450" t="s">
        <v>18151</v>
      </c>
      <c r="F44" s="450" t="s">
        <v>230</v>
      </c>
      <c r="G44" s="450" t="s">
        <v>1174</v>
      </c>
      <c r="H44" s="450" t="s">
        <v>354</v>
      </c>
      <c r="I44" s="451" t="n">
        <v>39970</v>
      </c>
      <c r="J44" s="452" t="n">
        <v>6</v>
      </c>
      <c r="K44" s="631" t="s">
        <v>42</v>
      </c>
      <c r="L44" s="452" t="s">
        <v>57</v>
      </c>
      <c r="M44" s="455" t="n">
        <f aca="false">I44-D44</f>
        <v>416</v>
      </c>
      <c r="N44" s="4"/>
      <c r="O44" s="326" t="s">
        <v>272</v>
      </c>
      <c r="P44" s="326"/>
      <c r="Q44" s="326"/>
      <c r="R44" s="326"/>
      <c r="S44" s="326"/>
    </row>
    <row r="45" customFormat="false" ht="13.5" hidden="false" customHeight="true" outlineLevel="0" collapsed="false">
      <c r="A45" s="456" t="n">
        <v>4409</v>
      </c>
      <c r="B45" s="594" t="s">
        <v>10996</v>
      </c>
      <c r="C45" s="594" t="s">
        <v>10996</v>
      </c>
      <c r="D45" s="595" t="s">
        <v>10996</v>
      </c>
      <c r="E45" s="594" t="s">
        <v>10996</v>
      </c>
      <c r="F45" s="594" t="s">
        <v>10996</v>
      </c>
      <c r="G45" s="594" t="s">
        <v>10996</v>
      </c>
      <c r="H45" s="594" t="s">
        <v>10996</v>
      </c>
      <c r="I45" s="595" t="s">
        <v>10996</v>
      </c>
      <c r="J45" s="283" t="s">
        <v>10996</v>
      </c>
      <c r="K45" s="594" t="s">
        <v>10996</v>
      </c>
      <c r="L45" s="594" t="s">
        <v>10996</v>
      </c>
      <c r="M45" s="649" t="s">
        <v>10996</v>
      </c>
      <c r="N45" s="4"/>
      <c r="O45" s="326"/>
      <c r="P45" s="326"/>
      <c r="Q45" s="326"/>
      <c r="R45" s="326"/>
      <c r="S45" s="326"/>
    </row>
    <row r="46" customFormat="false" ht="12.75" hidden="false" customHeight="true" outlineLevel="0" collapsed="false">
      <c r="A46" s="449" t="n">
        <v>4509</v>
      </c>
      <c r="B46" s="450" t="s">
        <v>18152</v>
      </c>
      <c r="C46" s="450" t="n">
        <v>2006</v>
      </c>
      <c r="D46" s="451" t="n">
        <v>39056</v>
      </c>
      <c r="E46" s="450" t="s">
        <v>18153</v>
      </c>
      <c r="F46" s="450" t="s">
        <v>365</v>
      </c>
      <c r="G46" s="450" t="s">
        <v>441</v>
      </c>
      <c r="H46" s="450" t="s">
        <v>2172</v>
      </c>
      <c r="I46" s="451" t="n">
        <v>39970</v>
      </c>
      <c r="J46" s="452" t="n">
        <v>6</v>
      </c>
      <c r="K46" s="633" t="s">
        <v>47</v>
      </c>
      <c r="L46" s="452" t="s">
        <v>60</v>
      </c>
      <c r="M46" s="455" t="n">
        <f aca="false">I46-D46</f>
        <v>914</v>
      </c>
      <c r="N46" s="4"/>
      <c r="O46" s="309" t="s">
        <v>100</v>
      </c>
      <c r="P46" s="416" t="s">
        <v>40</v>
      </c>
      <c r="Q46" s="416"/>
      <c r="R46" s="416"/>
      <c r="S46" s="313" t="s">
        <v>41</v>
      </c>
    </row>
    <row r="47" customFormat="false" ht="12.75" hidden="false" customHeight="true" outlineLevel="0" collapsed="false">
      <c r="A47" s="456" t="n">
        <v>4609</v>
      </c>
      <c r="B47" s="458" t="s">
        <v>18154</v>
      </c>
      <c r="C47" s="458" t="n">
        <v>2006</v>
      </c>
      <c r="D47" s="459" t="n">
        <v>39056</v>
      </c>
      <c r="E47" s="458" t="s">
        <v>18155</v>
      </c>
      <c r="F47" s="458" t="s">
        <v>6073</v>
      </c>
      <c r="G47" s="458" t="s">
        <v>441</v>
      </c>
      <c r="H47" s="458" t="s">
        <v>2172</v>
      </c>
      <c r="I47" s="459" t="n">
        <v>39970</v>
      </c>
      <c r="J47" s="460" t="n">
        <v>6</v>
      </c>
      <c r="K47" s="633" t="s">
        <v>47</v>
      </c>
      <c r="L47" s="458" t="s">
        <v>60</v>
      </c>
      <c r="M47" s="463" t="n">
        <f aca="false">I47-D47</f>
        <v>914</v>
      </c>
      <c r="N47" s="4"/>
      <c r="O47" s="314" t="s">
        <v>63</v>
      </c>
      <c r="P47" s="314" t="n">
        <f aca="false">COUNTIF($J$2:$J$476,"1")</f>
        <v>9</v>
      </c>
      <c r="Q47" s="314"/>
      <c r="R47" s="314"/>
      <c r="S47" s="469" t="n">
        <f aca="false">(P47/P59)</f>
        <v>0.0656934306569343</v>
      </c>
    </row>
    <row r="48" customFormat="false" ht="12.75" hidden="false" customHeight="true" outlineLevel="0" collapsed="false">
      <c r="A48" s="449" t="n">
        <v>4709</v>
      </c>
      <c r="B48" s="450" t="s">
        <v>18156</v>
      </c>
      <c r="C48" s="450" t="n">
        <v>2007</v>
      </c>
      <c r="D48" s="451" t="n">
        <v>39150</v>
      </c>
      <c r="E48" s="450" t="s">
        <v>18157</v>
      </c>
      <c r="F48" s="450" t="s">
        <v>668</v>
      </c>
      <c r="G48" s="450" t="s">
        <v>144</v>
      </c>
      <c r="H48" s="450" t="s">
        <v>2421</v>
      </c>
      <c r="I48" s="451" t="n">
        <v>39239</v>
      </c>
      <c r="J48" s="452" t="n">
        <v>6</v>
      </c>
      <c r="K48" s="631" t="s">
        <v>42</v>
      </c>
      <c r="L48" s="452" t="s">
        <v>58</v>
      </c>
      <c r="M48" s="455" t="n">
        <f aca="false">I48-D48</f>
        <v>89</v>
      </c>
      <c r="N48" s="4"/>
      <c r="O48" s="282" t="s">
        <v>64</v>
      </c>
      <c r="P48" s="282" t="n">
        <f aca="false">COUNTIF($J$2:$J$476,"2")</f>
        <v>9</v>
      </c>
      <c r="Q48" s="282"/>
      <c r="R48" s="282"/>
      <c r="S48" s="316" t="n">
        <f aca="false">(P48/P59)</f>
        <v>0.0656934306569343</v>
      </c>
    </row>
    <row r="49" customFormat="false" ht="12.75" hidden="false" customHeight="true" outlineLevel="0" collapsed="false">
      <c r="A49" s="456" t="n">
        <v>4809</v>
      </c>
      <c r="B49" s="458" t="s">
        <v>18158</v>
      </c>
      <c r="C49" s="458" t="n">
        <v>2007</v>
      </c>
      <c r="D49" s="459" t="n">
        <v>39150</v>
      </c>
      <c r="E49" s="458" t="s">
        <v>18159</v>
      </c>
      <c r="F49" s="458" t="s">
        <v>668</v>
      </c>
      <c r="G49" s="458" t="s">
        <v>144</v>
      </c>
      <c r="H49" s="458" t="s">
        <v>2421</v>
      </c>
      <c r="I49" s="459" t="n">
        <v>39970</v>
      </c>
      <c r="J49" s="460" t="n">
        <v>6</v>
      </c>
      <c r="K49" s="631" t="s">
        <v>42</v>
      </c>
      <c r="L49" s="458" t="s">
        <v>58</v>
      </c>
      <c r="M49" s="463" t="n">
        <f aca="false">I49-D49</f>
        <v>820</v>
      </c>
      <c r="N49" s="4"/>
      <c r="O49" s="283" t="s">
        <v>66</v>
      </c>
      <c r="P49" s="283" t="n">
        <f aca="false">COUNTIF($J$2:$J$476,"3")</f>
        <v>10</v>
      </c>
      <c r="Q49" s="283"/>
      <c r="R49" s="283"/>
      <c r="S49" s="315" t="n">
        <f aca="false">(P49/P59)</f>
        <v>0.072992700729927</v>
      </c>
      <c r="T49" s="153"/>
    </row>
    <row r="50" customFormat="false" ht="12.75" hidden="false" customHeight="true" outlineLevel="0" collapsed="false">
      <c r="A50" s="449" t="n">
        <v>4909</v>
      </c>
      <c r="B50" s="450" t="s">
        <v>18160</v>
      </c>
      <c r="C50" s="450" t="n">
        <v>2007</v>
      </c>
      <c r="D50" s="451" t="n">
        <v>39185</v>
      </c>
      <c r="E50" s="450" t="s">
        <v>18161</v>
      </c>
      <c r="F50" s="450" t="s">
        <v>18017</v>
      </c>
      <c r="G50" s="450" t="s">
        <v>441</v>
      </c>
      <c r="H50" s="450" t="s">
        <v>17894</v>
      </c>
      <c r="I50" s="451" t="n">
        <v>39970</v>
      </c>
      <c r="J50" s="452" t="n">
        <v>6</v>
      </c>
      <c r="K50" s="633" t="s">
        <v>47</v>
      </c>
      <c r="L50" s="452" t="s">
        <v>60</v>
      </c>
      <c r="M50" s="455" t="n">
        <f aca="false">I50-D50</f>
        <v>785</v>
      </c>
      <c r="N50" s="4"/>
      <c r="O50" s="282" t="s">
        <v>67</v>
      </c>
      <c r="P50" s="282" t="n">
        <f aca="false">COUNTIF($J$2:$J$476,"4")</f>
        <v>6</v>
      </c>
      <c r="Q50" s="282"/>
      <c r="R50" s="282"/>
      <c r="S50" s="316" t="n">
        <f aca="false">(P50/P59)</f>
        <v>0.0437956204379562</v>
      </c>
      <c r="T50" s="153"/>
    </row>
    <row r="51" customFormat="false" ht="12.75" hidden="false" customHeight="true" outlineLevel="0" collapsed="false">
      <c r="A51" s="456" t="n">
        <v>5009</v>
      </c>
      <c r="B51" s="458" t="s">
        <v>18162</v>
      </c>
      <c r="C51" s="458" t="n">
        <v>2008</v>
      </c>
      <c r="D51" s="459" t="n">
        <v>39534</v>
      </c>
      <c r="E51" s="458" t="s">
        <v>18163</v>
      </c>
      <c r="F51" s="458" t="s">
        <v>1097</v>
      </c>
      <c r="G51" s="458" t="s">
        <v>441</v>
      </c>
      <c r="H51" s="458" t="s">
        <v>961</v>
      </c>
      <c r="I51" s="459" t="n">
        <v>39974</v>
      </c>
      <c r="J51" s="460" t="n">
        <v>6</v>
      </c>
      <c r="K51" s="631" t="s">
        <v>42</v>
      </c>
      <c r="L51" s="458" t="s">
        <v>60</v>
      </c>
      <c r="M51" s="463" t="n">
        <f aca="false">I51-D51</f>
        <v>440</v>
      </c>
      <c r="N51" s="4"/>
      <c r="O51" s="283" t="s">
        <v>68</v>
      </c>
      <c r="P51" s="283" t="n">
        <f aca="false">COUNTIF($J$2:$J$476,"5")</f>
        <v>5</v>
      </c>
      <c r="Q51" s="283"/>
      <c r="R51" s="283"/>
      <c r="S51" s="315" t="n">
        <f aca="false">(P51/P59)</f>
        <v>0.0364963503649635</v>
      </c>
      <c r="T51" s="153"/>
    </row>
    <row r="52" customFormat="false" ht="12.75" hidden="false" customHeight="true" outlineLevel="0" collapsed="false">
      <c r="A52" s="449" t="n">
        <v>5109</v>
      </c>
      <c r="B52" s="450" t="s">
        <v>18164</v>
      </c>
      <c r="C52" s="450" t="n">
        <v>2007</v>
      </c>
      <c r="D52" s="451" t="n">
        <v>39435</v>
      </c>
      <c r="E52" s="450" t="s">
        <v>18165</v>
      </c>
      <c r="F52" s="450" t="s">
        <v>211</v>
      </c>
      <c r="G52" s="450" t="s">
        <v>1174</v>
      </c>
      <c r="H52" s="450" t="s">
        <v>961</v>
      </c>
      <c r="I52" s="451" t="n">
        <v>39979</v>
      </c>
      <c r="J52" s="452" t="n">
        <v>6</v>
      </c>
      <c r="K52" s="631" t="s">
        <v>42</v>
      </c>
      <c r="L52" s="452" t="s">
        <v>58</v>
      </c>
      <c r="M52" s="455" t="n">
        <f aca="false">I52-D52</f>
        <v>544</v>
      </c>
      <c r="N52" s="4"/>
      <c r="O52" s="282" t="s">
        <v>70</v>
      </c>
      <c r="P52" s="282" t="n">
        <f aca="false">COUNTIF($J$2:$J$476,"6")</f>
        <v>14</v>
      </c>
      <c r="Q52" s="282"/>
      <c r="R52" s="282"/>
      <c r="S52" s="316" t="n">
        <f aca="false">(P52/P59)</f>
        <v>0.102189781021898</v>
      </c>
      <c r="T52" s="153"/>
    </row>
    <row r="53" customFormat="false" ht="12.75" hidden="false" customHeight="true" outlineLevel="0" collapsed="false">
      <c r="A53" s="456" t="n">
        <v>5209</v>
      </c>
      <c r="B53" s="458" t="s">
        <v>18166</v>
      </c>
      <c r="C53" s="458" t="n">
        <v>1999</v>
      </c>
      <c r="D53" s="459" t="n">
        <v>36525</v>
      </c>
      <c r="E53" s="458" t="s">
        <v>18167</v>
      </c>
      <c r="F53" s="458" t="s">
        <v>17885</v>
      </c>
      <c r="G53" s="458" t="s">
        <v>441</v>
      </c>
      <c r="H53" s="458" t="s">
        <v>17797</v>
      </c>
      <c r="I53" s="459" t="n">
        <v>39981</v>
      </c>
      <c r="J53" s="460" t="n">
        <v>6</v>
      </c>
      <c r="K53" s="633" t="s">
        <v>47</v>
      </c>
      <c r="L53" s="458" t="s">
        <v>58</v>
      </c>
      <c r="M53" s="463" t="n">
        <f aca="false">I53-D53</f>
        <v>3456</v>
      </c>
      <c r="N53" s="4"/>
      <c r="O53" s="283" t="s">
        <v>72</v>
      </c>
      <c r="P53" s="283" t="n">
        <f aca="false">COUNTIF($J$2:$J$476,"7")</f>
        <v>11</v>
      </c>
      <c r="Q53" s="283"/>
      <c r="R53" s="283"/>
      <c r="S53" s="315" t="n">
        <f aca="false">(P53/P59)</f>
        <v>0.0802919708029197</v>
      </c>
      <c r="T53" s="153"/>
    </row>
    <row r="54" customFormat="false" ht="12.75" hidden="false" customHeight="true" outlineLevel="0" collapsed="false">
      <c r="A54" s="449" t="n">
        <v>5309</v>
      </c>
      <c r="B54" s="450" t="s">
        <v>18168</v>
      </c>
      <c r="C54" s="450" t="n">
        <v>2007</v>
      </c>
      <c r="D54" s="451" t="n">
        <v>39283</v>
      </c>
      <c r="E54" s="450" t="s">
        <v>18169</v>
      </c>
      <c r="F54" s="450" t="s">
        <v>1156</v>
      </c>
      <c r="G54" s="450" t="s">
        <v>441</v>
      </c>
      <c r="H54" s="450" t="s">
        <v>2172</v>
      </c>
      <c r="I54" s="451" t="n">
        <v>39981</v>
      </c>
      <c r="J54" s="452" t="n">
        <v>6</v>
      </c>
      <c r="K54" s="631" t="s">
        <v>42</v>
      </c>
      <c r="L54" s="452" t="s">
        <v>58</v>
      </c>
      <c r="M54" s="455" t="n">
        <f aca="false">I54-D54</f>
        <v>698</v>
      </c>
      <c r="N54" s="4"/>
      <c r="O54" s="282" t="s">
        <v>74</v>
      </c>
      <c r="P54" s="282" t="n">
        <f aca="false">COUNTIF($J$2:$J$476,"8")</f>
        <v>14</v>
      </c>
      <c r="Q54" s="282"/>
      <c r="R54" s="282"/>
      <c r="S54" s="316" t="n">
        <f aca="false">(P54/P59)</f>
        <v>0.102189781021898</v>
      </c>
      <c r="T54" s="153"/>
    </row>
    <row r="55" customFormat="false" ht="12.75" hidden="false" customHeight="true" outlineLevel="0" collapsed="false">
      <c r="A55" s="456" t="n">
        <v>5409</v>
      </c>
      <c r="B55" s="458" t="s">
        <v>18170</v>
      </c>
      <c r="C55" s="458" t="n">
        <v>1998</v>
      </c>
      <c r="D55" s="459" t="n">
        <v>36103</v>
      </c>
      <c r="E55" s="458" t="s">
        <v>18171</v>
      </c>
      <c r="F55" s="458" t="s">
        <v>3190</v>
      </c>
      <c r="G55" s="458" t="s">
        <v>144</v>
      </c>
      <c r="H55" s="458" t="s">
        <v>413</v>
      </c>
      <c r="I55" s="459" t="n">
        <v>39993</v>
      </c>
      <c r="J55" s="460" t="n">
        <v>6</v>
      </c>
      <c r="K55" s="631" t="s">
        <v>42</v>
      </c>
      <c r="L55" s="458" t="s">
        <v>60</v>
      </c>
      <c r="M55" s="463" t="n">
        <f aca="false">I55-D55</f>
        <v>3890</v>
      </c>
      <c r="N55" s="4"/>
      <c r="O55" s="283" t="s">
        <v>76</v>
      </c>
      <c r="P55" s="283" t="n">
        <f aca="false">COUNTIF($J$2:$J$476,"9")</f>
        <v>7</v>
      </c>
      <c r="Q55" s="283"/>
      <c r="R55" s="283"/>
      <c r="S55" s="315" t="n">
        <f aca="false">(P55/P59)</f>
        <v>0.0510948905109489</v>
      </c>
      <c r="T55" s="153"/>
    </row>
    <row r="56" customFormat="false" ht="12.75" hidden="false" customHeight="true" outlineLevel="0" collapsed="false">
      <c r="A56" s="449" t="n">
        <v>5509</v>
      </c>
      <c r="B56" s="450" t="s">
        <v>18172</v>
      </c>
      <c r="C56" s="450" t="n">
        <v>2000</v>
      </c>
      <c r="D56" s="451" t="n">
        <v>36705</v>
      </c>
      <c r="E56" s="450" t="s">
        <v>18173</v>
      </c>
      <c r="F56" s="450" t="s">
        <v>17951</v>
      </c>
      <c r="G56" s="450" t="s">
        <v>144</v>
      </c>
      <c r="H56" s="450" t="s">
        <v>18174</v>
      </c>
      <c r="I56" s="451" t="n">
        <v>39995</v>
      </c>
      <c r="J56" s="452" t="n">
        <v>7</v>
      </c>
      <c r="K56" s="632" t="s">
        <v>50</v>
      </c>
      <c r="L56" s="452" t="s">
        <v>58</v>
      </c>
      <c r="M56" s="455" t="n">
        <f aca="false">I56-D56</f>
        <v>3290</v>
      </c>
      <c r="N56" s="4"/>
      <c r="O56" s="282" t="s">
        <v>78</v>
      </c>
      <c r="P56" s="282" t="n">
        <f aca="false">COUNTIF($J$2:$J$476,"10")</f>
        <v>11</v>
      </c>
      <c r="Q56" s="282"/>
      <c r="R56" s="282"/>
      <c r="S56" s="316" t="n">
        <f aca="false">(P56/P59)</f>
        <v>0.0802919708029197</v>
      </c>
      <c r="T56" s="153"/>
    </row>
    <row r="57" customFormat="false" ht="12.75" hidden="false" customHeight="true" outlineLevel="0" collapsed="false">
      <c r="A57" s="456" t="n">
        <v>5609</v>
      </c>
      <c r="B57" s="458" t="s">
        <v>18175</v>
      </c>
      <c r="C57" s="458" t="n">
        <v>2007</v>
      </c>
      <c r="D57" s="459" t="n">
        <v>39435</v>
      </c>
      <c r="E57" s="458" t="s">
        <v>18176</v>
      </c>
      <c r="F57" s="458" t="s">
        <v>18066</v>
      </c>
      <c r="G57" s="458" t="s">
        <v>441</v>
      </c>
      <c r="H57" s="458" t="s">
        <v>17981</v>
      </c>
      <c r="I57" s="459" t="n">
        <v>39996</v>
      </c>
      <c r="J57" s="460" t="n">
        <v>7</v>
      </c>
      <c r="K57" s="631" t="s">
        <v>42</v>
      </c>
      <c r="L57" s="458" t="s">
        <v>58</v>
      </c>
      <c r="M57" s="463" t="n">
        <f aca="false">I57-D57</f>
        <v>561</v>
      </c>
      <c r="N57" s="4"/>
      <c r="O57" s="283" t="s">
        <v>80</v>
      </c>
      <c r="P57" s="283" t="n">
        <f aca="false">COUNTIF($J$2:$J$476,"11")</f>
        <v>13</v>
      </c>
      <c r="Q57" s="283"/>
      <c r="R57" s="283"/>
      <c r="S57" s="315" t="n">
        <f aca="false">(P57/P59)</f>
        <v>0.0948905109489051</v>
      </c>
      <c r="T57" s="153"/>
    </row>
    <row r="58" customFormat="false" ht="12.75" hidden="false" customHeight="true" outlineLevel="0" collapsed="false">
      <c r="A58" s="449" t="n">
        <v>5709</v>
      </c>
      <c r="B58" s="450" t="s">
        <v>18177</v>
      </c>
      <c r="C58" s="450" t="n">
        <v>2007</v>
      </c>
      <c r="D58" s="451" t="n">
        <v>39339</v>
      </c>
      <c r="E58" s="450" t="s">
        <v>18178</v>
      </c>
      <c r="F58" s="450" t="s">
        <v>569</v>
      </c>
      <c r="G58" s="450" t="s">
        <v>1174</v>
      </c>
      <c r="H58" s="450" t="s">
        <v>223</v>
      </c>
      <c r="I58" s="451" t="n">
        <v>40007</v>
      </c>
      <c r="J58" s="452" t="n">
        <v>7</v>
      </c>
      <c r="K58" s="633" t="s">
        <v>47</v>
      </c>
      <c r="L58" s="452" t="s">
        <v>58</v>
      </c>
      <c r="M58" s="455" t="n">
        <f aca="false">I58-D58</f>
        <v>668</v>
      </c>
      <c r="N58" s="4"/>
      <c r="O58" s="336" t="s">
        <v>82</v>
      </c>
      <c r="P58" s="282" t="n">
        <f aca="false">COUNTIF($J$2:$J$476,"12")</f>
        <v>28</v>
      </c>
      <c r="Q58" s="282"/>
      <c r="R58" s="282"/>
      <c r="S58" s="470" t="n">
        <f aca="false">(P58/P59)</f>
        <v>0.204379562043796</v>
      </c>
      <c r="T58" s="153"/>
    </row>
    <row r="59" customFormat="false" ht="12.75" hidden="false" customHeight="true" outlineLevel="0" collapsed="false">
      <c r="A59" s="456" t="n">
        <v>5809</v>
      </c>
      <c r="B59" s="458" t="s">
        <v>18179</v>
      </c>
      <c r="C59" s="458" t="n">
        <v>2006</v>
      </c>
      <c r="D59" s="459" t="n">
        <v>39001</v>
      </c>
      <c r="E59" s="458" t="s">
        <v>18180</v>
      </c>
      <c r="F59" s="458" t="s">
        <v>365</v>
      </c>
      <c r="G59" s="458" t="s">
        <v>441</v>
      </c>
      <c r="H59" s="458" t="s">
        <v>2172</v>
      </c>
      <c r="I59" s="459" t="n">
        <v>40011</v>
      </c>
      <c r="J59" s="460" t="n">
        <v>7</v>
      </c>
      <c r="K59" s="633" t="s">
        <v>47</v>
      </c>
      <c r="L59" s="458" t="s">
        <v>60</v>
      </c>
      <c r="M59" s="463" t="n">
        <f aca="false">I59-D59</f>
        <v>1010</v>
      </c>
      <c r="N59" s="4"/>
      <c r="O59" s="323" t="s">
        <v>54</v>
      </c>
      <c r="P59" s="418" t="n">
        <f aca="false">SUM(P47:R58)</f>
        <v>137</v>
      </c>
      <c r="Q59" s="418"/>
      <c r="R59" s="418"/>
      <c r="S59" s="325" t="n">
        <f aca="false">SUM(S47:S58)</f>
        <v>1</v>
      </c>
      <c r="T59" s="153"/>
    </row>
    <row r="60" customFormat="false" ht="12.75" hidden="false" customHeight="true" outlineLevel="0" collapsed="false">
      <c r="A60" s="449" t="n">
        <v>5909</v>
      </c>
      <c r="B60" s="450" t="s">
        <v>18181</v>
      </c>
      <c r="C60" s="450" t="n">
        <v>2006</v>
      </c>
      <c r="D60" s="451" t="n">
        <v>39072</v>
      </c>
      <c r="E60" s="450" t="s">
        <v>18182</v>
      </c>
      <c r="F60" s="450" t="s">
        <v>6073</v>
      </c>
      <c r="G60" s="450" t="s">
        <v>441</v>
      </c>
      <c r="H60" s="450" t="s">
        <v>2172</v>
      </c>
      <c r="I60" s="451" t="n">
        <v>40011</v>
      </c>
      <c r="J60" s="452" t="n">
        <v>7</v>
      </c>
      <c r="K60" s="631" t="s">
        <v>42</v>
      </c>
      <c r="L60" s="452" t="s">
        <v>60</v>
      </c>
      <c r="M60" s="455" t="n">
        <f aca="false">I60-D60</f>
        <v>939</v>
      </c>
      <c r="N60" s="4"/>
      <c r="O60" s="153"/>
      <c r="P60" s="153"/>
      <c r="Q60" s="153"/>
      <c r="R60" s="153"/>
      <c r="S60" s="153"/>
      <c r="T60" s="153"/>
    </row>
    <row r="61" customFormat="false" ht="13.5" hidden="false" customHeight="true" outlineLevel="0" collapsed="false">
      <c r="A61" s="456" t="n">
        <v>6009</v>
      </c>
      <c r="B61" s="458" t="s">
        <v>18183</v>
      </c>
      <c r="C61" s="458" t="n">
        <v>2006</v>
      </c>
      <c r="D61" s="459" t="n">
        <v>39072</v>
      </c>
      <c r="E61" s="458" t="s">
        <v>18184</v>
      </c>
      <c r="F61" s="458" t="s">
        <v>6073</v>
      </c>
      <c r="G61" s="458" t="s">
        <v>441</v>
      </c>
      <c r="H61" s="458" t="s">
        <v>2172</v>
      </c>
      <c r="I61" s="459" t="n">
        <v>40011</v>
      </c>
      <c r="J61" s="460" t="n">
        <v>7</v>
      </c>
      <c r="K61" s="631" t="s">
        <v>42</v>
      </c>
      <c r="L61" s="458" t="s">
        <v>60</v>
      </c>
      <c r="M61" s="463" t="n">
        <f aca="false">I61-D61</f>
        <v>939</v>
      </c>
      <c r="N61" s="4"/>
      <c r="O61" s="339" t="s">
        <v>335</v>
      </c>
      <c r="P61" s="339"/>
      <c r="Q61" s="339"/>
      <c r="R61" s="339"/>
      <c r="S61" s="339"/>
      <c r="T61" s="339"/>
    </row>
    <row r="62" customFormat="false" ht="12.75" hidden="false" customHeight="true" outlineLevel="0" collapsed="false">
      <c r="A62" s="449" t="n">
        <v>6109</v>
      </c>
      <c r="B62" s="450" t="s">
        <v>18185</v>
      </c>
      <c r="C62" s="450" t="n">
        <v>2008</v>
      </c>
      <c r="D62" s="451" t="n">
        <v>39553</v>
      </c>
      <c r="E62" s="450" t="s">
        <v>18186</v>
      </c>
      <c r="F62" s="450" t="s">
        <v>5359</v>
      </c>
      <c r="G62" s="450" t="s">
        <v>1174</v>
      </c>
      <c r="H62" s="450" t="s">
        <v>15133</v>
      </c>
      <c r="I62" s="451" t="n">
        <v>40022</v>
      </c>
      <c r="J62" s="452" t="n">
        <v>7</v>
      </c>
      <c r="K62" s="631" t="s">
        <v>42</v>
      </c>
      <c r="L62" s="452" t="s">
        <v>60</v>
      </c>
      <c r="M62" s="455" t="n">
        <f aca="false">I62-D62</f>
        <v>469</v>
      </c>
      <c r="N62" s="4"/>
      <c r="O62" s="339"/>
      <c r="P62" s="339"/>
      <c r="Q62" s="339"/>
      <c r="R62" s="339"/>
      <c r="S62" s="339"/>
      <c r="T62" s="339"/>
    </row>
    <row r="63" customFormat="false" ht="12.75" hidden="false" customHeight="true" outlineLevel="0" collapsed="false">
      <c r="A63" s="456" t="n">
        <v>6209</v>
      </c>
      <c r="B63" s="458" t="s">
        <v>18187</v>
      </c>
      <c r="C63" s="458" t="n">
        <v>2007</v>
      </c>
      <c r="D63" s="459" t="n">
        <v>39197</v>
      </c>
      <c r="E63" s="458" t="s">
        <v>18188</v>
      </c>
      <c r="F63" s="458" t="s">
        <v>18189</v>
      </c>
      <c r="G63" s="458" t="s">
        <v>144</v>
      </c>
      <c r="H63" s="458" t="s">
        <v>18190</v>
      </c>
      <c r="I63" s="459" t="n">
        <v>40025</v>
      </c>
      <c r="J63" s="460" t="n">
        <v>7</v>
      </c>
      <c r="K63" s="633" t="s">
        <v>47</v>
      </c>
      <c r="L63" s="458" t="s">
        <v>60</v>
      </c>
      <c r="M63" s="463" t="n">
        <f aca="false">I63-D63</f>
        <v>828</v>
      </c>
      <c r="N63" s="4"/>
      <c r="O63" s="340" t="s">
        <v>38</v>
      </c>
      <c r="P63" s="340"/>
      <c r="Q63" s="340"/>
      <c r="R63" s="340"/>
      <c r="S63" s="341" t="s">
        <v>343</v>
      </c>
      <c r="T63" s="342" t="s">
        <v>41</v>
      </c>
    </row>
    <row r="64" customFormat="false" ht="12.75" hidden="false" customHeight="true" outlineLevel="0" collapsed="false">
      <c r="A64" s="449" t="n">
        <v>6309</v>
      </c>
      <c r="B64" s="450" t="s">
        <v>18191</v>
      </c>
      <c r="C64" s="450" t="n">
        <v>2007</v>
      </c>
      <c r="D64" s="451" t="n">
        <v>39296</v>
      </c>
      <c r="E64" s="450" t="s">
        <v>18192</v>
      </c>
      <c r="F64" s="450" t="s">
        <v>211</v>
      </c>
      <c r="G64" s="450" t="s">
        <v>1174</v>
      </c>
      <c r="H64" s="450" t="s">
        <v>18193</v>
      </c>
      <c r="I64" s="451" t="n">
        <v>40025</v>
      </c>
      <c r="J64" s="452" t="n">
        <v>7</v>
      </c>
      <c r="K64" s="631" t="s">
        <v>42</v>
      </c>
      <c r="L64" s="452" t="s">
        <v>58</v>
      </c>
      <c r="M64" s="455" t="n">
        <f aca="false">I64-D64</f>
        <v>729</v>
      </c>
      <c r="N64" s="4"/>
      <c r="O64" s="471" t="s">
        <v>42</v>
      </c>
      <c r="P64" s="471"/>
      <c r="Q64" s="471"/>
      <c r="R64" s="471"/>
      <c r="S64" s="471" t="n">
        <f aca="false">COUNTIF($K$2:$K$476,"I - Extremamente tóxico")</f>
        <v>68</v>
      </c>
      <c r="T64" s="472" t="n">
        <f aca="false">(S64/S76)</f>
        <v>0.496350364963504</v>
      </c>
    </row>
    <row r="65" customFormat="false" ht="12.75" hidden="false" customHeight="true" outlineLevel="0" collapsed="false">
      <c r="A65" s="456" t="n">
        <v>6409</v>
      </c>
      <c r="B65" s="458" t="s">
        <v>18194</v>
      </c>
      <c r="C65" s="458" t="n">
        <v>2008</v>
      </c>
      <c r="D65" s="459" t="n">
        <v>39731</v>
      </c>
      <c r="E65" s="458" t="s">
        <v>18195</v>
      </c>
      <c r="F65" s="458" t="s">
        <v>5359</v>
      </c>
      <c r="G65" s="458" t="s">
        <v>1174</v>
      </c>
      <c r="H65" s="458" t="s">
        <v>1084</v>
      </c>
      <c r="I65" s="459" t="n">
        <v>40025</v>
      </c>
      <c r="J65" s="460" t="n">
        <v>7</v>
      </c>
      <c r="K65" s="631" t="s">
        <v>42</v>
      </c>
      <c r="L65" s="458" t="s">
        <v>60</v>
      </c>
      <c r="M65" s="463" t="n">
        <f aca="false">I65-D65</f>
        <v>294</v>
      </c>
      <c r="N65" s="4"/>
      <c r="O65" s="345" t="s">
        <v>43</v>
      </c>
      <c r="P65" s="345"/>
      <c r="Q65" s="345"/>
      <c r="R65" s="345"/>
      <c r="S65" s="345" t="n">
        <f aca="false">COUNTIF($K$2:$K$476,"Categoria 1 - Produto Extremamente Tóxico")</f>
        <v>0</v>
      </c>
      <c r="T65" s="473" t="n">
        <f aca="false">(S65/S76)</f>
        <v>0</v>
      </c>
    </row>
    <row r="66" customFormat="false" ht="12.75" hidden="false" customHeight="true" outlineLevel="0" collapsed="false">
      <c r="A66" s="449" t="n">
        <v>6509</v>
      </c>
      <c r="B66" s="450" t="s">
        <v>18196</v>
      </c>
      <c r="C66" s="450" t="n">
        <v>2008</v>
      </c>
      <c r="D66" s="451" t="n">
        <v>39721</v>
      </c>
      <c r="E66" s="450" t="s">
        <v>18197</v>
      </c>
      <c r="F66" s="450" t="s">
        <v>5359</v>
      </c>
      <c r="G66" s="450" t="s">
        <v>1174</v>
      </c>
      <c r="H66" s="450" t="s">
        <v>1266</v>
      </c>
      <c r="I66" s="451" t="n">
        <v>40025</v>
      </c>
      <c r="J66" s="452" t="n">
        <v>7</v>
      </c>
      <c r="K66" s="631" t="s">
        <v>42</v>
      </c>
      <c r="L66" s="452" t="s">
        <v>60</v>
      </c>
      <c r="M66" s="455" t="n">
        <f aca="false">I66-D66</f>
        <v>304</v>
      </c>
      <c r="N66" s="4"/>
      <c r="O66" s="345" t="s">
        <v>44</v>
      </c>
      <c r="P66" s="345"/>
      <c r="Q66" s="345"/>
      <c r="R66" s="345"/>
      <c r="S66" s="345" t="n">
        <f aca="false">COUNTIF($K$2:$K$476,"Categoria 2 - Produto Altamente Tóxico")</f>
        <v>0</v>
      </c>
      <c r="T66" s="473" t="n">
        <f aca="false">(S66/S76)</f>
        <v>0</v>
      </c>
    </row>
    <row r="67" customFormat="false" ht="12.75" hidden="false" customHeight="true" outlineLevel="0" collapsed="false">
      <c r="A67" s="456" t="n">
        <v>6609</v>
      </c>
      <c r="B67" s="458" t="s">
        <v>18198</v>
      </c>
      <c r="C67" s="458" t="n">
        <v>2008</v>
      </c>
      <c r="D67" s="459" t="n">
        <v>39554</v>
      </c>
      <c r="E67" s="458" t="s">
        <v>18199</v>
      </c>
      <c r="F67" s="458" t="s">
        <v>211</v>
      </c>
      <c r="G67" s="458" t="s">
        <v>1174</v>
      </c>
      <c r="H67" s="458" t="s">
        <v>354</v>
      </c>
      <c r="I67" s="459" t="n">
        <v>40032</v>
      </c>
      <c r="J67" s="460" t="n">
        <v>8</v>
      </c>
      <c r="K67" s="631" t="s">
        <v>42</v>
      </c>
      <c r="L67" s="458" t="s">
        <v>58</v>
      </c>
      <c r="M67" s="463" t="n">
        <f aca="false">I67-D67</f>
        <v>478</v>
      </c>
      <c r="N67" s="4"/>
      <c r="O67" s="349" t="s">
        <v>45</v>
      </c>
      <c r="P67" s="349"/>
      <c r="Q67" s="349"/>
      <c r="R67" s="349"/>
      <c r="S67" s="349" t="n">
        <f aca="false">COUNTIF($K$2:$K$476,"II - Altamente tóxico")</f>
        <v>13</v>
      </c>
      <c r="T67" s="474" t="n">
        <f aca="false">(S67/S76)</f>
        <v>0.0948905109489051</v>
      </c>
    </row>
    <row r="68" customFormat="false" ht="12.75" hidden="false" customHeight="true" outlineLevel="0" collapsed="false">
      <c r="A68" s="449" t="n">
        <v>6709</v>
      </c>
      <c r="B68" s="450" t="s">
        <v>18200</v>
      </c>
      <c r="C68" s="450" t="n">
        <v>2007</v>
      </c>
      <c r="D68" s="451" t="n">
        <v>39254</v>
      </c>
      <c r="E68" s="450" t="s">
        <v>18201</v>
      </c>
      <c r="F68" s="450" t="s">
        <v>5401</v>
      </c>
      <c r="G68" s="450" t="s">
        <v>144</v>
      </c>
      <c r="H68" s="450" t="s">
        <v>2421</v>
      </c>
      <c r="I68" s="451" t="n">
        <v>40035</v>
      </c>
      <c r="J68" s="452" t="n">
        <v>8</v>
      </c>
      <c r="K68" s="631" t="s">
        <v>42</v>
      </c>
      <c r="L68" s="452" t="s">
        <v>60</v>
      </c>
      <c r="M68" s="455" t="n">
        <f aca="false">I68-D68</f>
        <v>781</v>
      </c>
      <c r="N68" s="4"/>
      <c r="O68" s="349" t="s">
        <v>46</v>
      </c>
      <c r="P68" s="349"/>
      <c r="Q68" s="349"/>
      <c r="R68" s="349"/>
      <c r="S68" s="349" t="n">
        <f aca="false">COUNTIF($K$2:$K$476,"Categoria 3 - Produto Moderadamente Tóxico")</f>
        <v>0</v>
      </c>
      <c r="T68" s="474" t="n">
        <f aca="false">(S68/S76)</f>
        <v>0</v>
      </c>
    </row>
    <row r="69" customFormat="false" ht="12.75" hidden="false" customHeight="true" outlineLevel="0" collapsed="false">
      <c r="A69" s="456" t="n">
        <v>6809</v>
      </c>
      <c r="B69" s="458" t="s">
        <v>18202</v>
      </c>
      <c r="C69" s="458" t="n">
        <v>2005</v>
      </c>
      <c r="D69" s="459" t="n">
        <v>38448</v>
      </c>
      <c r="E69" s="458" t="s">
        <v>18203</v>
      </c>
      <c r="F69" s="458" t="s">
        <v>488</v>
      </c>
      <c r="G69" s="458" t="s">
        <v>144</v>
      </c>
      <c r="H69" s="458" t="s">
        <v>413</v>
      </c>
      <c r="I69" s="459" t="n">
        <v>40037</v>
      </c>
      <c r="J69" s="460" t="n">
        <v>8</v>
      </c>
      <c r="K69" s="634" t="s">
        <v>45</v>
      </c>
      <c r="L69" s="458" t="s">
        <v>60</v>
      </c>
      <c r="M69" s="463" t="n">
        <f aca="false">I69-D69</f>
        <v>1589</v>
      </c>
      <c r="N69" s="4"/>
      <c r="O69" s="351" t="s">
        <v>47</v>
      </c>
      <c r="P69" s="351"/>
      <c r="Q69" s="351"/>
      <c r="R69" s="351"/>
      <c r="S69" s="351" t="n">
        <f aca="false">COUNTIF($K$2:$K$476,"III - Medianamente tóxico")</f>
        <v>51</v>
      </c>
      <c r="T69" s="475" t="n">
        <f aca="false">(S69/S76)</f>
        <v>0.372262773722628</v>
      </c>
    </row>
    <row r="70" customFormat="false" ht="12.75" hidden="false" customHeight="true" outlineLevel="0" collapsed="false">
      <c r="A70" s="449" t="n">
        <v>6909</v>
      </c>
      <c r="B70" s="450" t="s">
        <v>18204</v>
      </c>
      <c r="C70" s="450" t="n">
        <v>2001</v>
      </c>
      <c r="D70" s="451" t="n">
        <v>37134</v>
      </c>
      <c r="E70" s="450" t="s">
        <v>18205</v>
      </c>
      <c r="F70" s="450" t="s">
        <v>4270</v>
      </c>
      <c r="G70" s="450" t="s">
        <v>441</v>
      </c>
      <c r="H70" s="450" t="s">
        <v>12073</v>
      </c>
      <c r="I70" s="451" t="n">
        <v>40038</v>
      </c>
      <c r="J70" s="452" t="n">
        <v>8</v>
      </c>
      <c r="K70" s="631" t="s">
        <v>42</v>
      </c>
      <c r="L70" s="452" t="s">
        <v>60</v>
      </c>
      <c r="M70" s="455" t="n">
        <f aca="false">I70-D70</f>
        <v>2904</v>
      </c>
      <c r="N70" s="4"/>
      <c r="O70" s="351" t="s">
        <v>48</v>
      </c>
      <c r="P70" s="351"/>
      <c r="Q70" s="351"/>
      <c r="R70" s="351"/>
      <c r="S70" s="351" t="n">
        <f aca="false">COUNTIF($K$2:$K$476,"Categoria 4 - Produto Pouco Tóxico")</f>
        <v>0</v>
      </c>
      <c r="T70" s="475" t="n">
        <f aca="false">(S70/S76)</f>
        <v>0</v>
      </c>
    </row>
    <row r="71" customFormat="false" ht="12.75" hidden="false" customHeight="true" outlineLevel="0" collapsed="false">
      <c r="A71" s="456" t="n">
        <v>7009</v>
      </c>
      <c r="B71" s="458" t="s">
        <v>18206</v>
      </c>
      <c r="C71" s="458" t="n">
        <v>2005</v>
      </c>
      <c r="D71" s="459" t="n">
        <v>38490</v>
      </c>
      <c r="E71" s="458" t="s">
        <v>18207</v>
      </c>
      <c r="F71" s="458" t="s">
        <v>6078</v>
      </c>
      <c r="G71" s="458" t="s">
        <v>144</v>
      </c>
      <c r="H71" s="458" t="s">
        <v>453</v>
      </c>
      <c r="I71" s="459" t="n">
        <v>40038</v>
      </c>
      <c r="J71" s="460" t="n">
        <v>8</v>
      </c>
      <c r="K71" s="631" t="s">
        <v>42</v>
      </c>
      <c r="L71" s="458" t="s">
        <v>58</v>
      </c>
      <c r="M71" s="463" t="n">
        <f aca="false">I71-D71</f>
        <v>1548</v>
      </c>
      <c r="N71" s="4"/>
      <c r="O71" s="351" t="s">
        <v>49</v>
      </c>
      <c r="P71" s="351"/>
      <c r="Q71" s="351"/>
      <c r="R71" s="351"/>
      <c r="S71" s="351" t="n">
        <f aca="false">COUNTIF($K$2:$K$476,"Categoria 5 - Produto Improvável de Causar Dano Agudo")</f>
        <v>0</v>
      </c>
      <c r="T71" s="475" t="n">
        <f aca="false">(S71/S76)</f>
        <v>0</v>
      </c>
    </row>
    <row r="72" customFormat="false" ht="12.75" hidden="false" customHeight="true" outlineLevel="0" collapsed="false">
      <c r="A72" s="449" t="n">
        <v>7109</v>
      </c>
      <c r="B72" s="450" t="s">
        <v>18208</v>
      </c>
      <c r="C72" s="450" t="n">
        <v>2005</v>
      </c>
      <c r="D72" s="451" t="n">
        <v>38448</v>
      </c>
      <c r="E72" s="450" t="s">
        <v>18209</v>
      </c>
      <c r="F72" s="450" t="s">
        <v>17862</v>
      </c>
      <c r="G72" s="450" t="s">
        <v>144</v>
      </c>
      <c r="H72" s="450" t="s">
        <v>413</v>
      </c>
      <c r="I72" s="451" t="n">
        <v>40038</v>
      </c>
      <c r="J72" s="452" t="n">
        <v>8</v>
      </c>
      <c r="K72" s="633" t="s">
        <v>47</v>
      </c>
      <c r="L72" s="452" t="s">
        <v>58</v>
      </c>
      <c r="M72" s="455" t="n">
        <f aca="false">I72-D72</f>
        <v>1590</v>
      </c>
      <c r="N72" s="4"/>
      <c r="O72" s="353" t="s">
        <v>50</v>
      </c>
      <c r="P72" s="353"/>
      <c r="Q72" s="353"/>
      <c r="R72" s="353"/>
      <c r="S72" s="353" t="n">
        <f aca="false">COUNTIF($K$2:$K$476,"IV - Pouco tóxico")</f>
        <v>5</v>
      </c>
      <c r="T72" s="476" t="n">
        <f aca="false">(S72/S76)</f>
        <v>0.0364963503649635</v>
      </c>
    </row>
    <row r="73" customFormat="false" ht="12.75" hidden="false" customHeight="true" outlineLevel="0" collapsed="false">
      <c r="A73" s="456" t="n">
        <v>7209</v>
      </c>
      <c r="B73" s="458" t="s">
        <v>18210</v>
      </c>
      <c r="C73" s="458" t="n">
        <v>2007</v>
      </c>
      <c r="D73" s="459" t="n">
        <v>39386</v>
      </c>
      <c r="E73" s="458" t="s">
        <v>18211</v>
      </c>
      <c r="F73" s="458" t="s">
        <v>113</v>
      </c>
      <c r="G73" s="458" t="s">
        <v>441</v>
      </c>
      <c r="H73" s="458" t="s">
        <v>1266</v>
      </c>
      <c r="I73" s="459" t="n">
        <v>40039</v>
      </c>
      <c r="J73" s="460" t="n">
        <v>8</v>
      </c>
      <c r="K73" s="631" t="s">
        <v>42</v>
      </c>
      <c r="L73" s="458" t="s">
        <v>58</v>
      </c>
      <c r="M73" s="463" t="n">
        <f aca="false">I73-D73</f>
        <v>653</v>
      </c>
      <c r="N73" s="4"/>
      <c r="O73" s="353" t="s">
        <v>51</v>
      </c>
      <c r="P73" s="353"/>
      <c r="Q73" s="353"/>
      <c r="R73" s="353"/>
      <c r="S73" s="353" t="n">
        <f aca="false">COUNTIF($K$2:$K$476,"Não classificado - Produto não classificado")</f>
        <v>0</v>
      </c>
      <c r="T73" s="476" t="n">
        <f aca="false">(S73/S76)</f>
        <v>0</v>
      </c>
    </row>
    <row r="74" customFormat="false" ht="12.75" hidden="false" customHeight="true" outlineLevel="0" collapsed="false">
      <c r="A74" s="449" t="n">
        <v>7309</v>
      </c>
      <c r="B74" s="450" t="s">
        <v>18212</v>
      </c>
      <c r="C74" s="450" t="n">
        <v>2006</v>
      </c>
      <c r="D74" s="451" t="n">
        <v>38930</v>
      </c>
      <c r="E74" s="450" t="s">
        <v>18213</v>
      </c>
      <c r="F74" s="450" t="s">
        <v>18145</v>
      </c>
      <c r="G74" s="450" t="s">
        <v>144</v>
      </c>
      <c r="H74" s="450" t="s">
        <v>18097</v>
      </c>
      <c r="I74" s="451" t="n">
        <v>40039</v>
      </c>
      <c r="J74" s="452" t="n">
        <v>8</v>
      </c>
      <c r="K74" s="631" t="s">
        <v>42</v>
      </c>
      <c r="L74" s="452" t="s">
        <v>58</v>
      </c>
      <c r="M74" s="455" t="n">
        <f aca="false">I74-D74</f>
        <v>1109</v>
      </c>
      <c r="N74" s="4"/>
      <c r="O74" s="353" t="s">
        <v>2407</v>
      </c>
      <c r="P74" s="353"/>
      <c r="Q74" s="353"/>
      <c r="R74" s="353"/>
      <c r="S74" s="353" t="n">
        <f aca="false">COUNTIF($K$2:$K$476,"Não determinada devido à natureza do produto (Inimigos naturais)")</f>
        <v>0</v>
      </c>
      <c r="T74" s="476" t="n">
        <f aca="false">(S74/S76)</f>
        <v>0</v>
      </c>
    </row>
    <row r="75" customFormat="false" ht="12.75" hidden="false" customHeight="true" outlineLevel="0" collapsed="false">
      <c r="A75" s="456" t="n">
        <v>7409</v>
      </c>
      <c r="B75" s="458" t="s">
        <v>18214</v>
      </c>
      <c r="C75" s="458" t="n">
        <v>2007</v>
      </c>
      <c r="D75" s="459" t="n">
        <v>39394</v>
      </c>
      <c r="E75" s="458" t="s">
        <v>18215</v>
      </c>
      <c r="F75" s="458" t="s">
        <v>113</v>
      </c>
      <c r="G75" s="458" t="s">
        <v>441</v>
      </c>
      <c r="H75" s="458" t="s">
        <v>1266</v>
      </c>
      <c r="I75" s="459" t="n">
        <v>40039</v>
      </c>
      <c r="J75" s="460" t="n">
        <v>8</v>
      </c>
      <c r="K75" s="631" t="s">
        <v>42</v>
      </c>
      <c r="L75" s="458" t="s">
        <v>58</v>
      </c>
      <c r="M75" s="463" t="n">
        <f aca="false">I75-D75</f>
        <v>645</v>
      </c>
      <c r="N75" s="4"/>
      <c r="O75" s="478" t="s">
        <v>53</v>
      </c>
      <c r="P75" s="478"/>
      <c r="Q75" s="478"/>
      <c r="R75" s="478"/>
      <c r="S75" s="478" t="n">
        <f aca="false">COUNTIF($K$2:$K$476,"O perfil toxicológico foi considerado equivalente ao produto técnico de referência")</f>
        <v>0</v>
      </c>
      <c r="T75" s="479" t="n">
        <f aca="false">(S75/S76)</f>
        <v>0</v>
      </c>
    </row>
    <row r="76" customFormat="false" ht="12.75" hidden="false" customHeight="true" outlineLevel="0" collapsed="false">
      <c r="A76" s="449" t="n">
        <v>7509</v>
      </c>
      <c r="B76" s="450" t="s">
        <v>18216</v>
      </c>
      <c r="C76" s="450" t="n">
        <v>2006</v>
      </c>
      <c r="D76" s="451" t="n">
        <v>38904</v>
      </c>
      <c r="E76" s="450" t="s">
        <v>18217</v>
      </c>
      <c r="F76" s="450" t="s">
        <v>211</v>
      </c>
      <c r="G76" s="450" t="s">
        <v>1174</v>
      </c>
      <c r="H76" s="450" t="s">
        <v>18218</v>
      </c>
      <c r="I76" s="451" t="n">
        <v>40039</v>
      </c>
      <c r="J76" s="452" t="n">
        <v>8</v>
      </c>
      <c r="K76" s="631" t="s">
        <v>42</v>
      </c>
      <c r="L76" s="452" t="s">
        <v>58</v>
      </c>
      <c r="M76" s="455" t="n">
        <f aca="false">I76-D76</f>
        <v>1135</v>
      </c>
      <c r="N76" s="4"/>
      <c r="O76" s="419" t="s">
        <v>54</v>
      </c>
      <c r="P76" s="419"/>
      <c r="Q76" s="419"/>
      <c r="R76" s="419"/>
      <c r="S76" s="363" t="n">
        <f aca="false">SUM(S64:S75)</f>
        <v>137</v>
      </c>
      <c r="T76" s="364" t="n">
        <f aca="false">(S76/S76)</f>
        <v>1</v>
      </c>
    </row>
    <row r="77" customFormat="false" ht="12.75" hidden="false" customHeight="true" outlineLevel="0" collapsed="false">
      <c r="A77" s="456" t="n">
        <v>7609</v>
      </c>
      <c r="B77" s="458" t="s">
        <v>18219</v>
      </c>
      <c r="C77" s="458" t="n">
        <v>2006</v>
      </c>
      <c r="D77" s="459" t="n">
        <v>38819</v>
      </c>
      <c r="E77" s="458" t="s">
        <v>18220</v>
      </c>
      <c r="F77" s="458" t="s">
        <v>211</v>
      </c>
      <c r="G77" s="458" t="s">
        <v>441</v>
      </c>
      <c r="H77" s="458" t="s">
        <v>17797</v>
      </c>
      <c r="I77" s="459" t="n">
        <v>40042</v>
      </c>
      <c r="J77" s="460" t="n">
        <v>8</v>
      </c>
      <c r="K77" s="633" t="s">
        <v>47</v>
      </c>
      <c r="L77" s="458" t="s">
        <v>60</v>
      </c>
      <c r="M77" s="463" t="n">
        <f aca="false">I77-D77</f>
        <v>1223</v>
      </c>
      <c r="N77" s="4"/>
      <c r="O77" s="153"/>
      <c r="P77" s="153"/>
      <c r="Q77" s="153"/>
      <c r="R77" s="153"/>
      <c r="S77" s="153"/>
      <c r="T77" s="153"/>
    </row>
    <row r="78" customFormat="false" ht="13.5" hidden="false" customHeight="true" outlineLevel="0" collapsed="false">
      <c r="A78" s="449" t="n">
        <v>7709</v>
      </c>
      <c r="B78" s="450" t="s">
        <v>18221</v>
      </c>
      <c r="C78" s="450" t="n">
        <v>2007</v>
      </c>
      <c r="D78" s="451" t="n">
        <v>39099</v>
      </c>
      <c r="E78" s="450" t="s">
        <v>18222</v>
      </c>
      <c r="F78" s="450" t="s">
        <v>3946</v>
      </c>
      <c r="G78" s="450" t="s">
        <v>144</v>
      </c>
      <c r="H78" s="450" t="s">
        <v>2172</v>
      </c>
      <c r="I78" s="451" t="n">
        <v>40053</v>
      </c>
      <c r="J78" s="452" t="n">
        <v>8</v>
      </c>
      <c r="K78" s="634" t="s">
        <v>45</v>
      </c>
      <c r="L78" s="452" t="s">
        <v>61</v>
      </c>
      <c r="M78" s="455" t="n">
        <f aca="false">I78-D78</f>
        <v>954</v>
      </c>
      <c r="N78" s="4"/>
      <c r="O78" s="339" t="s">
        <v>102</v>
      </c>
      <c r="P78" s="339"/>
      <c r="Q78" s="339"/>
      <c r="R78" s="339"/>
      <c r="S78" s="339"/>
      <c r="T78" s="339"/>
    </row>
    <row r="79" customFormat="false" ht="12.75" hidden="false" customHeight="true" outlineLevel="0" collapsed="false">
      <c r="A79" s="456" t="n">
        <v>7809</v>
      </c>
      <c r="B79" s="458" t="s">
        <v>18223</v>
      </c>
      <c r="C79" s="458" t="n">
        <v>2007</v>
      </c>
      <c r="D79" s="459" t="n">
        <v>39433</v>
      </c>
      <c r="E79" s="458" t="s">
        <v>18224</v>
      </c>
      <c r="F79" s="458" t="s">
        <v>11065</v>
      </c>
      <c r="G79" s="458" t="s">
        <v>1174</v>
      </c>
      <c r="H79" s="458" t="s">
        <v>15247</v>
      </c>
      <c r="I79" s="459" t="n">
        <v>40053</v>
      </c>
      <c r="J79" s="460" t="n">
        <v>8</v>
      </c>
      <c r="K79" s="631" t="s">
        <v>42</v>
      </c>
      <c r="L79" s="458" t="s">
        <v>58</v>
      </c>
      <c r="M79" s="463" t="n">
        <f aca="false">I79-D79</f>
        <v>620</v>
      </c>
      <c r="N79" s="4"/>
      <c r="O79" s="339"/>
      <c r="P79" s="339"/>
      <c r="Q79" s="339"/>
      <c r="R79" s="339"/>
      <c r="S79" s="339"/>
      <c r="T79" s="339"/>
    </row>
    <row r="80" customFormat="false" ht="12.75" hidden="false" customHeight="true" outlineLevel="0" collapsed="false">
      <c r="A80" s="449" t="n">
        <v>7909</v>
      </c>
      <c r="B80" s="450" t="s">
        <v>18225</v>
      </c>
      <c r="C80" s="450" t="n">
        <v>2007</v>
      </c>
      <c r="D80" s="451" t="n">
        <v>39365</v>
      </c>
      <c r="E80" s="450" t="s">
        <v>18226</v>
      </c>
      <c r="F80" s="450" t="s">
        <v>18227</v>
      </c>
      <c r="G80" s="450" t="s">
        <v>441</v>
      </c>
      <c r="H80" s="450" t="s">
        <v>223</v>
      </c>
      <c r="I80" s="451" t="n">
        <v>40056</v>
      </c>
      <c r="J80" s="452" t="n">
        <v>8</v>
      </c>
      <c r="K80" s="631" t="s">
        <v>42</v>
      </c>
      <c r="L80" s="452" t="s">
        <v>60</v>
      </c>
      <c r="M80" s="455" t="n">
        <f aca="false">I80-D80</f>
        <v>691</v>
      </c>
      <c r="N80" s="4"/>
      <c r="O80" s="340" t="s">
        <v>38</v>
      </c>
      <c r="P80" s="340"/>
      <c r="Q80" s="340"/>
      <c r="R80" s="340"/>
      <c r="S80" s="374" t="s">
        <v>343</v>
      </c>
      <c r="T80" s="375" t="s">
        <v>41</v>
      </c>
    </row>
    <row r="81" customFormat="false" ht="13.5" hidden="false" customHeight="true" outlineLevel="0" collapsed="false">
      <c r="A81" s="456" t="n">
        <v>8009</v>
      </c>
      <c r="B81" s="458" t="s">
        <v>18228</v>
      </c>
      <c r="C81" s="458" t="n">
        <v>2007</v>
      </c>
      <c r="D81" s="459" t="n">
        <v>39414</v>
      </c>
      <c r="E81" s="458" t="s">
        <v>18229</v>
      </c>
      <c r="F81" s="458" t="s">
        <v>5359</v>
      </c>
      <c r="G81" s="458" t="s">
        <v>441</v>
      </c>
      <c r="H81" s="458" t="s">
        <v>3056</v>
      </c>
      <c r="I81" s="459" t="n">
        <v>40057</v>
      </c>
      <c r="J81" s="460" t="n">
        <v>9</v>
      </c>
      <c r="K81" s="631" t="s">
        <v>42</v>
      </c>
      <c r="L81" s="458" t="s">
        <v>58</v>
      </c>
      <c r="M81" s="463" t="n">
        <f aca="false">I81-D81</f>
        <v>643</v>
      </c>
      <c r="N81" s="4"/>
      <c r="O81" s="480" t="s">
        <v>57</v>
      </c>
      <c r="P81" s="480"/>
      <c r="Q81" s="480"/>
      <c r="R81" s="480"/>
      <c r="S81" s="536" t="n">
        <f aca="false">COUNTIF($L$2:$L$476,"I - Produto altamente perigoso ao meio ambiente")</f>
        <v>2</v>
      </c>
      <c r="T81" s="377" t="n">
        <f aca="false">(S81/S85)</f>
        <v>0.0145985401459854</v>
      </c>
    </row>
    <row r="82" customFormat="false" ht="13.5" hidden="false" customHeight="true" outlineLevel="0" collapsed="false">
      <c r="A82" s="449" t="n">
        <v>8109</v>
      </c>
      <c r="B82" s="450" t="s">
        <v>18230</v>
      </c>
      <c r="C82" s="450" t="n">
        <v>2004</v>
      </c>
      <c r="D82" s="451" t="n">
        <v>38133</v>
      </c>
      <c r="E82" s="450" t="s">
        <v>18231</v>
      </c>
      <c r="F82" s="450" t="s">
        <v>18232</v>
      </c>
      <c r="G82" s="450" t="s">
        <v>441</v>
      </c>
      <c r="H82" s="450" t="s">
        <v>12073</v>
      </c>
      <c r="I82" s="451" t="n">
        <v>40057</v>
      </c>
      <c r="J82" s="452" t="n">
        <v>9</v>
      </c>
      <c r="K82" s="631" t="s">
        <v>42</v>
      </c>
      <c r="L82" s="452" t="s">
        <v>58</v>
      </c>
      <c r="M82" s="455" t="n">
        <f aca="false">I82-D82</f>
        <v>1924</v>
      </c>
      <c r="N82" s="4"/>
      <c r="O82" s="378" t="s">
        <v>58</v>
      </c>
      <c r="P82" s="378"/>
      <c r="Q82" s="378"/>
      <c r="R82" s="378"/>
      <c r="S82" s="537" t="n">
        <f aca="false">COUNTIF($L$2:$L$476,"II - Produto muito perigoso ao meio ambiente")</f>
        <v>79</v>
      </c>
      <c r="T82" s="379" t="n">
        <f aca="false">(S82/S85)</f>
        <v>0.576642335766423</v>
      </c>
    </row>
    <row r="83" customFormat="false" ht="13.5" hidden="false" customHeight="true" outlineLevel="0" collapsed="false">
      <c r="A83" s="456" t="n">
        <v>8209</v>
      </c>
      <c r="B83" s="458" t="s">
        <v>18233</v>
      </c>
      <c r="C83" s="458" t="n">
        <v>2006</v>
      </c>
      <c r="D83" s="459" t="n">
        <v>38771</v>
      </c>
      <c r="E83" s="458" t="s">
        <v>18234</v>
      </c>
      <c r="F83" s="458" t="s">
        <v>15440</v>
      </c>
      <c r="G83" s="458" t="s">
        <v>1188</v>
      </c>
      <c r="H83" s="458" t="s">
        <v>5888</v>
      </c>
      <c r="I83" s="459" t="n">
        <v>40067</v>
      </c>
      <c r="J83" s="460" t="n">
        <v>9</v>
      </c>
      <c r="K83" s="633" t="s">
        <v>47</v>
      </c>
      <c r="L83" s="458" t="s">
        <v>61</v>
      </c>
      <c r="M83" s="463" t="n">
        <f aca="false">I83-D83</f>
        <v>1296</v>
      </c>
      <c r="N83" s="4"/>
      <c r="O83" s="380" t="s">
        <v>60</v>
      </c>
      <c r="P83" s="380"/>
      <c r="Q83" s="380"/>
      <c r="R83" s="380"/>
      <c r="S83" s="536" t="n">
        <f aca="false">COUNTIF($L$2:$L$476,"III - Produto perigoso ao meio ambiente")</f>
        <v>49</v>
      </c>
      <c r="T83" s="377" t="n">
        <f aca="false">(S83/S85)</f>
        <v>0.357664233576642</v>
      </c>
    </row>
    <row r="84" customFormat="false" ht="14.25" hidden="false" customHeight="true" outlineLevel="0" collapsed="false">
      <c r="A84" s="449" t="n">
        <v>8309</v>
      </c>
      <c r="B84" s="450" t="s">
        <v>18235</v>
      </c>
      <c r="C84" s="450" t="n">
        <v>2006</v>
      </c>
      <c r="D84" s="451" t="n">
        <v>38959</v>
      </c>
      <c r="E84" s="450" t="s">
        <v>18236</v>
      </c>
      <c r="F84" s="450" t="s">
        <v>15440</v>
      </c>
      <c r="G84" s="450" t="s">
        <v>115</v>
      </c>
      <c r="H84" s="450" t="s">
        <v>5888</v>
      </c>
      <c r="I84" s="451" t="n">
        <v>40067</v>
      </c>
      <c r="J84" s="452" t="n">
        <v>9</v>
      </c>
      <c r="K84" s="633" t="s">
        <v>47</v>
      </c>
      <c r="L84" s="452" t="s">
        <v>61</v>
      </c>
      <c r="M84" s="455" t="n">
        <f aca="false">I84-D84</f>
        <v>1108</v>
      </c>
      <c r="N84" s="4"/>
      <c r="O84" s="378" t="s">
        <v>61</v>
      </c>
      <c r="P84" s="378"/>
      <c r="Q84" s="378"/>
      <c r="R84" s="378"/>
      <c r="S84" s="537" t="n">
        <f aca="false">COUNTIF($L$2:$L$476,"IV - Produto pouco perigoso ao meio ambiente")</f>
        <v>7</v>
      </c>
      <c r="T84" s="379" t="n">
        <f aca="false">(S84/S85)</f>
        <v>0.0510948905109489</v>
      </c>
    </row>
    <row r="85" customFormat="false" ht="12.75" hidden="false" customHeight="true" outlineLevel="0" collapsed="false">
      <c r="A85" s="456" t="n">
        <v>8409</v>
      </c>
      <c r="B85" s="458" t="s">
        <v>18237</v>
      </c>
      <c r="C85" s="458" t="n">
        <v>2008</v>
      </c>
      <c r="D85" s="459" t="n">
        <v>39583</v>
      </c>
      <c r="E85" s="458" t="s">
        <v>18238</v>
      </c>
      <c r="F85" s="458" t="s">
        <v>1357</v>
      </c>
      <c r="G85" s="458" t="s">
        <v>441</v>
      </c>
      <c r="H85" s="458" t="s">
        <v>961</v>
      </c>
      <c r="I85" s="459" t="n">
        <v>40072</v>
      </c>
      <c r="J85" s="460" t="n">
        <v>9</v>
      </c>
      <c r="K85" s="631" t="s">
        <v>42</v>
      </c>
      <c r="L85" s="458" t="s">
        <v>58</v>
      </c>
      <c r="M85" s="463" t="n">
        <f aca="false">I85-D85</f>
        <v>489</v>
      </c>
      <c r="N85" s="4"/>
      <c r="O85" s="340" t="s">
        <v>54</v>
      </c>
      <c r="P85" s="340"/>
      <c r="Q85" s="340"/>
      <c r="R85" s="340"/>
      <c r="S85" s="363" t="n">
        <f aca="false">SUM(S81:S84)</f>
        <v>137</v>
      </c>
      <c r="T85" s="364" t="n">
        <f aca="false">(S85/S85)</f>
        <v>1</v>
      </c>
    </row>
    <row r="86" customFormat="false" ht="12.75" hidden="false" customHeight="true" outlineLevel="0" collapsed="false">
      <c r="A86" s="449" t="n">
        <v>8509</v>
      </c>
      <c r="B86" s="450" t="s">
        <v>18239</v>
      </c>
      <c r="C86" s="450" t="n">
        <v>2007</v>
      </c>
      <c r="D86" s="451" t="n">
        <v>39352</v>
      </c>
      <c r="E86" s="450" t="s">
        <v>18240</v>
      </c>
      <c r="F86" s="450" t="s">
        <v>18241</v>
      </c>
      <c r="G86" s="450" t="s">
        <v>441</v>
      </c>
      <c r="H86" s="450" t="s">
        <v>17797</v>
      </c>
      <c r="I86" s="451" t="n">
        <v>40072</v>
      </c>
      <c r="J86" s="452" t="n">
        <v>9</v>
      </c>
      <c r="K86" s="633" t="s">
        <v>47</v>
      </c>
      <c r="L86" s="452" t="s">
        <v>58</v>
      </c>
      <c r="M86" s="455" t="n">
        <f aca="false">I86-D86</f>
        <v>720</v>
      </c>
      <c r="N86" s="4"/>
      <c r="O86" s="153"/>
      <c r="P86" s="153"/>
      <c r="Q86" s="153"/>
      <c r="R86" s="153"/>
      <c r="S86" s="153"/>
      <c r="T86" s="153"/>
    </row>
    <row r="87" customFormat="false" ht="13.5" hidden="false" customHeight="true" outlineLevel="0" collapsed="false">
      <c r="A87" s="456" t="n">
        <v>8609</v>
      </c>
      <c r="B87" s="458" t="s">
        <v>18242</v>
      </c>
      <c r="C87" s="458" t="n">
        <v>2007</v>
      </c>
      <c r="D87" s="459" t="n">
        <v>39429</v>
      </c>
      <c r="E87" s="458" t="s">
        <v>18243</v>
      </c>
      <c r="F87" s="458" t="s">
        <v>18243</v>
      </c>
      <c r="G87" s="458" t="s">
        <v>125</v>
      </c>
      <c r="H87" s="458" t="s">
        <v>18244</v>
      </c>
      <c r="I87" s="459" t="n">
        <v>40073</v>
      </c>
      <c r="J87" s="460" t="n">
        <v>9</v>
      </c>
      <c r="K87" s="632" t="s">
        <v>50</v>
      </c>
      <c r="L87" s="458" t="s">
        <v>61</v>
      </c>
      <c r="M87" s="463" t="n">
        <f aca="false">I87-D87</f>
        <v>644</v>
      </c>
      <c r="N87" s="4"/>
      <c r="O87" s="421" t="s">
        <v>425</v>
      </c>
      <c r="P87" s="421"/>
      <c r="Q87" s="421"/>
      <c r="R87" s="421"/>
      <c r="S87" s="153"/>
      <c r="T87" s="153"/>
    </row>
    <row r="88" customFormat="false" ht="12.75" hidden="false" customHeight="true" outlineLevel="0" collapsed="false">
      <c r="A88" s="449" t="n">
        <v>8709</v>
      </c>
      <c r="B88" s="450" t="s">
        <v>18245</v>
      </c>
      <c r="C88" s="450" t="n">
        <v>2006</v>
      </c>
      <c r="D88" s="451" t="n">
        <v>39071</v>
      </c>
      <c r="E88" s="450" t="s">
        <v>18246</v>
      </c>
      <c r="F88" s="450" t="s">
        <v>6073</v>
      </c>
      <c r="G88" s="450" t="s">
        <v>441</v>
      </c>
      <c r="H88" s="450" t="s">
        <v>17894</v>
      </c>
      <c r="I88" s="451" t="n">
        <v>40101</v>
      </c>
      <c r="J88" s="452" t="n">
        <v>10</v>
      </c>
      <c r="K88" s="633" t="s">
        <v>47</v>
      </c>
      <c r="L88" s="452" t="s">
        <v>60</v>
      </c>
      <c r="M88" s="455" t="n">
        <f aca="false">I88-D88</f>
        <v>1030</v>
      </c>
      <c r="N88" s="4"/>
      <c r="O88" s="421"/>
      <c r="P88" s="421"/>
      <c r="Q88" s="421"/>
      <c r="R88" s="421"/>
      <c r="S88" s="153"/>
      <c r="T88" s="153"/>
    </row>
    <row r="89" customFormat="false" ht="12.75" hidden="false" customHeight="true" outlineLevel="0" collapsed="false">
      <c r="A89" s="456" t="n">
        <v>8809</v>
      </c>
      <c r="B89" s="458" t="s">
        <v>18247</v>
      </c>
      <c r="C89" s="458" t="n">
        <v>2007</v>
      </c>
      <c r="D89" s="459" t="n">
        <v>39344</v>
      </c>
      <c r="E89" s="458" t="s">
        <v>18248</v>
      </c>
      <c r="F89" s="458" t="s">
        <v>191</v>
      </c>
      <c r="G89" s="458" t="s">
        <v>1188</v>
      </c>
      <c r="H89" s="458" t="s">
        <v>18249</v>
      </c>
      <c r="I89" s="459" t="n">
        <v>40101</v>
      </c>
      <c r="J89" s="460" t="n">
        <v>10</v>
      </c>
      <c r="K89" s="633" t="s">
        <v>47</v>
      </c>
      <c r="L89" s="458" t="s">
        <v>58</v>
      </c>
      <c r="M89" s="463" t="n">
        <f aca="false">I89-D89</f>
        <v>757</v>
      </c>
      <c r="N89" s="4"/>
      <c r="O89" s="390" t="s">
        <v>69</v>
      </c>
      <c r="P89" s="422" t="s">
        <v>433</v>
      </c>
      <c r="Q89" s="422"/>
      <c r="R89" s="422"/>
      <c r="S89" s="153"/>
      <c r="T89" s="153"/>
    </row>
    <row r="90" customFormat="false" ht="12.75" hidden="false" customHeight="true" outlineLevel="0" collapsed="false">
      <c r="A90" s="449" t="n">
        <v>8909</v>
      </c>
      <c r="B90" s="450" t="s">
        <v>18250</v>
      </c>
      <c r="C90" s="450" t="n">
        <v>2007</v>
      </c>
      <c r="D90" s="451" t="n">
        <v>39353</v>
      </c>
      <c r="E90" s="450" t="s">
        <v>18251</v>
      </c>
      <c r="F90" s="450" t="s">
        <v>191</v>
      </c>
      <c r="G90" s="450" t="s">
        <v>115</v>
      </c>
      <c r="H90" s="450" t="s">
        <v>18249</v>
      </c>
      <c r="I90" s="451" t="n">
        <v>40102</v>
      </c>
      <c r="J90" s="452" t="n">
        <v>10</v>
      </c>
      <c r="K90" s="633" t="s">
        <v>47</v>
      </c>
      <c r="L90" s="452" t="s">
        <v>58</v>
      </c>
      <c r="M90" s="455" t="n">
        <f aca="false">I90-D90</f>
        <v>749</v>
      </c>
      <c r="N90" s="4"/>
      <c r="O90" s="394" t="s">
        <v>1474</v>
      </c>
      <c r="P90" s="481" t="n">
        <f aca="false">AVERAGEIF(G2:G476,"PT",M2:M476)</f>
        <v>1125</v>
      </c>
      <c r="Q90" s="481"/>
      <c r="R90" s="481"/>
      <c r="S90" s="153"/>
      <c r="T90" s="153"/>
    </row>
    <row r="91" customFormat="false" ht="12.75" hidden="false" customHeight="true" outlineLevel="0" collapsed="false">
      <c r="A91" s="456" t="n">
        <v>9009</v>
      </c>
      <c r="B91" s="458" t="s">
        <v>18252</v>
      </c>
      <c r="C91" s="458" t="n">
        <v>2006</v>
      </c>
      <c r="D91" s="459" t="n">
        <v>39069</v>
      </c>
      <c r="E91" s="458" t="s">
        <v>18253</v>
      </c>
      <c r="F91" s="458" t="s">
        <v>1097</v>
      </c>
      <c r="G91" s="458" t="s">
        <v>144</v>
      </c>
      <c r="H91" s="458" t="s">
        <v>4438</v>
      </c>
      <c r="I91" s="459" t="n">
        <v>40102</v>
      </c>
      <c r="J91" s="460" t="n">
        <v>10</v>
      </c>
      <c r="K91" s="633" t="s">
        <v>47</v>
      </c>
      <c r="L91" s="458" t="s">
        <v>58</v>
      </c>
      <c r="M91" s="463" t="n">
        <f aca="false">I91-D91</f>
        <v>1033</v>
      </c>
      <c r="N91" s="4"/>
      <c r="O91" s="396" t="s">
        <v>1188</v>
      </c>
      <c r="P91" s="482" t="n">
        <f aca="false">AVERAGEIF(G2:G477,"PTN",M2:M477)</f>
        <v>1296.75</v>
      </c>
      <c r="Q91" s="482"/>
      <c r="R91" s="482"/>
      <c r="S91" s="153"/>
      <c r="T91" s="153"/>
    </row>
    <row r="92" customFormat="false" ht="12.75" hidden="false" customHeight="true" outlineLevel="0" collapsed="false">
      <c r="A92" s="449" t="n">
        <v>9109</v>
      </c>
      <c r="B92" s="450" t="s">
        <v>18254</v>
      </c>
      <c r="C92" s="450" t="n">
        <v>2007</v>
      </c>
      <c r="D92" s="451" t="n">
        <v>39356</v>
      </c>
      <c r="E92" s="450" t="s">
        <v>18255</v>
      </c>
      <c r="F92" s="450" t="s">
        <v>113</v>
      </c>
      <c r="G92" s="450" t="s">
        <v>144</v>
      </c>
      <c r="H92" s="450" t="s">
        <v>2421</v>
      </c>
      <c r="I92" s="451" t="n">
        <v>40102</v>
      </c>
      <c r="J92" s="452" t="n">
        <v>10</v>
      </c>
      <c r="K92" s="633" t="s">
        <v>47</v>
      </c>
      <c r="L92" s="452" t="s">
        <v>58</v>
      </c>
      <c r="M92" s="455" t="n">
        <f aca="false">I92-D92</f>
        <v>746</v>
      </c>
      <c r="N92" s="4"/>
      <c r="O92" s="394" t="s">
        <v>1174</v>
      </c>
      <c r="P92" s="481" t="n">
        <f aca="false">AVERAGEIF(G2:G476,"PTE",M2:M476)</f>
        <v>586.214285714286</v>
      </c>
      <c r="Q92" s="481"/>
      <c r="R92" s="481"/>
      <c r="S92" s="153"/>
      <c r="T92" s="153"/>
    </row>
    <row r="93" customFormat="false" ht="12.75" hidden="false" customHeight="true" outlineLevel="0" collapsed="false">
      <c r="A93" s="456" t="n">
        <v>9209</v>
      </c>
      <c r="B93" s="458" t="s">
        <v>18256</v>
      </c>
      <c r="C93" s="458" t="n">
        <v>2006</v>
      </c>
      <c r="D93" s="459" t="n">
        <v>39069</v>
      </c>
      <c r="E93" s="458" t="s">
        <v>18257</v>
      </c>
      <c r="F93" s="458" t="s">
        <v>18258</v>
      </c>
      <c r="G93" s="458" t="s">
        <v>144</v>
      </c>
      <c r="H93" s="458" t="s">
        <v>4438</v>
      </c>
      <c r="I93" s="459" t="n">
        <v>40102</v>
      </c>
      <c r="J93" s="460" t="n">
        <v>10</v>
      </c>
      <c r="K93" s="633" t="s">
        <v>47</v>
      </c>
      <c r="L93" s="458" t="s">
        <v>58</v>
      </c>
      <c r="M93" s="463" t="n">
        <f aca="false">I93-D93</f>
        <v>1033</v>
      </c>
      <c r="N93" s="4"/>
      <c r="O93" s="396" t="s">
        <v>8</v>
      </c>
      <c r="P93" s="482" t="e">
        <f aca="false">AVERAGEIF(G2:G476,"Pré-Mistura",M2:M476)</f>
        <v>#DIV/0!</v>
      </c>
      <c r="Q93" s="482"/>
      <c r="R93" s="482"/>
      <c r="S93" s="153"/>
      <c r="T93" s="153"/>
    </row>
    <row r="94" customFormat="false" ht="12.75" hidden="false" customHeight="true" outlineLevel="0" collapsed="false">
      <c r="A94" s="449" t="n">
        <v>9309</v>
      </c>
      <c r="B94" s="450" t="s">
        <v>18259</v>
      </c>
      <c r="C94" s="450" t="n">
        <v>2006</v>
      </c>
      <c r="D94" s="451" t="n">
        <v>39069</v>
      </c>
      <c r="E94" s="450" t="s">
        <v>18260</v>
      </c>
      <c r="F94" s="450" t="s">
        <v>18258</v>
      </c>
      <c r="G94" s="450" t="s">
        <v>144</v>
      </c>
      <c r="H94" s="450" t="s">
        <v>4438</v>
      </c>
      <c r="I94" s="451" t="n">
        <v>40102</v>
      </c>
      <c r="J94" s="452" t="n">
        <v>10</v>
      </c>
      <c r="K94" s="633" t="s">
        <v>47</v>
      </c>
      <c r="L94" s="452" t="s">
        <v>58</v>
      </c>
      <c r="M94" s="455" t="n">
        <f aca="false">I94-D94</f>
        <v>1033</v>
      </c>
      <c r="N94" s="4"/>
      <c r="O94" s="394" t="s">
        <v>144</v>
      </c>
      <c r="P94" s="481" t="n">
        <f aca="false">AVERAGEIF(G2:G476,"PF",M2:M476)</f>
        <v>1277.6</v>
      </c>
      <c r="Q94" s="481"/>
      <c r="R94" s="481"/>
      <c r="S94" s="153"/>
      <c r="T94" s="153"/>
    </row>
    <row r="95" customFormat="false" ht="12.75" hidden="false" customHeight="true" outlineLevel="0" collapsed="false">
      <c r="A95" s="456" t="n">
        <v>9409</v>
      </c>
      <c r="B95" s="458" t="s">
        <v>18261</v>
      </c>
      <c r="C95" s="458" t="n">
        <v>2008</v>
      </c>
      <c r="D95" s="459" t="n">
        <v>39743</v>
      </c>
      <c r="E95" s="458" t="s">
        <v>18262</v>
      </c>
      <c r="F95" s="458" t="s">
        <v>4270</v>
      </c>
      <c r="G95" s="458" t="s">
        <v>441</v>
      </c>
      <c r="H95" s="458" t="s">
        <v>961</v>
      </c>
      <c r="I95" s="459" t="n">
        <v>40102</v>
      </c>
      <c r="J95" s="460" t="n">
        <v>10</v>
      </c>
      <c r="K95" s="631" t="s">
        <v>42</v>
      </c>
      <c r="L95" s="458" t="s">
        <v>58</v>
      </c>
      <c r="M95" s="463" t="n">
        <f aca="false">I95-D95</f>
        <v>359</v>
      </c>
      <c r="N95" s="4"/>
      <c r="O95" s="396" t="s">
        <v>115</v>
      </c>
      <c r="P95" s="482" t="n">
        <f aca="false">AVERAGEIF(G2:G476,"PFN",M2:M476)</f>
        <v>1178.28571428571</v>
      </c>
      <c r="Q95" s="482"/>
      <c r="R95" s="482"/>
      <c r="S95" s="153"/>
      <c r="T95" s="153"/>
    </row>
    <row r="96" customFormat="false" ht="12.75" hidden="false" customHeight="true" outlineLevel="0" collapsed="false">
      <c r="A96" s="449" t="n">
        <v>9509</v>
      </c>
      <c r="B96" s="450" t="s">
        <v>18263</v>
      </c>
      <c r="C96" s="450" t="n">
        <v>2007</v>
      </c>
      <c r="D96" s="451" t="n">
        <v>39414</v>
      </c>
      <c r="E96" s="450" t="s">
        <v>18264</v>
      </c>
      <c r="F96" s="450" t="s">
        <v>211</v>
      </c>
      <c r="G96" s="450" t="s">
        <v>441</v>
      </c>
      <c r="H96" s="450" t="s">
        <v>223</v>
      </c>
      <c r="I96" s="451" t="n">
        <v>40106</v>
      </c>
      <c r="J96" s="452" t="n">
        <v>10</v>
      </c>
      <c r="K96" s="631" t="s">
        <v>42</v>
      </c>
      <c r="L96" s="452" t="s">
        <v>58</v>
      </c>
      <c r="M96" s="455" t="n">
        <f aca="false">I96-D96</f>
        <v>692</v>
      </c>
      <c r="N96" s="4"/>
      <c r="O96" s="394" t="s">
        <v>441</v>
      </c>
      <c r="P96" s="481" t="n">
        <f aca="false">AVERAGEIF(G2:G476,"PF/PTE",M2:M476)</f>
        <v>840.870967741936</v>
      </c>
      <c r="Q96" s="481"/>
      <c r="R96" s="481"/>
      <c r="S96" s="153"/>
      <c r="T96" s="153"/>
    </row>
    <row r="97" customFormat="false" ht="12.75" hidden="false" customHeight="true" outlineLevel="0" collapsed="false">
      <c r="A97" s="456" t="n">
        <v>9609</v>
      </c>
      <c r="B97" s="458" t="s">
        <v>18265</v>
      </c>
      <c r="C97" s="458" t="n">
        <v>2005</v>
      </c>
      <c r="D97" s="459" t="n">
        <v>38617</v>
      </c>
      <c r="E97" s="458" t="s">
        <v>18266</v>
      </c>
      <c r="F97" s="458" t="s">
        <v>230</v>
      </c>
      <c r="G97" s="458" t="s">
        <v>144</v>
      </c>
      <c r="H97" s="458" t="s">
        <v>453</v>
      </c>
      <c r="I97" s="459" t="n">
        <v>40107</v>
      </c>
      <c r="J97" s="460" t="n">
        <v>10</v>
      </c>
      <c r="K97" s="633" t="s">
        <v>47</v>
      </c>
      <c r="L97" s="458" t="s">
        <v>58</v>
      </c>
      <c r="M97" s="463" t="n">
        <f aca="false">I97-D97</f>
        <v>1490</v>
      </c>
      <c r="N97" s="4"/>
      <c r="O97" s="396" t="s">
        <v>125</v>
      </c>
      <c r="P97" s="482" t="n">
        <f aca="false">AVERAGEIF(G2:G476,"Bio",M2:M476)</f>
        <v>804</v>
      </c>
      <c r="Q97" s="482"/>
      <c r="R97" s="482"/>
    </row>
    <row r="98" customFormat="false" ht="12.75" hidden="false" customHeight="true" outlineLevel="0" collapsed="false">
      <c r="A98" s="449" t="n">
        <v>9709</v>
      </c>
      <c r="B98" s="450" t="s">
        <v>18267</v>
      </c>
      <c r="C98" s="450" t="n">
        <v>2002</v>
      </c>
      <c r="D98" s="451" t="n">
        <v>37554</v>
      </c>
      <c r="E98" s="450" t="s">
        <v>18268</v>
      </c>
      <c r="F98" s="450" t="s">
        <v>6078</v>
      </c>
      <c r="G98" s="450" t="s">
        <v>1474</v>
      </c>
      <c r="H98" s="450" t="s">
        <v>18269</v>
      </c>
      <c r="I98" s="451" t="n">
        <v>40114</v>
      </c>
      <c r="J98" s="452" t="n">
        <v>10</v>
      </c>
      <c r="K98" s="631" t="s">
        <v>42</v>
      </c>
      <c r="L98" s="452" t="s">
        <v>58</v>
      </c>
      <c r="M98" s="455" t="n">
        <f aca="false">I98-D98</f>
        <v>2560</v>
      </c>
      <c r="N98" s="4"/>
      <c r="O98" s="394" t="s">
        <v>130</v>
      </c>
      <c r="P98" s="481" t="e">
        <f aca="false">AVERAGEIF(G2:G476,"Bio/Org",M2:M476)</f>
        <v>#DIV/0!</v>
      </c>
      <c r="Q98" s="481"/>
      <c r="R98" s="481"/>
    </row>
    <row r="99" customFormat="false" ht="12.75" hidden="false" customHeight="true" outlineLevel="0" collapsed="false">
      <c r="A99" s="456" t="n">
        <v>9809</v>
      </c>
      <c r="B99" s="458" t="s">
        <v>18270</v>
      </c>
      <c r="C99" s="458" t="n">
        <v>2008</v>
      </c>
      <c r="D99" s="459" t="n">
        <v>39597</v>
      </c>
      <c r="E99" s="458" t="s">
        <v>18271</v>
      </c>
      <c r="F99" s="458" t="s">
        <v>15696</v>
      </c>
      <c r="G99" s="458" t="s">
        <v>1174</v>
      </c>
      <c r="H99" s="458" t="s">
        <v>18272</v>
      </c>
      <c r="I99" s="459" t="n">
        <v>40120</v>
      </c>
      <c r="J99" s="460" t="n">
        <v>11</v>
      </c>
      <c r="K99" s="634" t="s">
        <v>45</v>
      </c>
      <c r="L99" s="458" t="s">
        <v>58</v>
      </c>
      <c r="M99" s="463" t="n">
        <f aca="false">I99-D99</f>
        <v>523</v>
      </c>
      <c r="N99" s="4"/>
      <c r="O99" s="398" t="s">
        <v>86</v>
      </c>
      <c r="P99" s="399" t="n">
        <f aca="false">AVERAGE(M2:M494)</f>
        <v>922.766423357664</v>
      </c>
      <c r="Q99" s="399"/>
      <c r="R99" s="399"/>
    </row>
    <row r="100" customFormat="false" ht="12.75" hidden="false" customHeight="true" outlineLevel="0" collapsed="false">
      <c r="A100" s="449" t="n">
        <v>9909</v>
      </c>
      <c r="B100" s="450" t="s">
        <v>18273</v>
      </c>
      <c r="C100" s="450" t="n">
        <v>2007</v>
      </c>
      <c r="D100" s="451" t="n">
        <v>39395</v>
      </c>
      <c r="E100" s="450" t="s">
        <v>18274</v>
      </c>
      <c r="F100" s="450" t="s">
        <v>5359</v>
      </c>
      <c r="G100" s="450" t="s">
        <v>441</v>
      </c>
      <c r="H100" s="450" t="s">
        <v>2172</v>
      </c>
      <c r="I100" s="451" t="n">
        <v>40121</v>
      </c>
      <c r="J100" s="452" t="n">
        <v>11</v>
      </c>
      <c r="K100" s="631" t="s">
        <v>42</v>
      </c>
      <c r="L100" s="452" t="s">
        <v>58</v>
      </c>
      <c r="M100" s="455" t="n">
        <f aca="false">I100-D100</f>
        <v>726</v>
      </c>
      <c r="N100" s="4"/>
      <c r="O100" s="4"/>
      <c r="P100" s="4"/>
      <c r="Q100" s="4"/>
      <c r="R100" s="4"/>
    </row>
    <row r="101" customFormat="false" ht="12.75" hidden="false" customHeight="true" outlineLevel="0" collapsed="false">
      <c r="A101" s="456" t="n">
        <v>10009</v>
      </c>
      <c r="B101" s="458" t="s">
        <v>18275</v>
      </c>
      <c r="C101" s="458" t="n">
        <v>2007</v>
      </c>
      <c r="D101" s="459" t="n">
        <v>39433</v>
      </c>
      <c r="E101" s="458" t="s">
        <v>18276</v>
      </c>
      <c r="F101" s="458" t="s">
        <v>5359</v>
      </c>
      <c r="G101" s="458" t="s">
        <v>441</v>
      </c>
      <c r="H101" s="458" t="s">
        <v>2172</v>
      </c>
      <c r="I101" s="459" t="n">
        <v>40121</v>
      </c>
      <c r="J101" s="460" t="n">
        <v>11</v>
      </c>
      <c r="K101" s="631" t="s">
        <v>42</v>
      </c>
      <c r="L101" s="458" t="s">
        <v>58</v>
      </c>
      <c r="M101" s="463" t="n">
        <f aca="false">I101-D101</f>
        <v>688</v>
      </c>
      <c r="N101" s="4"/>
      <c r="O101" s="4"/>
      <c r="P101" s="4"/>
      <c r="Q101" s="4"/>
      <c r="R101" s="4"/>
    </row>
    <row r="102" customFormat="false" ht="12.75" hidden="false" customHeight="true" outlineLevel="0" collapsed="false">
      <c r="A102" s="449" t="n">
        <v>10109</v>
      </c>
      <c r="B102" s="450" t="s">
        <v>18277</v>
      </c>
      <c r="C102" s="450" t="n">
        <v>2008</v>
      </c>
      <c r="D102" s="451" t="n">
        <v>39554</v>
      </c>
      <c r="E102" s="450" t="s">
        <v>18278</v>
      </c>
      <c r="F102" s="450" t="s">
        <v>138</v>
      </c>
      <c r="G102" s="450" t="s">
        <v>1174</v>
      </c>
      <c r="H102" s="450" t="s">
        <v>17797</v>
      </c>
      <c r="I102" s="451" t="n">
        <v>40121</v>
      </c>
      <c r="J102" s="452" t="n">
        <v>11</v>
      </c>
      <c r="K102" s="634" t="s">
        <v>45</v>
      </c>
      <c r="L102" s="452" t="s">
        <v>60</v>
      </c>
      <c r="M102" s="455" t="n">
        <f aca="false">I102-D102</f>
        <v>567</v>
      </c>
      <c r="N102" s="4"/>
      <c r="O102" s="4"/>
      <c r="P102" s="4"/>
      <c r="Q102" s="4"/>
      <c r="R102" s="4"/>
    </row>
    <row r="103" customFormat="false" ht="12.75" hidden="false" customHeight="true" outlineLevel="0" collapsed="false">
      <c r="A103" s="456" t="n">
        <v>10209</v>
      </c>
      <c r="B103" s="458" t="s">
        <v>18279</v>
      </c>
      <c r="C103" s="458" t="n">
        <v>2007</v>
      </c>
      <c r="D103" s="459" t="n">
        <v>39433</v>
      </c>
      <c r="E103" s="458" t="s">
        <v>18280</v>
      </c>
      <c r="F103" s="458" t="s">
        <v>18017</v>
      </c>
      <c r="G103" s="458" t="s">
        <v>441</v>
      </c>
      <c r="H103" s="458" t="s">
        <v>2172</v>
      </c>
      <c r="I103" s="459" t="n">
        <v>40126</v>
      </c>
      <c r="J103" s="460" t="n">
        <v>11</v>
      </c>
      <c r="K103" s="633" t="s">
        <v>47</v>
      </c>
      <c r="L103" s="458" t="s">
        <v>60</v>
      </c>
      <c r="M103" s="463" t="n">
        <f aca="false">I103-D103</f>
        <v>693</v>
      </c>
      <c r="N103" s="4"/>
      <c r="O103" s="4"/>
      <c r="P103" s="4"/>
      <c r="Q103" s="4"/>
      <c r="R103" s="4"/>
    </row>
    <row r="104" customFormat="false" ht="12.75" hidden="false" customHeight="true" outlineLevel="0" collapsed="false">
      <c r="A104" s="449" t="n">
        <v>10309</v>
      </c>
      <c r="B104" s="450" t="s">
        <v>18281</v>
      </c>
      <c r="C104" s="450" t="n">
        <v>2007</v>
      </c>
      <c r="D104" s="451" t="n">
        <v>39414</v>
      </c>
      <c r="E104" s="450" t="s">
        <v>18282</v>
      </c>
      <c r="F104" s="450" t="s">
        <v>18017</v>
      </c>
      <c r="G104" s="450" t="s">
        <v>441</v>
      </c>
      <c r="H104" s="450" t="s">
        <v>2172</v>
      </c>
      <c r="I104" s="451" t="n">
        <v>40126</v>
      </c>
      <c r="J104" s="452" t="n">
        <v>11</v>
      </c>
      <c r="K104" s="633" t="s">
        <v>47</v>
      </c>
      <c r="L104" s="452" t="s">
        <v>60</v>
      </c>
      <c r="M104" s="455" t="n">
        <f aca="false">I104-D104</f>
        <v>712</v>
      </c>
      <c r="N104" s="4"/>
      <c r="O104" s="4"/>
      <c r="P104" s="4"/>
      <c r="Q104" s="4"/>
      <c r="R104" s="4"/>
    </row>
    <row r="105" customFormat="false" ht="12.75" hidden="false" customHeight="true" outlineLevel="0" collapsed="false">
      <c r="A105" s="456" t="n">
        <v>10409</v>
      </c>
      <c r="B105" s="458" t="s">
        <v>18283</v>
      </c>
      <c r="C105" s="458" t="n">
        <v>2007</v>
      </c>
      <c r="D105" s="459" t="n">
        <v>39365</v>
      </c>
      <c r="E105" s="458" t="s">
        <v>18284</v>
      </c>
      <c r="F105" s="458" t="s">
        <v>6073</v>
      </c>
      <c r="G105" s="458" t="s">
        <v>441</v>
      </c>
      <c r="H105" s="458" t="s">
        <v>2172</v>
      </c>
      <c r="I105" s="459" t="n">
        <v>40130</v>
      </c>
      <c r="J105" s="460" t="n">
        <v>11</v>
      </c>
      <c r="K105" s="633" t="s">
        <v>47</v>
      </c>
      <c r="L105" s="458" t="s">
        <v>60</v>
      </c>
      <c r="M105" s="463" t="n">
        <f aca="false">I105-D105</f>
        <v>765</v>
      </c>
      <c r="N105" s="4"/>
      <c r="O105" s="4"/>
      <c r="P105" s="4"/>
      <c r="Q105" s="4"/>
      <c r="R105" s="4"/>
    </row>
    <row r="106" customFormat="false" ht="12.75" hidden="false" customHeight="true" outlineLevel="0" collapsed="false">
      <c r="A106" s="449" t="n">
        <v>10509</v>
      </c>
      <c r="B106" s="450" t="s">
        <v>18285</v>
      </c>
      <c r="C106" s="450" t="n">
        <v>2007</v>
      </c>
      <c r="D106" s="451" t="n">
        <v>39444</v>
      </c>
      <c r="E106" s="450" t="s">
        <v>18286</v>
      </c>
      <c r="F106" s="450" t="s">
        <v>17951</v>
      </c>
      <c r="G106" s="450" t="s">
        <v>144</v>
      </c>
      <c r="H106" s="450" t="s">
        <v>972</v>
      </c>
      <c r="I106" s="451" t="n">
        <v>40135</v>
      </c>
      <c r="J106" s="452" t="n">
        <v>11</v>
      </c>
      <c r="K106" s="633" t="s">
        <v>47</v>
      </c>
      <c r="L106" s="452" t="s">
        <v>60</v>
      </c>
      <c r="M106" s="455" t="n">
        <f aca="false">I106-D106</f>
        <v>691</v>
      </c>
      <c r="N106" s="4"/>
      <c r="O106" s="4"/>
      <c r="P106" s="4"/>
      <c r="Q106" s="4"/>
      <c r="R106" s="4"/>
    </row>
    <row r="107" customFormat="false" ht="12.75" hidden="false" customHeight="true" outlineLevel="0" collapsed="false">
      <c r="A107" s="456" t="n">
        <v>10609</v>
      </c>
      <c r="B107" s="458" t="s">
        <v>18287</v>
      </c>
      <c r="C107" s="458" t="n">
        <v>2007</v>
      </c>
      <c r="D107" s="459" t="n">
        <v>39372</v>
      </c>
      <c r="E107" s="458" t="s">
        <v>18288</v>
      </c>
      <c r="F107" s="458" t="s">
        <v>5401</v>
      </c>
      <c r="G107" s="458" t="s">
        <v>1174</v>
      </c>
      <c r="H107" s="458" t="s">
        <v>17894</v>
      </c>
      <c r="I107" s="459" t="n">
        <v>40135</v>
      </c>
      <c r="J107" s="460" t="n">
        <v>11</v>
      </c>
      <c r="K107" s="633" t="s">
        <v>47</v>
      </c>
      <c r="L107" s="458" t="s">
        <v>60</v>
      </c>
      <c r="M107" s="463" t="n">
        <f aca="false">I107-D107</f>
        <v>763</v>
      </c>
      <c r="N107" s="4"/>
      <c r="O107" s="4"/>
      <c r="P107" s="4"/>
      <c r="Q107" s="4"/>
      <c r="R107" s="4"/>
    </row>
    <row r="108" customFormat="false" ht="12.75" hidden="false" customHeight="true" outlineLevel="0" collapsed="false">
      <c r="A108" s="449" t="n">
        <v>10709</v>
      </c>
      <c r="B108" s="450" t="s">
        <v>18289</v>
      </c>
      <c r="C108" s="450" t="n">
        <v>2008</v>
      </c>
      <c r="D108" s="451" t="n">
        <v>39647</v>
      </c>
      <c r="E108" s="450" t="s">
        <v>18290</v>
      </c>
      <c r="F108" s="450" t="s">
        <v>211</v>
      </c>
      <c r="G108" s="450" t="s">
        <v>441</v>
      </c>
      <c r="H108" s="450" t="s">
        <v>18291</v>
      </c>
      <c r="I108" s="451" t="n">
        <v>40136</v>
      </c>
      <c r="J108" s="452" t="n">
        <v>11</v>
      </c>
      <c r="K108" s="631" t="s">
        <v>42</v>
      </c>
      <c r="L108" s="452" t="s">
        <v>58</v>
      </c>
      <c r="M108" s="455" t="n">
        <f aca="false">I108-D108</f>
        <v>489</v>
      </c>
      <c r="N108" s="4"/>
      <c r="O108" s="4"/>
      <c r="P108" s="4"/>
      <c r="Q108" s="4"/>
      <c r="R108" s="4"/>
    </row>
    <row r="109" customFormat="false" ht="12.75" hidden="false" customHeight="true" outlineLevel="0" collapsed="false">
      <c r="A109" s="456" t="n">
        <v>10809</v>
      </c>
      <c r="B109" s="458" t="s">
        <v>18292</v>
      </c>
      <c r="C109" s="458" t="n">
        <v>2008</v>
      </c>
      <c r="D109" s="459" t="n">
        <v>39769</v>
      </c>
      <c r="E109" s="458" t="s">
        <v>18293</v>
      </c>
      <c r="F109" s="458" t="s">
        <v>5359</v>
      </c>
      <c r="G109" s="458" t="s">
        <v>1174</v>
      </c>
      <c r="H109" s="458" t="s">
        <v>4333</v>
      </c>
      <c r="I109" s="459" t="n">
        <v>40136</v>
      </c>
      <c r="J109" s="460" t="n">
        <v>11</v>
      </c>
      <c r="K109" s="631" t="s">
        <v>42</v>
      </c>
      <c r="L109" s="458" t="s">
        <v>60</v>
      </c>
      <c r="M109" s="463" t="n">
        <f aca="false">I109-D109</f>
        <v>367</v>
      </c>
      <c r="N109" s="4"/>
      <c r="O109" s="4"/>
      <c r="P109" s="4"/>
      <c r="Q109" s="4"/>
      <c r="R109" s="4"/>
    </row>
    <row r="110" customFormat="false" ht="12.75" hidden="false" customHeight="true" outlineLevel="0" collapsed="false">
      <c r="A110" s="449" t="n">
        <v>10909</v>
      </c>
      <c r="B110" s="450" t="s">
        <v>18294</v>
      </c>
      <c r="C110" s="450" t="n">
        <v>2008</v>
      </c>
      <c r="D110" s="451" t="n">
        <v>39806</v>
      </c>
      <c r="E110" s="450" t="s">
        <v>18295</v>
      </c>
      <c r="F110" s="450" t="s">
        <v>18227</v>
      </c>
      <c r="G110" s="450" t="s">
        <v>441</v>
      </c>
      <c r="H110" s="450" t="s">
        <v>4333</v>
      </c>
      <c r="I110" s="451" t="n">
        <v>40137</v>
      </c>
      <c r="J110" s="452" t="n">
        <v>11</v>
      </c>
      <c r="K110" s="634" t="s">
        <v>45</v>
      </c>
      <c r="L110" s="452" t="s">
        <v>60</v>
      </c>
      <c r="M110" s="455" t="n">
        <f aca="false">I110-D110</f>
        <v>331</v>
      </c>
      <c r="N110" s="4"/>
      <c r="O110" s="4"/>
      <c r="P110" s="4"/>
      <c r="Q110" s="4"/>
      <c r="R110" s="4"/>
    </row>
    <row r="111" customFormat="false" ht="12.75" hidden="false" customHeight="true" outlineLevel="0" collapsed="false">
      <c r="A111" s="456" t="n">
        <v>11009</v>
      </c>
      <c r="B111" s="458" t="s">
        <v>18296</v>
      </c>
      <c r="C111" s="458" t="n">
        <v>2007</v>
      </c>
      <c r="D111" s="459" t="n">
        <v>39444</v>
      </c>
      <c r="E111" s="458" t="s">
        <v>18297</v>
      </c>
      <c r="F111" s="458" t="s">
        <v>113</v>
      </c>
      <c r="G111" s="458" t="s">
        <v>441</v>
      </c>
      <c r="H111" s="458" t="s">
        <v>17981</v>
      </c>
      <c r="I111" s="459" t="n">
        <v>40147</v>
      </c>
      <c r="J111" s="460" t="n">
        <v>11</v>
      </c>
      <c r="K111" s="633" t="s">
        <v>47</v>
      </c>
      <c r="L111" s="458" t="s">
        <v>60</v>
      </c>
      <c r="M111" s="463" t="n">
        <f aca="false">I111-D111</f>
        <v>703</v>
      </c>
      <c r="N111" s="4"/>
      <c r="O111" s="4"/>
      <c r="P111" s="4"/>
      <c r="Q111" s="4"/>
      <c r="R111" s="4"/>
    </row>
    <row r="112" customFormat="false" ht="12.75" hidden="false" customHeight="true" outlineLevel="0" collapsed="false">
      <c r="A112" s="449" t="n">
        <v>11109</v>
      </c>
      <c r="B112" s="450" t="s">
        <v>18298</v>
      </c>
      <c r="C112" s="450" t="n">
        <v>2007</v>
      </c>
      <c r="D112" s="451" t="n">
        <v>39395</v>
      </c>
      <c r="E112" s="450" t="s">
        <v>18299</v>
      </c>
      <c r="F112" s="450" t="s">
        <v>18227</v>
      </c>
      <c r="G112" s="450" t="s">
        <v>1174</v>
      </c>
      <c r="H112" s="450" t="s">
        <v>17878</v>
      </c>
      <c r="I112" s="451" t="n">
        <v>40149</v>
      </c>
      <c r="J112" s="452" t="n">
        <v>12</v>
      </c>
      <c r="K112" s="633" t="s">
        <v>47</v>
      </c>
      <c r="L112" s="452" t="s">
        <v>58</v>
      </c>
      <c r="M112" s="455" t="n">
        <f aca="false">I112-D112</f>
        <v>754</v>
      </c>
      <c r="N112" s="4"/>
      <c r="O112" s="4"/>
      <c r="P112" s="4"/>
      <c r="Q112" s="4"/>
      <c r="R112" s="4"/>
    </row>
    <row r="113" customFormat="false" ht="12.75" hidden="false" customHeight="true" outlineLevel="0" collapsed="false">
      <c r="A113" s="456" t="n">
        <v>11209</v>
      </c>
      <c r="B113" s="458" t="s">
        <v>18300</v>
      </c>
      <c r="C113" s="458" t="n">
        <v>2006</v>
      </c>
      <c r="D113" s="459" t="n">
        <v>39035</v>
      </c>
      <c r="E113" s="458" t="s">
        <v>18301</v>
      </c>
      <c r="F113" s="458" t="s">
        <v>4270</v>
      </c>
      <c r="G113" s="458" t="s">
        <v>144</v>
      </c>
      <c r="H113" s="458" t="s">
        <v>373</v>
      </c>
      <c r="I113" s="459" t="n">
        <v>40151</v>
      </c>
      <c r="J113" s="460" t="n">
        <v>12</v>
      </c>
      <c r="K113" s="631" t="s">
        <v>42</v>
      </c>
      <c r="L113" s="458" t="s">
        <v>60</v>
      </c>
      <c r="M113" s="463" t="n">
        <f aca="false">I113-D113</f>
        <v>1116</v>
      </c>
    </row>
    <row r="114" customFormat="false" ht="12.75" hidden="false" customHeight="true" outlineLevel="0" collapsed="false">
      <c r="A114" s="449" t="n">
        <v>11309</v>
      </c>
      <c r="B114" s="450" t="s">
        <v>18302</v>
      </c>
      <c r="C114" s="450" t="n">
        <v>2008</v>
      </c>
      <c r="D114" s="451" t="n">
        <v>39553</v>
      </c>
      <c r="E114" s="450" t="s">
        <v>18303</v>
      </c>
      <c r="F114" s="450" t="s">
        <v>1609</v>
      </c>
      <c r="G114" s="450" t="s">
        <v>1174</v>
      </c>
      <c r="H114" s="450" t="s">
        <v>15133</v>
      </c>
      <c r="I114" s="451" t="n">
        <v>40151</v>
      </c>
      <c r="J114" s="452" t="n">
        <v>12</v>
      </c>
      <c r="K114" s="631" t="s">
        <v>42</v>
      </c>
      <c r="L114" s="452" t="s">
        <v>57</v>
      </c>
      <c r="M114" s="455" t="n">
        <f aca="false">I114-D114</f>
        <v>598</v>
      </c>
    </row>
    <row r="115" customFormat="false" ht="12.75" hidden="false" customHeight="true" outlineLevel="0" collapsed="false">
      <c r="A115" s="456" t="n">
        <v>11409</v>
      </c>
      <c r="B115" s="458" t="s">
        <v>18304</v>
      </c>
      <c r="C115" s="458" t="n">
        <v>2008</v>
      </c>
      <c r="D115" s="459" t="n">
        <v>39695</v>
      </c>
      <c r="E115" s="458" t="s">
        <v>18305</v>
      </c>
      <c r="F115" s="458" t="s">
        <v>4623</v>
      </c>
      <c r="G115" s="458" t="s">
        <v>441</v>
      </c>
      <c r="H115" s="458" t="s">
        <v>3056</v>
      </c>
      <c r="I115" s="459" t="n">
        <v>40154</v>
      </c>
      <c r="J115" s="460" t="n">
        <v>12</v>
      </c>
      <c r="K115" s="631" t="s">
        <v>42</v>
      </c>
      <c r="L115" s="458" t="s">
        <v>58</v>
      </c>
      <c r="M115" s="463" t="n">
        <f aca="false">I115-D115</f>
        <v>459</v>
      </c>
    </row>
    <row r="116" customFormat="false" ht="12.75" hidden="false" customHeight="true" outlineLevel="0" collapsed="false">
      <c r="A116" s="449" t="n">
        <v>11509</v>
      </c>
      <c r="B116" s="450" t="s">
        <v>18306</v>
      </c>
      <c r="C116" s="450" t="n">
        <v>2008</v>
      </c>
      <c r="D116" s="451" t="n">
        <v>39709</v>
      </c>
      <c r="E116" s="450" t="s">
        <v>18307</v>
      </c>
      <c r="F116" s="450" t="s">
        <v>4623</v>
      </c>
      <c r="G116" s="450" t="s">
        <v>441</v>
      </c>
      <c r="H116" s="450" t="s">
        <v>3056</v>
      </c>
      <c r="I116" s="451" t="n">
        <v>40154</v>
      </c>
      <c r="J116" s="452" t="n">
        <v>12</v>
      </c>
      <c r="K116" s="631" t="s">
        <v>42</v>
      </c>
      <c r="L116" s="452" t="s">
        <v>58</v>
      </c>
      <c r="M116" s="455" t="n">
        <f aca="false">I116-D116</f>
        <v>445</v>
      </c>
    </row>
    <row r="117" customFormat="false" ht="12.75" hidden="false" customHeight="true" outlineLevel="0" collapsed="false">
      <c r="A117" s="456" t="n">
        <v>11609</v>
      </c>
      <c r="B117" s="458" t="s">
        <v>18308</v>
      </c>
      <c r="C117" s="458" t="n">
        <v>2007</v>
      </c>
      <c r="D117" s="459" t="n">
        <v>39443</v>
      </c>
      <c r="E117" s="458" t="s">
        <v>18309</v>
      </c>
      <c r="F117" s="458" t="s">
        <v>211</v>
      </c>
      <c r="G117" s="458" t="s">
        <v>441</v>
      </c>
      <c r="H117" s="458" t="s">
        <v>2172</v>
      </c>
      <c r="I117" s="459" t="n">
        <v>40154</v>
      </c>
      <c r="J117" s="460" t="n">
        <v>12</v>
      </c>
      <c r="K117" s="633" t="s">
        <v>47</v>
      </c>
      <c r="L117" s="458" t="s">
        <v>60</v>
      </c>
      <c r="M117" s="463" t="n">
        <f aca="false">I117-D117</f>
        <v>711</v>
      </c>
    </row>
    <row r="118" customFormat="false" ht="12.75" hidden="false" customHeight="true" outlineLevel="0" collapsed="false">
      <c r="A118" s="449" t="n">
        <v>11709</v>
      </c>
      <c r="B118" s="450" t="s">
        <v>18310</v>
      </c>
      <c r="C118" s="450" t="n">
        <v>2008</v>
      </c>
      <c r="D118" s="451" t="n">
        <v>39547</v>
      </c>
      <c r="E118" s="450" t="s">
        <v>18311</v>
      </c>
      <c r="F118" s="450" t="s">
        <v>3777</v>
      </c>
      <c r="G118" s="450" t="s">
        <v>441</v>
      </c>
      <c r="H118" s="450" t="s">
        <v>3056</v>
      </c>
      <c r="I118" s="451" t="n">
        <v>40154</v>
      </c>
      <c r="J118" s="452" t="n">
        <v>12</v>
      </c>
      <c r="K118" s="631" t="s">
        <v>42</v>
      </c>
      <c r="L118" s="452" t="s">
        <v>58</v>
      </c>
      <c r="M118" s="455" t="n">
        <f aca="false">I118-D118</f>
        <v>607</v>
      </c>
    </row>
    <row r="119" customFormat="false" ht="12.75" hidden="false" customHeight="true" outlineLevel="0" collapsed="false">
      <c r="A119" s="456" t="n">
        <v>11809</v>
      </c>
      <c r="B119" s="458" t="s">
        <v>18312</v>
      </c>
      <c r="C119" s="458" t="n">
        <v>2008</v>
      </c>
      <c r="D119" s="459" t="n">
        <v>39695</v>
      </c>
      <c r="E119" s="458" t="s">
        <v>18313</v>
      </c>
      <c r="F119" s="458" t="s">
        <v>3260</v>
      </c>
      <c r="G119" s="458" t="s">
        <v>441</v>
      </c>
      <c r="H119" s="458" t="s">
        <v>1084</v>
      </c>
      <c r="I119" s="459" t="n">
        <v>40156</v>
      </c>
      <c r="J119" s="460" t="n">
        <v>12</v>
      </c>
      <c r="K119" s="633" t="s">
        <v>47</v>
      </c>
      <c r="L119" s="458" t="s">
        <v>60</v>
      </c>
      <c r="M119" s="463" t="n">
        <f aca="false">I119-D119</f>
        <v>461</v>
      </c>
    </row>
    <row r="120" customFormat="false" ht="12.75" hidden="false" customHeight="true" outlineLevel="0" collapsed="false">
      <c r="A120" s="449" t="n">
        <v>11909</v>
      </c>
      <c r="B120" s="450" t="s">
        <v>18314</v>
      </c>
      <c r="C120" s="450" t="n">
        <v>2008</v>
      </c>
      <c r="D120" s="451" t="n">
        <v>39700</v>
      </c>
      <c r="E120" s="450" t="s">
        <v>18315</v>
      </c>
      <c r="F120" s="450" t="s">
        <v>3260</v>
      </c>
      <c r="G120" s="450" t="s">
        <v>441</v>
      </c>
      <c r="H120" s="450" t="s">
        <v>1084</v>
      </c>
      <c r="I120" s="451" t="n">
        <v>40156</v>
      </c>
      <c r="J120" s="452" t="n">
        <v>12</v>
      </c>
      <c r="K120" s="633" t="s">
        <v>47</v>
      </c>
      <c r="L120" s="452" t="s">
        <v>60</v>
      </c>
      <c r="M120" s="455" t="n">
        <f aca="false">I120-D120</f>
        <v>456</v>
      </c>
    </row>
    <row r="121" customFormat="false" ht="12.75" hidden="false" customHeight="true" outlineLevel="0" collapsed="false">
      <c r="A121" s="456" t="n">
        <v>12009</v>
      </c>
      <c r="B121" s="458" t="s">
        <v>18316</v>
      </c>
      <c r="C121" s="458" t="n">
        <v>2008</v>
      </c>
      <c r="D121" s="459" t="n">
        <v>39587</v>
      </c>
      <c r="E121" s="458" t="s">
        <v>18317</v>
      </c>
      <c r="F121" s="458" t="s">
        <v>1357</v>
      </c>
      <c r="G121" s="458" t="s">
        <v>441</v>
      </c>
      <c r="H121" s="458" t="s">
        <v>961</v>
      </c>
      <c r="I121" s="459" t="n">
        <v>40157</v>
      </c>
      <c r="J121" s="460" t="n">
        <v>12</v>
      </c>
      <c r="K121" s="631" t="s">
        <v>42</v>
      </c>
      <c r="L121" s="458" t="s">
        <v>58</v>
      </c>
      <c r="M121" s="463" t="n">
        <f aca="false">I121-D121</f>
        <v>570</v>
      </c>
    </row>
    <row r="122" customFormat="false" ht="12.75" hidden="false" customHeight="true" outlineLevel="0" collapsed="false">
      <c r="A122" s="449" t="n">
        <v>12109</v>
      </c>
      <c r="B122" s="450" t="s">
        <v>18318</v>
      </c>
      <c r="C122" s="450" t="n">
        <v>2007</v>
      </c>
      <c r="D122" s="451" t="n">
        <v>39205</v>
      </c>
      <c r="E122" s="450" t="s">
        <v>18319</v>
      </c>
      <c r="F122" s="450" t="s">
        <v>9647</v>
      </c>
      <c r="G122" s="450" t="s">
        <v>441</v>
      </c>
      <c r="H122" s="450" t="s">
        <v>2176</v>
      </c>
      <c r="I122" s="451" t="n">
        <v>40157</v>
      </c>
      <c r="J122" s="452" t="n">
        <v>12</v>
      </c>
      <c r="K122" s="633" t="s">
        <v>47</v>
      </c>
      <c r="L122" s="452" t="s">
        <v>60</v>
      </c>
      <c r="M122" s="455" t="n">
        <f aca="false">I122-D122</f>
        <v>952</v>
      </c>
    </row>
    <row r="123" customFormat="false" ht="12.75" hidden="false" customHeight="true" outlineLevel="0" collapsed="false">
      <c r="A123" s="456" t="n">
        <v>12209</v>
      </c>
      <c r="B123" s="458" t="s">
        <v>18320</v>
      </c>
      <c r="C123" s="458" t="n">
        <v>2008</v>
      </c>
      <c r="D123" s="459" t="n">
        <v>39616</v>
      </c>
      <c r="E123" s="458" t="s">
        <v>18321</v>
      </c>
      <c r="F123" s="458" t="s">
        <v>18017</v>
      </c>
      <c r="G123" s="458" t="s">
        <v>1174</v>
      </c>
      <c r="H123" s="458" t="s">
        <v>17981</v>
      </c>
      <c r="I123" s="459" t="n">
        <v>40157</v>
      </c>
      <c r="J123" s="460" t="n">
        <v>12</v>
      </c>
      <c r="K123" s="633" t="s">
        <v>47</v>
      </c>
      <c r="L123" s="458" t="s">
        <v>60</v>
      </c>
      <c r="M123" s="463" t="n">
        <f aca="false">I123-D123</f>
        <v>541</v>
      </c>
    </row>
    <row r="124" customFormat="false" ht="12.75" hidden="false" customHeight="true" outlineLevel="0" collapsed="false">
      <c r="A124" s="449" t="n">
        <v>12309</v>
      </c>
      <c r="B124" s="450" t="s">
        <v>18322</v>
      </c>
      <c r="C124" s="450" t="n">
        <v>2006</v>
      </c>
      <c r="D124" s="451" t="n">
        <v>39021</v>
      </c>
      <c r="E124" s="450" t="s">
        <v>18323</v>
      </c>
      <c r="F124" s="450" t="s">
        <v>6073</v>
      </c>
      <c r="G124" s="450" t="s">
        <v>441</v>
      </c>
      <c r="H124" s="450" t="s">
        <v>17981</v>
      </c>
      <c r="I124" s="451" t="n">
        <v>40157</v>
      </c>
      <c r="J124" s="452" t="n">
        <v>12</v>
      </c>
      <c r="K124" s="634" t="s">
        <v>45</v>
      </c>
      <c r="L124" s="452" t="s">
        <v>60</v>
      </c>
      <c r="M124" s="455" t="n">
        <f aca="false">I124-D124</f>
        <v>1136</v>
      </c>
    </row>
    <row r="125" customFormat="false" ht="12.75" hidden="false" customHeight="true" outlineLevel="0" collapsed="false">
      <c r="A125" s="456" t="n">
        <v>12409</v>
      </c>
      <c r="B125" s="458" t="s">
        <v>18324</v>
      </c>
      <c r="C125" s="458" t="n">
        <v>2008</v>
      </c>
      <c r="D125" s="459" t="n">
        <v>39680</v>
      </c>
      <c r="E125" s="458" t="s">
        <v>18325</v>
      </c>
      <c r="F125" s="458" t="s">
        <v>211</v>
      </c>
      <c r="G125" s="458" t="s">
        <v>1174</v>
      </c>
      <c r="H125" s="458" t="s">
        <v>15133</v>
      </c>
      <c r="I125" s="459" t="n">
        <v>40157</v>
      </c>
      <c r="J125" s="460" t="n">
        <v>12</v>
      </c>
      <c r="K125" s="631" t="s">
        <v>42</v>
      </c>
      <c r="L125" s="458" t="s">
        <v>58</v>
      </c>
      <c r="M125" s="463" t="n">
        <f aca="false">I125-D125</f>
        <v>477</v>
      </c>
    </row>
    <row r="126" customFormat="false" ht="12.75" hidden="false" customHeight="true" outlineLevel="0" collapsed="false">
      <c r="A126" s="449" t="n">
        <v>12509</v>
      </c>
      <c r="B126" s="450" t="s">
        <v>18326</v>
      </c>
      <c r="C126" s="450" t="n">
        <v>2005</v>
      </c>
      <c r="D126" s="451" t="n">
        <v>38629</v>
      </c>
      <c r="E126" s="450" t="s">
        <v>18327</v>
      </c>
      <c r="F126" s="450" t="s">
        <v>10000</v>
      </c>
      <c r="G126" s="450" t="s">
        <v>441</v>
      </c>
      <c r="H126" s="450" t="s">
        <v>18328</v>
      </c>
      <c r="I126" s="451" t="n">
        <v>40158</v>
      </c>
      <c r="J126" s="452" t="n">
        <v>12</v>
      </c>
      <c r="K126" s="631" t="s">
        <v>42</v>
      </c>
      <c r="L126" s="452" t="s">
        <v>58</v>
      </c>
      <c r="M126" s="455" t="n">
        <f aca="false">I126-D126</f>
        <v>1529</v>
      </c>
    </row>
    <row r="127" customFormat="false" ht="12.75" hidden="false" customHeight="true" outlineLevel="0" collapsed="false">
      <c r="A127" s="456" t="n">
        <v>12609</v>
      </c>
      <c r="B127" s="458" t="s">
        <v>18329</v>
      </c>
      <c r="C127" s="458" t="n">
        <v>2001</v>
      </c>
      <c r="D127" s="459" t="n">
        <v>37252</v>
      </c>
      <c r="E127" s="458" t="s">
        <v>18330</v>
      </c>
      <c r="F127" s="458" t="s">
        <v>18227</v>
      </c>
      <c r="G127" s="458" t="s">
        <v>144</v>
      </c>
      <c r="H127" s="458" t="s">
        <v>10110</v>
      </c>
      <c r="I127" s="459" t="n">
        <v>40161</v>
      </c>
      <c r="J127" s="460" t="n">
        <v>12</v>
      </c>
      <c r="K127" s="631" t="s">
        <v>42</v>
      </c>
      <c r="L127" s="458" t="s">
        <v>60</v>
      </c>
      <c r="M127" s="463" t="n">
        <f aca="false">I127-D127</f>
        <v>2909</v>
      </c>
    </row>
    <row r="128" customFormat="false" ht="12.75" hidden="false" customHeight="true" outlineLevel="0" collapsed="false">
      <c r="A128" s="449" t="n">
        <v>12709</v>
      </c>
      <c r="B128" s="450" t="s">
        <v>18331</v>
      </c>
      <c r="C128" s="450" t="n">
        <v>2006</v>
      </c>
      <c r="D128" s="451" t="n">
        <v>39065</v>
      </c>
      <c r="E128" s="450" t="s">
        <v>18332</v>
      </c>
      <c r="F128" s="450" t="s">
        <v>18227</v>
      </c>
      <c r="G128" s="450" t="s">
        <v>144</v>
      </c>
      <c r="H128" s="450" t="s">
        <v>10110</v>
      </c>
      <c r="I128" s="451" t="n">
        <v>40161</v>
      </c>
      <c r="J128" s="452" t="n">
        <v>12</v>
      </c>
      <c r="K128" s="631" t="s">
        <v>42</v>
      </c>
      <c r="L128" s="452" t="s">
        <v>60</v>
      </c>
      <c r="M128" s="455" t="n">
        <f aca="false">I128-D128</f>
        <v>1096</v>
      </c>
    </row>
    <row r="129" customFormat="false" ht="12.75" hidden="false" customHeight="true" outlineLevel="0" collapsed="false">
      <c r="A129" s="456" t="n">
        <v>12809</v>
      </c>
      <c r="B129" s="458" t="s">
        <v>18333</v>
      </c>
      <c r="C129" s="458" t="n">
        <v>2007</v>
      </c>
      <c r="D129" s="459" t="n">
        <v>39198</v>
      </c>
      <c r="E129" s="458" t="s">
        <v>18334</v>
      </c>
      <c r="F129" s="625" t="s">
        <v>18335</v>
      </c>
      <c r="G129" s="458" t="s">
        <v>125</v>
      </c>
      <c r="H129" s="458" t="s">
        <v>18336</v>
      </c>
      <c r="I129" s="459" t="n">
        <v>40162</v>
      </c>
      <c r="J129" s="460" t="n">
        <v>12</v>
      </c>
      <c r="K129" s="632" t="s">
        <v>50</v>
      </c>
      <c r="L129" s="458" t="s">
        <v>61</v>
      </c>
      <c r="M129" s="463" t="n">
        <f aca="false">I129-D129</f>
        <v>964</v>
      </c>
    </row>
    <row r="130" customFormat="false" ht="12.75" hidden="false" customHeight="true" outlineLevel="0" collapsed="false">
      <c r="A130" s="449" t="n">
        <v>12909</v>
      </c>
      <c r="B130" s="450" t="s">
        <v>18337</v>
      </c>
      <c r="C130" s="450" t="n">
        <v>2008</v>
      </c>
      <c r="D130" s="451" t="n">
        <v>39742</v>
      </c>
      <c r="E130" s="450" t="s">
        <v>18338</v>
      </c>
      <c r="F130" s="450" t="s">
        <v>4270</v>
      </c>
      <c r="G130" s="450" t="s">
        <v>441</v>
      </c>
      <c r="H130" s="450" t="s">
        <v>961</v>
      </c>
      <c r="I130" s="451" t="n">
        <v>40163</v>
      </c>
      <c r="J130" s="452" t="n">
        <v>12</v>
      </c>
      <c r="K130" s="631" t="s">
        <v>42</v>
      </c>
      <c r="L130" s="452" t="s">
        <v>58</v>
      </c>
      <c r="M130" s="455" t="n">
        <f aca="false">I130-D130</f>
        <v>421</v>
      </c>
    </row>
    <row r="131" customFormat="false" ht="12.75" hidden="false" customHeight="true" outlineLevel="0" collapsed="false">
      <c r="A131" s="456" t="n">
        <v>13009</v>
      </c>
      <c r="B131" s="458" t="s">
        <v>18339</v>
      </c>
      <c r="C131" s="458" t="n">
        <v>2008</v>
      </c>
      <c r="D131" s="459" t="n">
        <v>39594</v>
      </c>
      <c r="E131" s="458" t="s">
        <v>18340</v>
      </c>
      <c r="F131" s="458" t="s">
        <v>5401</v>
      </c>
      <c r="G131" s="458" t="s">
        <v>1174</v>
      </c>
      <c r="H131" s="458" t="s">
        <v>18009</v>
      </c>
      <c r="I131" s="459" t="n">
        <v>40168</v>
      </c>
      <c r="J131" s="460" t="n">
        <v>12</v>
      </c>
      <c r="K131" s="633" t="s">
        <v>47</v>
      </c>
      <c r="L131" s="458" t="s">
        <v>60</v>
      </c>
      <c r="M131" s="463" t="n">
        <f aca="false">I131-D131</f>
        <v>574</v>
      </c>
    </row>
    <row r="132" customFormat="false" ht="12.75" hidden="false" customHeight="true" outlineLevel="0" collapsed="false">
      <c r="A132" s="449" t="n">
        <v>13109</v>
      </c>
      <c r="B132" s="450" t="s">
        <v>18341</v>
      </c>
      <c r="C132" s="450" t="n">
        <v>2008</v>
      </c>
      <c r="D132" s="451" t="n">
        <v>39605</v>
      </c>
      <c r="E132" s="450" t="s">
        <v>18342</v>
      </c>
      <c r="F132" s="450" t="s">
        <v>5401</v>
      </c>
      <c r="G132" s="450" t="s">
        <v>1174</v>
      </c>
      <c r="H132" s="450" t="s">
        <v>961</v>
      </c>
      <c r="I132" s="451" t="n">
        <v>40168</v>
      </c>
      <c r="J132" s="452" t="n">
        <v>12</v>
      </c>
      <c r="K132" s="633" t="s">
        <v>47</v>
      </c>
      <c r="L132" s="452" t="s">
        <v>60</v>
      </c>
      <c r="M132" s="455" t="n">
        <f aca="false">I132-D132</f>
        <v>563</v>
      </c>
    </row>
    <row r="133" customFormat="false" ht="12.75" hidden="false" customHeight="true" outlineLevel="0" collapsed="false">
      <c r="A133" s="456" t="n">
        <v>13209</v>
      </c>
      <c r="B133" s="458" t="s">
        <v>18343</v>
      </c>
      <c r="C133" s="458" t="n">
        <v>2008</v>
      </c>
      <c r="D133" s="459" t="n">
        <v>39783</v>
      </c>
      <c r="E133" s="458" t="s">
        <v>18344</v>
      </c>
      <c r="F133" s="458" t="s">
        <v>5401</v>
      </c>
      <c r="G133" s="458" t="s">
        <v>1174</v>
      </c>
      <c r="H133" s="458" t="s">
        <v>1266</v>
      </c>
      <c r="I133" s="459" t="n">
        <v>40168</v>
      </c>
      <c r="J133" s="460" t="n">
        <v>12</v>
      </c>
      <c r="K133" s="633" t="s">
        <v>47</v>
      </c>
      <c r="L133" s="458" t="s">
        <v>60</v>
      </c>
      <c r="M133" s="463" t="n">
        <f aca="false">I133-D133</f>
        <v>385</v>
      </c>
    </row>
    <row r="134" customFormat="false" ht="12.75" hidden="false" customHeight="true" outlineLevel="0" collapsed="false">
      <c r="A134" s="449" t="n">
        <v>13309</v>
      </c>
      <c r="B134" s="450" t="s">
        <v>18345</v>
      </c>
      <c r="C134" s="450" t="n">
        <v>2007</v>
      </c>
      <c r="D134" s="451" t="n">
        <v>39311</v>
      </c>
      <c r="E134" s="450" t="s">
        <v>18346</v>
      </c>
      <c r="F134" s="450" t="s">
        <v>15802</v>
      </c>
      <c r="G134" s="450" t="s">
        <v>441</v>
      </c>
      <c r="H134" s="450" t="s">
        <v>1059</v>
      </c>
      <c r="I134" s="451" t="n">
        <v>40168</v>
      </c>
      <c r="J134" s="452" t="n">
        <v>12</v>
      </c>
      <c r="K134" s="631" t="s">
        <v>42</v>
      </c>
      <c r="L134" s="452" t="s">
        <v>58</v>
      </c>
      <c r="M134" s="455" t="n">
        <f aca="false">I134-D134</f>
        <v>857</v>
      </c>
    </row>
    <row r="135" customFormat="false" ht="12.75" hidden="false" customHeight="true" outlineLevel="0" collapsed="false">
      <c r="A135" s="456" t="n">
        <v>13409</v>
      </c>
      <c r="B135" s="458" t="s">
        <v>18347</v>
      </c>
      <c r="C135" s="458" t="n">
        <v>2006</v>
      </c>
      <c r="D135" s="459" t="n">
        <v>38981</v>
      </c>
      <c r="E135" s="458" t="s">
        <v>18348</v>
      </c>
      <c r="F135" s="458" t="s">
        <v>6073</v>
      </c>
      <c r="G135" s="458" t="s">
        <v>441</v>
      </c>
      <c r="H135" s="458" t="s">
        <v>12073</v>
      </c>
      <c r="I135" s="459" t="n">
        <v>40168</v>
      </c>
      <c r="J135" s="460" t="n">
        <v>12</v>
      </c>
      <c r="K135" s="633" t="s">
        <v>47</v>
      </c>
      <c r="L135" s="458" t="s">
        <v>58</v>
      </c>
      <c r="M135" s="463" t="n">
        <f aca="false">I135-D135</f>
        <v>1187</v>
      </c>
    </row>
    <row r="136" customFormat="false" ht="12.75" hidden="false" customHeight="true" outlineLevel="0" collapsed="false">
      <c r="A136" s="449" t="n">
        <v>13509</v>
      </c>
      <c r="B136" s="450" t="s">
        <v>18349</v>
      </c>
      <c r="C136" s="450" t="n">
        <v>2006</v>
      </c>
      <c r="D136" s="451" t="n">
        <v>39017</v>
      </c>
      <c r="E136" s="450" t="s">
        <v>18350</v>
      </c>
      <c r="F136" s="450" t="s">
        <v>18351</v>
      </c>
      <c r="G136" s="450" t="s">
        <v>115</v>
      </c>
      <c r="H136" s="450" t="s">
        <v>413</v>
      </c>
      <c r="I136" s="451" t="n">
        <v>40171</v>
      </c>
      <c r="J136" s="452" t="n">
        <v>12</v>
      </c>
      <c r="K136" s="631" t="s">
        <v>42</v>
      </c>
      <c r="L136" s="452" t="s">
        <v>58</v>
      </c>
      <c r="M136" s="455" t="n">
        <f aca="false">I136-D136</f>
        <v>1154</v>
      </c>
    </row>
    <row r="137" customFormat="false" ht="12.75" hidden="false" customHeight="true" outlineLevel="0" collapsed="false">
      <c r="A137" s="456" t="n">
        <v>13609</v>
      </c>
      <c r="B137" s="458" t="s">
        <v>18352</v>
      </c>
      <c r="C137" s="458" t="n">
        <v>2006</v>
      </c>
      <c r="D137" s="459" t="n">
        <v>38875</v>
      </c>
      <c r="E137" s="458" t="s">
        <v>18353</v>
      </c>
      <c r="F137" s="458" t="s">
        <v>8232</v>
      </c>
      <c r="G137" s="458" t="s">
        <v>144</v>
      </c>
      <c r="H137" s="458" t="s">
        <v>413</v>
      </c>
      <c r="I137" s="459" t="n">
        <v>40176</v>
      </c>
      <c r="J137" s="460" t="n">
        <v>12</v>
      </c>
      <c r="K137" s="634" t="s">
        <v>45</v>
      </c>
      <c r="L137" s="458" t="s">
        <v>60</v>
      </c>
      <c r="M137" s="463" t="n">
        <f aca="false">I137-D137</f>
        <v>1301</v>
      </c>
    </row>
    <row r="138" customFormat="false" ht="12.75" hidden="false" customHeight="true" outlineLevel="0" collapsed="false">
      <c r="A138" s="449" t="n">
        <v>13709</v>
      </c>
      <c r="B138" s="450" t="s">
        <v>18354</v>
      </c>
      <c r="C138" s="450" t="n">
        <v>2006</v>
      </c>
      <c r="D138" s="451" t="n">
        <v>38849</v>
      </c>
      <c r="E138" s="450" t="s">
        <v>18355</v>
      </c>
      <c r="F138" s="450" t="s">
        <v>509</v>
      </c>
      <c r="G138" s="450" t="s">
        <v>441</v>
      </c>
      <c r="H138" s="450" t="s">
        <v>17797</v>
      </c>
      <c r="I138" s="451" t="n">
        <v>40177</v>
      </c>
      <c r="J138" s="452" t="n">
        <v>12</v>
      </c>
      <c r="K138" s="633" t="s">
        <v>47</v>
      </c>
      <c r="L138" s="452" t="s">
        <v>58</v>
      </c>
      <c r="M138" s="455" t="n">
        <f aca="false">I138-D138</f>
        <v>1328</v>
      </c>
    </row>
    <row r="139" customFormat="false" ht="12.75" hidden="false" customHeight="true" outlineLevel="0" collapsed="false">
      <c r="A139" s="456" t="n">
        <v>13809</v>
      </c>
      <c r="B139" s="458" t="s">
        <v>18356</v>
      </c>
      <c r="C139" s="458" t="n">
        <v>2005</v>
      </c>
      <c r="D139" s="459" t="n">
        <v>38712</v>
      </c>
      <c r="E139" s="458" t="s">
        <v>18357</v>
      </c>
      <c r="F139" s="458" t="s">
        <v>537</v>
      </c>
      <c r="G139" s="458" t="s">
        <v>441</v>
      </c>
      <c r="H139" s="458" t="s">
        <v>17797</v>
      </c>
      <c r="I139" s="459" t="n">
        <v>40177</v>
      </c>
      <c r="J139" s="460" t="n">
        <v>12</v>
      </c>
      <c r="K139" s="634" t="s">
        <v>45</v>
      </c>
      <c r="L139" s="458" t="s">
        <v>58</v>
      </c>
      <c r="M139" s="463" t="n">
        <f aca="false">I139-D139</f>
        <v>1465</v>
      </c>
    </row>
  </sheetData>
  <autoFilter ref="A1:I139"/>
  <mergeCells count="76">
    <mergeCell ref="O2:P2"/>
    <mergeCell ref="O14:S15"/>
    <mergeCell ref="O16:S16"/>
    <mergeCell ref="O17:S17"/>
    <mergeCell ref="O18:S18"/>
    <mergeCell ref="O19:S19"/>
    <mergeCell ref="O20:S20"/>
    <mergeCell ref="O21:S21"/>
    <mergeCell ref="O22:S22"/>
    <mergeCell ref="O23:S23"/>
    <mergeCell ref="O24:S24"/>
    <mergeCell ref="O26:S27"/>
    <mergeCell ref="P28:R28"/>
    <mergeCell ref="P29:R29"/>
    <mergeCell ref="P30:R30"/>
    <mergeCell ref="P31:R31"/>
    <mergeCell ref="P32:R32"/>
    <mergeCell ref="P33:R33"/>
    <mergeCell ref="P34:R34"/>
    <mergeCell ref="P35:R35"/>
    <mergeCell ref="P36:R36"/>
    <mergeCell ref="P37:R37"/>
    <mergeCell ref="P38:R38"/>
    <mergeCell ref="P39:R39"/>
    <mergeCell ref="P40:R40"/>
    <mergeCell ref="P41:R41"/>
    <mergeCell ref="P42:R42"/>
    <mergeCell ref="O44:S45"/>
    <mergeCell ref="P46:R46"/>
    <mergeCell ref="P47:R47"/>
    <mergeCell ref="P48:R48"/>
    <mergeCell ref="P49:R49"/>
    <mergeCell ref="P50:R50"/>
    <mergeCell ref="P51:R51"/>
    <mergeCell ref="P52:R52"/>
    <mergeCell ref="P53:R53"/>
    <mergeCell ref="P54:R54"/>
    <mergeCell ref="P55:R55"/>
    <mergeCell ref="P56:R56"/>
    <mergeCell ref="P57:R57"/>
    <mergeCell ref="P58:R58"/>
    <mergeCell ref="P59:R59"/>
    <mergeCell ref="O61:T62"/>
    <mergeCell ref="O63:R63"/>
    <mergeCell ref="O64:R64"/>
    <mergeCell ref="O65:R65"/>
    <mergeCell ref="O66:R66"/>
    <mergeCell ref="O67:R67"/>
    <mergeCell ref="O68:R68"/>
    <mergeCell ref="O69:R69"/>
    <mergeCell ref="O70:R70"/>
    <mergeCell ref="O71:R71"/>
    <mergeCell ref="O72:R72"/>
    <mergeCell ref="O73:R73"/>
    <mergeCell ref="O74:R74"/>
    <mergeCell ref="O75:R75"/>
    <mergeCell ref="O76:R76"/>
    <mergeCell ref="O78:T79"/>
    <mergeCell ref="O80:R80"/>
    <mergeCell ref="O81:R81"/>
    <mergeCell ref="O82:R82"/>
    <mergeCell ref="O83:R83"/>
    <mergeCell ref="O84:R84"/>
    <mergeCell ref="O85:R85"/>
    <mergeCell ref="O87:R88"/>
    <mergeCell ref="P89:R89"/>
    <mergeCell ref="P90:R90"/>
    <mergeCell ref="P91:R91"/>
    <mergeCell ref="P92:R92"/>
    <mergeCell ref="P93:R93"/>
    <mergeCell ref="P94:R94"/>
    <mergeCell ref="P95:R95"/>
    <mergeCell ref="P96:R96"/>
    <mergeCell ref="P97:R97"/>
    <mergeCell ref="P98:R98"/>
    <mergeCell ref="P99:R99"/>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9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B1" activeCellId="0" sqref="B1"/>
    </sheetView>
  </sheetViews>
  <sheetFormatPr defaultColWidth="14.2890625" defaultRowHeight="12.75" customHeight="false" zeroHeight="false" outlineLevelRow="0" outlineLevelCol="0"/>
  <cols>
    <col collapsed="false" customWidth="true" hidden="false" outlineLevel="0" max="1" min="1" style="0" width="12.43"/>
    <col collapsed="false" customWidth="true" hidden="false" outlineLevel="0" max="2" min="2" style="0" width="24.71"/>
    <col collapsed="false" customWidth="true" hidden="false" outlineLevel="0" max="3" min="3" style="0" width="23.85"/>
    <col collapsed="false" customWidth="true" hidden="false" outlineLevel="0" max="4" min="4" style="0" width="24.57"/>
    <col collapsed="false" customWidth="true" hidden="false" outlineLevel="0" max="5" min="5" style="0" width="44.71"/>
    <col collapsed="false" customWidth="true" hidden="false" outlineLevel="0" max="6" min="6" style="0" width="61.85"/>
    <col collapsed="false" customWidth="true" hidden="false" outlineLevel="0" max="8" min="7" style="0" width="15.42"/>
    <col collapsed="false" customWidth="true" hidden="false" outlineLevel="0" max="9" min="9" style="0" width="25.57"/>
    <col collapsed="false" customWidth="true" hidden="false" outlineLevel="0" max="10" min="10" style="0" width="26.57"/>
    <col collapsed="false" customWidth="true" hidden="false" outlineLevel="0" max="11" min="11" style="0" width="57.14"/>
    <col collapsed="false" customWidth="true" hidden="false" outlineLevel="0" max="12" min="12" style="0" width="76.14"/>
    <col collapsed="false" customWidth="true" hidden="false" outlineLevel="0" max="13" min="13" style="0" width="53.43"/>
    <col collapsed="false" customWidth="true" hidden="false" outlineLevel="0" max="14" min="14" style="0" width="9.14"/>
    <col collapsed="false" customWidth="true" hidden="false" outlineLevel="0" max="15" min="15" style="0" width="27.14"/>
    <col collapsed="false" customWidth="true" hidden="false" outlineLevel="0" max="16" min="16" style="0" width="9.85"/>
    <col collapsed="false" customWidth="true" hidden="false" outlineLevel="0" max="17" min="17" style="0" width="3.42"/>
    <col collapsed="false" customWidth="true" hidden="false" outlineLevel="0" max="18" min="18" style="0" width="39"/>
    <col collapsed="false" customWidth="true" hidden="false" outlineLevel="0" max="19" min="19" style="0" width="62.85"/>
    <col collapsed="false" customWidth="true" hidden="false" outlineLevel="0" max="20" min="20" style="0" width="13.71"/>
    <col collapsed="false" customWidth="true" hidden="false" outlineLevel="0" max="26" min="21" style="0" width="8.71"/>
  </cols>
  <sheetData>
    <row r="1" customFormat="false" ht="12.75" hidden="false" customHeight="true" outlineLevel="0" collapsed="false">
      <c r="A1" s="585" t="s">
        <v>92</v>
      </c>
      <c r="B1" s="585" t="s">
        <v>93</v>
      </c>
      <c r="C1" s="585" t="s">
        <v>89</v>
      </c>
      <c r="D1" s="584" t="s">
        <v>94</v>
      </c>
      <c r="E1" s="585" t="s">
        <v>95</v>
      </c>
      <c r="F1" s="585" t="s">
        <v>96</v>
      </c>
      <c r="G1" s="585" t="s">
        <v>97</v>
      </c>
      <c r="H1" s="585" t="s">
        <v>98</v>
      </c>
      <c r="I1" s="584" t="s">
        <v>99</v>
      </c>
      <c r="J1" s="585" t="s">
        <v>62</v>
      </c>
      <c r="K1" s="586" t="s">
        <v>101</v>
      </c>
      <c r="L1" s="586" t="s">
        <v>102</v>
      </c>
      <c r="M1" s="279" t="s">
        <v>103</v>
      </c>
      <c r="N1" s="4"/>
      <c r="O1" s="4"/>
      <c r="P1" s="4"/>
      <c r="Q1" s="4"/>
      <c r="R1" s="4"/>
      <c r="S1" s="4"/>
    </row>
    <row r="2" customFormat="false" ht="12.75" hidden="false" customHeight="true" outlineLevel="0" collapsed="false">
      <c r="A2" s="602" t="n">
        <v>108</v>
      </c>
      <c r="B2" s="450" t="s">
        <v>18358</v>
      </c>
      <c r="C2" s="450" t="n">
        <v>2006</v>
      </c>
      <c r="D2" s="451" t="n">
        <v>39003</v>
      </c>
      <c r="E2" s="450" t="s">
        <v>18359</v>
      </c>
      <c r="F2" s="450" t="s">
        <v>10637</v>
      </c>
      <c r="G2" s="450" t="s">
        <v>441</v>
      </c>
      <c r="H2" s="450" t="s">
        <v>13006</v>
      </c>
      <c r="I2" s="451" t="n">
        <v>39457</v>
      </c>
      <c r="J2" s="452" t="n">
        <v>1</v>
      </c>
      <c r="K2" s="631" t="s">
        <v>42</v>
      </c>
      <c r="L2" s="452" t="s">
        <v>58</v>
      </c>
      <c r="M2" s="455" t="n">
        <f aca="false">I2-D2</f>
        <v>454</v>
      </c>
      <c r="N2" s="4"/>
      <c r="O2" s="280" t="s">
        <v>18360</v>
      </c>
      <c r="P2" s="280"/>
      <c r="Q2" s="146"/>
      <c r="R2" s="146"/>
      <c r="S2" s="146"/>
    </row>
    <row r="3" customFormat="false" ht="12.75" hidden="false" customHeight="true" outlineLevel="0" collapsed="false">
      <c r="A3" s="594" t="n">
        <v>208</v>
      </c>
      <c r="B3" s="458" t="s">
        <v>18361</v>
      </c>
      <c r="C3" s="458" t="n">
        <v>2007</v>
      </c>
      <c r="D3" s="459" t="n">
        <v>39331</v>
      </c>
      <c r="E3" s="458" t="s">
        <v>18362</v>
      </c>
      <c r="F3" s="458" t="s">
        <v>10637</v>
      </c>
      <c r="G3" s="458" t="s">
        <v>441</v>
      </c>
      <c r="H3" s="458" t="s">
        <v>13006</v>
      </c>
      <c r="I3" s="459" t="n">
        <v>39457</v>
      </c>
      <c r="J3" s="460" t="n">
        <v>1</v>
      </c>
      <c r="K3" s="633" t="s">
        <v>47</v>
      </c>
      <c r="L3" s="458" t="s">
        <v>58</v>
      </c>
      <c r="M3" s="463" t="n">
        <f aca="false">I3-D3</f>
        <v>126</v>
      </c>
      <c r="N3" s="4"/>
      <c r="O3" s="281" t="s">
        <v>1182</v>
      </c>
      <c r="P3" s="281" t="n">
        <f aca="false">COUNTIF($G$2:$G$476,"PT")</f>
        <v>3</v>
      </c>
      <c r="Q3" s="146"/>
      <c r="R3" s="146"/>
      <c r="S3" s="146"/>
    </row>
    <row r="4" customFormat="false" ht="12.75" hidden="false" customHeight="true" outlineLevel="0" collapsed="false">
      <c r="A4" s="602" t="n">
        <v>308</v>
      </c>
      <c r="B4" s="450" t="s">
        <v>18363</v>
      </c>
      <c r="C4" s="450" t="n">
        <v>2006</v>
      </c>
      <c r="D4" s="451" t="n">
        <v>39037</v>
      </c>
      <c r="E4" s="450" t="s">
        <v>18364</v>
      </c>
      <c r="F4" s="450" t="s">
        <v>18365</v>
      </c>
      <c r="G4" s="450" t="s">
        <v>144</v>
      </c>
      <c r="H4" s="450" t="s">
        <v>18366</v>
      </c>
      <c r="I4" s="451" t="n">
        <v>39457</v>
      </c>
      <c r="J4" s="452" t="n">
        <v>1</v>
      </c>
      <c r="K4" s="632" t="s">
        <v>50</v>
      </c>
      <c r="L4" s="452" t="s">
        <v>60</v>
      </c>
      <c r="M4" s="455" t="n">
        <f aca="false">I4-D4</f>
        <v>420</v>
      </c>
      <c r="N4" s="4"/>
      <c r="O4" s="282" t="s">
        <v>1188</v>
      </c>
      <c r="P4" s="282" t="n">
        <f aca="false">COUNTIF($G$2:$G$476,"PTN")</f>
        <v>6</v>
      </c>
      <c r="Q4" s="153"/>
      <c r="R4" s="153"/>
      <c r="S4" s="153"/>
    </row>
    <row r="5" customFormat="false" ht="12.75" hidden="false" customHeight="true" outlineLevel="0" collapsed="false">
      <c r="A5" s="594" t="n">
        <v>408</v>
      </c>
      <c r="B5" s="458" t="s">
        <v>18367</v>
      </c>
      <c r="C5" s="458" t="n">
        <v>2006</v>
      </c>
      <c r="D5" s="459" t="n">
        <v>38926</v>
      </c>
      <c r="E5" s="458" t="s">
        <v>18368</v>
      </c>
      <c r="F5" s="458" t="s">
        <v>8232</v>
      </c>
      <c r="G5" s="458" t="s">
        <v>1174</v>
      </c>
      <c r="H5" s="458" t="s">
        <v>5230</v>
      </c>
      <c r="I5" s="459" t="n">
        <v>39461</v>
      </c>
      <c r="J5" s="460" t="n">
        <v>1</v>
      </c>
      <c r="K5" s="633" t="s">
        <v>47</v>
      </c>
      <c r="L5" s="458" t="s">
        <v>60</v>
      </c>
      <c r="M5" s="463" t="n">
        <f aca="false">I5-D5</f>
        <v>535</v>
      </c>
      <c r="N5" s="4"/>
      <c r="O5" s="283" t="s">
        <v>1192</v>
      </c>
      <c r="P5" s="283" t="n">
        <f aca="false">COUNTIF($G$2:$G$476,"PTE")</f>
        <v>45</v>
      </c>
      <c r="Q5" s="153"/>
      <c r="R5" s="153"/>
      <c r="S5" s="153"/>
    </row>
    <row r="6" customFormat="false" ht="12.75" hidden="false" customHeight="true" outlineLevel="0" collapsed="false">
      <c r="A6" s="602" t="n">
        <v>508</v>
      </c>
      <c r="B6" s="450" t="s">
        <v>18369</v>
      </c>
      <c r="C6" s="450" t="n">
        <v>2004</v>
      </c>
      <c r="D6" s="451" t="n">
        <v>38344</v>
      </c>
      <c r="E6" s="450" t="s">
        <v>18370</v>
      </c>
      <c r="F6" s="450" t="s">
        <v>18371</v>
      </c>
      <c r="G6" s="450" t="s">
        <v>144</v>
      </c>
      <c r="H6" s="450" t="s">
        <v>1791</v>
      </c>
      <c r="I6" s="451" t="n">
        <v>39465</v>
      </c>
      <c r="J6" s="452" t="n">
        <v>1</v>
      </c>
      <c r="K6" s="631" t="s">
        <v>42</v>
      </c>
      <c r="L6" s="452" t="s">
        <v>60</v>
      </c>
      <c r="M6" s="455" t="n">
        <f aca="false">I6-D6</f>
        <v>1121</v>
      </c>
      <c r="N6" s="4"/>
      <c r="O6" s="282" t="s">
        <v>8</v>
      </c>
      <c r="P6" s="282" t="n">
        <f aca="false">COUNTIF($G$2:$G$476,"Pré-Mistura")</f>
        <v>0</v>
      </c>
      <c r="Q6" s="153"/>
      <c r="R6" s="153"/>
      <c r="S6" s="153"/>
    </row>
    <row r="7" customFormat="false" ht="12.75" hidden="false" customHeight="true" outlineLevel="0" collapsed="false">
      <c r="A7" s="594" t="n">
        <v>608</v>
      </c>
      <c r="B7" s="458" t="s">
        <v>18372</v>
      </c>
      <c r="C7" s="458" t="n">
        <v>2006</v>
      </c>
      <c r="D7" s="459" t="n">
        <v>38973</v>
      </c>
      <c r="E7" s="458" t="s">
        <v>18373</v>
      </c>
      <c r="F7" s="458" t="s">
        <v>1693</v>
      </c>
      <c r="G7" s="458" t="s">
        <v>441</v>
      </c>
      <c r="H7" s="458" t="s">
        <v>13006</v>
      </c>
      <c r="I7" s="459" t="n">
        <v>39469</v>
      </c>
      <c r="J7" s="460" t="n">
        <v>1</v>
      </c>
      <c r="K7" s="633" t="s">
        <v>47</v>
      </c>
      <c r="L7" s="458" t="s">
        <v>60</v>
      </c>
      <c r="M7" s="463" t="n">
        <f aca="false">I7-D7</f>
        <v>496</v>
      </c>
      <c r="N7" s="4"/>
      <c r="O7" s="283" t="s">
        <v>110</v>
      </c>
      <c r="P7" s="283" t="n">
        <f aca="false">COUNTIF($G$2:$G$476,"PF")</f>
        <v>57</v>
      </c>
      <c r="Q7" s="153"/>
      <c r="R7" s="153"/>
      <c r="S7" s="153"/>
    </row>
    <row r="8" customFormat="false" ht="12.75" hidden="false" customHeight="true" outlineLevel="0" collapsed="false">
      <c r="A8" s="602" t="n">
        <v>708</v>
      </c>
      <c r="B8" s="450" t="s">
        <v>18374</v>
      </c>
      <c r="C8" s="450" t="n">
        <v>2005</v>
      </c>
      <c r="D8" s="451" t="n">
        <v>38688</v>
      </c>
      <c r="E8" s="450" t="s">
        <v>18375</v>
      </c>
      <c r="F8" s="450" t="s">
        <v>1693</v>
      </c>
      <c r="G8" s="450" t="s">
        <v>441</v>
      </c>
      <c r="H8" s="450" t="s">
        <v>13006</v>
      </c>
      <c r="I8" s="451" t="n">
        <v>39469</v>
      </c>
      <c r="J8" s="452" t="n">
        <v>1</v>
      </c>
      <c r="K8" s="633" t="s">
        <v>47</v>
      </c>
      <c r="L8" s="452" t="s">
        <v>60</v>
      </c>
      <c r="M8" s="455" t="n">
        <f aca="false">I8-D8</f>
        <v>781</v>
      </c>
      <c r="N8" s="4"/>
      <c r="O8" s="282" t="s">
        <v>115</v>
      </c>
      <c r="P8" s="282" t="n">
        <f aca="false">COUNTIF($G$2:$G$476,"PFN")</f>
        <v>5</v>
      </c>
      <c r="Q8" s="153"/>
      <c r="R8" s="153"/>
      <c r="S8" s="153"/>
    </row>
    <row r="9" customFormat="false" ht="12.75" hidden="false" customHeight="true" outlineLevel="0" collapsed="false">
      <c r="A9" s="594" t="n">
        <v>808</v>
      </c>
      <c r="B9" s="458" t="s">
        <v>18376</v>
      </c>
      <c r="C9" s="458" t="n">
        <v>2005</v>
      </c>
      <c r="D9" s="459" t="n">
        <v>38684</v>
      </c>
      <c r="E9" s="458" t="s">
        <v>18377</v>
      </c>
      <c r="F9" s="458" t="s">
        <v>18378</v>
      </c>
      <c r="G9" s="458" t="s">
        <v>144</v>
      </c>
      <c r="H9" s="458" t="s">
        <v>373</v>
      </c>
      <c r="I9" s="459" t="n">
        <v>39472</v>
      </c>
      <c r="J9" s="460" t="n">
        <v>1</v>
      </c>
      <c r="K9" s="634" t="s">
        <v>45</v>
      </c>
      <c r="L9" s="458" t="s">
        <v>58</v>
      </c>
      <c r="M9" s="463" t="n">
        <f aca="false">I9-D9</f>
        <v>788</v>
      </c>
      <c r="N9" s="4"/>
      <c r="O9" s="283" t="s">
        <v>120</v>
      </c>
      <c r="P9" s="283" t="n">
        <f aca="false">COUNTIF($G$2:$G$476,"PF/PTE")</f>
        <v>72</v>
      </c>
      <c r="Q9" s="153"/>
      <c r="R9" s="153"/>
      <c r="S9" s="153"/>
    </row>
    <row r="10" customFormat="false" ht="12.75" hidden="false" customHeight="true" outlineLevel="0" collapsed="false">
      <c r="A10" s="602" t="n">
        <v>908</v>
      </c>
      <c r="B10" s="450" t="s">
        <v>18379</v>
      </c>
      <c r="C10" s="450" t="n">
        <v>2000</v>
      </c>
      <c r="D10" s="451" t="n">
        <v>36696</v>
      </c>
      <c r="E10" s="450" t="s">
        <v>18380</v>
      </c>
      <c r="F10" s="450" t="s">
        <v>14322</v>
      </c>
      <c r="G10" s="450" t="s">
        <v>144</v>
      </c>
      <c r="H10" s="450" t="s">
        <v>18174</v>
      </c>
      <c r="I10" s="451" t="n">
        <v>39472</v>
      </c>
      <c r="J10" s="452" t="n">
        <v>1</v>
      </c>
      <c r="K10" s="632" t="s">
        <v>50</v>
      </c>
      <c r="L10" s="452" t="s">
        <v>58</v>
      </c>
      <c r="M10" s="455" t="n">
        <f aca="false">I10-D10</f>
        <v>2776</v>
      </c>
      <c r="N10" s="4"/>
      <c r="O10" s="282" t="s">
        <v>125</v>
      </c>
      <c r="P10" s="282" t="n">
        <f aca="false">COUNTIF($G$2:$G$476,"Bio")</f>
        <v>3</v>
      </c>
      <c r="Q10" s="153"/>
      <c r="R10" s="153"/>
      <c r="S10" s="153"/>
    </row>
    <row r="11" customFormat="false" ht="12.75" hidden="false" customHeight="true" outlineLevel="0" collapsed="false">
      <c r="A11" s="594" t="n">
        <v>1008</v>
      </c>
      <c r="B11" s="458" t="s">
        <v>18381</v>
      </c>
      <c r="C11" s="458" t="n">
        <v>2006</v>
      </c>
      <c r="D11" s="459" t="n">
        <v>39009</v>
      </c>
      <c r="E11" s="458" t="s">
        <v>18382</v>
      </c>
      <c r="F11" s="458" t="s">
        <v>1277</v>
      </c>
      <c r="G11" s="458" t="s">
        <v>144</v>
      </c>
      <c r="H11" s="458" t="s">
        <v>1791</v>
      </c>
      <c r="I11" s="459" t="n">
        <v>39475</v>
      </c>
      <c r="J11" s="460" t="n">
        <v>1</v>
      </c>
      <c r="K11" s="633" t="s">
        <v>47</v>
      </c>
      <c r="L11" s="458" t="s">
        <v>58</v>
      </c>
      <c r="M11" s="463" t="n">
        <f aca="false">I11-D11</f>
        <v>466</v>
      </c>
      <c r="N11" s="4"/>
      <c r="O11" s="284" t="s">
        <v>130</v>
      </c>
      <c r="P11" s="284" t="n">
        <f aca="false">COUNTIF($G$2:$G$476,"Bio/Org")</f>
        <v>0</v>
      </c>
      <c r="Q11" s="153"/>
      <c r="R11" s="153"/>
      <c r="S11" s="153"/>
    </row>
    <row r="12" customFormat="false" ht="12.75" hidden="false" customHeight="true" outlineLevel="0" collapsed="false">
      <c r="A12" s="602" t="n">
        <v>1108</v>
      </c>
      <c r="B12" s="450" t="s">
        <v>18383</v>
      </c>
      <c r="C12" s="450" t="n">
        <v>2006</v>
      </c>
      <c r="D12" s="451" t="n">
        <v>39009</v>
      </c>
      <c r="E12" s="450" t="s">
        <v>18384</v>
      </c>
      <c r="F12" s="450" t="s">
        <v>1277</v>
      </c>
      <c r="G12" s="450" t="s">
        <v>144</v>
      </c>
      <c r="H12" s="450" t="s">
        <v>1791</v>
      </c>
      <c r="I12" s="451" t="n">
        <v>39475</v>
      </c>
      <c r="J12" s="452" t="n">
        <v>1</v>
      </c>
      <c r="K12" s="633" t="s">
        <v>47</v>
      </c>
      <c r="L12" s="452" t="s">
        <v>58</v>
      </c>
      <c r="M12" s="455" t="n">
        <f aca="false">I12-D12</f>
        <v>466</v>
      </c>
      <c r="N12" s="4"/>
      <c r="O12" s="285" t="s">
        <v>140</v>
      </c>
      <c r="P12" s="286" t="n">
        <f aca="false">SUM(P3:P11)</f>
        <v>191</v>
      </c>
      <c r="Q12" s="153"/>
      <c r="R12" s="153"/>
      <c r="S12" s="153"/>
    </row>
    <row r="13" customFormat="false" ht="12.75" hidden="false" customHeight="true" outlineLevel="0" collapsed="false">
      <c r="A13" s="594" t="n">
        <v>1208</v>
      </c>
      <c r="B13" s="458" t="s">
        <v>18385</v>
      </c>
      <c r="C13" s="458" t="n">
        <v>2006</v>
      </c>
      <c r="D13" s="459" t="n">
        <v>39009</v>
      </c>
      <c r="E13" s="458" t="s">
        <v>18386</v>
      </c>
      <c r="F13" s="458" t="s">
        <v>1277</v>
      </c>
      <c r="G13" s="458" t="s">
        <v>144</v>
      </c>
      <c r="H13" s="458" t="s">
        <v>1791</v>
      </c>
      <c r="I13" s="459" t="n">
        <v>39475</v>
      </c>
      <c r="J13" s="460" t="n">
        <v>1</v>
      </c>
      <c r="K13" s="633" t="s">
        <v>47</v>
      </c>
      <c r="L13" s="458" t="s">
        <v>58</v>
      </c>
      <c r="M13" s="463" t="n">
        <f aca="false">I13-D13</f>
        <v>466</v>
      </c>
      <c r="N13" s="4"/>
      <c r="O13" s="153"/>
      <c r="P13" s="153"/>
      <c r="Q13" s="153"/>
      <c r="R13" s="287"/>
      <c r="S13" s="287"/>
    </row>
    <row r="14" customFormat="false" ht="13.5" hidden="false" customHeight="true" outlineLevel="0" collapsed="false">
      <c r="A14" s="602" t="n">
        <v>1308</v>
      </c>
      <c r="B14" s="450" t="s">
        <v>18387</v>
      </c>
      <c r="C14" s="450" t="n">
        <v>2006</v>
      </c>
      <c r="D14" s="451" t="n">
        <v>38905</v>
      </c>
      <c r="E14" s="450" t="s">
        <v>18388</v>
      </c>
      <c r="F14" s="450" t="s">
        <v>699</v>
      </c>
      <c r="G14" s="450" t="s">
        <v>1174</v>
      </c>
      <c r="H14" s="450" t="s">
        <v>5230</v>
      </c>
      <c r="I14" s="451" t="n">
        <v>39477</v>
      </c>
      <c r="J14" s="452" t="n">
        <v>1</v>
      </c>
      <c r="K14" s="631" t="s">
        <v>42</v>
      </c>
      <c r="L14" s="452" t="s">
        <v>60</v>
      </c>
      <c r="M14" s="455" t="n">
        <f aca="false">I14-D14</f>
        <v>572</v>
      </c>
      <c r="N14" s="4"/>
      <c r="O14" s="411" t="s">
        <v>151</v>
      </c>
      <c r="P14" s="411"/>
      <c r="Q14" s="411"/>
      <c r="R14" s="411"/>
      <c r="S14" s="411"/>
    </row>
    <row r="15" customFormat="false" ht="14.25" hidden="false" customHeight="true" outlineLevel="0" collapsed="false">
      <c r="A15" s="594" t="n">
        <v>1408</v>
      </c>
      <c r="B15" s="458" t="s">
        <v>18389</v>
      </c>
      <c r="C15" s="458" t="n">
        <v>2006</v>
      </c>
      <c r="D15" s="459" t="n">
        <v>38784</v>
      </c>
      <c r="E15" s="458" t="s">
        <v>18390</v>
      </c>
      <c r="F15" s="458" t="s">
        <v>4270</v>
      </c>
      <c r="G15" s="458" t="s">
        <v>441</v>
      </c>
      <c r="H15" s="458" t="s">
        <v>2677</v>
      </c>
      <c r="I15" s="459" t="n">
        <v>39486</v>
      </c>
      <c r="J15" s="460" t="n">
        <v>2</v>
      </c>
      <c r="K15" s="631" t="s">
        <v>42</v>
      </c>
      <c r="L15" s="458" t="s">
        <v>60</v>
      </c>
      <c r="M15" s="463" t="n">
        <f aca="false">I15-D15</f>
        <v>702</v>
      </c>
      <c r="N15" s="4"/>
      <c r="O15" s="411"/>
      <c r="P15" s="411"/>
      <c r="Q15" s="411"/>
      <c r="R15" s="411"/>
      <c r="S15" s="411"/>
    </row>
    <row r="16" customFormat="false" ht="12.75" hidden="false" customHeight="true" outlineLevel="0" collapsed="false">
      <c r="A16" s="602" t="n">
        <v>1508</v>
      </c>
      <c r="B16" s="450" t="s">
        <v>18391</v>
      </c>
      <c r="C16" s="450" t="n">
        <v>2006</v>
      </c>
      <c r="D16" s="451" t="n">
        <v>38888</v>
      </c>
      <c r="E16" s="450" t="s">
        <v>18392</v>
      </c>
      <c r="F16" s="450" t="s">
        <v>18393</v>
      </c>
      <c r="G16" s="450" t="s">
        <v>144</v>
      </c>
      <c r="H16" s="450" t="s">
        <v>18394</v>
      </c>
      <c r="I16" s="451" t="n">
        <v>39486</v>
      </c>
      <c r="J16" s="452" t="n">
        <v>2</v>
      </c>
      <c r="K16" s="632" t="s">
        <v>50</v>
      </c>
      <c r="L16" s="452" t="s">
        <v>61</v>
      </c>
      <c r="M16" s="455" t="n">
        <f aca="false">I16-D16</f>
        <v>598</v>
      </c>
      <c r="N16" s="4"/>
      <c r="O16" s="412" t="s">
        <v>2194</v>
      </c>
      <c r="P16" s="412"/>
      <c r="Q16" s="412"/>
      <c r="R16" s="412"/>
      <c r="S16" s="412"/>
    </row>
    <row r="17" customFormat="false" ht="12.75" hidden="false" customHeight="true" outlineLevel="0" collapsed="false">
      <c r="A17" s="594" t="n">
        <v>1608</v>
      </c>
      <c r="B17" s="458" t="s">
        <v>18395</v>
      </c>
      <c r="C17" s="458" t="n">
        <v>2005</v>
      </c>
      <c r="D17" s="459" t="n">
        <v>38716</v>
      </c>
      <c r="E17" s="458" t="s">
        <v>18396</v>
      </c>
      <c r="F17" s="458" t="s">
        <v>379</v>
      </c>
      <c r="G17" s="458" t="s">
        <v>441</v>
      </c>
      <c r="H17" s="458" t="s">
        <v>18397</v>
      </c>
      <c r="I17" s="459" t="n">
        <v>39486</v>
      </c>
      <c r="J17" s="460" t="n">
        <v>2</v>
      </c>
      <c r="K17" s="633" t="s">
        <v>47</v>
      </c>
      <c r="L17" s="458" t="s">
        <v>58</v>
      </c>
      <c r="M17" s="463" t="n">
        <f aca="false">I17-D17</f>
        <v>770</v>
      </c>
      <c r="N17" s="4"/>
      <c r="O17" s="413" t="s">
        <v>2198</v>
      </c>
      <c r="P17" s="413"/>
      <c r="Q17" s="413"/>
      <c r="R17" s="413"/>
      <c r="S17" s="413"/>
    </row>
    <row r="18" customFormat="false" ht="12.75" hidden="false" customHeight="true" outlineLevel="0" collapsed="false">
      <c r="A18" s="602" t="n">
        <v>1708</v>
      </c>
      <c r="B18" s="450" t="s">
        <v>18398</v>
      </c>
      <c r="C18" s="450" t="n">
        <v>2006</v>
      </c>
      <c r="D18" s="451" t="n">
        <v>38868</v>
      </c>
      <c r="E18" s="450" t="s">
        <v>18399</v>
      </c>
      <c r="F18" s="450" t="s">
        <v>211</v>
      </c>
      <c r="G18" s="450" t="s">
        <v>1174</v>
      </c>
      <c r="H18" s="450" t="s">
        <v>5230</v>
      </c>
      <c r="I18" s="451" t="n">
        <v>39492</v>
      </c>
      <c r="J18" s="452" t="n">
        <v>2</v>
      </c>
      <c r="K18" s="633" t="s">
        <v>47</v>
      </c>
      <c r="L18" s="452" t="s">
        <v>58</v>
      </c>
      <c r="M18" s="455" t="n">
        <f aca="false">I18-D18</f>
        <v>624</v>
      </c>
      <c r="N18" s="4"/>
      <c r="O18" s="414" t="s">
        <v>2203</v>
      </c>
      <c r="P18" s="414"/>
      <c r="Q18" s="414"/>
      <c r="R18" s="414"/>
      <c r="S18" s="414"/>
    </row>
    <row r="19" customFormat="false" ht="12.75" hidden="false" customHeight="true" outlineLevel="0" collapsed="false">
      <c r="A19" s="594" t="n">
        <v>1808</v>
      </c>
      <c r="B19" s="458" t="s">
        <v>18400</v>
      </c>
      <c r="C19" s="458" t="n">
        <v>2006</v>
      </c>
      <c r="D19" s="459" t="n">
        <v>39003</v>
      </c>
      <c r="E19" s="458" t="s">
        <v>18401</v>
      </c>
      <c r="F19" s="458" t="s">
        <v>1097</v>
      </c>
      <c r="G19" s="458" t="s">
        <v>1174</v>
      </c>
      <c r="H19" s="458" t="s">
        <v>13006</v>
      </c>
      <c r="I19" s="459" t="n">
        <v>39497</v>
      </c>
      <c r="J19" s="460" t="n">
        <v>2</v>
      </c>
      <c r="K19" s="631" t="s">
        <v>42</v>
      </c>
      <c r="L19" s="458" t="s">
        <v>60</v>
      </c>
      <c r="M19" s="463" t="n">
        <f aca="false">I19-D19</f>
        <v>494</v>
      </c>
      <c r="N19" s="4"/>
      <c r="O19" s="413" t="s">
        <v>2207</v>
      </c>
      <c r="P19" s="413"/>
      <c r="Q19" s="413"/>
      <c r="R19" s="413"/>
      <c r="S19" s="413"/>
    </row>
    <row r="20" customFormat="false" ht="12.75" hidden="false" customHeight="true" outlineLevel="0" collapsed="false">
      <c r="A20" s="602" t="n">
        <v>1908</v>
      </c>
      <c r="B20" s="450" t="s">
        <v>18402</v>
      </c>
      <c r="C20" s="450" t="n">
        <v>2001</v>
      </c>
      <c r="D20" s="451" t="n">
        <v>37071</v>
      </c>
      <c r="E20" s="450" t="s">
        <v>18403</v>
      </c>
      <c r="F20" s="450" t="s">
        <v>1262</v>
      </c>
      <c r="G20" s="450" t="s">
        <v>441</v>
      </c>
      <c r="H20" s="450" t="s">
        <v>16610</v>
      </c>
      <c r="I20" s="451" t="n">
        <v>39514</v>
      </c>
      <c r="J20" s="452" t="n">
        <v>3</v>
      </c>
      <c r="K20" s="631" t="s">
        <v>42</v>
      </c>
      <c r="L20" s="452" t="s">
        <v>58</v>
      </c>
      <c r="M20" s="455" t="n">
        <f aca="false">I20-D20</f>
        <v>2443</v>
      </c>
      <c r="N20" s="4"/>
      <c r="O20" s="414" t="s">
        <v>2211</v>
      </c>
      <c r="P20" s="414"/>
      <c r="Q20" s="414"/>
      <c r="R20" s="414"/>
      <c r="S20" s="414"/>
    </row>
    <row r="21" customFormat="false" ht="12.75" hidden="false" customHeight="true" outlineLevel="0" collapsed="false">
      <c r="A21" s="594" t="n">
        <v>2008</v>
      </c>
      <c r="B21" s="458" t="s">
        <v>18404</v>
      </c>
      <c r="C21" s="458" t="n">
        <v>2006</v>
      </c>
      <c r="D21" s="459" t="n">
        <v>38770</v>
      </c>
      <c r="E21" s="458" t="s">
        <v>18405</v>
      </c>
      <c r="F21" s="458" t="s">
        <v>2003</v>
      </c>
      <c r="G21" s="458" t="s">
        <v>441</v>
      </c>
      <c r="H21" s="458" t="s">
        <v>15992</v>
      </c>
      <c r="I21" s="459" t="n">
        <v>39517</v>
      </c>
      <c r="J21" s="460" t="n">
        <v>3</v>
      </c>
      <c r="K21" s="633" t="s">
        <v>47</v>
      </c>
      <c r="L21" s="458" t="s">
        <v>60</v>
      </c>
      <c r="M21" s="463" t="n">
        <f aca="false">I21-D21</f>
        <v>747</v>
      </c>
      <c r="N21" s="4"/>
      <c r="O21" s="413" t="s">
        <v>2215</v>
      </c>
      <c r="P21" s="413"/>
      <c r="Q21" s="413"/>
      <c r="R21" s="413"/>
      <c r="S21" s="413"/>
    </row>
    <row r="22" customFormat="false" ht="12.75" hidden="false" customHeight="true" outlineLevel="0" collapsed="false">
      <c r="A22" s="602" t="n">
        <v>2108</v>
      </c>
      <c r="B22" s="450" t="s">
        <v>18406</v>
      </c>
      <c r="C22" s="450" t="n">
        <v>2006</v>
      </c>
      <c r="D22" s="451" t="n">
        <v>39045</v>
      </c>
      <c r="E22" s="450" t="s">
        <v>18407</v>
      </c>
      <c r="F22" s="450" t="s">
        <v>15802</v>
      </c>
      <c r="G22" s="450" t="s">
        <v>1174</v>
      </c>
      <c r="H22" s="450" t="s">
        <v>15992</v>
      </c>
      <c r="I22" s="451" t="n">
        <v>39517</v>
      </c>
      <c r="J22" s="452" t="n">
        <v>3</v>
      </c>
      <c r="K22" s="631" t="s">
        <v>42</v>
      </c>
      <c r="L22" s="452" t="s">
        <v>60</v>
      </c>
      <c r="M22" s="455" t="n">
        <f aca="false">I22-D22</f>
        <v>472</v>
      </c>
      <c r="N22" s="4"/>
      <c r="O22" s="414" t="s">
        <v>2220</v>
      </c>
      <c r="P22" s="414"/>
      <c r="Q22" s="414"/>
      <c r="R22" s="414"/>
      <c r="S22" s="414"/>
    </row>
    <row r="23" customFormat="false" ht="12.75" hidden="false" customHeight="true" outlineLevel="0" collapsed="false">
      <c r="A23" s="594" t="n">
        <v>2208</v>
      </c>
      <c r="B23" s="458" t="s">
        <v>18408</v>
      </c>
      <c r="C23" s="458" t="n">
        <v>2007</v>
      </c>
      <c r="D23" s="459" t="n">
        <v>39120</v>
      </c>
      <c r="E23" s="458" t="s">
        <v>18409</v>
      </c>
      <c r="F23" s="458" t="s">
        <v>207</v>
      </c>
      <c r="G23" s="458" t="s">
        <v>1174</v>
      </c>
      <c r="H23" s="458" t="s">
        <v>14391</v>
      </c>
      <c r="I23" s="459" t="n">
        <v>39524</v>
      </c>
      <c r="J23" s="460" t="n">
        <v>3</v>
      </c>
      <c r="K23" s="631" t="s">
        <v>42</v>
      </c>
      <c r="L23" s="458" t="s">
        <v>57</v>
      </c>
      <c r="M23" s="463" t="n">
        <f aca="false">I23-D23</f>
        <v>404</v>
      </c>
      <c r="N23" s="4"/>
      <c r="O23" s="413" t="s">
        <v>18107</v>
      </c>
      <c r="P23" s="413"/>
      <c r="Q23" s="413"/>
      <c r="R23" s="413"/>
      <c r="S23" s="413"/>
    </row>
    <row r="24" customFormat="false" ht="12.75" hidden="false" customHeight="true" outlineLevel="0" collapsed="false">
      <c r="A24" s="602" t="n">
        <v>2308</v>
      </c>
      <c r="B24" s="450" t="s">
        <v>18410</v>
      </c>
      <c r="C24" s="450" t="n">
        <v>2006</v>
      </c>
      <c r="D24" s="451" t="n">
        <v>38827</v>
      </c>
      <c r="E24" s="450" t="s">
        <v>18411</v>
      </c>
      <c r="F24" s="450" t="s">
        <v>10637</v>
      </c>
      <c r="G24" s="450" t="s">
        <v>144</v>
      </c>
      <c r="H24" s="450" t="s">
        <v>2421</v>
      </c>
      <c r="I24" s="451" t="n">
        <v>39524</v>
      </c>
      <c r="J24" s="452" t="n">
        <v>3</v>
      </c>
      <c r="K24" s="631" t="s">
        <v>42</v>
      </c>
      <c r="L24" s="452" t="s">
        <v>58</v>
      </c>
      <c r="M24" s="455" t="n">
        <f aca="false">I24-D24</f>
        <v>697</v>
      </c>
      <c r="N24" s="4"/>
      <c r="O24" s="415" t="s">
        <v>2229</v>
      </c>
      <c r="P24" s="415"/>
      <c r="Q24" s="415"/>
      <c r="R24" s="415"/>
      <c r="S24" s="415"/>
    </row>
    <row r="25" customFormat="false" ht="12.75" hidden="false" customHeight="true" outlineLevel="0" collapsed="false">
      <c r="A25" s="594" t="n">
        <v>2408</v>
      </c>
      <c r="B25" s="458" t="s">
        <v>18412</v>
      </c>
      <c r="C25" s="458" t="n">
        <v>2006</v>
      </c>
      <c r="D25" s="459" t="n">
        <v>39078</v>
      </c>
      <c r="E25" s="458" t="s">
        <v>18413</v>
      </c>
      <c r="F25" s="458" t="s">
        <v>18414</v>
      </c>
      <c r="G25" s="458" t="s">
        <v>144</v>
      </c>
      <c r="H25" s="458" t="s">
        <v>134</v>
      </c>
      <c r="I25" s="459" t="n">
        <v>39526</v>
      </c>
      <c r="J25" s="460" t="n">
        <v>3</v>
      </c>
      <c r="K25" s="633" t="s">
        <v>47</v>
      </c>
      <c r="L25" s="458" t="s">
        <v>58</v>
      </c>
      <c r="M25" s="463" t="n">
        <f aca="false">I25-D25</f>
        <v>448</v>
      </c>
      <c r="N25" s="4"/>
      <c r="O25" s="153"/>
      <c r="P25" s="153"/>
      <c r="Q25" s="153"/>
      <c r="R25" s="153"/>
      <c r="S25" s="153"/>
    </row>
    <row r="26" customFormat="false" ht="13.5" hidden="false" customHeight="true" outlineLevel="0" collapsed="false">
      <c r="A26" s="602" t="n">
        <v>2508</v>
      </c>
      <c r="B26" s="450" t="s">
        <v>18415</v>
      </c>
      <c r="C26" s="450" t="n">
        <v>2002</v>
      </c>
      <c r="D26" s="451" t="n">
        <v>37613</v>
      </c>
      <c r="E26" s="450" t="s">
        <v>18416</v>
      </c>
      <c r="F26" s="450" t="s">
        <v>18417</v>
      </c>
      <c r="G26" s="450" t="s">
        <v>1474</v>
      </c>
      <c r="H26" s="450" t="s">
        <v>2421</v>
      </c>
      <c r="I26" s="451" t="n">
        <v>39526</v>
      </c>
      <c r="J26" s="452" t="n">
        <v>3</v>
      </c>
      <c r="K26" s="633" t="s">
        <v>47</v>
      </c>
      <c r="L26" s="452" t="s">
        <v>60</v>
      </c>
      <c r="M26" s="455" t="n">
        <f aca="false">I26-D26</f>
        <v>1913</v>
      </c>
      <c r="N26" s="4"/>
      <c r="O26" s="326" t="s">
        <v>185</v>
      </c>
      <c r="P26" s="326"/>
      <c r="Q26" s="326"/>
      <c r="R26" s="326"/>
      <c r="S26" s="326"/>
    </row>
    <row r="27" customFormat="false" ht="13.5" hidden="false" customHeight="true" outlineLevel="0" collapsed="false">
      <c r="A27" s="594" t="n">
        <v>2608</v>
      </c>
      <c r="B27" s="594" t="s">
        <v>10996</v>
      </c>
      <c r="C27" s="594" t="s">
        <v>10996</v>
      </c>
      <c r="D27" s="595" t="s">
        <v>10996</v>
      </c>
      <c r="E27" s="594" t="s">
        <v>10996</v>
      </c>
      <c r="F27" s="594" t="s">
        <v>10996</v>
      </c>
      <c r="G27" s="594" t="s">
        <v>10996</v>
      </c>
      <c r="H27" s="594" t="s">
        <v>10996</v>
      </c>
      <c r="I27" s="595" t="s">
        <v>10996</v>
      </c>
      <c r="J27" s="283" t="s">
        <v>10996</v>
      </c>
      <c r="K27" s="594" t="s">
        <v>10996</v>
      </c>
      <c r="L27" s="594" t="s">
        <v>10996</v>
      </c>
      <c r="M27" s="594" t="s">
        <v>10996</v>
      </c>
      <c r="N27" s="4"/>
      <c r="O27" s="326"/>
      <c r="P27" s="326"/>
      <c r="Q27" s="326"/>
      <c r="R27" s="326"/>
      <c r="S27" s="326"/>
    </row>
    <row r="28" customFormat="false" ht="12.75" hidden="false" customHeight="true" outlineLevel="0" collapsed="false">
      <c r="A28" s="602" t="n">
        <v>2708</v>
      </c>
      <c r="B28" s="450" t="s">
        <v>18418</v>
      </c>
      <c r="C28" s="450" t="n">
        <v>2005</v>
      </c>
      <c r="D28" s="451" t="n">
        <v>38716</v>
      </c>
      <c r="E28" s="450" t="s">
        <v>18419</v>
      </c>
      <c r="F28" s="450" t="s">
        <v>4623</v>
      </c>
      <c r="G28" s="450" t="s">
        <v>441</v>
      </c>
      <c r="H28" s="450" t="s">
        <v>18397</v>
      </c>
      <c r="I28" s="451" t="n">
        <v>39540</v>
      </c>
      <c r="J28" s="452" t="n">
        <v>4</v>
      </c>
      <c r="K28" s="631" t="s">
        <v>42</v>
      </c>
      <c r="L28" s="452" t="s">
        <v>60</v>
      </c>
      <c r="M28" s="455" t="n">
        <f aca="false">I28-D28</f>
        <v>824</v>
      </c>
      <c r="N28" s="4"/>
      <c r="O28" s="309" t="s">
        <v>39</v>
      </c>
      <c r="P28" s="416" t="s">
        <v>40</v>
      </c>
      <c r="Q28" s="416"/>
      <c r="R28" s="416"/>
      <c r="S28" s="313" t="s">
        <v>41</v>
      </c>
    </row>
    <row r="29" customFormat="false" ht="12.75" hidden="false" customHeight="true" outlineLevel="0" collapsed="false">
      <c r="A29" s="594" t="n">
        <v>2808</v>
      </c>
      <c r="B29" s="458" t="s">
        <v>18420</v>
      </c>
      <c r="C29" s="458" t="n">
        <v>2005</v>
      </c>
      <c r="D29" s="459" t="n">
        <v>38600</v>
      </c>
      <c r="E29" s="458" t="s">
        <v>18421</v>
      </c>
      <c r="F29" s="458" t="s">
        <v>2003</v>
      </c>
      <c r="G29" s="458" t="s">
        <v>441</v>
      </c>
      <c r="H29" s="458" t="s">
        <v>15992</v>
      </c>
      <c r="I29" s="459" t="n">
        <v>39540</v>
      </c>
      <c r="J29" s="460" t="n">
        <v>4</v>
      </c>
      <c r="K29" s="633" t="s">
        <v>47</v>
      </c>
      <c r="L29" s="458" t="s">
        <v>60</v>
      </c>
      <c r="M29" s="463" t="n">
        <f aca="false">I29-D29</f>
        <v>940</v>
      </c>
      <c r="N29" s="4"/>
      <c r="O29" s="283" t="n">
        <v>1996</v>
      </c>
      <c r="P29" s="283" t="n">
        <f aca="false">COUNTIF($C$2:$C$503,"1996")</f>
        <v>0</v>
      </c>
      <c r="Q29" s="283"/>
      <c r="R29" s="283"/>
      <c r="S29" s="315" t="n">
        <f aca="false">P29/P42</f>
        <v>0</v>
      </c>
    </row>
    <row r="30" customFormat="false" ht="12.75" hidden="false" customHeight="true" outlineLevel="0" collapsed="false">
      <c r="A30" s="602" t="n">
        <v>2908</v>
      </c>
      <c r="B30" s="450" t="s">
        <v>18422</v>
      </c>
      <c r="C30" s="450" t="n">
        <v>2003</v>
      </c>
      <c r="D30" s="451" t="n">
        <v>37833</v>
      </c>
      <c r="E30" s="450" t="s">
        <v>18423</v>
      </c>
      <c r="F30" s="450" t="s">
        <v>10662</v>
      </c>
      <c r="G30" s="450" t="s">
        <v>144</v>
      </c>
      <c r="H30" s="450" t="s">
        <v>1791</v>
      </c>
      <c r="I30" s="451" t="n">
        <v>39540</v>
      </c>
      <c r="J30" s="452" t="n">
        <v>4</v>
      </c>
      <c r="K30" s="634" t="s">
        <v>45</v>
      </c>
      <c r="L30" s="452" t="s">
        <v>60</v>
      </c>
      <c r="M30" s="455" t="n">
        <f aca="false">I30-D30</f>
        <v>1707</v>
      </c>
      <c r="N30" s="4"/>
      <c r="O30" s="282" t="n">
        <v>1997</v>
      </c>
      <c r="P30" s="282" t="n">
        <f aca="false">COUNTIF($C$2:$C$503,"1997")</f>
        <v>0</v>
      </c>
      <c r="Q30" s="282"/>
      <c r="R30" s="282"/>
      <c r="S30" s="316" t="n">
        <f aca="false">P30/P42</f>
        <v>0</v>
      </c>
    </row>
    <row r="31" customFormat="false" ht="12.75" hidden="false" customHeight="true" outlineLevel="0" collapsed="false">
      <c r="A31" s="594" t="n">
        <v>3008</v>
      </c>
      <c r="B31" s="458" t="s">
        <v>18424</v>
      </c>
      <c r="C31" s="458" t="n">
        <v>2005</v>
      </c>
      <c r="D31" s="459" t="n">
        <v>38632</v>
      </c>
      <c r="E31" s="458" t="s">
        <v>18425</v>
      </c>
      <c r="F31" s="458" t="s">
        <v>18426</v>
      </c>
      <c r="G31" s="458" t="s">
        <v>144</v>
      </c>
      <c r="H31" s="458" t="s">
        <v>1791</v>
      </c>
      <c r="I31" s="459" t="n">
        <v>39540</v>
      </c>
      <c r="J31" s="460" t="n">
        <v>4</v>
      </c>
      <c r="K31" s="633" t="s">
        <v>47</v>
      </c>
      <c r="L31" s="458" t="s">
        <v>58</v>
      </c>
      <c r="M31" s="463" t="n">
        <f aca="false">I31-D31</f>
        <v>908</v>
      </c>
      <c r="N31" s="4"/>
      <c r="O31" s="283" t="n">
        <v>1998</v>
      </c>
      <c r="P31" s="283" t="n">
        <f aca="false">COUNTIF($C$2:$C$503,"1998")</f>
        <v>0</v>
      </c>
      <c r="Q31" s="283"/>
      <c r="R31" s="283"/>
      <c r="S31" s="315" t="n">
        <f aca="false">P31/P42</f>
        <v>0</v>
      </c>
    </row>
    <row r="32" customFormat="false" ht="12.75" hidden="false" customHeight="true" outlineLevel="0" collapsed="false">
      <c r="A32" s="602" t="n">
        <v>3108</v>
      </c>
      <c r="B32" s="450" t="s">
        <v>18427</v>
      </c>
      <c r="C32" s="450" t="n">
        <v>2001</v>
      </c>
      <c r="D32" s="451" t="n">
        <v>37232</v>
      </c>
      <c r="E32" s="450" t="s">
        <v>18428</v>
      </c>
      <c r="F32" s="450" t="s">
        <v>18429</v>
      </c>
      <c r="G32" s="450" t="s">
        <v>1188</v>
      </c>
      <c r="H32" s="450" t="s">
        <v>119</v>
      </c>
      <c r="I32" s="451" t="n">
        <v>39541</v>
      </c>
      <c r="J32" s="452" t="n">
        <v>4</v>
      </c>
      <c r="K32" s="634" t="s">
        <v>45</v>
      </c>
      <c r="L32" s="452" t="s">
        <v>61</v>
      </c>
      <c r="M32" s="455" t="n">
        <f aca="false">I32-D32</f>
        <v>2309</v>
      </c>
      <c r="N32" s="4"/>
      <c r="O32" s="282" t="n">
        <v>1999</v>
      </c>
      <c r="P32" s="282" t="n">
        <f aca="false">COUNTIF($C$2:$C$503,"1999")</f>
        <v>0</v>
      </c>
      <c r="Q32" s="282"/>
      <c r="R32" s="282"/>
      <c r="S32" s="316" t="n">
        <f aca="false">P32/P42</f>
        <v>0</v>
      </c>
    </row>
    <row r="33" customFormat="false" ht="12.75" hidden="false" customHeight="true" outlineLevel="0" collapsed="false">
      <c r="A33" s="594" t="n">
        <v>3208</v>
      </c>
      <c r="B33" s="458" t="s">
        <v>18430</v>
      </c>
      <c r="C33" s="458" t="n">
        <v>2007</v>
      </c>
      <c r="D33" s="459" t="n">
        <v>39251</v>
      </c>
      <c r="E33" s="458" t="s">
        <v>18431</v>
      </c>
      <c r="F33" s="458" t="s">
        <v>1097</v>
      </c>
      <c r="G33" s="458" t="s">
        <v>1174</v>
      </c>
      <c r="H33" s="458" t="s">
        <v>192</v>
      </c>
      <c r="I33" s="459" t="n">
        <v>39541</v>
      </c>
      <c r="J33" s="460" t="n">
        <v>4</v>
      </c>
      <c r="K33" s="631" t="s">
        <v>42</v>
      </c>
      <c r="L33" s="458" t="s">
        <v>60</v>
      </c>
      <c r="M33" s="463" t="n">
        <f aca="false">I33-D33</f>
        <v>290</v>
      </c>
      <c r="N33" s="4"/>
      <c r="O33" s="283" t="n">
        <v>2000</v>
      </c>
      <c r="P33" s="283" t="n">
        <f aca="false">COUNTIF($C$2:$C$503,"2000")</f>
        <v>2</v>
      </c>
      <c r="Q33" s="283"/>
      <c r="R33" s="283"/>
      <c r="S33" s="315" t="n">
        <f aca="false">P33/P42</f>
        <v>0.0104712041884817</v>
      </c>
    </row>
    <row r="34" customFormat="false" ht="12.75" hidden="false" customHeight="true" outlineLevel="0" collapsed="false">
      <c r="A34" s="602" t="n">
        <v>3308</v>
      </c>
      <c r="B34" s="450" t="s">
        <v>18432</v>
      </c>
      <c r="C34" s="450" t="n">
        <v>2001</v>
      </c>
      <c r="D34" s="451" t="n">
        <v>37236</v>
      </c>
      <c r="E34" s="450" t="s">
        <v>18433</v>
      </c>
      <c r="F34" s="450" t="s">
        <v>18429</v>
      </c>
      <c r="G34" s="450" t="s">
        <v>115</v>
      </c>
      <c r="H34" s="450" t="s">
        <v>119</v>
      </c>
      <c r="I34" s="451" t="n">
        <v>39542</v>
      </c>
      <c r="J34" s="452" t="n">
        <v>4</v>
      </c>
      <c r="K34" s="633" t="s">
        <v>47</v>
      </c>
      <c r="L34" s="452" t="s">
        <v>61</v>
      </c>
      <c r="M34" s="455" t="n">
        <f aca="false">I34-D34</f>
        <v>2306</v>
      </c>
      <c r="N34" s="4"/>
      <c r="O34" s="282" t="n">
        <v>2001</v>
      </c>
      <c r="P34" s="282" t="n">
        <f aca="false">COUNTIF($C$2:$C$503,"2001")</f>
        <v>12</v>
      </c>
      <c r="Q34" s="282"/>
      <c r="R34" s="282"/>
      <c r="S34" s="316" t="n">
        <f aca="false">P34/P42</f>
        <v>0.0628272251308901</v>
      </c>
    </row>
    <row r="35" customFormat="false" ht="12.75" hidden="false" customHeight="true" outlineLevel="0" collapsed="false">
      <c r="A35" s="594" t="n">
        <v>3408</v>
      </c>
      <c r="B35" s="458" t="s">
        <v>18434</v>
      </c>
      <c r="C35" s="458" t="n">
        <v>2006</v>
      </c>
      <c r="D35" s="459" t="n">
        <v>39015</v>
      </c>
      <c r="E35" s="458" t="s">
        <v>18435</v>
      </c>
      <c r="F35" s="458" t="s">
        <v>18378</v>
      </c>
      <c r="G35" s="458" t="s">
        <v>144</v>
      </c>
      <c r="H35" s="458" t="s">
        <v>373</v>
      </c>
      <c r="I35" s="459" t="n">
        <v>39548</v>
      </c>
      <c r="J35" s="460" t="n">
        <v>4</v>
      </c>
      <c r="K35" s="634" t="s">
        <v>45</v>
      </c>
      <c r="L35" s="458" t="s">
        <v>58</v>
      </c>
      <c r="M35" s="463" t="n">
        <f aca="false">I35-D35</f>
        <v>533</v>
      </c>
      <c r="N35" s="4"/>
      <c r="O35" s="283" t="n">
        <v>2002</v>
      </c>
      <c r="P35" s="283" t="n">
        <f aca="false">COUNTIF($C$2:$C$503,"2002")</f>
        <v>2</v>
      </c>
      <c r="Q35" s="283"/>
      <c r="R35" s="283"/>
      <c r="S35" s="315" t="n">
        <f aca="false">P35/P42</f>
        <v>0.0104712041884817</v>
      </c>
    </row>
    <row r="36" customFormat="false" ht="12.75" hidden="false" customHeight="true" outlineLevel="0" collapsed="false">
      <c r="A36" s="602" t="n">
        <v>3508</v>
      </c>
      <c r="B36" s="450" t="s">
        <v>18436</v>
      </c>
      <c r="C36" s="450" t="n">
        <v>2003</v>
      </c>
      <c r="D36" s="451" t="n">
        <v>37861</v>
      </c>
      <c r="E36" s="450" t="s">
        <v>18437</v>
      </c>
      <c r="F36" s="450" t="s">
        <v>18438</v>
      </c>
      <c r="G36" s="450" t="s">
        <v>144</v>
      </c>
      <c r="H36" s="450" t="s">
        <v>2283</v>
      </c>
      <c r="I36" s="451" t="n">
        <v>39556</v>
      </c>
      <c r="J36" s="452" t="n">
        <v>4</v>
      </c>
      <c r="K36" s="631" t="s">
        <v>42</v>
      </c>
      <c r="L36" s="452" t="s">
        <v>58</v>
      </c>
      <c r="M36" s="455" t="n">
        <f aca="false">I36-D36</f>
        <v>1695</v>
      </c>
      <c r="N36" s="4"/>
      <c r="O36" s="282" t="n">
        <v>2003</v>
      </c>
      <c r="P36" s="282" t="n">
        <f aca="false">COUNTIF($C$2:$C$503,"2003")</f>
        <v>3</v>
      </c>
      <c r="Q36" s="282"/>
      <c r="R36" s="282"/>
      <c r="S36" s="316" t="n">
        <f aca="false">P36/P42</f>
        <v>0.0157068062827225</v>
      </c>
    </row>
    <row r="37" customFormat="false" ht="12.75" hidden="false" customHeight="true" outlineLevel="0" collapsed="false">
      <c r="A37" s="594" t="n">
        <v>3608</v>
      </c>
      <c r="B37" s="458" t="s">
        <v>18439</v>
      </c>
      <c r="C37" s="458" t="n">
        <v>2006</v>
      </c>
      <c r="D37" s="459" t="n">
        <v>38929</v>
      </c>
      <c r="E37" s="458" t="s">
        <v>18440</v>
      </c>
      <c r="F37" s="458" t="s">
        <v>211</v>
      </c>
      <c r="G37" s="458" t="s">
        <v>1174</v>
      </c>
      <c r="H37" s="458" t="s">
        <v>18441</v>
      </c>
      <c r="I37" s="459" t="n">
        <v>39560</v>
      </c>
      <c r="J37" s="460" t="n">
        <v>4</v>
      </c>
      <c r="K37" s="634" t="s">
        <v>45</v>
      </c>
      <c r="L37" s="458" t="s">
        <v>58</v>
      </c>
      <c r="M37" s="463" t="n">
        <f aca="false">I37-D37</f>
        <v>631</v>
      </c>
      <c r="N37" s="4"/>
      <c r="O37" s="283" t="n">
        <v>2004</v>
      </c>
      <c r="P37" s="283" t="n">
        <f aca="false">COUNTIF($C$2:$C$503,"2004")</f>
        <v>18</v>
      </c>
      <c r="Q37" s="283"/>
      <c r="R37" s="283"/>
      <c r="S37" s="315" t="n">
        <f aca="false">P37/P42</f>
        <v>0.0942408376963351</v>
      </c>
    </row>
    <row r="38" customFormat="false" ht="12.75" hidden="false" customHeight="true" outlineLevel="0" collapsed="false">
      <c r="A38" s="602" t="n">
        <v>3708</v>
      </c>
      <c r="B38" s="450" t="s">
        <v>18442</v>
      </c>
      <c r="C38" s="450" t="n">
        <v>2006</v>
      </c>
      <c r="D38" s="451" t="n">
        <v>38916</v>
      </c>
      <c r="E38" s="450" t="s">
        <v>18443</v>
      </c>
      <c r="F38" s="450" t="s">
        <v>18444</v>
      </c>
      <c r="G38" s="450" t="s">
        <v>1174</v>
      </c>
      <c r="H38" s="450" t="s">
        <v>1059</v>
      </c>
      <c r="I38" s="451" t="n">
        <v>39560</v>
      </c>
      <c r="J38" s="452" t="n">
        <v>4</v>
      </c>
      <c r="K38" s="633" t="s">
        <v>47</v>
      </c>
      <c r="L38" s="452" t="s">
        <v>60</v>
      </c>
      <c r="M38" s="455" t="n">
        <f aca="false">I38-D38</f>
        <v>644</v>
      </c>
      <c r="N38" s="4"/>
      <c r="O38" s="282" t="n">
        <v>2005</v>
      </c>
      <c r="P38" s="282" t="n">
        <f aca="false">COUNTIF($C$2:$C$503,"2005")</f>
        <v>37</v>
      </c>
      <c r="Q38" s="282"/>
      <c r="R38" s="282"/>
      <c r="S38" s="316" t="n">
        <f aca="false">P38/P42</f>
        <v>0.193717277486911</v>
      </c>
    </row>
    <row r="39" customFormat="false" ht="12.75" hidden="false" customHeight="true" outlineLevel="0" collapsed="false">
      <c r="A39" s="594" t="n">
        <v>3808</v>
      </c>
      <c r="B39" s="458" t="s">
        <v>18445</v>
      </c>
      <c r="C39" s="458" t="n">
        <v>2007</v>
      </c>
      <c r="D39" s="459" t="n">
        <v>39160</v>
      </c>
      <c r="E39" s="458" t="s">
        <v>18446</v>
      </c>
      <c r="F39" s="458" t="s">
        <v>15802</v>
      </c>
      <c r="G39" s="458" t="s">
        <v>1174</v>
      </c>
      <c r="H39" s="458" t="s">
        <v>1059</v>
      </c>
      <c r="I39" s="459" t="n">
        <v>39560</v>
      </c>
      <c r="J39" s="460" t="n">
        <v>4</v>
      </c>
      <c r="K39" s="631" t="s">
        <v>42</v>
      </c>
      <c r="L39" s="458" t="s">
        <v>58</v>
      </c>
      <c r="M39" s="463" t="n">
        <f aca="false">I39-D39</f>
        <v>400</v>
      </c>
      <c r="N39" s="4"/>
      <c r="O39" s="283" t="n">
        <v>2006</v>
      </c>
      <c r="P39" s="283" t="n">
        <f aca="false">COUNTIF($C$2:$C$503,"2006")</f>
        <v>66</v>
      </c>
      <c r="Q39" s="283"/>
      <c r="R39" s="283"/>
      <c r="S39" s="315" t="n">
        <f aca="false">P39/P42</f>
        <v>0.345549738219895</v>
      </c>
    </row>
    <row r="40" customFormat="false" ht="12.75" hidden="false" customHeight="true" outlineLevel="0" collapsed="false">
      <c r="A40" s="602" t="n">
        <v>3908</v>
      </c>
      <c r="B40" s="450" t="s">
        <v>18447</v>
      </c>
      <c r="C40" s="450" t="n">
        <v>2006</v>
      </c>
      <c r="D40" s="451" t="n">
        <v>39063</v>
      </c>
      <c r="E40" s="450" t="s">
        <v>18448</v>
      </c>
      <c r="F40" s="450" t="s">
        <v>699</v>
      </c>
      <c r="G40" s="450" t="s">
        <v>1174</v>
      </c>
      <c r="H40" s="450" t="s">
        <v>1059</v>
      </c>
      <c r="I40" s="451" t="n">
        <v>39560</v>
      </c>
      <c r="J40" s="452" t="n">
        <v>4</v>
      </c>
      <c r="K40" s="631" t="s">
        <v>42</v>
      </c>
      <c r="L40" s="452" t="s">
        <v>60</v>
      </c>
      <c r="M40" s="455" t="n">
        <f aca="false">I40-D40</f>
        <v>497</v>
      </c>
      <c r="N40" s="4"/>
      <c r="O40" s="282" t="n">
        <v>2007</v>
      </c>
      <c r="P40" s="282" t="n">
        <f aca="false">COUNTIF($C$2:$C$503,"2007")</f>
        <v>47</v>
      </c>
      <c r="Q40" s="282"/>
      <c r="R40" s="282"/>
      <c r="S40" s="316" t="n">
        <f aca="false">P40/P42</f>
        <v>0.246073298429319</v>
      </c>
    </row>
    <row r="41" customFormat="false" ht="12.75" hidden="false" customHeight="true" outlineLevel="0" collapsed="false">
      <c r="A41" s="594" t="n">
        <v>4008</v>
      </c>
      <c r="B41" s="458" t="s">
        <v>18449</v>
      </c>
      <c r="C41" s="458" t="n">
        <v>2004</v>
      </c>
      <c r="D41" s="459" t="n">
        <v>38348</v>
      </c>
      <c r="E41" s="458" t="s">
        <v>18450</v>
      </c>
      <c r="F41" s="458" t="s">
        <v>18451</v>
      </c>
      <c r="G41" s="458" t="s">
        <v>441</v>
      </c>
      <c r="H41" s="458" t="s">
        <v>184</v>
      </c>
      <c r="I41" s="459" t="n">
        <v>39560</v>
      </c>
      <c r="J41" s="460" t="n">
        <v>4</v>
      </c>
      <c r="K41" s="632" t="s">
        <v>50</v>
      </c>
      <c r="L41" s="458" t="s">
        <v>60</v>
      </c>
      <c r="M41" s="463" t="n">
        <f aca="false">I41-D41</f>
        <v>1212</v>
      </c>
      <c r="N41" s="4"/>
      <c r="O41" s="283" t="n">
        <v>2008</v>
      </c>
      <c r="P41" s="283" t="n">
        <f aca="false">COUNTIF($C$2:$C$503,"2008")</f>
        <v>4</v>
      </c>
      <c r="Q41" s="283"/>
      <c r="R41" s="283"/>
      <c r="S41" s="315" t="n">
        <f aca="false">P41/P42</f>
        <v>0.0209424083769634</v>
      </c>
    </row>
    <row r="42" customFormat="false" ht="12.75" hidden="false" customHeight="true" outlineLevel="0" collapsed="false">
      <c r="A42" s="602" t="n">
        <v>4108</v>
      </c>
      <c r="B42" s="450" t="s">
        <v>18452</v>
      </c>
      <c r="C42" s="450" t="n">
        <v>2007</v>
      </c>
      <c r="D42" s="451" t="n">
        <v>39339</v>
      </c>
      <c r="E42" s="450" t="s">
        <v>18453</v>
      </c>
      <c r="F42" s="450" t="s">
        <v>365</v>
      </c>
      <c r="G42" s="450" t="s">
        <v>1174</v>
      </c>
      <c r="H42" s="450" t="s">
        <v>223</v>
      </c>
      <c r="I42" s="451" t="n">
        <v>39561</v>
      </c>
      <c r="J42" s="452" t="n">
        <v>4</v>
      </c>
      <c r="K42" s="633" t="s">
        <v>47</v>
      </c>
      <c r="L42" s="452" t="s">
        <v>60</v>
      </c>
      <c r="M42" s="455" t="n">
        <f aca="false">I42-D42</f>
        <v>222</v>
      </c>
      <c r="N42" s="4"/>
      <c r="O42" s="323" t="s">
        <v>56</v>
      </c>
      <c r="P42" s="418" t="n">
        <f aca="false">SUM(P29:R41)</f>
        <v>191</v>
      </c>
      <c r="Q42" s="418"/>
      <c r="R42" s="418"/>
      <c r="S42" s="325" t="n">
        <f aca="false">SUM(S29:S41)</f>
        <v>1</v>
      </c>
    </row>
    <row r="43" customFormat="false" ht="12.75" hidden="false" customHeight="true" outlineLevel="0" collapsed="false">
      <c r="A43" s="594" t="n">
        <v>4208</v>
      </c>
      <c r="B43" s="458" t="s">
        <v>18454</v>
      </c>
      <c r="C43" s="458" t="n">
        <v>2005</v>
      </c>
      <c r="D43" s="459" t="n">
        <v>38688</v>
      </c>
      <c r="E43" s="458" t="s">
        <v>18455</v>
      </c>
      <c r="F43" s="458" t="s">
        <v>18451</v>
      </c>
      <c r="G43" s="458" t="s">
        <v>441</v>
      </c>
      <c r="H43" s="458" t="s">
        <v>18397</v>
      </c>
      <c r="I43" s="459" t="n">
        <v>39561</v>
      </c>
      <c r="J43" s="460" t="n">
        <v>4</v>
      </c>
      <c r="K43" s="632" t="s">
        <v>50</v>
      </c>
      <c r="L43" s="458" t="s">
        <v>60</v>
      </c>
      <c r="M43" s="463" t="n">
        <f aca="false">I43-D43</f>
        <v>873</v>
      </c>
      <c r="N43" s="4"/>
      <c r="O43" s="153"/>
      <c r="P43" s="153"/>
      <c r="Q43" s="153"/>
      <c r="R43" s="153"/>
      <c r="S43" s="153"/>
    </row>
    <row r="44" customFormat="false" ht="13.5" hidden="false" customHeight="true" outlineLevel="0" collapsed="false">
      <c r="A44" s="602" t="n">
        <v>4308</v>
      </c>
      <c r="B44" s="450" t="s">
        <v>18456</v>
      </c>
      <c r="C44" s="450" t="n">
        <v>2006</v>
      </c>
      <c r="D44" s="451" t="n">
        <v>39009</v>
      </c>
      <c r="E44" s="450" t="s">
        <v>18457</v>
      </c>
      <c r="F44" s="450" t="s">
        <v>211</v>
      </c>
      <c r="G44" s="450" t="s">
        <v>1174</v>
      </c>
      <c r="H44" s="450" t="s">
        <v>15764</v>
      </c>
      <c r="I44" s="451" t="n">
        <v>39561</v>
      </c>
      <c r="J44" s="452" t="n">
        <v>4</v>
      </c>
      <c r="K44" s="633" t="s">
        <v>47</v>
      </c>
      <c r="L44" s="452" t="s">
        <v>58</v>
      </c>
      <c r="M44" s="455" t="n">
        <f aca="false">I44-D44</f>
        <v>552</v>
      </c>
      <c r="N44" s="4"/>
      <c r="O44" s="326" t="s">
        <v>272</v>
      </c>
      <c r="P44" s="326"/>
      <c r="Q44" s="326"/>
      <c r="R44" s="326"/>
      <c r="S44" s="326"/>
    </row>
    <row r="45" customFormat="false" ht="13.5" hidden="false" customHeight="true" outlineLevel="0" collapsed="false">
      <c r="A45" s="594" t="n">
        <v>4408</v>
      </c>
      <c r="B45" s="458" t="s">
        <v>18458</v>
      </c>
      <c r="C45" s="458" t="n">
        <v>2001</v>
      </c>
      <c r="D45" s="459" t="n">
        <v>37237</v>
      </c>
      <c r="E45" s="458" t="s">
        <v>18459</v>
      </c>
      <c r="F45" s="458" t="s">
        <v>12477</v>
      </c>
      <c r="G45" s="458" t="s">
        <v>144</v>
      </c>
      <c r="H45" s="458" t="s">
        <v>134</v>
      </c>
      <c r="I45" s="459" t="n">
        <v>39563</v>
      </c>
      <c r="J45" s="460" t="n">
        <v>4</v>
      </c>
      <c r="K45" s="631" t="s">
        <v>42</v>
      </c>
      <c r="L45" s="458" t="s">
        <v>58</v>
      </c>
      <c r="M45" s="463" t="n">
        <f aca="false">I45-D45</f>
        <v>2326</v>
      </c>
      <c r="N45" s="4"/>
      <c r="O45" s="326"/>
      <c r="P45" s="326"/>
      <c r="Q45" s="326"/>
      <c r="R45" s="326"/>
      <c r="S45" s="326"/>
    </row>
    <row r="46" customFormat="false" ht="12.75" hidden="false" customHeight="true" outlineLevel="0" collapsed="false">
      <c r="A46" s="602" t="n">
        <v>4508</v>
      </c>
      <c r="B46" s="450" t="s">
        <v>18460</v>
      </c>
      <c r="C46" s="450" t="n">
        <v>2001</v>
      </c>
      <c r="D46" s="451" t="n">
        <v>37187</v>
      </c>
      <c r="E46" s="450" t="s">
        <v>18461</v>
      </c>
      <c r="F46" s="450" t="s">
        <v>18462</v>
      </c>
      <c r="G46" s="450" t="s">
        <v>144</v>
      </c>
      <c r="H46" s="450" t="s">
        <v>1791</v>
      </c>
      <c r="I46" s="451" t="n">
        <v>39566</v>
      </c>
      <c r="J46" s="452" t="n">
        <v>4</v>
      </c>
      <c r="K46" s="633" t="s">
        <v>47</v>
      </c>
      <c r="L46" s="452" t="s">
        <v>60</v>
      </c>
      <c r="M46" s="455" t="n">
        <f aca="false">I46-D46</f>
        <v>2379</v>
      </c>
      <c r="N46" s="4"/>
      <c r="O46" s="309" t="s">
        <v>100</v>
      </c>
      <c r="P46" s="416" t="s">
        <v>40</v>
      </c>
      <c r="Q46" s="416"/>
      <c r="R46" s="416"/>
      <c r="S46" s="313" t="s">
        <v>41</v>
      </c>
    </row>
    <row r="47" customFormat="false" ht="12.75" hidden="false" customHeight="true" outlineLevel="0" collapsed="false">
      <c r="A47" s="594" t="n">
        <v>4608</v>
      </c>
      <c r="B47" s="458" t="s">
        <v>18463</v>
      </c>
      <c r="C47" s="458" t="n">
        <v>2005</v>
      </c>
      <c r="D47" s="459" t="n">
        <v>38566</v>
      </c>
      <c r="E47" s="458" t="s">
        <v>18464</v>
      </c>
      <c r="F47" s="458" t="s">
        <v>537</v>
      </c>
      <c r="G47" s="458" t="s">
        <v>441</v>
      </c>
      <c r="H47" s="458" t="s">
        <v>267</v>
      </c>
      <c r="I47" s="459" t="n">
        <v>39568</v>
      </c>
      <c r="J47" s="460" t="n">
        <v>4</v>
      </c>
      <c r="K47" s="634" t="s">
        <v>45</v>
      </c>
      <c r="L47" s="458" t="s">
        <v>58</v>
      </c>
      <c r="M47" s="463" t="n">
        <f aca="false">I47-D47</f>
        <v>1002</v>
      </c>
      <c r="N47" s="4"/>
      <c r="O47" s="314" t="s">
        <v>63</v>
      </c>
      <c r="P47" s="314" t="n">
        <f aca="false">COUNTIF($J$2:$J$476,"1")</f>
        <v>13</v>
      </c>
      <c r="Q47" s="314"/>
      <c r="R47" s="314"/>
      <c r="S47" s="469" t="n">
        <f aca="false">(P47/P59)</f>
        <v>0.0680628272251309</v>
      </c>
    </row>
    <row r="48" customFormat="false" ht="12.75" hidden="false" customHeight="true" outlineLevel="0" collapsed="false">
      <c r="A48" s="602" t="n">
        <v>4708</v>
      </c>
      <c r="B48" s="450" t="s">
        <v>18465</v>
      </c>
      <c r="C48" s="450" t="n">
        <v>2005</v>
      </c>
      <c r="D48" s="451" t="n">
        <v>38427</v>
      </c>
      <c r="E48" s="450" t="s">
        <v>18466</v>
      </c>
      <c r="F48" s="450" t="s">
        <v>18467</v>
      </c>
      <c r="G48" s="450" t="s">
        <v>1474</v>
      </c>
      <c r="H48" s="450" t="s">
        <v>6633</v>
      </c>
      <c r="I48" s="451" t="n">
        <v>39575</v>
      </c>
      <c r="J48" s="452" t="n">
        <v>5</v>
      </c>
      <c r="K48" s="633" t="s">
        <v>47</v>
      </c>
      <c r="L48" s="452" t="s">
        <v>58</v>
      </c>
      <c r="M48" s="455" t="n">
        <f aca="false">I48-D48</f>
        <v>1148</v>
      </c>
      <c r="N48" s="4"/>
      <c r="O48" s="282" t="s">
        <v>64</v>
      </c>
      <c r="P48" s="282" t="n">
        <f aca="false">COUNTIF($J$2:$J$476,"2")</f>
        <v>5</v>
      </c>
      <c r="Q48" s="282"/>
      <c r="R48" s="282"/>
      <c r="S48" s="316" t="n">
        <f aca="false">(P48/P59)</f>
        <v>0.0261780104712042</v>
      </c>
    </row>
    <row r="49" customFormat="false" ht="12.75" hidden="false" customHeight="true" outlineLevel="0" collapsed="false">
      <c r="A49" s="594" t="n">
        <v>4808</v>
      </c>
      <c r="B49" s="458" t="s">
        <v>18468</v>
      </c>
      <c r="C49" s="458" t="n">
        <v>2007</v>
      </c>
      <c r="D49" s="459" t="n">
        <v>39281</v>
      </c>
      <c r="E49" s="458" t="s">
        <v>18469</v>
      </c>
      <c r="F49" s="458" t="s">
        <v>2003</v>
      </c>
      <c r="G49" s="458" t="s">
        <v>1174</v>
      </c>
      <c r="H49" s="458" t="s">
        <v>192</v>
      </c>
      <c r="I49" s="459" t="n">
        <v>39580</v>
      </c>
      <c r="J49" s="460" t="n">
        <v>5</v>
      </c>
      <c r="K49" s="631" t="s">
        <v>42</v>
      </c>
      <c r="L49" s="458" t="s">
        <v>58</v>
      </c>
      <c r="M49" s="463" t="n">
        <f aca="false">I49-D49</f>
        <v>299</v>
      </c>
      <c r="N49" s="4"/>
      <c r="O49" s="283" t="s">
        <v>66</v>
      </c>
      <c r="P49" s="283" t="n">
        <f aca="false">COUNTIF($J$2:$J$476,"3")</f>
        <v>7</v>
      </c>
      <c r="Q49" s="283"/>
      <c r="R49" s="283"/>
      <c r="S49" s="315" t="n">
        <f aca="false">(P49/P59)</f>
        <v>0.0366492146596859</v>
      </c>
      <c r="T49" s="153"/>
    </row>
    <row r="50" customFormat="false" ht="12.75" hidden="false" customHeight="true" outlineLevel="0" collapsed="false">
      <c r="A50" s="602" t="n">
        <v>4908</v>
      </c>
      <c r="B50" s="450" t="s">
        <v>18470</v>
      </c>
      <c r="C50" s="450" t="n">
        <v>2007</v>
      </c>
      <c r="D50" s="451" t="n">
        <v>39213</v>
      </c>
      <c r="E50" s="450" t="s">
        <v>18471</v>
      </c>
      <c r="F50" s="450" t="s">
        <v>113</v>
      </c>
      <c r="G50" s="450" t="s">
        <v>441</v>
      </c>
      <c r="H50" s="450" t="s">
        <v>2654</v>
      </c>
      <c r="I50" s="451" t="n">
        <v>39581</v>
      </c>
      <c r="J50" s="452" t="n">
        <v>5</v>
      </c>
      <c r="K50" s="633" t="s">
        <v>47</v>
      </c>
      <c r="L50" s="452" t="s">
        <v>60</v>
      </c>
      <c r="M50" s="455" t="n">
        <f aca="false">I50-D50</f>
        <v>368</v>
      </c>
      <c r="N50" s="4"/>
      <c r="O50" s="282" t="s">
        <v>67</v>
      </c>
      <c r="P50" s="282" t="n">
        <f aca="false">COUNTIF($J$2:$J$476,"4")</f>
        <v>20</v>
      </c>
      <c r="Q50" s="282"/>
      <c r="R50" s="282"/>
      <c r="S50" s="316" t="n">
        <f aca="false">(P50/P59)</f>
        <v>0.104712041884817</v>
      </c>
      <c r="T50" s="153"/>
    </row>
    <row r="51" customFormat="false" ht="12.75" hidden="false" customHeight="true" outlineLevel="0" collapsed="false">
      <c r="A51" s="594" t="n">
        <v>5008</v>
      </c>
      <c r="B51" s="458" t="s">
        <v>18472</v>
      </c>
      <c r="C51" s="458" t="n">
        <v>2005</v>
      </c>
      <c r="D51" s="459" t="n">
        <v>38679</v>
      </c>
      <c r="E51" s="458" t="s">
        <v>18473</v>
      </c>
      <c r="F51" s="458" t="s">
        <v>18474</v>
      </c>
      <c r="G51" s="458" t="s">
        <v>1188</v>
      </c>
      <c r="H51" s="458" t="s">
        <v>134</v>
      </c>
      <c r="I51" s="459" t="n">
        <v>39587</v>
      </c>
      <c r="J51" s="460" t="n">
        <v>5</v>
      </c>
      <c r="K51" s="631" t="s">
        <v>42</v>
      </c>
      <c r="L51" s="458" t="s">
        <v>60</v>
      </c>
      <c r="M51" s="463" t="n">
        <f aca="false">I51-D51</f>
        <v>908</v>
      </c>
      <c r="N51" s="4"/>
      <c r="O51" s="283" t="s">
        <v>68</v>
      </c>
      <c r="P51" s="283" t="n">
        <f aca="false">COUNTIF($J$2:$J$476,"5")</f>
        <v>15</v>
      </c>
      <c r="Q51" s="283"/>
      <c r="R51" s="283"/>
      <c r="S51" s="315" t="n">
        <f aca="false">(P51/P59)</f>
        <v>0.0785340314136126</v>
      </c>
      <c r="T51" s="153"/>
    </row>
    <row r="52" customFormat="false" ht="12.75" hidden="false" customHeight="true" outlineLevel="0" collapsed="false">
      <c r="A52" s="602" t="n">
        <v>5108</v>
      </c>
      <c r="B52" s="450" t="s">
        <v>18475</v>
      </c>
      <c r="C52" s="450" t="n">
        <v>2005</v>
      </c>
      <c r="D52" s="451" t="n">
        <v>38685</v>
      </c>
      <c r="E52" s="450" t="s">
        <v>18476</v>
      </c>
      <c r="F52" s="450" t="s">
        <v>18474</v>
      </c>
      <c r="G52" s="450" t="s">
        <v>115</v>
      </c>
      <c r="H52" s="450" t="s">
        <v>134</v>
      </c>
      <c r="I52" s="451" t="n">
        <v>39587</v>
      </c>
      <c r="J52" s="452" t="n">
        <v>5</v>
      </c>
      <c r="K52" s="633" t="s">
        <v>47</v>
      </c>
      <c r="L52" s="452" t="s">
        <v>60</v>
      </c>
      <c r="M52" s="455" t="n">
        <f aca="false">I52-D52</f>
        <v>902</v>
      </c>
      <c r="N52" s="4"/>
      <c r="O52" s="282" t="s">
        <v>70</v>
      </c>
      <c r="P52" s="282" t="n">
        <f aca="false">COUNTIF($J$2:$J$476,"6")</f>
        <v>11</v>
      </c>
      <c r="Q52" s="282"/>
      <c r="R52" s="282"/>
      <c r="S52" s="316" t="n">
        <f aca="false">(P52/P59)</f>
        <v>0.0575916230366492</v>
      </c>
      <c r="T52" s="153"/>
    </row>
    <row r="53" customFormat="false" ht="12.75" hidden="false" customHeight="true" outlineLevel="0" collapsed="false">
      <c r="A53" s="594" t="n">
        <v>5208</v>
      </c>
      <c r="B53" s="458" t="s">
        <v>18477</v>
      </c>
      <c r="C53" s="458" t="n">
        <v>2004</v>
      </c>
      <c r="D53" s="459" t="n">
        <v>38079</v>
      </c>
      <c r="E53" s="458" t="s">
        <v>18478</v>
      </c>
      <c r="F53" s="458" t="s">
        <v>18479</v>
      </c>
      <c r="G53" s="458" t="s">
        <v>441</v>
      </c>
      <c r="H53" s="458" t="s">
        <v>14391</v>
      </c>
      <c r="I53" s="459" t="n">
        <v>39588</v>
      </c>
      <c r="J53" s="460" t="n">
        <v>5</v>
      </c>
      <c r="K53" s="633" t="s">
        <v>47</v>
      </c>
      <c r="L53" s="458" t="s">
        <v>60</v>
      </c>
      <c r="M53" s="463" t="n">
        <f aca="false">I53-D53</f>
        <v>1509</v>
      </c>
      <c r="N53" s="4"/>
      <c r="O53" s="283" t="s">
        <v>72</v>
      </c>
      <c r="P53" s="283" t="n">
        <f aca="false">COUNTIF($J$2:$J$476,"7")</f>
        <v>30</v>
      </c>
      <c r="Q53" s="283"/>
      <c r="R53" s="283"/>
      <c r="S53" s="315" t="n">
        <f aca="false">(P53/P59)</f>
        <v>0.157068062827225</v>
      </c>
      <c r="T53" s="153"/>
    </row>
    <row r="54" customFormat="false" ht="12.75" hidden="false" customHeight="true" outlineLevel="0" collapsed="false">
      <c r="A54" s="602" t="n">
        <v>5308</v>
      </c>
      <c r="B54" s="450" t="s">
        <v>18480</v>
      </c>
      <c r="C54" s="450" t="n">
        <v>2006</v>
      </c>
      <c r="D54" s="451" t="n">
        <v>38868</v>
      </c>
      <c r="E54" s="450" t="s">
        <v>18481</v>
      </c>
      <c r="F54" s="450" t="s">
        <v>113</v>
      </c>
      <c r="G54" s="450" t="s">
        <v>441</v>
      </c>
      <c r="H54" s="450" t="s">
        <v>5230</v>
      </c>
      <c r="I54" s="451" t="n">
        <v>39594</v>
      </c>
      <c r="J54" s="452" t="n">
        <v>5</v>
      </c>
      <c r="K54" s="633" t="s">
        <v>47</v>
      </c>
      <c r="L54" s="452" t="s">
        <v>60</v>
      </c>
      <c r="M54" s="455" t="n">
        <f aca="false">I54-D54</f>
        <v>726</v>
      </c>
      <c r="N54" s="4"/>
      <c r="O54" s="282" t="s">
        <v>74</v>
      </c>
      <c r="P54" s="282" t="n">
        <f aca="false">COUNTIF($J$2:$J$476,"8")</f>
        <v>17</v>
      </c>
      <c r="Q54" s="282"/>
      <c r="R54" s="282"/>
      <c r="S54" s="316" t="n">
        <f aca="false">(P54/P59)</f>
        <v>0.0890052356020942</v>
      </c>
      <c r="T54" s="153"/>
    </row>
    <row r="55" customFormat="false" ht="12.75" hidden="false" customHeight="true" outlineLevel="0" collapsed="false">
      <c r="A55" s="594" t="n">
        <v>5408</v>
      </c>
      <c r="B55" s="458" t="s">
        <v>18482</v>
      </c>
      <c r="C55" s="458" t="n">
        <v>2006</v>
      </c>
      <c r="D55" s="459" t="n">
        <v>38834</v>
      </c>
      <c r="E55" s="458" t="s">
        <v>18483</v>
      </c>
      <c r="F55" s="458" t="s">
        <v>699</v>
      </c>
      <c r="G55" s="458" t="s">
        <v>1174</v>
      </c>
      <c r="H55" s="458" t="s">
        <v>10110</v>
      </c>
      <c r="I55" s="459" t="n">
        <v>39594</v>
      </c>
      <c r="J55" s="460" t="n">
        <v>5</v>
      </c>
      <c r="K55" s="631" t="s">
        <v>42</v>
      </c>
      <c r="L55" s="458" t="s">
        <v>60</v>
      </c>
      <c r="M55" s="463" t="n">
        <f aca="false">I55-D55</f>
        <v>760</v>
      </c>
      <c r="N55" s="4"/>
      <c r="O55" s="283" t="s">
        <v>76</v>
      </c>
      <c r="P55" s="283" t="n">
        <f aca="false">COUNTIF($J$2:$J$476,"9")</f>
        <v>13</v>
      </c>
      <c r="Q55" s="283"/>
      <c r="R55" s="283"/>
      <c r="S55" s="315" t="n">
        <f aca="false">(P55/P59)</f>
        <v>0.0680628272251309</v>
      </c>
      <c r="T55" s="153"/>
    </row>
    <row r="56" customFormat="false" ht="12.75" hidden="false" customHeight="true" outlineLevel="0" collapsed="false">
      <c r="A56" s="602" t="n">
        <v>5508</v>
      </c>
      <c r="B56" s="450" t="s">
        <v>18484</v>
      </c>
      <c r="C56" s="450" t="n">
        <v>2006</v>
      </c>
      <c r="D56" s="451" t="n">
        <v>39037</v>
      </c>
      <c r="E56" s="450" t="s">
        <v>18485</v>
      </c>
      <c r="F56" s="450" t="s">
        <v>18486</v>
      </c>
      <c r="G56" s="450" t="s">
        <v>144</v>
      </c>
      <c r="H56" s="450" t="s">
        <v>18366</v>
      </c>
      <c r="I56" s="451" t="n">
        <v>39595</v>
      </c>
      <c r="J56" s="452" t="n">
        <v>5</v>
      </c>
      <c r="K56" s="632" t="s">
        <v>50</v>
      </c>
      <c r="L56" s="452" t="s">
        <v>61</v>
      </c>
      <c r="M56" s="455" t="n">
        <f aca="false">I56-D56</f>
        <v>558</v>
      </c>
      <c r="N56" s="4"/>
      <c r="O56" s="282" t="s">
        <v>78</v>
      </c>
      <c r="P56" s="282" t="n">
        <f aca="false">COUNTIF($J$2:$J$476,"10")</f>
        <v>9</v>
      </c>
      <c r="Q56" s="282"/>
      <c r="R56" s="282"/>
      <c r="S56" s="316" t="n">
        <f aca="false">(P56/P59)</f>
        <v>0.0471204188481675</v>
      </c>
      <c r="T56" s="153"/>
    </row>
    <row r="57" customFormat="false" ht="12.75" hidden="false" customHeight="true" outlineLevel="0" collapsed="false">
      <c r="A57" s="594" t="n">
        <v>5608</v>
      </c>
      <c r="B57" s="458" t="s">
        <v>18487</v>
      </c>
      <c r="C57" s="458" t="n">
        <v>2005</v>
      </c>
      <c r="D57" s="459" t="n">
        <v>38446</v>
      </c>
      <c r="E57" s="458" t="s">
        <v>18488</v>
      </c>
      <c r="F57" s="458" t="s">
        <v>18444</v>
      </c>
      <c r="G57" s="458" t="s">
        <v>144</v>
      </c>
      <c r="H57" s="458" t="s">
        <v>1109</v>
      </c>
      <c r="I57" s="459" t="n">
        <v>39595</v>
      </c>
      <c r="J57" s="460" t="n">
        <v>5</v>
      </c>
      <c r="K57" s="632" t="s">
        <v>50</v>
      </c>
      <c r="L57" s="458" t="s">
        <v>60</v>
      </c>
      <c r="M57" s="463" t="n">
        <f aca="false">I57-D57</f>
        <v>1149</v>
      </c>
      <c r="N57" s="4"/>
      <c r="O57" s="283" t="s">
        <v>80</v>
      </c>
      <c r="P57" s="283" t="n">
        <f aca="false">COUNTIF($J$2:$J$476,"11")</f>
        <v>24</v>
      </c>
      <c r="Q57" s="283"/>
      <c r="R57" s="283"/>
      <c r="S57" s="315" t="n">
        <f aca="false">(P57/P59)</f>
        <v>0.12565445026178</v>
      </c>
      <c r="T57" s="153"/>
    </row>
    <row r="58" customFormat="false" ht="12.75" hidden="false" customHeight="true" outlineLevel="0" collapsed="false">
      <c r="A58" s="602" t="n">
        <v>5708</v>
      </c>
      <c r="B58" s="450" t="s">
        <v>18489</v>
      </c>
      <c r="C58" s="450" t="n">
        <v>2006</v>
      </c>
      <c r="D58" s="451" t="n">
        <v>39003</v>
      </c>
      <c r="E58" s="450" t="s">
        <v>18490</v>
      </c>
      <c r="F58" s="450" t="s">
        <v>2003</v>
      </c>
      <c r="G58" s="450" t="s">
        <v>441</v>
      </c>
      <c r="H58" s="450" t="s">
        <v>13006</v>
      </c>
      <c r="I58" s="451" t="n">
        <v>39595</v>
      </c>
      <c r="J58" s="452" t="n">
        <v>5</v>
      </c>
      <c r="K58" s="633" t="s">
        <v>47</v>
      </c>
      <c r="L58" s="452" t="s">
        <v>60</v>
      </c>
      <c r="M58" s="455" t="n">
        <f aca="false">I58-D58</f>
        <v>592</v>
      </c>
      <c r="N58" s="4"/>
      <c r="O58" s="336" t="s">
        <v>82</v>
      </c>
      <c r="P58" s="282" t="n">
        <f aca="false">COUNTIF($J$2:$J$476,"12")</f>
        <v>27</v>
      </c>
      <c r="Q58" s="282"/>
      <c r="R58" s="282"/>
      <c r="S58" s="470" t="n">
        <f aca="false">(P58/P59)</f>
        <v>0.141361256544503</v>
      </c>
      <c r="T58" s="153"/>
    </row>
    <row r="59" customFormat="false" ht="12.75" hidden="false" customHeight="true" outlineLevel="0" collapsed="false">
      <c r="A59" s="594" t="n">
        <v>5808</v>
      </c>
      <c r="B59" s="458" t="s">
        <v>18491</v>
      </c>
      <c r="C59" s="458" t="n">
        <v>2007</v>
      </c>
      <c r="D59" s="459" t="n">
        <v>39435</v>
      </c>
      <c r="E59" s="458" t="s">
        <v>2003</v>
      </c>
      <c r="F59" s="458" t="s">
        <v>2003</v>
      </c>
      <c r="G59" s="458" t="s">
        <v>441</v>
      </c>
      <c r="H59" s="458" t="s">
        <v>13006</v>
      </c>
      <c r="I59" s="459" t="n">
        <v>39596</v>
      </c>
      <c r="J59" s="460" t="n">
        <v>5</v>
      </c>
      <c r="K59" s="633" t="s">
        <v>47</v>
      </c>
      <c r="L59" s="458" t="s">
        <v>60</v>
      </c>
      <c r="M59" s="463" t="n">
        <f aca="false">I59-D59</f>
        <v>161</v>
      </c>
      <c r="N59" s="4"/>
      <c r="O59" s="323" t="s">
        <v>54</v>
      </c>
      <c r="P59" s="418" t="n">
        <f aca="false">SUM(P47:R58)</f>
        <v>191</v>
      </c>
      <c r="Q59" s="418"/>
      <c r="R59" s="418"/>
      <c r="S59" s="325" t="n">
        <f aca="false">SUM(S47:S58)</f>
        <v>1</v>
      </c>
      <c r="T59" s="153"/>
    </row>
    <row r="60" customFormat="false" ht="12.75" hidden="false" customHeight="true" outlineLevel="0" collapsed="false">
      <c r="A60" s="602" t="n">
        <v>5908</v>
      </c>
      <c r="B60" s="450" t="s">
        <v>18492</v>
      </c>
      <c r="C60" s="450" t="n">
        <v>2006</v>
      </c>
      <c r="D60" s="451" t="n">
        <v>38736</v>
      </c>
      <c r="E60" s="450" t="s">
        <v>18493</v>
      </c>
      <c r="F60" s="450" t="s">
        <v>2003</v>
      </c>
      <c r="G60" s="450" t="s">
        <v>441</v>
      </c>
      <c r="H60" s="450" t="s">
        <v>13006</v>
      </c>
      <c r="I60" s="451" t="n">
        <v>39596</v>
      </c>
      <c r="J60" s="452" t="n">
        <v>5</v>
      </c>
      <c r="K60" s="633" t="s">
        <v>47</v>
      </c>
      <c r="L60" s="452" t="s">
        <v>60</v>
      </c>
      <c r="M60" s="455" t="n">
        <f aca="false">I60-D60</f>
        <v>860</v>
      </c>
      <c r="N60" s="4"/>
      <c r="O60" s="153"/>
      <c r="P60" s="153"/>
      <c r="Q60" s="153"/>
      <c r="R60" s="153"/>
      <c r="S60" s="153"/>
      <c r="T60" s="153"/>
    </row>
    <row r="61" customFormat="false" ht="13.5" hidden="false" customHeight="true" outlineLevel="0" collapsed="false">
      <c r="A61" s="594" t="n">
        <v>6008</v>
      </c>
      <c r="B61" s="458" t="s">
        <v>18494</v>
      </c>
      <c r="C61" s="458" t="n">
        <v>2007</v>
      </c>
      <c r="D61" s="459" t="n">
        <v>39435</v>
      </c>
      <c r="E61" s="458" t="s">
        <v>18495</v>
      </c>
      <c r="F61" s="458" t="s">
        <v>2003</v>
      </c>
      <c r="G61" s="458" t="s">
        <v>441</v>
      </c>
      <c r="H61" s="458" t="s">
        <v>13006</v>
      </c>
      <c r="I61" s="459" t="n">
        <v>39596</v>
      </c>
      <c r="J61" s="460" t="n">
        <v>5</v>
      </c>
      <c r="K61" s="633" t="s">
        <v>47</v>
      </c>
      <c r="L61" s="458" t="s">
        <v>60</v>
      </c>
      <c r="M61" s="463" t="n">
        <f aca="false">I61-D61</f>
        <v>161</v>
      </c>
      <c r="N61" s="4"/>
      <c r="O61" s="339" t="s">
        <v>335</v>
      </c>
      <c r="P61" s="339"/>
      <c r="Q61" s="339"/>
      <c r="R61" s="339"/>
      <c r="S61" s="339"/>
      <c r="T61" s="339"/>
    </row>
    <row r="62" customFormat="false" ht="12.75" hidden="false" customHeight="true" outlineLevel="0" collapsed="false">
      <c r="A62" s="602" t="n">
        <v>6108</v>
      </c>
      <c r="B62" s="450" t="s">
        <v>18496</v>
      </c>
      <c r="C62" s="450" t="n">
        <v>2006</v>
      </c>
      <c r="D62" s="451" t="n">
        <v>39070</v>
      </c>
      <c r="E62" s="450" t="s">
        <v>18497</v>
      </c>
      <c r="F62" s="450" t="s">
        <v>18498</v>
      </c>
      <c r="G62" s="450" t="s">
        <v>441</v>
      </c>
      <c r="H62" s="450" t="s">
        <v>13006</v>
      </c>
      <c r="I62" s="451" t="n">
        <v>39598</v>
      </c>
      <c r="J62" s="452" t="n">
        <v>5</v>
      </c>
      <c r="K62" s="633" t="s">
        <v>47</v>
      </c>
      <c r="L62" s="452" t="s">
        <v>60</v>
      </c>
      <c r="M62" s="455" t="n">
        <f aca="false">I62-D62</f>
        <v>528</v>
      </c>
      <c r="N62" s="4"/>
      <c r="O62" s="339"/>
      <c r="P62" s="339"/>
      <c r="Q62" s="339"/>
      <c r="R62" s="339"/>
      <c r="S62" s="339"/>
      <c r="T62" s="339"/>
    </row>
    <row r="63" customFormat="false" ht="12.75" hidden="false" customHeight="true" outlineLevel="0" collapsed="false">
      <c r="A63" s="594" t="n">
        <v>6208</v>
      </c>
      <c r="B63" s="458" t="s">
        <v>18499</v>
      </c>
      <c r="C63" s="458" t="n">
        <v>2001</v>
      </c>
      <c r="D63" s="459" t="n">
        <v>36945</v>
      </c>
      <c r="E63" s="458" t="s">
        <v>18500</v>
      </c>
      <c r="F63" s="458" t="s">
        <v>537</v>
      </c>
      <c r="G63" s="458" t="s">
        <v>144</v>
      </c>
      <c r="H63" s="458" t="s">
        <v>373</v>
      </c>
      <c r="I63" s="459" t="n">
        <v>39601</v>
      </c>
      <c r="J63" s="460" t="n">
        <v>6</v>
      </c>
      <c r="K63" s="634" t="s">
        <v>45</v>
      </c>
      <c r="L63" s="458" t="s">
        <v>58</v>
      </c>
      <c r="M63" s="463" t="n">
        <f aca="false">I63-D63</f>
        <v>2656</v>
      </c>
      <c r="N63" s="4"/>
      <c r="O63" s="340" t="s">
        <v>38</v>
      </c>
      <c r="P63" s="340"/>
      <c r="Q63" s="340"/>
      <c r="R63" s="340"/>
      <c r="S63" s="341" t="s">
        <v>343</v>
      </c>
      <c r="T63" s="342" t="s">
        <v>41</v>
      </c>
    </row>
    <row r="64" customFormat="false" ht="12.75" hidden="false" customHeight="true" outlineLevel="0" collapsed="false">
      <c r="A64" s="602" t="n">
        <v>6308</v>
      </c>
      <c r="B64" s="450" t="s">
        <v>18501</v>
      </c>
      <c r="C64" s="450" t="n">
        <v>2002</v>
      </c>
      <c r="D64" s="451" t="n">
        <v>37538</v>
      </c>
      <c r="E64" s="450" t="s">
        <v>18502</v>
      </c>
      <c r="F64" s="450" t="s">
        <v>168</v>
      </c>
      <c r="G64" s="450" t="s">
        <v>441</v>
      </c>
      <c r="H64" s="450" t="s">
        <v>3339</v>
      </c>
      <c r="I64" s="451" t="n">
        <v>39601</v>
      </c>
      <c r="J64" s="452" t="n">
        <v>6</v>
      </c>
      <c r="K64" s="631" t="s">
        <v>42</v>
      </c>
      <c r="L64" s="452" t="s">
        <v>58</v>
      </c>
      <c r="M64" s="455" t="n">
        <f aca="false">I64-D64</f>
        <v>2063</v>
      </c>
      <c r="N64" s="4"/>
      <c r="O64" s="471" t="s">
        <v>42</v>
      </c>
      <c r="P64" s="471"/>
      <c r="Q64" s="471"/>
      <c r="R64" s="471"/>
      <c r="S64" s="471" t="n">
        <f aca="false">COUNTIF($K$1:$K$494,"I - Extremamente tóxico")</f>
        <v>72</v>
      </c>
      <c r="T64" s="472" t="n">
        <f aca="false">(S64/S76)</f>
        <v>0.37696335078534</v>
      </c>
    </row>
    <row r="65" customFormat="false" ht="12.75" hidden="false" customHeight="true" outlineLevel="0" collapsed="false">
      <c r="A65" s="594" t="n">
        <v>6408</v>
      </c>
      <c r="B65" s="458" t="s">
        <v>18503</v>
      </c>
      <c r="C65" s="458" t="n">
        <v>2007</v>
      </c>
      <c r="D65" s="459" t="n">
        <v>39247</v>
      </c>
      <c r="E65" s="458" t="s">
        <v>18504</v>
      </c>
      <c r="F65" s="458" t="s">
        <v>3844</v>
      </c>
      <c r="G65" s="458" t="s">
        <v>1174</v>
      </c>
      <c r="H65" s="458" t="s">
        <v>18505</v>
      </c>
      <c r="I65" s="459" t="n">
        <v>39602</v>
      </c>
      <c r="J65" s="460" t="n">
        <v>6</v>
      </c>
      <c r="K65" s="633" t="s">
        <v>47</v>
      </c>
      <c r="L65" s="458" t="s">
        <v>58</v>
      </c>
      <c r="M65" s="463" t="n">
        <f aca="false">I65-D65</f>
        <v>355</v>
      </c>
      <c r="N65" s="4"/>
      <c r="O65" s="345" t="s">
        <v>43</v>
      </c>
      <c r="P65" s="345"/>
      <c r="Q65" s="345"/>
      <c r="R65" s="345"/>
      <c r="S65" s="345" t="n">
        <f aca="false">COUNTIF($K$2:$K$476,"Categoria 1 - Produto Extremamente Tóxico")</f>
        <v>0</v>
      </c>
      <c r="T65" s="473" t="n">
        <f aca="false">(S65/S76)</f>
        <v>0</v>
      </c>
    </row>
    <row r="66" customFormat="false" ht="12.75" hidden="false" customHeight="true" outlineLevel="0" collapsed="false">
      <c r="A66" s="602" t="n">
        <v>6508</v>
      </c>
      <c r="B66" s="450" t="s">
        <v>18506</v>
      </c>
      <c r="C66" s="450" t="n">
        <v>2006</v>
      </c>
      <c r="D66" s="451" t="n">
        <v>38875</v>
      </c>
      <c r="E66" s="450" t="s">
        <v>18507</v>
      </c>
      <c r="F66" s="450" t="s">
        <v>113</v>
      </c>
      <c r="G66" s="450" t="s">
        <v>1174</v>
      </c>
      <c r="H66" s="450" t="s">
        <v>15992</v>
      </c>
      <c r="I66" s="451" t="n">
        <v>39604</v>
      </c>
      <c r="J66" s="452" t="n">
        <v>6</v>
      </c>
      <c r="K66" s="633" t="s">
        <v>47</v>
      </c>
      <c r="L66" s="452" t="s">
        <v>60</v>
      </c>
      <c r="M66" s="455" t="n">
        <f aca="false">I66-D66</f>
        <v>729</v>
      </c>
      <c r="N66" s="4"/>
      <c r="O66" s="345" t="s">
        <v>44</v>
      </c>
      <c r="P66" s="345"/>
      <c r="Q66" s="345"/>
      <c r="R66" s="345"/>
      <c r="S66" s="345" t="n">
        <f aca="false">COUNTIF($K$2:$K$476,"Categoria 2 - Produto Altamente Tóxico")</f>
        <v>0</v>
      </c>
      <c r="T66" s="473" t="n">
        <f aca="false">(S66/S76)</f>
        <v>0</v>
      </c>
    </row>
    <row r="67" customFormat="false" ht="12.75" hidden="false" customHeight="true" outlineLevel="0" collapsed="false">
      <c r="A67" s="594" t="n">
        <v>6608</v>
      </c>
      <c r="B67" s="458" t="s">
        <v>18508</v>
      </c>
      <c r="C67" s="458" t="n">
        <v>2007</v>
      </c>
      <c r="D67" s="459" t="n">
        <v>39225</v>
      </c>
      <c r="E67" s="458" t="s">
        <v>18509</v>
      </c>
      <c r="F67" s="458" t="s">
        <v>18510</v>
      </c>
      <c r="G67" s="458" t="s">
        <v>144</v>
      </c>
      <c r="H67" s="458" t="s">
        <v>119</v>
      </c>
      <c r="I67" s="459" t="n">
        <v>39605</v>
      </c>
      <c r="J67" s="460" t="n">
        <v>6</v>
      </c>
      <c r="K67" s="633" t="s">
        <v>47</v>
      </c>
      <c r="L67" s="458" t="s">
        <v>58</v>
      </c>
      <c r="M67" s="463" t="n">
        <f aca="false">I67-D67</f>
        <v>380</v>
      </c>
      <c r="N67" s="4"/>
      <c r="O67" s="349" t="s">
        <v>45</v>
      </c>
      <c r="P67" s="349"/>
      <c r="Q67" s="349"/>
      <c r="R67" s="349"/>
      <c r="S67" s="349" t="n">
        <f aca="false">COUNTIF($K$2:$K$476,"II - Altamente tóxico")</f>
        <v>28</v>
      </c>
      <c r="T67" s="474" t="n">
        <f aca="false">(S67/S76)</f>
        <v>0.146596858638743</v>
      </c>
    </row>
    <row r="68" customFormat="false" ht="12.75" hidden="false" customHeight="true" outlineLevel="0" collapsed="false">
      <c r="A68" s="602" t="n">
        <v>6708</v>
      </c>
      <c r="B68" s="450" t="s">
        <v>18511</v>
      </c>
      <c r="C68" s="450" t="n">
        <v>2006</v>
      </c>
      <c r="D68" s="451" t="n">
        <v>38909</v>
      </c>
      <c r="E68" s="450" t="s">
        <v>18512</v>
      </c>
      <c r="F68" s="450" t="s">
        <v>211</v>
      </c>
      <c r="G68" s="450" t="s">
        <v>441</v>
      </c>
      <c r="H68" s="450" t="s">
        <v>5230</v>
      </c>
      <c r="I68" s="451" t="n">
        <v>39605</v>
      </c>
      <c r="J68" s="452" t="n">
        <v>6</v>
      </c>
      <c r="K68" s="631" t="s">
        <v>42</v>
      </c>
      <c r="L68" s="452" t="s">
        <v>58</v>
      </c>
      <c r="M68" s="455" t="n">
        <f aca="false">I68-D68</f>
        <v>696</v>
      </c>
      <c r="N68" s="4"/>
      <c r="O68" s="349" t="s">
        <v>46</v>
      </c>
      <c r="P68" s="349"/>
      <c r="Q68" s="349"/>
      <c r="R68" s="349"/>
      <c r="S68" s="349" t="n">
        <f aca="false">COUNTIF($K$2:$K$476,"Categoria 3 - Produto Moderadamente Tóxico")</f>
        <v>0</v>
      </c>
      <c r="T68" s="474" t="n">
        <f aca="false">(S68/S76)</f>
        <v>0</v>
      </c>
    </row>
    <row r="69" customFormat="false" ht="12.75" hidden="false" customHeight="true" outlineLevel="0" collapsed="false">
      <c r="A69" s="594" t="n">
        <v>6808</v>
      </c>
      <c r="B69" s="458" t="s">
        <v>18513</v>
      </c>
      <c r="C69" s="458" t="n">
        <v>2006</v>
      </c>
      <c r="D69" s="459" t="n">
        <v>38939</v>
      </c>
      <c r="E69" s="458" t="s">
        <v>18514</v>
      </c>
      <c r="F69" s="458" t="s">
        <v>172</v>
      </c>
      <c r="G69" s="458" t="s">
        <v>1174</v>
      </c>
      <c r="H69" s="458" t="s">
        <v>13006</v>
      </c>
      <c r="I69" s="459" t="n">
        <v>39617</v>
      </c>
      <c r="J69" s="460" t="n">
        <v>6</v>
      </c>
      <c r="K69" s="633" t="s">
        <v>47</v>
      </c>
      <c r="L69" s="458" t="s">
        <v>58</v>
      </c>
      <c r="M69" s="463" t="n">
        <f aca="false">I69-D69</f>
        <v>678</v>
      </c>
      <c r="N69" s="4"/>
      <c r="O69" s="351" t="s">
        <v>47</v>
      </c>
      <c r="P69" s="351"/>
      <c r="Q69" s="351"/>
      <c r="R69" s="351"/>
      <c r="S69" s="351" t="n">
        <f aca="false">COUNTIF($K$2:$K$476,"III - Medianamente tóxico")</f>
        <v>76</v>
      </c>
      <c r="T69" s="475" t="n">
        <f aca="false">(S69/S76)</f>
        <v>0.397905759162304</v>
      </c>
    </row>
    <row r="70" customFormat="false" ht="12.75" hidden="false" customHeight="true" outlineLevel="0" collapsed="false">
      <c r="A70" s="602" t="n">
        <v>6908</v>
      </c>
      <c r="B70" s="450" t="s">
        <v>18515</v>
      </c>
      <c r="C70" s="450" t="n">
        <v>2007</v>
      </c>
      <c r="D70" s="451" t="n">
        <v>39377</v>
      </c>
      <c r="E70" s="450" t="s">
        <v>18516</v>
      </c>
      <c r="F70" s="450" t="s">
        <v>1097</v>
      </c>
      <c r="G70" s="450" t="s">
        <v>441</v>
      </c>
      <c r="H70" s="450" t="s">
        <v>1266</v>
      </c>
      <c r="I70" s="451" t="n">
        <v>39622</v>
      </c>
      <c r="J70" s="452" t="n">
        <v>6</v>
      </c>
      <c r="K70" s="631" t="s">
        <v>42</v>
      </c>
      <c r="L70" s="452" t="s">
        <v>60</v>
      </c>
      <c r="M70" s="455" t="n">
        <f aca="false">I70-D70</f>
        <v>245</v>
      </c>
      <c r="N70" s="4"/>
      <c r="O70" s="351" t="s">
        <v>48</v>
      </c>
      <c r="P70" s="351"/>
      <c r="Q70" s="351"/>
      <c r="R70" s="351"/>
      <c r="S70" s="351" t="n">
        <f aca="false">COUNTIF($K$2:$K$476,"Categoria 4 - Produto Pouco Tóxico")</f>
        <v>0</v>
      </c>
      <c r="T70" s="475" t="n">
        <f aca="false">(S70/S76)</f>
        <v>0</v>
      </c>
    </row>
    <row r="71" customFormat="false" ht="12.75" hidden="false" customHeight="true" outlineLevel="0" collapsed="false">
      <c r="A71" s="594" t="n">
        <v>7008</v>
      </c>
      <c r="B71" s="458" t="s">
        <v>18517</v>
      </c>
      <c r="C71" s="458" t="n">
        <v>2001</v>
      </c>
      <c r="D71" s="459" t="n">
        <v>36983</v>
      </c>
      <c r="E71" s="458" t="s">
        <v>18518</v>
      </c>
      <c r="F71" s="458" t="s">
        <v>18519</v>
      </c>
      <c r="G71" s="458" t="s">
        <v>144</v>
      </c>
      <c r="H71" s="458" t="s">
        <v>373</v>
      </c>
      <c r="I71" s="459" t="n">
        <v>39626</v>
      </c>
      <c r="J71" s="460" t="n">
        <v>7</v>
      </c>
      <c r="K71" s="633" t="s">
        <v>47</v>
      </c>
      <c r="L71" s="458" t="s">
        <v>58</v>
      </c>
      <c r="M71" s="463" t="n">
        <f aca="false">I71-D71</f>
        <v>2643</v>
      </c>
      <c r="N71" s="4"/>
      <c r="O71" s="351" t="s">
        <v>49</v>
      </c>
      <c r="P71" s="351"/>
      <c r="Q71" s="351"/>
      <c r="R71" s="351"/>
      <c r="S71" s="351" t="n">
        <f aca="false">COUNTIF($K$2:$K$476,"Categoria 5 - Produto Improvável de Causar Dano Agudo")</f>
        <v>0</v>
      </c>
      <c r="T71" s="475" t="n">
        <f aca="false">(S71/S76)</f>
        <v>0</v>
      </c>
    </row>
    <row r="72" customFormat="false" ht="12.75" hidden="false" customHeight="true" outlineLevel="0" collapsed="false">
      <c r="A72" s="602" t="n">
        <v>7108</v>
      </c>
      <c r="B72" s="450" t="s">
        <v>18520</v>
      </c>
      <c r="C72" s="450" t="n">
        <v>2004</v>
      </c>
      <c r="D72" s="451" t="n">
        <v>38348</v>
      </c>
      <c r="E72" s="450" t="s">
        <v>18521</v>
      </c>
      <c r="F72" s="450" t="s">
        <v>18451</v>
      </c>
      <c r="G72" s="450" t="s">
        <v>441</v>
      </c>
      <c r="H72" s="450" t="s">
        <v>6570</v>
      </c>
      <c r="I72" s="451" t="n">
        <v>39626</v>
      </c>
      <c r="J72" s="452" t="n">
        <v>6</v>
      </c>
      <c r="K72" s="632" t="s">
        <v>50</v>
      </c>
      <c r="L72" s="452" t="s">
        <v>60</v>
      </c>
      <c r="M72" s="455" t="n">
        <f aca="false">I72-D72</f>
        <v>1278</v>
      </c>
      <c r="N72" s="4"/>
      <c r="O72" s="353" t="s">
        <v>50</v>
      </c>
      <c r="P72" s="353"/>
      <c r="Q72" s="353"/>
      <c r="R72" s="353"/>
      <c r="S72" s="353" t="n">
        <f aca="false">COUNTIF($K$2:$K$476,"IV - Pouco tóxico")</f>
        <v>15</v>
      </c>
      <c r="T72" s="476" t="n">
        <f aca="false">(S72/S76)</f>
        <v>0.0785340314136126</v>
      </c>
    </row>
    <row r="73" customFormat="false" ht="12.75" hidden="false" customHeight="true" outlineLevel="0" collapsed="false">
      <c r="A73" s="594" t="n">
        <v>7208</v>
      </c>
      <c r="B73" s="458" t="s">
        <v>18522</v>
      </c>
      <c r="C73" s="458" t="n">
        <v>2005</v>
      </c>
      <c r="D73" s="459" t="n">
        <v>38457</v>
      </c>
      <c r="E73" s="458" t="s">
        <v>18523</v>
      </c>
      <c r="F73" s="458" t="s">
        <v>18524</v>
      </c>
      <c r="G73" s="458" t="s">
        <v>144</v>
      </c>
      <c r="H73" s="458" t="s">
        <v>119</v>
      </c>
      <c r="I73" s="459" t="n">
        <v>39626</v>
      </c>
      <c r="J73" s="460" t="n">
        <v>6</v>
      </c>
      <c r="K73" s="633" t="s">
        <v>47</v>
      </c>
      <c r="L73" s="458" t="s">
        <v>58</v>
      </c>
      <c r="M73" s="463" t="n">
        <f aca="false">I73-D73</f>
        <v>1169</v>
      </c>
      <c r="N73" s="4"/>
      <c r="O73" s="353" t="s">
        <v>51</v>
      </c>
      <c r="P73" s="353"/>
      <c r="Q73" s="353"/>
      <c r="R73" s="353"/>
      <c r="S73" s="353" t="n">
        <f aca="false">COUNTIF($K$2:$K$476,"Não classificado - Produto não classificado")</f>
        <v>0</v>
      </c>
      <c r="T73" s="476" t="n">
        <f aca="false">(S73/S76)</f>
        <v>0</v>
      </c>
    </row>
    <row r="74" customFormat="false" ht="12.75" hidden="false" customHeight="true" outlineLevel="0" collapsed="false">
      <c r="A74" s="602" t="n">
        <v>7308</v>
      </c>
      <c r="B74" s="450" t="s">
        <v>18525</v>
      </c>
      <c r="C74" s="450" t="n">
        <v>2004</v>
      </c>
      <c r="D74" s="451" t="n">
        <v>38348</v>
      </c>
      <c r="E74" s="450" t="s">
        <v>18526</v>
      </c>
      <c r="F74" s="450" t="s">
        <v>780</v>
      </c>
      <c r="G74" s="450" t="s">
        <v>441</v>
      </c>
      <c r="H74" s="450" t="s">
        <v>6570</v>
      </c>
      <c r="I74" s="451" t="n">
        <v>39629</v>
      </c>
      <c r="J74" s="452" t="n">
        <v>6</v>
      </c>
      <c r="K74" s="631" t="s">
        <v>42</v>
      </c>
      <c r="L74" s="452" t="s">
        <v>60</v>
      </c>
      <c r="M74" s="455" t="n">
        <f aca="false">I74-D74</f>
        <v>1281</v>
      </c>
      <c r="N74" s="4"/>
      <c r="O74" s="353" t="s">
        <v>2407</v>
      </c>
      <c r="P74" s="353"/>
      <c r="Q74" s="353"/>
      <c r="R74" s="353"/>
      <c r="S74" s="353" t="n">
        <f aca="false">COUNTIF($K$2:$K$476,"Não determinada devido à natureza do produto (Inimigos naturais)")</f>
        <v>0</v>
      </c>
      <c r="T74" s="476" t="n">
        <f aca="false">(S74/S76)</f>
        <v>0</v>
      </c>
    </row>
    <row r="75" customFormat="false" ht="12.75" hidden="false" customHeight="true" outlineLevel="0" collapsed="false">
      <c r="A75" s="594" t="n">
        <v>7408</v>
      </c>
      <c r="B75" s="458" t="s">
        <v>18527</v>
      </c>
      <c r="C75" s="458" t="n">
        <v>2004</v>
      </c>
      <c r="D75" s="459" t="n">
        <v>38212</v>
      </c>
      <c r="E75" s="458" t="s">
        <v>18528</v>
      </c>
      <c r="F75" s="458" t="s">
        <v>123</v>
      </c>
      <c r="G75" s="458" t="s">
        <v>1188</v>
      </c>
      <c r="H75" s="458" t="s">
        <v>119</v>
      </c>
      <c r="I75" s="459" t="n">
        <v>39630</v>
      </c>
      <c r="J75" s="460" t="n">
        <v>7</v>
      </c>
      <c r="K75" s="631" t="s">
        <v>42</v>
      </c>
      <c r="L75" s="458" t="s">
        <v>58</v>
      </c>
      <c r="M75" s="463" t="n">
        <f aca="false">I75-D75</f>
        <v>1418</v>
      </c>
      <c r="N75" s="4"/>
      <c r="O75" s="478" t="s">
        <v>53</v>
      </c>
      <c r="P75" s="478"/>
      <c r="Q75" s="478"/>
      <c r="R75" s="478"/>
      <c r="S75" s="478" t="n">
        <f aca="false">COUNTIF($K$2:$K$476,"O perfil toxicológico foi considerado equivalente ao produto técnico de referência")</f>
        <v>0</v>
      </c>
      <c r="T75" s="479" t="n">
        <f aca="false">(S75/S76)</f>
        <v>0</v>
      </c>
    </row>
    <row r="76" customFormat="false" ht="12.75" hidden="false" customHeight="true" outlineLevel="0" collapsed="false">
      <c r="A76" s="602" t="n">
        <v>7508</v>
      </c>
      <c r="B76" s="450" t="s">
        <v>18529</v>
      </c>
      <c r="C76" s="450" t="n">
        <v>2007</v>
      </c>
      <c r="D76" s="451" t="n">
        <v>39426</v>
      </c>
      <c r="E76" s="450" t="s">
        <v>18530</v>
      </c>
      <c r="F76" s="450" t="s">
        <v>1097</v>
      </c>
      <c r="G76" s="450" t="s">
        <v>441</v>
      </c>
      <c r="H76" s="450" t="s">
        <v>1266</v>
      </c>
      <c r="I76" s="451" t="n">
        <v>39630</v>
      </c>
      <c r="J76" s="452" t="n">
        <v>7</v>
      </c>
      <c r="K76" s="631" t="s">
        <v>42</v>
      </c>
      <c r="L76" s="452" t="s">
        <v>60</v>
      </c>
      <c r="M76" s="455" t="n">
        <f aca="false">I76-D76</f>
        <v>204</v>
      </c>
      <c r="N76" s="4"/>
      <c r="O76" s="419" t="s">
        <v>54</v>
      </c>
      <c r="P76" s="419"/>
      <c r="Q76" s="419"/>
      <c r="R76" s="419"/>
      <c r="S76" s="363" t="n">
        <f aca="false">SUM(S64:S75)</f>
        <v>191</v>
      </c>
      <c r="T76" s="364" t="n">
        <f aca="false">(S76/S76)</f>
        <v>1</v>
      </c>
    </row>
    <row r="77" customFormat="false" ht="12.75" hidden="false" customHeight="true" outlineLevel="0" collapsed="false">
      <c r="A77" s="594" t="n">
        <v>7608</v>
      </c>
      <c r="B77" s="458" t="s">
        <v>18531</v>
      </c>
      <c r="C77" s="458" t="n">
        <v>2006</v>
      </c>
      <c r="D77" s="459" t="n">
        <v>38789</v>
      </c>
      <c r="E77" s="458" t="s">
        <v>18532</v>
      </c>
      <c r="F77" s="458" t="s">
        <v>1273</v>
      </c>
      <c r="G77" s="458" t="s">
        <v>1174</v>
      </c>
      <c r="H77" s="458" t="s">
        <v>3339</v>
      </c>
      <c r="I77" s="459" t="n">
        <v>39630</v>
      </c>
      <c r="J77" s="460" t="n">
        <v>7</v>
      </c>
      <c r="K77" s="633" t="s">
        <v>47</v>
      </c>
      <c r="L77" s="458" t="s">
        <v>58</v>
      </c>
      <c r="M77" s="463" t="n">
        <f aca="false">I77-D77</f>
        <v>841</v>
      </c>
      <c r="N77" s="4"/>
      <c r="O77" s="153"/>
      <c r="P77" s="153"/>
      <c r="Q77" s="153"/>
      <c r="R77" s="153"/>
      <c r="S77" s="153"/>
      <c r="T77" s="153"/>
    </row>
    <row r="78" customFormat="false" ht="13.5" hidden="false" customHeight="true" outlineLevel="0" collapsed="false">
      <c r="A78" s="602" t="n">
        <v>7708</v>
      </c>
      <c r="B78" s="450" t="s">
        <v>18533</v>
      </c>
      <c r="C78" s="450" t="n">
        <v>2006</v>
      </c>
      <c r="D78" s="451" t="n">
        <v>38896</v>
      </c>
      <c r="E78" s="450" t="s">
        <v>18534</v>
      </c>
      <c r="F78" s="450" t="s">
        <v>1262</v>
      </c>
      <c r="G78" s="450" t="s">
        <v>1174</v>
      </c>
      <c r="H78" s="450" t="s">
        <v>14391</v>
      </c>
      <c r="I78" s="451" t="n">
        <v>39630</v>
      </c>
      <c r="J78" s="452" t="n">
        <v>7</v>
      </c>
      <c r="K78" s="633" t="s">
        <v>47</v>
      </c>
      <c r="L78" s="452" t="s">
        <v>58</v>
      </c>
      <c r="M78" s="455" t="n">
        <f aca="false">I78-D78</f>
        <v>734</v>
      </c>
      <c r="N78" s="4"/>
      <c r="O78" s="339" t="s">
        <v>102</v>
      </c>
      <c r="P78" s="339"/>
      <c r="Q78" s="339"/>
      <c r="R78" s="339"/>
      <c r="S78" s="339"/>
      <c r="T78" s="339"/>
    </row>
    <row r="79" customFormat="false" ht="12.75" hidden="false" customHeight="true" outlineLevel="0" collapsed="false">
      <c r="A79" s="594" t="n">
        <v>7808</v>
      </c>
      <c r="B79" s="458" t="s">
        <v>18535</v>
      </c>
      <c r="C79" s="458" t="n">
        <v>2007</v>
      </c>
      <c r="D79" s="459" t="n">
        <v>39259</v>
      </c>
      <c r="E79" s="458" t="s">
        <v>18536</v>
      </c>
      <c r="F79" s="458" t="s">
        <v>446</v>
      </c>
      <c r="G79" s="458" t="s">
        <v>1174</v>
      </c>
      <c r="H79" s="458" t="s">
        <v>18193</v>
      </c>
      <c r="I79" s="459" t="n">
        <v>39630</v>
      </c>
      <c r="J79" s="460" t="n">
        <v>7</v>
      </c>
      <c r="K79" s="634" t="s">
        <v>45</v>
      </c>
      <c r="L79" s="458" t="s">
        <v>58</v>
      </c>
      <c r="M79" s="463" t="n">
        <f aca="false">I79-D79</f>
        <v>371</v>
      </c>
      <c r="N79" s="4"/>
      <c r="O79" s="339"/>
      <c r="P79" s="339"/>
      <c r="Q79" s="339"/>
      <c r="R79" s="339"/>
      <c r="S79" s="339"/>
      <c r="T79" s="339"/>
    </row>
    <row r="80" customFormat="false" ht="12.75" hidden="false" customHeight="true" outlineLevel="0" collapsed="false">
      <c r="A80" s="602" t="n">
        <v>7908</v>
      </c>
      <c r="B80" s="450" t="s">
        <v>18537</v>
      </c>
      <c r="C80" s="450" t="n">
        <v>2006</v>
      </c>
      <c r="D80" s="451" t="n">
        <v>38897</v>
      </c>
      <c r="E80" s="450" t="s">
        <v>18538</v>
      </c>
      <c r="F80" s="450" t="s">
        <v>699</v>
      </c>
      <c r="G80" s="450" t="s">
        <v>441</v>
      </c>
      <c r="H80" s="450" t="s">
        <v>5230</v>
      </c>
      <c r="I80" s="451" t="n">
        <v>39631</v>
      </c>
      <c r="J80" s="452" t="n">
        <v>7</v>
      </c>
      <c r="K80" s="633" t="s">
        <v>47</v>
      </c>
      <c r="L80" s="452" t="s">
        <v>60</v>
      </c>
      <c r="M80" s="455" t="n">
        <f aca="false">I80-D80</f>
        <v>734</v>
      </c>
      <c r="N80" s="4"/>
      <c r="O80" s="340" t="s">
        <v>38</v>
      </c>
      <c r="P80" s="340"/>
      <c r="Q80" s="340"/>
      <c r="R80" s="340"/>
      <c r="S80" s="374" t="s">
        <v>343</v>
      </c>
      <c r="T80" s="375" t="s">
        <v>41</v>
      </c>
    </row>
    <row r="81" customFormat="false" ht="13.5" hidden="false" customHeight="true" outlineLevel="0" collapsed="false">
      <c r="A81" s="594" t="n">
        <v>8008</v>
      </c>
      <c r="B81" s="458" t="s">
        <v>18539</v>
      </c>
      <c r="C81" s="458" t="n">
        <v>2005</v>
      </c>
      <c r="D81" s="459" t="n">
        <v>38677</v>
      </c>
      <c r="E81" s="458" t="s">
        <v>18540</v>
      </c>
      <c r="F81" s="458" t="s">
        <v>537</v>
      </c>
      <c r="G81" s="458" t="s">
        <v>144</v>
      </c>
      <c r="H81" s="458" t="s">
        <v>373</v>
      </c>
      <c r="I81" s="459" t="n">
        <v>39631</v>
      </c>
      <c r="J81" s="460" t="n">
        <v>7</v>
      </c>
      <c r="K81" s="633" t="s">
        <v>47</v>
      </c>
      <c r="L81" s="458" t="s">
        <v>58</v>
      </c>
      <c r="M81" s="463" t="n">
        <f aca="false">I81-D81</f>
        <v>954</v>
      </c>
      <c r="N81" s="4"/>
      <c r="O81" s="480" t="s">
        <v>57</v>
      </c>
      <c r="P81" s="480"/>
      <c r="Q81" s="480"/>
      <c r="R81" s="480"/>
      <c r="S81" s="536" t="n">
        <f aca="false">COUNTIF($L$2:$L$476,"I - Produto altamente perigoso ao meio ambiente")</f>
        <v>4</v>
      </c>
      <c r="T81" s="377" t="n">
        <f aca="false">(S81/S85)</f>
        <v>0.0209424083769634</v>
      </c>
    </row>
    <row r="82" customFormat="false" ht="13.5" hidden="false" customHeight="true" outlineLevel="0" collapsed="false">
      <c r="A82" s="602" t="n">
        <v>8108</v>
      </c>
      <c r="B82" s="450" t="s">
        <v>18541</v>
      </c>
      <c r="C82" s="450" t="n">
        <v>2007</v>
      </c>
      <c r="D82" s="451" t="n">
        <v>39331</v>
      </c>
      <c r="E82" s="450" t="s">
        <v>18542</v>
      </c>
      <c r="F82" s="450" t="s">
        <v>18498</v>
      </c>
      <c r="G82" s="450" t="s">
        <v>441</v>
      </c>
      <c r="H82" s="450" t="s">
        <v>13006</v>
      </c>
      <c r="I82" s="451" t="n">
        <v>39631</v>
      </c>
      <c r="J82" s="452" t="n">
        <v>7</v>
      </c>
      <c r="K82" s="633" t="s">
        <v>47</v>
      </c>
      <c r="L82" s="452" t="s">
        <v>60</v>
      </c>
      <c r="M82" s="455" t="n">
        <f aca="false">I82-D82</f>
        <v>300</v>
      </c>
      <c r="N82" s="4"/>
      <c r="O82" s="378" t="s">
        <v>58</v>
      </c>
      <c r="P82" s="378"/>
      <c r="Q82" s="378"/>
      <c r="R82" s="378"/>
      <c r="S82" s="537" t="n">
        <f aca="false">COUNTIF($L$2:$L$476,"II - Produto muito perigoso ao meio ambiente")</f>
        <v>95</v>
      </c>
      <c r="T82" s="379" t="n">
        <f aca="false">(S82/S85)</f>
        <v>0.49738219895288</v>
      </c>
    </row>
    <row r="83" customFormat="false" ht="13.5" hidden="false" customHeight="true" outlineLevel="0" collapsed="false">
      <c r="A83" s="594" t="n">
        <v>8208</v>
      </c>
      <c r="B83" s="458" t="s">
        <v>18543</v>
      </c>
      <c r="C83" s="458" t="n">
        <v>2006</v>
      </c>
      <c r="D83" s="459" t="n">
        <v>38888</v>
      </c>
      <c r="E83" s="458" t="s">
        <v>18544</v>
      </c>
      <c r="F83" s="458" t="s">
        <v>18545</v>
      </c>
      <c r="G83" s="458" t="s">
        <v>125</v>
      </c>
      <c r="H83" s="458" t="s">
        <v>391</v>
      </c>
      <c r="I83" s="459" t="n">
        <v>39632</v>
      </c>
      <c r="J83" s="460" t="n">
        <v>7</v>
      </c>
      <c r="K83" s="632" t="s">
        <v>50</v>
      </c>
      <c r="L83" s="458" t="s">
        <v>61</v>
      </c>
      <c r="M83" s="463" t="n">
        <f aca="false">I83-D83</f>
        <v>744</v>
      </c>
      <c r="N83" s="4"/>
      <c r="O83" s="380" t="s">
        <v>60</v>
      </c>
      <c r="P83" s="380"/>
      <c r="Q83" s="380"/>
      <c r="R83" s="380"/>
      <c r="S83" s="536" t="n">
        <f aca="false">COUNTIF($L$2:$L$476,"III - Produto perigoso ao meio ambiente")</f>
        <v>81</v>
      </c>
      <c r="T83" s="377" t="n">
        <f aca="false">(S83/S85)</f>
        <v>0.424083769633508</v>
      </c>
    </row>
    <row r="84" customFormat="false" ht="14.25" hidden="false" customHeight="true" outlineLevel="0" collapsed="false">
      <c r="A84" s="602" t="n">
        <v>8308</v>
      </c>
      <c r="B84" s="450" t="s">
        <v>18546</v>
      </c>
      <c r="C84" s="450" t="n">
        <v>2005</v>
      </c>
      <c r="D84" s="451" t="n">
        <v>38552</v>
      </c>
      <c r="E84" s="450" t="s">
        <v>18547</v>
      </c>
      <c r="F84" s="450" t="s">
        <v>18548</v>
      </c>
      <c r="G84" s="450" t="s">
        <v>1188</v>
      </c>
      <c r="H84" s="450" t="s">
        <v>134</v>
      </c>
      <c r="I84" s="451" t="n">
        <v>39633</v>
      </c>
      <c r="J84" s="452" t="n">
        <v>7</v>
      </c>
      <c r="K84" s="632" t="s">
        <v>50</v>
      </c>
      <c r="L84" s="452" t="s">
        <v>60</v>
      </c>
      <c r="M84" s="455" t="n">
        <f aca="false">I84-D84</f>
        <v>1081</v>
      </c>
      <c r="N84" s="4"/>
      <c r="O84" s="378" t="s">
        <v>61</v>
      </c>
      <c r="P84" s="378"/>
      <c r="Q84" s="378"/>
      <c r="R84" s="378"/>
      <c r="S84" s="537" t="n">
        <f aca="false">COUNTIF($L$2:$L$476,"IV - Produto pouco perigoso ao meio ambiente")</f>
        <v>11</v>
      </c>
      <c r="T84" s="379" t="n">
        <f aca="false">(S84/S85)</f>
        <v>0.0575916230366492</v>
      </c>
    </row>
    <row r="85" customFormat="false" ht="12.75" hidden="false" customHeight="true" outlineLevel="0" collapsed="false">
      <c r="A85" s="594" t="n">
        <v>8408</v>
      </c>
      <c r="B85" s="458" t="s">
        <v>18549</v>
      </c>
      <c r="C85" s="458" t="n">
        <v>2005</v>
      </c>
      <c r="D85" s="459" t="n">
        <v>38595</v>
      </c>
      <c r="E85" s="458" t="s">
        <v>18550</v>
      </c>
      <c r="F85" s="458" t="s">
        <v>18551</v>
      </c>
      <c r="G85" s="458" t="s">
        <v>144</v>
      </c>
      <c r="H85" s="458" t="s">
        <v>119</v>
      </c>
      <c r="I85" s="459" t="n">
        <v>39636</v>
      </c>
      <c r="J85" s="460" t="n">
        <v>7</v>
      </c>
      <c r="K85" s="631" t="s">
        <v>42</v>
      </c>
      <c r="L85" s="458" t="s">
        <v>58</v>
      </c>
      <c r="M85" s="463" t="n">
        <f aca="false">I85-D85</f>
        <v>1041</v>
      </c>
      <c r="N85" s="4"/>
      <c r="O85" s="340" t="s">
        <v>54</v>
      </c>
      <c r="P85" s="340"/>
      <c r="Q85" s="340"/>
      <c r="R85" s="340"/>
      <c r="S85" s="363" t="n">
        <f aca="false">SUM(S81:S84)</f>
        <v>191</v>
      </c>
      <c r="T85" s="364" t="n">
        <f aca="false">(S85/S85)</f>
        <v>1</v>
      </c>
    </row>
    <row r="86" customFormat="false" ht="12.75" hidden="false" customHeight="true" outlineLevel="0" collapsed="false">
      <c r="A86" s="602" t="n">
        <v>8508</v>
      </c>
      <c r="B86" s="450" t="s">
        <v>18552</v>
      </c>
      <c r="C86" s="450" t="n">
        <v>2003</v>
      </c>
      <c r="D86" s="451" t="n">
        <v>37809</v>
      </c>
      <c r="E86" s="450" t="s">
        <v>18553</v>
      </c>
      <c r="F86" s="450" t="s">
        <v>18554</v>
      </c>
      <c r="G86" s="450" t="s">
        <v>441</v>
      </c>
      <c r="H86" s="450" t="s">
        <v>223</v>
      </c>
      <c r="I86" s="451" t="n">
        <v>39636</v>
      </c>
      <c r="J86" s="452" t="n">
        <v>7</v>
      </c>
      <c r="K86" s="631" t="s">
        <v>42</v>
      </c>
      <c r="L86" s="452" t="s">
        <v>58</v>
      </c>
      <c r="M86" s="455" t="n">
        <f aca="false">I86-D86</f>
        <v>1827</v>
      </c>
      <c r="N86" s="4"/>
      <c r="O86" s="153"/>
      <c r="P86" s="153"/>
      <c r="Q86" s="153"/>
      <c r="R86" s="153"/>
      <c r="S86" s="153"/>
      <c r="T86" s="153"/>
    </row>
    <row r="87" customFormat="false" ht="13.5" hidden="false" customHeight="true" outlineLevel="0" collapsed="false">
      <c r="A87" s="594" t="n">
        <v>8608</v>
      </c>
      <c r="B87" s="458" t="s">
        <v>18555</v>
      </c>
      <c r="C87" s="458" t="n">
        <v>2006</v>
      </c>
      <c r="D87" s="459" t="n">
        <v>38979</v>
      </c>
      <c r="E87" s="458" t="s">
        <v>18556</v>
      </c>
      <c r="F87" s="458" t="s">
        <v>3204</v>
      </c>
      <c r="G87" s="458" t="s">
        <v>144</v>
      </c>
      <c r="H87" s="458" t="s">
        <v>134</v>
      </c>
      <c r="I87" s="459" t="n">
        <v>39636</v>
      </c>
      <c r="J87" s="460" t="n">
        <v>7</v>
      </c>
      <c r="K87" s="633" t="s">
        <v>47</v>
      </c>
      <c r="L87" s="458" t="s">
        <v>58</v>
      </c>
      <c r="M87" s="463" t="n">
        <f aca="false">I87-D87</f>
        <v>657</v>
      </c>
      <c r="N87" s="4"/>
      <c r="O87" s="421" t="s">
        <v>425</v>
      </c>
      <c r="P87" s="421"/>
      <c r="Q87" s="421"/>
      <c r="R87" s="421"/>
      <c r="S87" s="153"/>
      <c r="T87" s="153"/>
    </row>
    <row r="88" customFormat="false" ht="12.75" hidden="false" customHeight="true" outlineLevel="0" collapsed="false">
      <c r="A88" s="602" t="n">
        <v>8708</v>
      </c>
      <c r="B88" s="450" t="s">
        <v>18557</v>
      </c>
      <c r="C88" s="450" t="n">
        <v>2005</v>
      </c>
      <c r="D88" s="451" t="n">
        <v>38568</v>
      </c>
      <c r="E88" s="450" t="s">
        <v>18558</v>
      </c>
      <c r="F88" s="450" t="s">
        <v>18548</v>
      </c>
      <c r="G88" s="450" t="s">
        <v>115</v>
      </c>
      <c r="H88" s="450" t="s">
        <v>134</v>
      </c>
      <c r="I88" s="451" t="n">
        <v>39637</v>
      </c>
      <c r="J88" s="452" t="n">
        <v>7</v>
      </c>
      <c r="K88" s="631" t="s">
        <v>42</v>
      </c>
      <c r="L88" s="452" t="s">
        <v>60</v>
      </c>
      <c r="M88" s="455" t="n">
        <f aca="false">I88-D88</f>
        <v>1069</v>
      </c>
      <c r="N88" s="4"/>
      <c r="O88" s="421"/>
      <c r="P88" s="421"/>
      <c r="Q88" s="421"/>
      <c r="R88" s="421"/>
      <c r="S88" s="153"/>
      <c r="T88" s="153"/>
    </row>
    <row r="89" customFormat="false" ht="12.75" hidden="false" customHeight="true" outlineLevel="0" collapsed="false">
      <c r="A89" s="594" t="n">
        <v>8808</v>
      </c>
      <c r="B89" s="458" t="s">
        <v>18559</v>
      </c>
      <c r="C89" s="458" t="n">
        <v>2005</v>
      </c>
      <c r="D89" s="459" t="n">
        <v>38622</v>
      </c>
      <c r="E89" s="458" t="s">
        <v>18560</v>
      </c>
      <c r="F89" s="458" t="s">
        <v>10637</v>
      </c>
      <c r="G89" s="458" t="s">
        <v>441</v>
      </c>
      <c r="H89" s="458" t="s">
        <v>16610</v>
      </c>
      <c r="I89" s="459" t="n">
        <v>39639</v>
      </c>
      <c r="J89" s="460" t="n">
        <v>7</v>
      </c>
      <c r="K89" s="631" t="s">
        <v>42</v>
      </c>
      <c r="L89" s="458" t="s">
        <v>58</v>
      </c>
      <c r="M89" s="463" t="n">
        <f aca="false">I89-D89</f>
        <v>1017</v>
      </c>
      <c r="N89" s="4"/>
      <c r="O89" s="390" t="s">
        <v>69</v>
      </c>
      <c r="P89" s="422" t="s">
        <v>433</v>
      </c>
      <c r="Q89" s="422"/>
      <c r="R89" s="422"/>
      <c r="S89" s="153"/>
      <c r="T89" s="153"/>
    </row>
    <row r="90" customFormat="false" ht="12.75" hidden="false" customHeight="true" outlineLevel="0" collapsed="false">
      <c r="A90" s="602" t="n">
        <v>8908</v>
      </c>
      <c r="B90" s="450" t="s">
        <v>18561</v>
      </c>
      <c r="C90" s="450" t="n">
        <v>2005</v>
      </c>
      <c r="D90" s="451" t="n">
        <v>38642</v>
      </c>
      <c r="E90" s="450" t="s">
        <v>18562</v>
      </c>
      <c r="F90" s="450" t="s">
        <v>18563</v>
      </c>
      <c r="G90" s="450" t="s">
        <v>144</v>
      </c>
      <c r="H90" s="450" t="s">
        <v>119</v>
      </c>
      <c r="I90" s="451" t="n">
        <v>39639</v>
      </c>
      <c r="J90" s="452" t="n">
        <v>7</v>
      </c>
      <c r="K90" s="634" t="s">
        <v>45</v>
      </c>
      <c r="L90" s="452" t="s">
        <v>58</v>
      </c>
      <c r="M90" s="455" t="n">
        <f aca="false">I90-D90</f>
        <v>997</v>
      </c>
      <c r="N90" s="4"/>
      <c r="O90" s="394" t="s">
        <v>1474</v>
      </c>
      <c r="P90" s="481" t="n">
        <f aca="false">AVERAGEIF(G2:G476,"PT",M2:M476)</f>
        <v>1522.66666666667</v>
      </c>
      <c r="Q90" s="481"/>
      <c r="R90" s="481"/>
      <c r="S90" s="153"/>
      <c r="T90" s="153"/>
    </row>
    <row r="91" customFormat="false" ht="12.75" hidden="false" customHeight="true" outlineLevel="0" collapsed="false">
      <c r="A91" s="594" t="n">
        <v>9008</v>
      </c>
      <c r="B91" s="458" t="s">
        <v>18564</v>
      </c>
      <c r="C91" s="458" t="n">
        <v>2008</v>
      </c>
      <c r="D91" s="459" t="n">
        <v>39489</v>
      </c>
      <c r="E91" s="458" t="s">
        <v>18565</v>
      </c>
      <c r="F91" s="458" t="s">
        <v>10808</v>
      </c>
      <c r="G91" s="458" t="s">
        <v>125</v>
      </c>
      <c r="H91" s="458" t="s">
        <v>391</v>
      </c>
      <c r="I91" s="459" t="n">
        <v>39639</v>
      </c>
      <c r="J91" s="460" t="n">
        <v>7</v>
      </c>
      <c r="K91" s="632" t="s">
        <v>50</v>
      </c>
      <c r="L91" s="458" t="s">
        <v>61</v>
      </c>
      <c r="M91" s="463" t="n">
        <f aca="false">I91-D91</f>
        <v>150</v>
      </c>
      <c r="N91" s="4"/>
      <c r="O91" s="396" t="s">
        <v>1188</v>
      </c>
      <c r="P91" s="482" t="n">
        <f aca="false">AVERAGEIF(G2:G477,"PTN",M2:M477)</f>
        <v>1329</v>
      </c>
      <c r="Q91" s="482"/>
      <c r="R91" s="482"/>
      <c r="S91" s="153"/>
      <c r="T91" s="153"/>
    </row>
    <row r="92" customFormat="false" ht="12.75" hidden="false" customHeight="true" outlineLevel="0" collapsed="false">
      <c r="A92" s="602" t="n">
        <v>9108</v>
      </c>
      <c r="B92" s="450" t="s">
        <v>18566</v>
      </c>
      <c r="C92" s="450" t="n">
        <v>2006</v>
      </c>
      <c r="D92" s="451" t="n">
        <v>38958</v>
      </c>
      <c r="E92" s="450" t="s">
        <v>18567</v>
      </c>
      <c r="F92" s="450" t="s">
        <v>8232</v>
      </c>
      <c r="G92" s="450" t="s">
        <v>144</v>
      </c>
      <c r="H92" s="450" t="s">
        <v>2421</v>
      </c>
      <c r="I92" s="451" t="n">
        <v>39639</v>
      </c>
      <c r="J92" s="452" t="n">
        <v>7</v>
      </c>
      <c r="K92" s="633" t="s">
        <v>47</v>
      </c>
      <c r="L92" s="452" t="s">
        <v>60</v>
      </c>
      <c r="M92" s="455" t="n">
        <f aca="false">I92-D92</f>
        <v>681</v>
      </c>
      <c r="N92" s="4"/>
      <c r="O92" s="394" t="s">
        <v>1174</v>
      </c>
      <c r="P92" s="481" t="n">
        <f aca="false">AVERAGEIF(G2:G476,"PTE",M2:M476)</f>
        <v>594.666666666667</v>
      </c>
      <c r="Q92" s="481"/>
      <c r="R92" s="481"/>
      <c r="S92" s="153"/>
      <c r="T92" s="153"/>
    </row>
    <row r="93" customFormat="false" ht="12.75" hidden="false" customHeight="true" outlineLevel="0" collapsed="false">
      <c r="A93" s="594" t="n">
        <v>9208</v>
      </c>
      <c r="B93" s="458" t="s">
        <v>18568</v>
      </c>
      <c r="C93" s="458" t="n">
        <v>2006</v>
      </c>
      <c r="D93" s="459" t="n">
        <v>38898</v>
      </c>
      <c r="E93" s="458" t="s">
        <v>18569</v>
      </c>
      <c r="F93" s="458" t="s">
        <v>2263</v>
      </c>
      <c r="G93" s="458" t="s">
        <v>1174</v>
      </c>
      <c r="H93" s="458" t="s">
        <v>134</v>
      </c>
      <c r="I93" s="459" t="n">
        <v>39644</v>
      </c>
      <c r="J93" s="460" t="n">
        <v>7</v>
      </c>
      <c r="K93" s="633" t="s">
        <v>47</v>
      </c>
      <c r="L93" s="458" t="s">
        <v>60</v>
      </c>
      <c r="M93" s="463" t="n">
        <f aca="false">I93-D93</f>
        <v>746</v>
      </c>
      <c r="N93" s="4"/>
      <c r="O93" s="396" t="s">
        <v>8</v>
      </c>
      <c r="P93" s="482" t="e">
        <f aca="false">AVERAGEIF(G2:G476,"Pré-Mistura",M2:M476)</f>
        <v>#DIV/0!</v>
      </c>
      <c r="Q93" s="482"/>
      <c r="R93" s="482"/>
      <c r="S93" s="153"/>
      <c r="T93" s="153"/>
    </row>
    <row r="94" customFormat="false" ht="12.75" hidden="false" customHeight="true" outlineLevel="0" collapsed="false">
      <c r="A94" s="602" t="n">
        <v>9308</v>
      </c>
      <c r="B94" s="450" t="s">
        <v>18570</v>
      </c>
      <c r="C94" s="450" t="n">
        <v>2005</v>
      </c>
      <c r="D94" s="451" t="n">
        <v>38521</v>
      </c>
      <c r="E94" s="450" t="s">
        <v>18571</v>
      </c>
      <c r="F94" s="450" t="s">
        <v>8232</v>
      </c>
      <c r="G94" s="450" t="s">
        <v>441</v>
      </c>
      <c r="H94" s="450" t="s">
        <v>18397</v>
      </c>
      <c r="I94" s="451" t="n">
        <v>39646</v>
      </c>
      <c r="J94" s="452" t="n">
        <v>7</v>
      </c>
      <c r="K94" s="633" t="s">
        <v>47</v>
      </c>
      <c r="L94" s="452" t="s">
        <v>60</v>
      </c>
      <c r="M94" s="455" t="n">
        <f aca="false">I94-D94</f>
        <v>1125</v>
      </c>
      <c r="N94" s="4"/>
      <c r="O94" s="394" t="s">
        <v>144</v>
      </c>
      <c r="P94" s="481" t="n">
        <f aca="false">AVERAGEIF(G2:G476,"PF",M2:M476)</f>
        <v>1091.26315789474</v>
      </c>
      <c r="Q94" s="481"/>
      <c r="R94" s="481"/>
      <c r="S94" s="153"/>
      <c r="T94" s="153"/>
    </row>
    <row r="95" customFormat="false" ht="12.75" hidden="false" customHeight="true" outlineLevel="0" collapsed="false">
      <c r="A95" s="594" t="n">
        <v>9408</v>
      </c>
      <c r="B95" s="458" t="s">
        <v>18572</v>
      </c>
      <c r="C95" s="458" t="n">
        <v>2007</v>
      </c>
      <c r="D95" s="459" t="n">
        <v>39335</v>
      </c>
      <c r="E95" s="458" t="s">
        <v>18573</v>
      </c>
      <c r="F95" s="458" t="s">
        <v>537</v>
      </c>
      <c r="G95" s="458" t="s">
        <v>1174</v>
      </c>
      <c r="H95" s="458" t="s">
        <v>14391</v>
      </c>
      <c r="I95" s="459" t="n">
        <v>39650</v>
      </c>
      <c r="J95" s="460" t="n">
        <v>7</v>
      </c>
      <c r="K95" s="633" t="s">
        <v>47</v>
      </c>
      <c r="L95" s="458" t="s">
        <v>58</v>
      </c>
      <c r="M95" s="463" t="n">
        <f aca="false">I95-D95</f>
        <v>315</v>
      </c>
      <c r="N95" s="4"/>
      <c r="O95" s="396" t="s">
        <v>115</v>
      </c>
      <c r="P95" s="482" t="n">
        <f aca="false">AVERAGEIF(G2:G476,"PFN",M2:M476)</f>
        <v>1294.2</v>
      </c>
      <c r="Q95" s="482"/>
      <c r="R95" s="482"/>
      <c r="S95" s="153"/>
      <c r="T95" s="153"/>
    </row>
    <row r="96" customFormat="false" ht="12.75" hidden="false" customHeight="true" outlineLevel="0" collapsed="false">
      <c r="A96" s="602" t="n">
        <v>9508</v>
      </c>
      <c r="B96" s="450" t="s">
        <v>18574</v>
      </c>
      <c r="C96" s="450" t="n">
        <v>2007</v>
      </c>
      <c r="D96" s="451" t="n">
        <v>39323</v>
      </c>
      <c r="E96" s="450" t="s">
        <v>18575</v>
      </c>
      <c r="F96" s="450" t="s">
        <v>1609</v>
      </c>
      <c r="G96" s="450" t="s">
        <v>144</v>
      </c>
      <c r="H96" s="450" t="s">
        <v>1059</v>
      </c>
      <c r="I96" s="451" t="n">
        <v>39650</v>
      </c>
      <c r="J96" s="452" t="n">
        <v>7</v>
      </c>
      <c r="K96" s="634" t="s">
        <v>45</v>
      </c>
      <c r="L96" s="452" t="s">
        <v>58</v>
      </c>
      <c r="M96" s="455" t="n">
        <f aca="false">I96-D96</f>
        <v>327</v>
      </c>
      <c r="N96" s="4"/>
      <c r="O96" s="394" t="s">
        <v>441</v>
      </c>
      <c r="P96" s="481" t="n">
        <f aca="false">AVERAGEIF(G2:G476,"PF/PTE",M2:M476)</f>
        <v>878.819444444445</v>
      </c>
      <c r="Q96" s="481"/>
      <c r="R96" s="481"/>
      <c r="S96" s="153"/>
      <c r="T96" s="153"/>
    </row>
    <row r="97" customFormat="false" ht="12.75" hidden="false" customHeight="true" outlineLevel="0" collapsed="false">
      <c r="A97" s="594" t="n">
        <v>9608</v>
      </c>
      <c r="B97" s="458" t="s">
        <v>18576</v>
      </c>
      <c r="C97" s="458" t="n">
        <v>2000</v>
      </c>
      <c r="D97" s="459" t="n">
        <v>36806</v>
      </c>
      <c r="E97" s="458" t="s">
        <v>18577</v>
      </c>
      <c r="F97" s="458" t="s">
        <v>780</v>
      </c>
      <c r="G97" s="458" t="s">
        <v>441</v>
      </c>
      <c r="H97" s="458" t="s">
        <v>16610</v>
      </c>
      <c r="I97" s="459" t="n">
        <v>39650</v>
      </c>
      <c r="J97" s="460" t="n">
        <v>7</v>
      </c>
      <c r="K97" s="632" t="s">
        <v>50</v>
      </c>
      <c r="L97" s="458" t="s">
        <v>60</v>
      </c>
      <c r="M97" s="463" t="n">
        <f aca="false">I97-D97</f>
        <v>2844</v>
      </c>
      <c r="N97" s="4"/>
      <c r="O97" s="396" t="s">
        <v>125</v>
      </c>
      <c r="P97" s="482" t="n">
        <f aca="false">AVERAGEIF(G2:G476,"Bio",M2:M476)</f>
        <v>831.333333333333</v>
      </c>
      <c r="Q97" s="482"/>
      <c r="R97" s="482"/>
    </row>
    <row r="98" customFormat="false" ht="12.75" hidden="false" customHeight="true" outlineLevel="0" collapsed="false">
      <c r="A98" s="602" t="n">
        <v>9708</v>
      </c>
      <c r="B98" s="450" t="s">
        <v>18578</v>
      </c>
      <c r="C98" s="450" t="n">
        <v>2005</v>
      </c>
      <c r="D98" s="451" t="n">
        <v>38716</v>
      </c>
      <c r="E98" s="450" t="s">
        <v>18579</v>
      </c>
      <c r="F98" s="450" t="s">
        <v>17591</v>
      </c>
      <c r="G98" s="450" t="s">
        <v>1188</v>
      </c>
      <c r="H98" s="450" t="s">
        <v>119</v>
      </c>
      <c r="I98" s="451" t="n">
        <v>39650</v>
      </c>
      <c r="J98" s="452" t="n">
        <v>7</v>
      </c>
      <c r="K98" s="634" t="s">
        <v>45</v>
      </c>
      <c r="L98" s="452" t="s">
        <v>60</v>
      </c>
      <c r="M98" s="455" t="n">
        <f aca="false">I98-D98</f>
        <v>934</v>
      </c>
      <c r="N98" s="4"/>
      <c r="O98" s="394" t="s">
        <v>130</v>
      </c>
      <c r="P98" s="481" t="e">
        <f aca="false">AVERAGEIF(G2:G476,"Bio/Org",M2:M476)</f>
        <v>#DIV/0!</v>
      </c>
      <c r="Q98" s="481"/>
      <c r="R98" s="481"/>
    </row>
    <row r="99" customFormat="false" ht="12.75" hidden="false" customHeight="true" outlineLevel="0" collapsed="false">
      <c r="A99" s="594" t="n">
        <v>9808</v>
      </c>
      <c r="B99" s="458" t="s">
        <v>18580</v>
      </c>
      <c r="C99" s="458" t="n">
        <v>2005</v>
      </c>
      <c r="D99" s="459" t="n">
        <v>38530</v>
      </c>
      <c r="E99" s="458" t="s">
        <v>18581</v>
      </c>
      <c r="F99" s="458" t="s">
        <v>1490</v>
      </c>
      <c r="G99" s="458" t="s">
        <v>144</v>
      </c>
      <c r="H99" s="458" t="s">
        <v>119</v>
      </c>
      <c r="I99" s="459" t="n">
        <v>39650</v>
      </c>
      <c r="J99" s="460" t="n">
        <v>7</v>
      </c>
      <c r="K99" s="631" t="s">
        <v>42</v>
      </c>
      <c r="L99" s="458" t="s">
        <v>58</v>
      </c>
      <c r="M99" s="463" t="n">
        <f aca="false">I99-D99</f>
        <v>1120</v>
      </c>
      <c r="N99" s="4"/>
      <c r="O99" s="398" t="s">
        <v>86</v>
      </c>
      <c r="P99" s="399" t="n">
        <f aca="false">AVERAGE(M2:M494)</f>
        <v>909.65445026178</v>
      </c>
      <c r="Q99" s="399"/>
      <c r="R99" s="399"/>
    </row>
    <row r="100" customFormat="false" ht="12.75" hidden="false" customHeight="true" outlineLevel="0" collapsed="false">
      <c r="A100" s="602" t="n">
        <v>9908</v>
      </c>
      <c r="B100" s="450" t="s">
        <v>18582</v>
      </c>
      <c r="C100" s="450" t="n">
        <v>2007</v>
      </c>
      <c r="D100" s="451" t="n">
        <v>39272</v>
      </c>
      <c r="E100" s="450" t="s">
        <v>18583</v>
      </c>
      <c r="F100" s="450" t="s">
        <v>18393</v>
      </c>
      <c r="G100" s="450" t="s">
        <v>144</v>
      </c>
      <c r="H100" s="450" t="s">
        <v>18069</v>
      </c>
      <c r="I100" s="451" t="n">
        <v>39650</v>
      </c>
      <c r="J100" s="452" t="n">
        <v>7</v>
      </c>
      <c r="K100" s="632" t="s">
        <v>50</v>
      </c>
      <c r="L100" s="452" t="s">
        <v>61</v>
      </c>
      <c r="M100" s="455" t="n">
        <f aca="false">I100-D100</f>
        <v>378</v>
      </c>
      <c r="N100" s="4"/>
      <c r="O100" s="4"/>
      <c r="P100" s="4"/>
      <c r="Q100" s="4"/>
      <c r="R100" s="4"/>
    </row>
    <row r="101" customFormat="false" ht="12.75" hidden="false" customHeight="true" outlineLevel="0" collapsed="false">
      <c r="A101" s="594" t="n">
        <v>10008</v>
      </c>
      <c r="B101" s="458" t="s">
        <v>18584</v>
      </c>
      <c r="C101" s="458" t="n">
        <v>2006</v>
      </c>
      <c r="D101" s="459" t="n">
        <v>38981</v>
      </c>
      <c r="E101" s="458" t="s">
        <v>18585</v>
      </c>
      <c r="F101" s="458" t="s">
        <v>365</v>
      </c>
      <c r="G101" s="458" t="s">
        <v>1174</v>
      </c>
      <c r="H101" s="458" t="s">
        <v>2677</v>
      </c>
      <c r="I101" s="459" t="n">
        <v>39650</v>
      </c>
      <c r="J101" s="460" t="n">
        <v>7</v>
      </c>
      <c r="K101" s="633" t="s">
        <v>47</v>
      </c>
      <c r="L101" s="458" t="s">
        <v>60</v>
      </c>
      <c r="M101" s="463" t="n">
        <f aca="false">I101-D101</f>
        <v>669</v>
      </c>
      <c r="N101" s="4"/>
      <c r="O101" s="4"/>
      <c r="P101" s="4"/>
      <c r="Q101" s="4"/>
      <c r="R101" s="4"/>
    </row>
    <row r="102" customFormat="false" ht="12.75" hidden="false" customHeight="true" outlineLevel="0" collapsed="false">
      <c r="A102" s="602" t="n">
        <v>10108</v>
      </c>
      <c r="B102" s="450" t="s">
        <v>18586</v>
      </c>
      <c r="C102" s="450" t="n">
        <v>2007</v>
      </c>
      <c r="D102" s="451" t="n">
        <v>39283</v>
      </c>
      <c r="E102" s="450" t="s">
        <v>18587</v>
      </c>
      <c r="F102" s="450" t="s">
        <v>1156</v>
      </c>
      <c r="G102" s="450" t="s">
        <v>1174</v>
      </c>
      <c r="H102" s="450" t="s">
        <v>2677</v>
      </c>
      <c r="I102" s="451" t="n">
        <v>39650</v>
      </c>
      <c r="J102" s="452" t="n">
        <v>7</v>
      </c>
      <c r="K102" s="634" t="s">
        <v>45</v>
      </c>
      <c r="L102" s="452" t="s">
        <v>57</v>
      </c>
      <c r="M102" s="455" t="n">
        <f aca="false">I102-D102</f>
        <v>367</v>
      </c>
      <c r="N102" s="4"/>
      <c r="O102" s="4"/>
      <c r="P102" s="4"/>
      <c r="Q102" s="4"/>
      <c r="R102" s="4"/>
    </row>
    <row r="103" customFormat="false" ht="12.75" hidden="false" customHeight="true" outlineLevel="0" collapsed="false">
      <c r="A103" s="594" t="n">
        <v>10208</v>
      </c>
      <c r="B103" s="458" t="s">
        <v>18588</v>
      </c>
      <c r="C103" s="458" t="n">
        <v>2006</v>
      </c>
      <c r="D103" s="459" t="n">
        <v>38796</v>
      </c>
      <c r="E103" s="458" t="s">
        <v>18589</v>
      </c>
      <c r="F103" s="458" t="s">
        <v>13523</v>
      </c>
      <c r="G103" s="458" t="s">
        <v>144</v>
      </c>
      <c r="H103" s="458" t="s">
        <v>1109</v>
      </c>
      <c r="I103" s="459" t="n">
        <v>39660</v>
      </c>
      <c r="J103" s="460" t="n">
        <v>7</v>
      </c>
      <c r="K103" s="634" t="s">
        <v>45</v>
      </c>
      <c r="L103" s="458" t="s">
        <v>60</v>
      </c>
      <c r="M103" s="463" t="n">
        <f aca="false">I103-D103</f>
        <v>864</v>
      </c>
      <c r="N103" s="4"/>
      <c r="O103" s="4"/>
      <c r="P103" s="4"/>
      <c r="Q103" s="4"/>
      <c r="R103" s="4"/>
    </row>
    <row r="104" customFormat="false" ht="12.75" hidden="false" customHeight="true" outlineLevel="0" collapsed="false">
      <c r="A104" s="602" t="n">
        <v>10308</v>
      </c>
      <c r="B104" s="450" t="s">
        <v>18590</v>
      </c>
      <c r="C104" s="450" t="n">
        <v>2005</v>
      </c>
      <c r="D104" s="451" t="n">
        <v>38716</v>
      </c>
      <c r="E104" s="450" t="s">
        <v>18591</v>
      </c>
      <c r="F104" s="450" t="s">
        <v>17591</v>
      </c>
      <c r="G104" s="450" t="s">
        <v>115</v>
      </c>
      <c r="H104" s="450" t="s">
        <v>119</v>
      </c>
      <c r="I104" s="451" t="n">
        <v>39661</v>
      </c>
      <c r="J104" s="452" t="n">
        <v>8</v>
      </c>
      <c r="K104" s="634" t="s">
        <v>45</v>
      </c>
      <c r="L104" s="452" t="s">
        <v>61</v>
      </c>
      <c r="M104" s="455" t="n">
        <f aca="false">I104-D104</f>
        <v>945</v>
      </c>
      <c r="N104" s="4"/>
      <c r="O104" s="4"/>
      <c r="P104" s="4"/>
      <c r="Q104" s="4"/>
      <c r="R104" s="4"/>
    </row>
    <row r="105" customFormat="false" ht="12.75" hidden="false" customHeight="true" outlineLevel="0" collapsed="false">
      <c r="A105" s="594" t="n">
        <v>10408</v>
      </c>
      <c r="B105" s="458" t="s">
        <v>18592</v>
      </c>
      <c r="C105" s="458" t="n">
        <v>2005</v>
      </c>
      <c r="D105" s="459" t="n">
        <v>38677</v>
      </c>
      <c r="E105" s="458" t="s">
        <v>18593</v>
      </c>
      <c r="F105" s="458" t="s">
        <v>211</v>
      </c>
      <c r="G105" s="458" t="s">
        <v>1174</v>
      </c>
      <c r="H105" s="458" t="s">
        <v>18594</v>
      </c>
      <c r="I105" s="459" t="n">
        <v>39661</v>
      </c>
      <c r="J105" s="460" t="n">
        <v>8</v>
      </c>
      <c r="K105" s="631" t="s">
        <v>42</v>
      </c>
      <c r="L105" s="458" t="s">
        <v>58</v>
      </c>
      <c r="M105" s="463" t="n">
        <f aca="false">I105-D105</f>
        <v>984</v>
      </c>
      <c r="N105" s="4"/>
      <c r="O105" s="4"/>
      <c r="P105" s="4"/>
      <c r="Q105" s="4"/>
      <c r="R105" s="4"/>
    </row>
    <row r="106" customFormat="false" ht="12.75" hidden="false" customHeight="true" outlineLevel="0" collapsed="false">
      <c r="A106" s="602" t="n">
        <v>10508</v>
      </c>
      <c r="B106" s="450" t="s">
        <v>18595</v>
      </c>
      <c r="C106" s="450" t="n">
        <v>2004</v>
      </c>
      <c r="D106" s="451" t="n">
        <v>38310</v>
      </c>
      <c r="E106" s="450" t="s">
        <v>18596</v>
      </c>
      <c r="F106" s="450" t="s">
        <v>537</v>
      </c>
      <c r="G106" s="450" t="s">
        <v>144</v>
      </c>
      <c r="H106" s="450" t="s">
        <v>373</v>
      </c>
      <c r="I106" s="451" t="n">
        <v>39667</v>
      </c>
      <c r="J106" s="452" t="n">
        <v>8</v>
      </c>
      <c r="K106" s="634" t="s">
        <v>45</v>
      </c>
      <c r="L106" s="452" t="s">
        <v>58</v>
      </c>
      <c r="M106" s="455" t="n">
        <f aca="false">I106-D106</f>
        <v>1357</v>
      </c>
      <c r="N106" s="4"/>
      <c r="O106" s="4"/>
      <c r="P106" s="4"/>
      <c r="Q106" s="4"/>
      <c r="R106" s="4"/>
    </row>
    <row r="107" customFormat="false" ht="12.75" hidden="false" customHeight="true" outlineLevel="0" collapsed="false">
      <c r="A107" s="594" t="n">
        <v>10608</v>
      </c>
      <c r="B107" s="458" t="s">
        <v>18597</v>
      </c>
      <c r="C107" s="458" t="n">
        <v>2004</v>
      </c>
      <c r="D107" s="459" t="n">
        <v>38310</v>
      </c>
      <c r="E107" s="458" t="s">
        <v>18598</v>
      </c>
      <c r="F107" s="458" t="s">
        <v>537</v>
      </c>
      <c r="G107" s="458" t="s">
        <v>144</v>
      </c>
      <c r="H107" s="458" t="s">
        <v>373</v>
      </c>
      <c r="I107" s="459" t="n">
        <v>39667</v>
      </c>
      <c r="J107" s="460" t="n">
        <v>8</v>
      </c>
      <c r="K107" s="634" t="s">
        <v>45</v>
      </c>
      <c r="L107" s="458" t="s">
        <v>58</v>
      </c>
      <c r="M107" s="463" t="n">
        <f aca="false">I107-D107</f>
        <v>1357</v>
      </c>
      <c r="N107" s="4"/>
      <c r="O107" s="4"/>
      <c r="P107" s="4"/>
      <c r="Q107" s="4"/>
      <c r="R107" s="4"/>
    </row>
    <row r="108" customFormat="false" ht="12.75" hidden="false" customHeight="true" outlineLevel="0" collapsed="false">
      <c r="A108" s="602" t="n">
        <v>10708</v>
      </c>
      <c r="B108" s="450" t="s">
        <v>18599</v>
      </c>
      <c r="C108" s="450" t="n">
        <v>2001</v>
      </c>
      <c r="D108" s="451" t="n">
        <v>37069</v>
      </c>
      <c r="E108" s="450" t="s">
        <v>18600</v>
      </c>
      <c r="F108" s="450" t="s">
        <v>1097</v>
      </c>
      <c r="G108" s="450" t="s">
        <v>1174</v>
      </c>
      <c r="H108" s="450" t="s">
        <v>16610</v>
      </c>
      <c r="I108" s="451" t="n">
        <v>39668</v>
      </c>
      <c r="J108" s="452" t="n">
        <v>8</v>
      </c>
      <c r="K108" s="631" t="s">
        <v>42</v>
      </c>
      <c r="L108" s="452" t="s">
        <v>60</v>
      </c>
      <c r="M108" s="455" t="n">
        <f aca="false">I108-D108</f>
        <v>2599</v>
      </c>
      <c r="N108" s="4"/>
      <c r="O108" s="4"/>
      <c r="P108" s="4"/>
      <c r="Q108" s="4"/>
      <c r="R108" s="4"/>
    </row>
    <row r="109" customFormat="false" ht="12.75" hidden="false" customHeight="true" outlineLevel="0" collapsed="false">
      <c r="A109" s="594" t="n">
        <v>10808</v>
      </c>
      <c r="B109" s="458" t="s">
        <v>18601</v>
      </c>
      <c r="C109" s="458" t="n">
        <v>2007</v>
      </c>
      <c r="D109" s="459" t="n">
        <v>39147</v>
      </c>
      <c r="E109" s="458" t="s">
        <v>18602</v>
      </c>
      <c r="F109" s="458" t="s">
        <v>1357</v>
      </c>
      <c r="G109" s="458" t="s">
        <v>441</v>
      </c>
      <c r="H109" s="458" t="s">
        <v>5230</v>
      </c>
      <c r="I109" s="459" t="n">
        <v>39672</v>
      </c>
      <c r="J109" s="460" t="n">
        <v>8</v>
      </c>
      <c r="K109" s="631" t="s">
        <v>42</v>
      </c>
      <c r="L109" s="458" t="s">
        <v>60</v>
      </c>
      <c r="M109" s="463" t="n">
        <f aca="false">I109-D109</f>
        <v>525</v>
      </c>
      <c r="N109" s="4"/>
      <c r="O109" s="4"/>
      <c r="P109" s="4"/>
      <c r="Q109" s="4"/>
      <c r="R109" s="4"/>
    </row>
    <row r="110" customFormat="false" ht="12.75" hidden="false" customHeight="true" outlineLevel="0" collapsed="false">
      <c r="A110" s="602" t="n">
        <v>10908</v>
      </c>
      <c r="B110" s="450" t="s">
        <v>18603</v>
      </c>
      <c r="C110" s="450" t="n">
        <v>2006</v>
      </c>
      <c r="D110" s="451" t="n">
        <v>39056</v>
      </c>
      <c r="E110" s="450" t="s">
        <v>18604</v>
      </c>
      <c r="F110" s="450" t="s">
        <v>18605</v>
      </c>
      <c r="G110" s="450" t="s">
        <v>1174</v>
      </c>
      <c r="H110" s="450" t="s">
        <v>5230</v>
      </c>
      <c r="I110" s="451" t="n">
        <v>39672</v>
      </c>
      <c r="J110" s="452" t="n">
        <v>8</v>
      </c>
      <c r="K110" s="631" t="s">
        <v>42</v>
      </c>
      <c r="L110" s="452" t="s">
        <v>58</v>
      </c>
      <c r="M110" s="455" t="n">
        <f aca="false">I110-D110</f>
        <v>616</v>
      </c>
      <c r="N110" s="4"/>
      <c r="O110" s="4"/>
      <c r="P110" s="4"/>
      <c r="Q110" s="4"/>
      <c r="R110" s="4"/>
    </row>
    <row r="111" customFormat="false" ht="12.75" hidden="false" customHeight="true" outlineLevel="0" collapsed="false">
      <c r="A111" s="594" t="n">
        <v>11008</v>
      </c>
      <c r="B111" s="594" t="s">
        <v>10996</v>
      </c>
      <c r="C111" s="594" t="s">
        <v>10996</v>
      </c>
      <c r="D111" s="595" t="s">
        <v>10996</v>
      </c>
      <c r="E111" s="594" t="s">
        <v>10996</v>
      </c>
      <c r="F111" s="594" t="s">
        <v>10996</v>
      </c>
      <c r="G111" s="594" t="s">
        <v>10996</v>
      </c>
      <c r="H111" s="594" t="s">
        <v>10996</v>
      </c>
      <c r="I111" s="595" t="s">
        <v>10996</v>
      </c>
      <c r="J111" s="594" t="s">
        <v>10996</v>
      </c>
      <c r="K111" s="594" t="s">
        <v>10996</v>
      </c>
      <c r="L111" s="594" t="s">
        <v>10996</v>
      </c>
      <c r="M111" s="594" t="s">
        <v>10996</v>
      </c>
      <c r="N111" s="4"/>
      <c r="O111" s="4"/>
      <c r="P111" s="4"/>
      <c r="Q111" s="4"/>
      <c r="R111" s="4"/>
    </row>
    <row r="112" customFormat="false" ht="12.75" hidden="false" customHeight="true" outlineLevel="0" collapsed="false">
      <c r="A112" s="602" t="n">
        <v>11108</v>
      </c>
      <c r="B112" s="450" t="s">
        <v>18606</v>
      </c>
      <c r="C112" s="450" t="n">
        <v>2008</v>
      </c>
      <c r="D112" s="451" t="n">
        <v>39492</v>
      </c>
      <c r="E112" s="450" t="s">
        <v>18607</v>
      </c>
      <c r="F112" s="450" t="s">
        <v>211</v>
      </c>
      <c r="G112" s="450" t="s">
        <v>441</v>
      </c>
      <c r="H112" s="450" t="s">
        <v>192</v>
      </c>
      <c r="I112" s="451" t="n">
        <v>39674</v>
      </c>
      <c r="J112" s="452" t="n">
        <v>8</v>
      </c>
      <c r="K112" s="631" t="s">
        <v>42</v>
      </c>
      <c r="L112" s="452" t="s">
        <v>58</v>
      </c>
      <c r="M112" s="455" t="n">
        <f aca="false">I112-D112</f>
        <v>182</v>
      </c>
      <c r="N112" s="4"/>
      <c r="O112" s="4"/>
      <c r="P112" s="4"/>
      <c r="Q112" s="4"/>
      <c r="R112" s="4"/>
    </row>
    <row r="113" customFormat="false" ht="12.75" hidden="false" customHeight="true" outlineLevel="0" collapsed="false">
      <c r="A113" s="594" t="n">
        <v>11208</v>
      </c>
      <c r="B113" s="458" t="s">
        <v>18608</v>
      </c>
      <c r="C113" s="458" t="n">
        <v>2008</v>
      </c>
      <c r="D113" s="459" t="n">
        <v>39477</v>
      </c>
      <c r="E113" s="458" t="s">
        <v>18609</v>
      </c>
      <c r="F113" s="458" t="s">
        <v>1097</v>
      </c>
      <c r="G113" s="458" t="s">
        <v>1174</v>
      </c>
      <c r="H113" s="458" t="s">
        <v>4431</v>
      </c>
      <c r="I113" s="459" t="n">
        <v>39675</v>
      </c>
      <c r="J113" s="460" t="n">
        <v>8</v>
      </c>
      <c r="K113" s="631" t="s">
        <v>42</v>
      </c>
      <c r="L113" s="458" t="s">
        <v>60</v>
      </c>
      <c r="M113" s="463" t="n">
        <f aca="false">I113-D113</f>
        <v>198</v>
      </c>
    </row>
    <row r="114" customFormat="false" ht="12.75" hidden="false" customHeight="true" outlineLevel="0" collapsed="false">
      <c r="A114" s="602" t="n">
        <v>11308</v>
      </c>
      <c r="B114" s="450" t="s">
        <v>18610</v>
      </c>
      <c r="C114" s="450" t="n">
        <v>2007</v>
      </c>
      <c r="D114" s="451" t="n">
        <v>39302</v>
      </c>
      <c r="E114" s="450" t="s">
        <v>18611</v>
      </c>
      <c r="F114" s="450" t="s">
        <v>699</v>
      </c>
      <c r="G114" s="450" t="s">
        <v>1174</v>
      </c>
      <c r="H114" s="450" t="s">
        <v>119</v>
      </c>
      <c r="I114" s="451" t="n">
        <v>39678</v>
      </c>
      <c r="J114" s="452" t="n">
        <v>8</v>
      </c>
      <c r="K114" s="634" t="s">
        <v>45</v>
      </c>
      <c r="L114" s="452" t="s">
        <v>60</v>
      </c>
      <c r="M114" s="455" t="n">
        <f aca="false">I114-D114</f>
        <v>376</v>
      </c>
    </row>
    <row r="115" customFormat="false" ht="12.75" hidden="false" customHeight="true" outlineLevel="0" collapsed="false">
      <c r="A115" s="594" t="n">
        <v>11408</v>
      </c>
      <c r="B115" s="458" t="s">
        <v>18612</v>
      </c>
      <c r="C115" s="458" t="n">
        <v>2007</v>
      </c>
      <c r="D115" s="459" t="n">
        <v>39122</v>
      </c>
      <c r="E115" s="458" t="s">
        <v>18613</v>
      </c>
      <c r="F115" s="458" t="s">
        <v>211</v>
      </c>
      <c r="G115" s="458" t="s">
        <v>1174</v>
      </c>
      <c r="H115" s="458" t="s">
        <v>1059</v>
      </c>
      <c r="I115" s="459" t="n">
        <v>39678</v>
      </c>
      <c r="J115" s="460" t="n">
        <v>8</v>
      </c>
      <c r="K115" s="631" t="s">
        <v>42</v>
      </c>
      <c r="L115" s="458" t="s">
        <v>58</v>
      </c>
      <c r="M115" s="463" t="n">
        <f aca="false">I115-D115</f>
        <v>556</v>
      </c>
    </row>
    <row r="116" customFormat="false" ht="12.75" hidden="false" customHeight="true" outlineLevel="0" collapsed="false">
      <c r="A116" s="602" t="n">
        <v>11508</v>
      </c>
      <c r="B116" s="450" t="s">
        <v>18614</v>
      </c>
      <c r="C116" s="450" t="n">
        <v>2007</v>
      </c>
      <c r="D116" s="451" t="n">
        <v>39350</v>
      </c>
      <c r="E116" s="450" t="s">
        <v>18615</v>
      </c>
      <c r="F116" s="450" t="s">
        <v>18616</v>
      </c>
      <c r="G116" s="450" t="s">
        <v>1174</v>
      </c>
      <c r="H116" s="450" t="s">
        <v>4045</v>
      </c>
      <c r="I116" s="451" t="n">
        <v>39679</v>
      </c>
      <c r="J116" s="452" t="n">
        <v>8</v>
      </c>
      <c r="K116" s="633" t="s">
        <v>47</v>
      </c>
      <c r="L116" s="452" t="s">
        <v>58</v>
      </c>
      <c r="M116" s="455" t="n">
        <f aca="false">I116-D116</f>
        <v>329</v>
      </c>
    </row>
    <row r="117" customFormat="false" ht="12.75" hidden="false" customHeight="true" outlineLevel="0" collapsed="false">
      <c r="A117" s="594" t="n">
        <v>11608</v>
      </c>
      <c r="B117" s="458" t="s">
        <v>18617</v>
      </c>
      <c r="C117" s="458" t="n">
        <v>2004</v>
      </c>
      <c r="D117" s="459" t="n">
        <v>38085</v>
      </c>
      <c r="E117" s="458" t="s">
        <v>18618</v>
      </c>
      <c r="F117" s="458" t="s">
        <v>17085</v>
      </c>
      <c r="G117" s="458" t="s">
        <v>125</v>
      </c>
      <c r="H117" s="458" t="s">
        <v>18619</v>
      </c>
      <c r="I117" s="459" t="n">
        <v>39685</v>
      </c>
      <c r="J117" s="460" t="n">
        <v>8</v>
      </c>
      <c r="K117" s="632" t="s">
        <v>50</v>
      </c>
      <c r="L117" s="458" t="s">
        <v>61</v>
      </c>
      <c r="M117" s="463" t="n">
        <f aca="false">I117-D117</f>
        <v>1600</v>
      </c>
    </row>
    <row r="118" customFormat="false" ht="12.75" hidden="false" customHeight="true" outlineLevel="0" collapsed="false">
      <c r="A118" s="602" t="n">
        <v>11708</v>
      </c>
      <c r="B118" s="450" t="s">
        <v>18620</v>
      </c>
      <c r="C118" s="450" t="n">
        <v>2007</v>
      </c>
      <c r="D118" s="451" t="n">
        <v>39440</v>
      </c>
      <c r="E118" s="450" t="s">
        <v>18621</v>
      </c>
      <c r="F118" s="450" t="s">
        <v>1097</v>
      </c>
      <c r="G118" s="450" t="s">
        <v>441</v>
      </c>
      <c r="H118" s="450" t="s">
        <v>6570</v>
      </c>
      <c r="I118" s="451" t="n">
        <v>39685</v>
      </c>
      <c r="J118" s="452" t="n">
        <v>8</v>
      </c>
      <c r="K118" s="631" t="s">
        <v>42</v>
      </c>
      <c r="L118" s="452" t="s">
        <v>60</v>
      </c>
      <c r="M118" s="455" t="n">
        <f aca="false">I118-D118</f>
        <v>245</v>
      </c>
    </row>
    <row r="119" customFormat="false" ht="12.75" hidden="false" customHeight="true" outlineLevel="0" collapsed="false">
      <c r="A119" s="594" t="n">
        <v>11808</v>
      </c>
      <c r="B119" s="458" t="s">
        <v>18622</v>
      </c>
      <c r="C119" s="458" t="n">
        <v>2005</v>
      </c>
      <c r="D119" s="459" t="n">
        <v>38716</v>
      </c>
      <c r="E119" s="458" t="s">
        <v>18623</v>
      </c>
      <c r="F119" s="458" t="s">
        <v>18378</v>
      </c>
      <c r="G119" s="458" t="s">
        <v>144</v>
      </c>
      <c r="H119" s="458" t="s">
        <v>373</v>
      </c>
      <c r="I119" s="459" t="n">
        <v>39686</v>
      </c>
      <c r="J119" s="460" t="n">
        <v>8</v>
      </c>
      <c r="K119" s="631" t="s">
        <v>42</v>
      </c>
      <c r="L119" s="458" t="s">
        <v>58</v>
      </c>
      <c r="M119" s="463" t="n">
        <f aca="false">I119-D119</f>
        <v>970</v>
      </c>
    </row>
    <row r="120" customFormat="false" ht="12.75" hidden="false" customHeight="true" outlineLevel="0" collapsed="false">
      <c r="A120" s="602" t="n">
        <v>11908</v>
      </c>
      <c r="B120" s="450" t="s">
        <v>18624</v>
      </c>
      <c r="C120" s="450" t="n">
        <v>2005</v>
      </c>
      <c r="D120" s="451" t="n">
        <v>38678</v>
      </c>
      <c r="E120" s="450" t="s">
        <v>18625</v>
      </c>
      <c r="F120" s="450" t="s">
        <v>9757</v>
      </c>
      <c r="G120" s="450" t="s">
        <v>441</v>
      </c>
      <c r="H120" s="450" t="s">
        <v>4431</v>
      </c>
      <c r="I120" s="451" t="n">
        <v>39687</v>
      </c>
      <c r="J120" s="452" t="n">
        <v>8</v>
      </c>
      <c r="K120" s="631" t="s">
        <v>42</v>
      </c>
      <c r="L120" s="452" t="s">
        <v>60</v>
      </c>
      <c r="M120" s="455" t="n">
        <f aca="false">I120-D120</f>
        <v>1009</v>
      </c>
    </row>
    <row r="121" customFormat="false" ht="12.75" hidden="false" customHeight="true" outlineLevel="0" collapsed="false">
      <c r="A121" s="594" t="n">
        <v>12008</v>
      </c>
      <c r="B121" s="458" t="s">
        <v>18626</v>
      </c>
      <c r="C121" s="458" t="n">
        <v>2006</v>
      </c>
      <c r="D121" s="459" t="n">
        <v>39079</v>
      </c>
      <c r="E121" s="458" t="s">
        <v>18627</v>
      </c>
      <c r="F121" s="458" t="s">
        <v>5709</v>
      </c>
      <c r="G121" s="458" t="s">
        <v>144</v>
      </c>
      <c r="H121" s="458" t="s">
        <v>17854</v>
      </c>
      <c r="I121" s="459" t="n">
        <v>39688</v>
      </c>
      <c r="J121" s="460" t="n">
        <v>8</v>
      </c>
      <c r="K121" s="633" t="s">
        <v>47</v>
      </c>
      <c r="L121" s="458" t="s">
        <v>60</v>
      </c>
      <c r="M121" s="463" t="n">
        <f aca="false">I121-D121</f>
        <v>609</v>
      </c>
    </row>
    <row r="122" customFormat="false" ht="12.75" hidden="false" customHeight="true" outlineLevel="0" collapsed="false">
      <c r="A122" s="602" t="n">
        <v>12108</v>
      </c>
      <c r="B122" s="450" t="s">
        <v>18628</v>
      </c>
      <c r="C122" s="450" t="n">
        <v>2004</v>
      </c>
      <c r="D122" s="451" t="n">
        <v>38223</v>
      </c>
      <c r="E122" s="450" t="s">
        <v>18629</v>
      </c>
      <c r="F122" s="450" t="s">
        <v>18630</v>
      </c>
      <c r="G122" s="450" t="s">
        <v>441</v>
      </c>
      <c r="H122" s="450" t="s">
        <v>15247</v>
      </c>
      <c r="I122" s="451" t="n">
        <v>39692</v>
      </c>
      <c r="J122" s="452" t="n">
        <v>9</v>
      </c>
      <c r="K122" s="631" t="s">
        <v>42</v>
      </c>
      <c r="L122" s="452" t="s">
        <v>58</v>
      </c>
      <c r="M122" s="455" t="n">
        <f aca="false">I122-D122</f>
        <v>1469</v>
      </c>
    </row>
    <row r="123" customFormat="false" ht="12.75" hidden="false" customHeight="true" outlineLevel="0" collapsed="false">
      <c r="A123" s="594" t="n">
        <v>12208</v>
      </c>
      <c r="B123" s="458" t="s">
        <v>18631</v>
      </c>
      <c r="C123" s="458" t="n">
        <v>2006</v>
      </c>
      <c r="D123" s="459" t="n">
        <v>38903</v>
      </c>
      <c r="E123" s="458" t="s">
        <v>18632</v>
      </c>
      <c r="F123" s="458" t="s">
        <v>18630</v>
      </c>
      <c r="G123" s="458" t="s">
        <v>441</v>
      </c>
      <c r="H123" s="458" t="s">
        <v>15247</v>
      </c>
      <c r="I123" s="459" t="n">
        <v>39692</v>
      </c>
      <c r="J123" s="460" t="n">
        <v>9</v>
      </c>
      <c r="K123" s="631" t="s">
        <v>42</v>
      </c>
      <c r="L123" s="458" t="s">
        <v>58</v>
      </c>
      <c r="M123" s="463" t="n">
        <f aca="false">I123-D123</f>
        <v>789</v>
      </c>
    </row>
    <row r="124" customFormat="false" ht="12.75" hidden="false" customHeight="true" outlineLevel="0" collapsed="false">
      <c r="A124" s="602" t="n">
        <v>12308</v>
      </c>
      <c r="B124" s="450" t="s">
        <v>18633</v>
      </c>
      <c r="C124" s="450" t="n">
        <v>2005</v>
      </c>
      <c r="D124" s="451" t="n">
        <v>38688</v>
      </c>
      <c r="E124" s="450" t="s">
        <v>18634</v>
      </c>
      <c r="F124" s="450" t="s">
        <v>379</v>
      </c>
      <c r="G124" s="450" t="s">
        <v>441</v>
      </c>
      <c r="H124" s="450" t="s">
        <v>15247</v>
      </c>
      <c r="I124" s="451" t="n">
        <v>39693</v>
      </c>
      <c r="J124" s="452" t="n">
        <v>9</v>
      </c>
      <c r="K124" s="633" t="s">
        <v>47</v>
      </c>
      <c r="L124" s="452" t="s">
        <v>60</v>
      </c>
      <c r="M124" s="455" t="n">
        <f aca="false">I124-D124</f>
        <v>1005</v>
      </c>
    </row>
    <row r="125" customFormat="false" ht="12.75" hidden="false" customHeight="true" outlineLevel="0" collapsed="false">
      <c r="A125" s="594" t="n">
        <v>12408</v>
      </c>
      <c r="B125" s="458" t="s">
        <v>18635</v>
      </c>
      <c r="C125" s="458" t="n">
        <v>2006</v>
      </c>
      <c r="D125" s="459" t="n">
        <v>38889</v>
      </c>
      <c r="E125" s="458" t="s">
        <v>18636</v>
      </c>
      <c r="F125" s="458" t="s">
        <v>379</v>
      </c>
      <c r="G125" s="458" t="s">
        <v>441</v>
      </c>
      <c r="H125" s="458" t="s">
        <v>15247</v>
      </c>
      <c r="I125" s="459" t="n">
        <v>39693</v>
      </c>
      <c r="J125" s="460" t="n">
        <v>9</v>
      </c>
      <c r="K125" s="633" t="s">
        <v>47</v>
      </c>
      <c r="L125" s="458" t="s">
        <v>60</v>
      </c>
      <c r="M125" s="463" t="n">
        <f aca="false">I125-D125</f>
        <v>804</v>
      </c>
    </row>
    <row r="126" customFormat="false" ht="12.75" hidden="false" customHeight="true" outlineLevel="0" collapsed="false">
      <c r="A126" s="602" t="n">
        <v>12508</v>
      </c>
      <c r="B126" s="450" t="s">
        <v>18637</v>
      </c>
      <c r="C126" s="450" t="n">
        <v>2005</v>
      </c>
      <c r="D126" s="451" t="n">
        <v>38708</v>
      </c>
      <c r="E126" s="450" t="s">
        <v>18638</v>
      </c>
      <c r="F126" s="450" t="s">
        <v>18639</v>
      </c>
      <c r="G126" s="450" t="s">
        <v>144</v>
      </c>
      <c r="H126" s="450" t="s">
        <v>134</v>
      </c>
      <c r="I126" s="451" t="n">
        <v>39699</v>
      </c>
      <c r="J126" s="452" t="n">
        <v>9</v>
      </c>
      <c r="K126" s="631" t="s">
        <v>42</v>
      </c>
      <c r="L126" s="452" t="s">
        <v>60</v>
      </c>
      <c r="M126" s="455" t="n">
        <f aca="false">I126-D126</f>
        <v>991</v>
      </c>
    </row>
    <row r="127" customFormat="false" ht="12.75" hidden="false" customHeight="true" outlineLevel="0" collapsed="false">
      <c r="A127" s="594" t="n">
        <v>12608</v>
      </c>
      <c r="B127" s="458" t="s">
        <v>18640</v>
      </c>
      <c r="C127" s="458" t="n">
        <v>2006</v>
      </c>
      <c r="D127" s="459" t="n">
        <v>38748</v>
      </c>
      <c r="E127" s="458" t="s">
        <v>18641</v>
      </c>
      <c r="F127" s="458" t="s">
        <v>8232</v>
      </c>
      <c r="G127" s="458" t="s">
        <v>441</v>
      </c>
      <c r="H127" s="458" t="s">
        <v>2677</v>
      </c>
      <c r="I127" s="459" t="n">
        <v>39703</v>
      </c>
      <c r="J127" s="460" t="n">
        <v>9</v>
      </c>
      <c r="K127" s="633" t="s">
        <v>47</v>
      </c>
      <c r="L127" s="458" t="s">
        <v>60</v>
      </c>
      <c r="M127" s="463" t="n">
        <f aca="false">I127-D127</f>
        <v>955</v>
      </c>
    </row>
    <row r="128" customFormat="false" ht="12.75" hidden="false" customHeight="true" outlineLevel="0" collapsed="false">
      <c r="A128" s="602" t="n">
        <v>12708</v>
      </c>
      <c r="B128" s="450" t="s">
        <v>18642</v>
      </c>
      <c r="C128" s="450" t="n">
        <v>2004</v>
      </c>
      <c r="D128" s="451" t="n">
        <v>38345</v>
      </c>
      <c r="E128" s="450" t="s">
        <v>18643</v>
      </c>
      <c r="F128" s="450" t="s">
        <v>18644</v>
      </c>
      <c r="G128" s="450" t="s">
        <v>144</v>
      </c>
      <c r="H128" s="450" t="s">
        <v>18645</v>
      </c>
      <c r="I128" s="451" t="n">
        <v>39714</v>
      </c>
      <c r="J128" s="452" t="n">
        <v>9</v>
      </c>
      <c r="K128" s="631" t="s">
        <v>42</v>
      </c>
      <c r="L128" s="452" t="s">
        <v>61</v>
      </c>
      <c r="M128" s="455" t="n">
        <f aca="false">I128-D128</f>
        <v>1369</v>
      </c>
    </row>
    <row r="129" customFormat="false" ht="12.75" hidden="false" customHeight="true" outlineLevel="0" collapsed="false">
      <c r="A129" s="594" t="n">
        <v>12808</v>
      </c>
      <c r="B129" s="458" t="s">
        <v>18646</v>
      </c>
      <c r="C129" s="458" t="n">
        <v>2006</v>
      </c>
      <c r="D129" s="459" t="n">
        <v>38940</v>
      </c>
      <c r="E129" s="458" t="s">
        <v>18647</v>
      </c>
      <c r="F129" s="458" t="s">
        <v>365</v>
      </c>
      <c r="G129" s="458" t="s">
        <v>1174</v>
      </c>
      <c r="H129" s="458" t="s">
        <v>5230</v>
      </c>
      <c r="I129" s="459" t="n">
        <v>39714</v>
      </c>
      <c r="J129" s="460" t="n">
        <v>9</v>
      </c>
      <c r="K129" s="633" t="s">
        <v>47</v>
      </c>
      <c r="L129" s="458" t="s">
        <v>60</v>
      </c>
      <c r="M129" s="463" t="n">
        <f aca="false">I129-D129</f>
        <v>774</v>
      </c>
    </row>
    <row r="130" customFormat="false" ht="12.75" hidden="false" customHeight="true" outlineLevel="0" collapsed="false">
      <c r="A130" s="602" t="n">
        <v>12908</v>
      </c>
      <c r="B130" s="450" t="s">
        <v>18648</v>
      </c>
      <c r="C130" s="450" t="n">
        <v>2001</v>
      </c>
      <c r="D130" s="451" t="n">
        <v>37223</v>
      </c>
      <c r="E130" s="450" t="s">
        <v>18649</v>
      </c>
      <c r="F130" s="450" t="s">
        <v>699</v>
      </c>
      <c r="G130" s="450" t="s">
        <v>144</v>
      </c>
      <c r="H130" s="450" t="s">
        <v>119</v>
      </c>
      <c r="I130" s="451" t="n">
        <v>39715</v>
      </c>
      <c r="J130" s="452" t="n">
        <v>9</v>
      </c>
      <c r="K130" s="633" t="s">
        <v>47</v>
      </c>
      <c r="L130" s="452" t="s">
        <v>60</v>
      </c>
      <c r="M130" s="455" t="n">
        <f aca="false">I130-D130</f>
        <v>2492</v>
      </c>
    </row>
    <row r="131" customFormat="false" ht="12.75" hidden="false" customHeight="true" outlineLevel="0" collapsed="false">
      <c r="A131" s="594" t="n">
        <v>13008</v>
      </c>
      <c r="B131" s="458" t="s">
        <v>18650</v>
      </c>
      <c r="C131" s="458" t="n">
        <v>2004</v>
      </c>
      <c r="D131" s="459" t="n">
        <v>38210</v>
      </c>
      <c r="E131" s="458" t="s">
        <v>18651</v>
      </c>
      <c r="F131" s="458" t="s">
        <v>6402</v>
      </c>
      <c r="G131" s="458" t="s">
        <v>1474</v>
      </c>
      <c r="H131" s="458" t="s">
        <v>1109</v>
      </c>
      <c r="I131" s="459" t="n">
        <v>39717</v>
      </c>
      <c r="J131" s="460" t="n">
        <v>9</v>
      </c>
      <c r="K131" s="633" t="s">
        <v>47</v>
      </c>
      <c r="L131" s="458" t="s">
        <v>58</v>
      </c>
      <c r="M131" s="463" t="n">
        <f aca="false">I131-D131</f>
        <v>1507</v>
      </c>
    </row>
    <row r="132" customFormat="false" ht="12.75" hidden="false" customHeight="true" outlineLevel="0" collapsed="false">
      <c r="A132" s="602" t="n">
        <v>13108</v>
      </c>
      <c r="B132" s="450" t="s">
        <v>18652</v>
      </c>
      <c r="C132" s="450" t="n">
        <v>2007</v>
      </c>
      <c r="D132" s="451" t="n">
        <v>39443</v>
      </c>
      <c r="E132" s="450" t="s">
        <v>18653</v>
      </c>
      <c r="F132" s="450" t="s">
        <v>4623</v>
      </c>
      <c r="G132" s="450" t="s">
        <v>441</v>
      </c>
      <c r="H132" s="450" t="s">
        <v>13006</v>
      </c>
      <c r="I132" s="451" t="n">
        <v>39717</v>
      </c>
      <c r="J132" s="452" t="n">
        <v>9</v>
      </c>
      <c r="K132" s="631" t="s">
        <v>42</v>
      </c>
      <c r="L132" s="452" t="s">
        <v>58</v>
      </c>
      <c r="M132" s="455" t="n">
        <f aca="false">I132-D132</f>
        <v>274</v>
      </c>
    </row>
    <row r="133" customFormat="false" ht="12.75" hidden="false" customHeight="true" outlineLevel="0" collapsed="false">
      <c r="A133" s="594" t="n">
        <v>13208</v>
      </c>
      <c r="B133" s="458" t="s">
        <v>18654</v>
      </c>
      <c r="C133" s="458" t="n">
        <v>2007</v>
      </c>
      <c r="D133" s="459" t="n">
        <v>39356</v>
      </c>
      <c r="E133" s="458" t="s">
        <v>18655</v>
      </c>
      <c r="F133" s="458" t="s">
        <v>15802</v>
      </c>
      <c r="G133" s="458" t="s">
        <v>441</v>
      </c>
      <c r="H133" s="458" t="s">
        <v>15992</v>
      </c>
      <c r="I133" s="459" t="n">
        <v>39720</v>
      </c>
      <c r="J133" s="460" t="n">
        <v>9</v>
      </c>
      <c r="K133" s="631" t="s">
        <v>42</v>
      </c>
      <c r="L133" s="458" t="s">
        <v>58</v>
      </c>
      <c r="M133" s="463" t="n">
        <f aca="false">I133-D133</f>
        <v>364</v>
      </c>
    </row>
    <row r="134" customFormat="false" ht="12.75" hidden="false" customHeight="true" outlineLevel="0" collapsed="false">
      <c r="A134" s="602" t="n">
        <v>13308</v>
      </c>
      <c r="B134" s="450" t="s">
        <v>18656</v>
      </c>
      <c r="C134" s="450" t="n">
        <v>2007</v>
      </c>
      <c r="D134" s="451" t="n">
        <v>39443</v>
      </c>
      <c r="E134" s="450" t="s">
        <v>18657</v>
      </c>
      <c r="F134" s="450" t="s">
        <v>4623</v>
      </c>
      <c r="G134" s="450" t="s">
        <v>441</v>
      </c>
      <c r="H134" s="450" t="s">
        <v>13006</v>
      </c>
      <c r="I134" s="451" t="n">
        <v>39720</v>
      </c>
      <c r="J134" s="452" t="n">
        <v>9</v>
      </c>
      <c r="K134" s="631" t="s">
        <v>42</v>
      </c>
      <c r="L134" s="452" t="s">
        <v>58</v>
      </c>
      <c r="M134" s="455" t="n">
        <f aca="false">I134-D134</f>
        <v>277</v>
      </c>
    </row>
    <row r="135" customFormat="false" ht="12.75" hidden="false" customHeight="true" outlineLevel="0" collapsed="false">
      <c r="A135" s="594" t="n">
        <v>13408</v>
      </c>
      <c r="B135" s="458" t="s">
        <v>18658</v>
      </c>
      <c r="C135" s="458" t="n">
        <v>2007</v>
      </c>
      <c r="D135" s="459" t="n">
        <v>39211</v>
      </c>
      <c r="E135" s="458" t="s">
        <v>18659</v>
      </c>
      <c r="F135" s="458" t="s">
        <v>4623</v>
      </c>
      <c r="G135" s="458" t="s">
        <v>441</v>
      </c>
      <c r="H135" s="458" t="s">
        <v>13006</v>
      </c>
      <c r="I135" s="459" t="n">
        <v>39727</v>
      </c>
      <c r="J135" s="460" t="n">
        <v>10</v>
      </c>
      <c r="K135" s="631" t="s">
        <v>42</v>
      </c>
      <c r="L135" s="458" t="s">
        <v>58</v>
      </c>
      <c r="M135" s="463" t="n">
        <f aca="false">I135-D135</f>
        <v>516</v>
      </c>
    </row>
    <row r="136" customFormat="false" ht="12.75" hidden="false" customHeight="true" outlineLevel="0" collapsed="false">
      <c r="A136" s="602" t="n">
        <v>13508</v>
      </c>
      <c r="B136" s="450" t="s">
        <v>18660</v>
      </c>
      <c r="C136" s="450" t="n">
        <v>2006</v>
      </c>
      <c r="D136" s="451" t="n">
        <v>38726</v>
      </c>
      <c r="E136" s="450" t="s">
        <v>18661</v>
      </c>
      <c r="F136" s="450" t="s">
        <v>699</v>
      </c>
      <c r="G136" s="450" t="s">
        <v>144</v>
      </c>
      <c r="H136" s="450" t="s">
        <v>10110</v>
      </c>
      <c r="I136" s="451" t="n">
        <v>39727</v>
      </c>
      <c r="J136" s="452" t="n">
        <v>10</v>
      </c>
      <c r="K136" s="634" t="s">
        <v>45</v>
      </c>
      <c r="L136" s="452" t="s">
        <v>60</v>
      </c>
      <c r="M136" s="455" t="n">
        <f aca="false">I136-D136</f>
        <v>1001</v>
      </c>
    </row>
    <row r="137" customFormat="false" ht="12.75" hidden="false" customHeight="true" outlineLevel="0" collapsed="false">
      <c r="A137" s="594" t="n">
        <v>13608</v>
      </c>
      <c r="B137" s="458" t="s">
        <v>18662</v>
      </c>
      <c r="C137" s="458" t="n">
        <v>2007</v>
      </c>
      <c r="D137" s="459" t="n">
        <v>39255</v>
      </c>
      <c r="E137" s="458" t="s">
        <v>18663</v>
      </c>
      <c r="F137" s="458" t="s">
        <v>699</v>
      </c>
      <c r="G137" s="458" t="s">
        <v>1174</v>
      </c>
      <c r="H137" s="458" t="s">
        <v>119</v>
      </c>
      <c r="I137" s="459" t="n">
        <v>39727</v>
      </c>
      <c r="J137" s="460" t="n">
        <v>10</v>
      </c>
      <c r="K137" s="631" t="s">
        <v>42</v>
      </c>
      <c r="L137" s="458" t="s">
        <v>60</v>
      </c>
      <c r="M137" s="463" t="n">
        <f aca="false">I137-D137</f>
        <v>472</v>
      </c>
    </row>
    <row r="138" customFormat="false" ht="12.75" hidden="false" customHeight="true" outlineLevel="0" collapsed="false">
      <c r="A138" s="602" t="n">
        <v>13708</v>
      </c>
      <c r="B138" s="450" t="s">
        <v>18664</v>
      </c>
      <c r="C138" s="450" t="n">
        <v>2005</v>
      </c>
      <c r="D138" s="451" t="n">
        <v>38709</v>
      </c>
      <c r="E138" s="450" t="s">
        <v>18665</v>
      </c>
      <c r="F138" s="450" t="s">
        <v>10617</v>
      </c>
      <c r="G138" s="450" t="s">
        <v>441</v>
      </c>
      <c r="H138" s="450" t="s">
        <v>6755</v>
      </c>
      <c r="I138" s="451" t="n">
        <v>39730</v>
      </c>
      <c r="J138" s="452" t="n">
        <v>10</v>
      </c>
      <c r="K138" s="633" t="s">
        <v>47</v>
      </c>
      <c r="L138" s="452" t="s">
        <v>60</v>
      </c>
      <c r="M138" s="455" t="n">
        <f aca="false">I138-D138</f>
        <v>1021</v>
      </c>
    </row>
    <row r="139" customFormat="false" ht="12.75" hidden="false" customHeight="true" outlineLevel="0" collapsed="false">
      <c r="A139" s="594" t="n">
        <v>13808</v>
      </c>
      <c r="B139" s="458" t="s">
        <v>18666</v>
      </c>
      <c r="C139" s="458" t="n">
        <v>2007</v>
      </c>
      <c r="D139" s="459" t="n">
        <v>39239</v>
      </c>
      <c r="E139" s="458" t="s">
        <v>18667</v>
      </c>
      <c r="F139" s="458" t="s">
        <v>4623</v>
      </c>
      <c r="G139" s="458" t="s">
        <v>441</v>
      </c>
      <c r="H139" s="458" t="s">
        <v>13006</v>
      </c>
      <c r="I139" s="459" t="n">
        <v>39737</v>
      </c>
      <c r="J139" s="460" t="n">
        <v>10</v>
      </c>
      <c r="K139" s="631" t="s">
        <v>42</v>
      </c>
      <c r="L139" s="458" t="s">
        <v>58</v>
      </c>
      <c r="M139" s="463" t="n">
        <f aca="false">I139-D139</f>
        <v>498</v>
      </c>
    </row>
    <row r="140" customFormat="false" ht="12.75" hidden="false" customHeight="true" outlineLevel="0" collapsed="false">
      <c r="A140" s="602" t="n">
        <v>13908</v>
      </c>
      <c r="B140" s="450" t="s">
        <v>18668</v>
      </c>
      <c r="C140" s="450" t="n">
        <v>2004</v>
      </c>
      <c r="D140" s="451" t="n">
        <v>38110</v>
      </c>
      <c r="E140" s="450" t="s">
        <v>18669</v>
      </c>
      <c r="F140" s="450" t="s">
        <v>1655</v>
      </c>
      <c r="G140" s="450" t="s">
        <v>144</v>
      </c>
      <c r="H140" s="450" t="s">
        <v>373</v>
      </c>
      <c r="I140" s="451" t="n">
        <v>39741</v>
      </c>
      <c r="J140" s="452" t="n">
        <v>10</v>
      </c>
      <c r="K140" s="634" t="s">
        <v>45</v>
      </c>
      <c r="L140" s="452" t="s">
        <v>58</v>
      </c>
      <c r="M140" s="455" t="n">
        <f aca="false">I140-D140</f>
        <v>1631</v>
      </c>
    </row>
    <row r="141" customFormat="false" ht="12.75" hidden="false" customHeight="true" outlineLevel="0" collapsed="false">
      <c r="A141" s="594" t="n">
        <v>14008</v>
      </c>
      <c r="B141" s="458" t="s">
        <v>18670</v>
      </c>
      <c r="C141" s="458" t="n">
        <v>2006</v>
      </c>
      <c r="D141" s="459" t="n">
        <v>38841</v>
      </c>
      <c r="E141" s="458" t="s">
        <v>18671</v>
      </c>
      <c r="F141" s="458" t="s">
        <v>8232</v>
      </c>
      <c r="G141" s="458" t="s">
        <v>441</v>
      </c>
      <c r="H141" s="458" t="s">
        <v>4431</v>
      </c>
      <c r="I141" s="459" t="n">
        <v>39742</v>
      </c>
      <c r="J141" s="460" t="n">
        <v>10</v>
      </c>
      <c r="K141" s="633" t="s">
        <v>47</v>
      </c>
      <c r="L141" s="458" t="s">
        <v>60</v>
      </c>
      <c r="M141" s="463" t="n">
        <f aca="false">I141-D141</f>
        <v>901</v>
      </c>
    </row>
    <row r="142" customFormat="false" ht="12.75" hidden="false" customHeight="true" outlineLevel="0" collapsed="false">
      <c r="A142" s="602" t="n">
        <v>14108</v>
      </c>
      <c r="B142" s="450" t="s">
        <v>18672</v>
      </c>
      <c r="C142" s="450" t="n">
        <v>2006</v>
      </c>
      <c r="D142" s="451" t="n">
        <v>38952</v>
      </c>
      <c r="E142" s="450" t="s">
        <v>18673</v>
      </c>
      <c r="F142" s="450" t="s">
        <v>1693</v>
      </c>
      <c r="G142" s="450" t="s">
        <v>441</v>
      </c>
      <c r="H142" s="450" t="s">
        <v>13006</v>
      </c>
      <c r="I142" s="451" t="n">
        <v>39744</v>
      </c>
      <c r="J142" s="452" t="n">
        <v>10</v>
      </c>
      <c r="K142" s="634" t="s">
        <v>45</v>
      </c>
      <c r="L142" s="452" t="s">
        <v>58</v>
      </c>
      <c r="M142" s="455" t="n">
        <f aca="false">I142-D142</f>
        <v>792</v>
      </c>
    </row>
    <row r="143" customFormat="false" ht="12.75" hidden="false" customHeight="true" outlineLevel="0" collapsed="false">
      <c r="A143" s="594" t="n">
        <v>14208</v>
      </c>
      <c r="B143" s="458" t="s">
        <v>18674</v>
      </c>
      <c r="C143" s="458" t="n">
        <v>2005</v>
      </c>
      <c r="D143" s="459" t="n">
        <v>38677</v>
      </c>
      <c r="E143" s="458" t="s">
        <v>18675</v>
      </c>
      <c r="F143" s="458" t="s">
        <v>1693</v>
      </c>
      <c r="G143" s="458" t="s">
        <v>441</v>
      </c>
      <c r="H143" s="458" t="s">
        <v>13006</v>
      </c>
      <c r="I143" s="459" t="n">
        <v>39744</v>
      </c>
      <c r="J143" s="460" t="n">
        <v>10</v>
      </c>
      <c r="K143" s="634" t="s">
        <v>45</v>
      </c>
      <c r="L143" s="458" t="s">
        <v>58</v>
      </c>
      <c r="M143" s="463" t="n">
        <f aca="false">I143-D143</f>
        <v>1067</v>
      </c>
    </row>
    <row r="144" customFormat="false" ht="12.75" hidden="false" customHeight="true" outlineLevel="0" collapsed="false">
      <c r="A144" s="602" t="n">
        <v>14308</v>
      </c>
      <c r="B144" s="450" t="s">
        <v>18676</v>
      </c>
      <c r="C144" s="450" t="n">
        <v>2006</v>
      </c>
      <c r="D144" s="451" t="n">
        <v>38825</v>
      </c>
      <c r="E144" s="450" t="s">
        <v>18677</v>
      </c>
      <c r="F144" s="450" t="s">
        <v>1097</v>
      </c>
      <c r="G144" s="450" t="s">
        <v>441</v>
      </c>
      <c r="H144" s="450" t="s">
        <v>693</v>
      </c>
      <c r="I144" s="451" t="n">
        <v>39755</v>
      </c>
      <c r="J144" s="452" t="n">
        <v>11</v>
      </c>
      <c r="K144" s="634" t="s">
        <v>45</v>
      </c>
      <c r="L144" s="452" t="s">
        <v>60</v>
      </c>
      <c r="M144" s="455" t="n">
        <f aca="false">I144-D144</f>
        <v>930</v>
      </c>
    </row>
    <row r="145" customFormat="false" ht="12.75" hidden="false" customHeight="true" outlineLevel="0" collapsed="false">
      <c r="A145" s="594" t="n">
        <v>14408</v>
      </c>
      <c r="B145" s="458" t="s">
        <v>18678</v>
      </c>
      <c r="C145" s="458" t="n">
        <v>2007</v>
      </c>
      <c r="D145" s="459" t="n">
        <v>39387</v>
      </c>
      <c r="E145" s="458" t="s">
        <v>18679</v>
      </c>
      <c r="F145" s="458" t="s">
        <v>113</v>
      </c>
      <c r="G145" s="458" t="s">
        <v>1174</v>
      </c>
      <c r="H145" s="458" t="s">
        <v>6570</v>
      </c>
      <c r="I145" s="459" t="n">
        <v>39756</v>
      </c>
      <c r="J145" s="460" t="n">
        <v>11</v>
      </c>
      <c r="K145" s="633" t="s">
        <v>47</v>
      </c>
      <c r="L145" s="458" t="s">
        <v>60</v>
      </c>
      <c r="M145" s="463" t="n">
        <f aca="false">I145-D145</f>
        <v>369</v>
      </c>
    </row>
    <row r="146" customFormat="false" ht="12.75" hidden="false" customHeight="true" outlineLevel="0" collapsed="false">
      <c r="A146" s="602" t="n">
        <v>14508</v>
      </c>
      <c r="B146" s="450" t="s">
        <v>18680</v>
      </c>
      <c r="C146" s="450" t="n">
        <v>2007</v>
      </c>
      <c r="D146" s="451" t="n">
        <v>39377</v>
      </c>
      <c r="E146" s="450" t="s">
        <v>18681</v>
      </c>
      <c r="F146" s="450" t="s">
        <v>113</v>
      </c>
      <c r="G146" s="450" t="s">
        <v>1174</v>
      </c>
      <c r="H146" s="450" t="s">
        <v>1266</v>
      </c>
      <c r="I146" s="451" t="n">
        <v>39758</v>
      </c>
      <c r="J146" s="452" t="n">
        <v>11</v>
      </c>
      <c r="K146" s="633" t="s">
        <v>47</v>
      </c>
      <c r="L146" s="452" t="s">
        <v>60</v>
      </c>
      <c r="M146" s="455" t="n">
        <f aca="false">I146-D146</f>
        <v>381</v>
      </c>
    </row>
    <row r="147" customFormat="false" ht="12.75" hidden="false" customHeight="true" outlineLevel="0" collapsed="false">
      <c r="A147" s="594" t="n">
        <v>14608</v>
      </c>
      <c r="B147" s="458" t="s">
        <v>18682</v>
      </c>
      <c r="C147" s="458" t="n">
        <v>2007</v>
      </c>
      <c r="D147" s="459" t="n">
        <v>39351</v>
      </c>
      <c r="E147" s="458" t="s">
        <v>18683</v>
      </c>
      <c r="F147" s="458" t="s">
        <v>10311</v>
      </c>
      <c r="G147" s="458" t="s">
        <v>1174</v>
      </c>
      <c r="H147" s="458" t="s">
        <v>16610</v>
      </c>
      <c r="I147" s="459" t="n">
        <v>39758</v>
      </c>
      <c r="J147" s="460" t="n">
        <v>11</v>
      </c>
      <c r="K147" s="633" t="s">
        <v>47</v>
      </c>
      <c r="L147" s="458" t="s">
        <v>58</v>
      </c>
      <c r="M147" s="463" t="n">
        <f aca="false">I147-D147</f>
        <v>407</v>
      </c>
    </row>
    <row r="148" customFormat="false" ht="12.75" hidden="false" customHeight="true" outlineLevel="0" collapsed="false">
      <c r="A148" s="602" t="n">
        <v>14708</v>
      </c>
      <c r="B148" s="450" t="s">
        <v>18684</v>
      </c>
      <c r="C148" s="450" t="n">
        <v>2007</v>
      </c>
      <c r="D148" s="451" t="n">
        <v>39414</v>
      </c>
      <c r="E148" s="450" t="s">
        <v>18685</v>
      </c>
      <c r="F148" s="450" t="s">
        <v>10311</v>
      </c>
      <c r="G148" s="450" t="s">
        <v>1174</v>
      </c>
      <c r="H148" s="450" t="s">
        <v>14391</v>
      </c>
      <c r="I148" s="451" t="n">
        <v>39758</v>
      </c>
      <c r="J148" s="452" t="n">
        <v>11</v>
      </c>
      <c r="K148" s="633" t="s">
        <v>47</v>
      </c>
      <c r="L148" s="452" t="s">
        <v>58</v>
      </c>
      <c r="M148" s="455" t="n">
        <f aca="false">I148-D148</f>
        <v>344</v>
      </c>
    </row>
    <row r="149" customFormat="false" ht="12.75" hidden="false" customHeight="true" outlineLevel="0" collapsed="false">
      <c r="A149" s="594" t="n">
        <v>14808</v>
      </c>
      <c r="B149" s="458" t="s">
        <v>18686</v>
      </c>
      <c r="C149" s="458" t="n">
        <v>2005</v>
      </c>
      <c r="D149" s="459" t="n">
        <v>38434</v>
      </c>
      <c r="E149" s="458" t="s">
        <v>18687</v>
      </c>
      <c r="F149" s="458" t="s">
        <v>1452</v>
      </c>
      <c r="G149" s="458" t="s">
        <v>1188</v>
      </c>
      <c r="H149" s="458" t="s">
        <v>134</v>
      </c>
      <c r="I149" s="459" t="n">
        <v>39758</v>
      </c>
      <c r="J149" s="460" t="n">
        <v>11</v>
      </c>
      <c r="K149" s="633" t="s">
        <v>47</v>
      </c>
      <c r="L149" s="458" t="s">
        <v>58</v>
      </c>
      <c r="M149" s="463" t="n">
        <f aca="false">I149-D149</f>
        <v>1324</v>
      </c>
    </row>
    <row r="150" customFormat="false" ht="12.75" hidden="false" customHeight="true" outlineLevel="0" collapsed="false">
      <c r="A150" s="602" t="n">
        <v>14908</v>
      </c>
      <c r="B150" s="450" t="s">
        <v>18688</v>
      </c>
      <c r="C150" s="450" t="n">
        <v>2007</v>
      </c>
      <c r="D150" s="451" t="n">
        <v>39279</v>
      </c>
      <c r="E150" s="450" t="s">
        <v>18689</v>
      </c>
      <c r="F150" s="450" t="s">
        <v>15092</v>
      </c>
      <c r="G150" s="450" t="s">
        <v>441</v>
      </c>
      <c r="H150" s="450" t="s">
        <v>1059</v>
      </c>
      <c r="I150" s="451" t="n">
        <v>39759</v>
      </c>
      <c r="J150" s="452" t="n">
        <v>11</v>
      </c>
      <c r="K150" s="631" t="s">
        <v>42</v>
      </c>
      <c r="L150" s="452" t="s">
        <v>58</v>
      </c>
      <c r="M150" s="455" t="n">
        <f aca="false">I150-D150</f>
        <v>480</v>
      </c>
    </row>
    <row r="151" customFormat="false" ht="12.75" hidden="false" customHeight="true" outlineLevel="0" collapsed="false">
      <c r="A151" s="594" t="n">
        <v>15008</v>
      </c>
      <c r="B151" s="458" t="s">
        <v>18690</v>
      </c>
      <c r="C151" s="458" t="n">
        <v>2006</v>
      </c>
      <c r="D151" s="459" t="n">
        <v>39009</v>
      </c>
      <c r="E151" s="458" t="s">
        <v>18691</v>
      </c>
      <c r="F151" s="458" t="s">
        <v>8232</v>
      </c>
      <c r="G151" s="458" t="s">
        <v>441</v>
      </c>
      <c r="H151" s="458" t="s">
        <v>5230</v>
      </c>
      <c r="I151" s="459" t="n">
        <v>39764</v>
      </c>
      <c r="J151" s="460" t="n">
        <v>11</v>
      </c>
      <c r="K151" s="633" t="s">
        <v>47</v>
      </c>
      <c r="L151" s="458" t="s">
        <v>60</v>
      </c>
      <c r="M151" s="463" t="n">
        <f aca="false">I151-D151</f>
        <v>755</v>
      </c>
    </row>
    <row r="152" customFormat="false" ht="12.75" hidden="false" customHeight="true" outlineLevel="0" collapsed="false">
      <c r="A152" s="602" t="n">
        <v>15108</v>
      </c>
      <c r="B152" s="450" t="s">
        <v>18692</v>
      </c>
      <c r="C152" s="450" t="n">
        <v>2005</v>
      </c>
      <c r="D152" s="451" t="n">
        <v>38428</v>
      </c>
      <c r="E152" s="450" t="s">
        <v>18693</v>
      </c>
      <c r="F152" s="450" t="s">
        <v>379</v>
      </c>
      <c r="G152" s="450" t="s">
        <v>441</v>
      </c>
      <c r="H152" s="450" t="s">
        <v>2654</v>
      </c>
      <c r="I152" s="451" t="n">
        <v>39766</v>
      </c>
      <c r="J152" s="452" t="n">
        <v>11</v>
      </c>
      <c r="K152" s="631" t="s">
        <v>42</v>
      </c>
      <c r="L152" s="452" t="s">
        <v>58</v>
      </c>
      <c r="M152" s="455" t="n">
        <f aca="false">I152-D152</f>
        <v>1338</v>
      </c>
    </row>
    <row r="153" customFormat="false" ht="12.75" hidden="false" customHeight="true" outlineLevel="0" collapsed="false">
      <c r="A153" s="594" t="n">
        <v>15208</v>
      </c>
      <c r="B153" s="458" t="s">
        <v>18694</v>
      </c>
      <c r="C153" s="458" t="n">
        <v>2007</v>
      </c>
      <c r="D153" s="459" t="n">
        <v>39365</v>
      </c>
      <c r="E153" s="458" t="s">
        <v>18695</v>
      </c>
      <c r="F153" s="458" t="s">
        <v>1357</v>
      </c>
      <c r="G153" s="458" t="s">
        <v>1174</v>
      </c>
      <c r="H153" s="458" t="s">
        <v>4431</v>
      </c>
      <c r="I153" s="459" t="n">
        <v>39770</v>
      </c>
      <c r="J153" s="460" t="n">
        <v>11</v>
      </c>
      <c r="K153" s="631" t="s">
        <v>42</v>
      </c>
      <c r="L153" s="458" t="s">
        <v>60</v>
      </c>
      <c r="M153" s="463" t="n">
        <f aca="false">I153-D153</f>
        <v>405</v>
      </c>
    </row>
    <row r="154" customFormat="false" ht="12.75" hidden="false" customHeight="true" outlineLevel="0" collapsed="false">
      <c r="A154" s="602" t="n">
        <v>15308</v>
      </c>
      <c r="B154" s="450" t="s">
        <v>18696</v>
      </c>
      <c r="C154" s="450" t="n">
        <v>2007</v>
      </c>
      <c r="D154" s="451" t="n">
        <v>39365</v>
      </c>
      <c r="E154" s="450" t="s">
        <v>18697</v>
      </c>
      <c r="F154" s="450" t="s">
        <v>1609</v>
      </c>
      <c r="G154" s="450" t="s">
        <v>1174</v>
      </c>
      <c r="H154" s="450" t="s">
        <v>4431</v>
      </c>
      <c r="I154" s="451" t="n">
        <v>39770</v>
      </c>
      <c r="J154" s="452" t="n">
        <v>11</v>
      </c>
      <c r="K154" s="631" t="s">
        <v>42</v>
      </c>
      <c r="L154" s="452" t="s">
        <v>57</v>
      </c>
      <c r="M154" s="455" t="n">
        <f aca="false">I154-D154</f>
        <v>405</v>
      </c>
    </row>
    <row r="155" customFormat="false" ht="12.75" hidden="false" customHeight="true" outlineLevel="0" collapsed="false">
      <c r="A155" s="594" t="n">
        <v>15408</v>
      </c>
      <c r="B155" s="458" t="s">
        <v>18698</v>
      </c>
      <c r="C155" s="458" t="n">
        <v>2005</v>
      </c>
      <c r="D155" s="459" t="n">
        <v>38716</v>
      </c>
      <c r="E155" s="458" t="s">
        <v>18699</v>
      </c>
      <c r="F155" s="458" t="s">
        <v>18700</v>
      </c>
      <c r="G155" s="458" t="s">
        <v>144</v>
      </c>
      <c r="H155" s="458" t="s">
        <v>134</v>
      </c>
      <c r="I155" s="459" t="n">
        <v>39771</v>
      </c>
      <c r="J155" s="460" t="n">
        <v>11</v>
      </c>
      <c r="K155" s="633" t="s">
        <v>47</v>
      </c>
      <c r="L155" s="458" t="s">
        <v>60</v>
      </c>
      <c r="M155" s="463" t="n">
        <f aca="false">I155-D155</f>
        <v>1055</v>
      </c>
    </row>
    <row r="156" customFormat="false" ht="12.75" hidden="false" customHeight="true" outlineLevel="0" collapsed="false">
      <c r="A156" s="602" t="n">
        <v>15508</v>
      </c>
      <c r="B156" s="450" t="s">
        <v>18701</v>
      </c>
      <c r="C156" s="450" t="n">
        <v>2006</v>
      </c>
      <c r="D156" s="451" t="n">
        <v>38957</v>
      </c>
      <c r="E156" s="450" t="s">
        <v>18702</v>
      </c>
      <c r="F156" s="450" t="s">
        <v>113</v>
      </c>
      <c r="G156" s="450" t="s">
        <v>441</v>
      </c>
      <c r="H156" s="450" t="s">
        <v>15992</v>
      </c>
      <c r="I156" s="451" t="n">
        <v>39771</v>
      </c>
      <c r="J156" s="452" t="n">
        <v>11</v>
      </c>
      <c r="K156" s="633" t="s">
        <v>47</v>
      </c>
      <c r="L156" s="452" t="s">
        <v>60</v>
      </c>
      <c r="M156" s="455" t="n">
        <f aca="false">I156-D156</f>
        <v>814</v>
      </c>
    </row>
    <row r="157" customFormat="false" ht="12.75" hidden="false" customHeight="true" outlineLevel="0" collapsed="false">
      <c r="A157" s="594" t="n">
        <v>15608</v>
      </c>
      <c r="B157" s="458" t="s">
        <v>18703</v>
      </c>
      <c r="C157" s="458" t="n">
        <v>2004</v>
      </c>
      <c r="D157" s="459" t="n">
        <v>38275</v>
      </c>
      <c r="E157" s="458" t="s">
        <v>18704</v>
      </c>
      <c r="F157" s="458" t="s">
        <v>3101</v>
      </c>
      <c r="G157" s="458" t="s">
        <v>441</v>
      </c>
      <c r="H157" s="458" t="s">
        <v>3339</v>
      </c>
      <c r="I157" s="459" t="n">
        <v>39776</v>
      </c>
      <c r="J157" s="460" t="n">
        <v>11</v>
      </c>
      <c r="K157" s="633" t="s">
        <v>47</v>
      </c>
      <c r="L157" s="458" t="s">
        <v>60</v>
      </c>
      <c r="M157" s="463" t="n">
        <f aca="false">I157-D157</f>
        <v>1501</v>
      </c>
    </row>
    <row r="158" customFormat="false" ht="12.75" hidden="false" customHeight="true" outlineLevel="0" collapsed="false">
      <c r="A158" s="602" t="n">
        <v>15708</v>
      </c>
      <c r="B158" s="450" t="s">
        <v>18705</v>
      </c>
      <c r="C158" s="450" t="n">
        <v>2004</v>
      </c>
      <c r="D158" s="451" t="n">
        <v>38341</v>
      </c>
      <c r="E158" s="450" t="s">
        <v>18706</v>
      </c>
      <c r="F158" s="450" t="s">
        <v>3101</v>
      </c>
      <c r="G158" s="450" t="s">
        <v>441</v>
      </c>
      <c r="H158" s="450" t="s">
        <v>3339</v>
      </c>
      <c r="I158" s="451" t="n">
        <v>39776</v>
      </c>
      <c r="J158" s="452" t="n">
        <v>11</v>
      </c>
      <c r="K158" s="631" t="s">
        <v>42</v>
      </c>
      <c r="L158" s="452" t="s">
        <v>58</v>
      </c>
      <c r="M158" s="455" t="n">
        <f aca="false">I158-D158</f>
        <v>1435</v>
      </c>
    </row>
    <row r="159" customFormat="false" ht="12.75" hidden="false" customHeight="true" outlineLevel="0" collapsed="false">
      <c r="A159" s="594" t="n">
        <v>15808</v>
      </c>
      <c r="B159" s="458" t="s">
        <v>18707</v>
      </c>
      <c r="C159" s="458" t="n">
        <v>2007</v>
      </c>
      <c r="D159" s="459" t="n">
        <v>39323</v>
      </c>
      <c r="E159" s="458" t="s">
        <v>18708</v>
      </c>
      <c r="F159" s="458" t="s">
        <v>1097</v>
      </c>
      <c r="G159" s="458" t="s">
        <v>441</v>
      </c>
      <c r="H159" s="458" t="s">
        <v>6570</v>
      </c>
      <c r="I159" s="459" t="n">
        <v>39776</v>
      </c>
      <c r="J159" s="460" t="n">
        <v>11</v>
      </c>
      <c r="K159" s="631" t="s">
        <v>42</v>
      </c>
      <c r="L159" s="458" t="s">
        <v>58</v>
      </c>
      <c r="M159" s="463" t="n">
        <f aca="false">I159-D159</f>
        <v>453</v>
      </c>
    </row>
    <row r="160" customFormat="false" ht="12.75" hidden="false" customHeight="true" outlineLevel="0" collapsed="false">
      <c r="A160" s="602" t="n">
        <v>15908</v>
      </c>
      <c r="B160" s="450" t="s">
        <v>18709</v>
      </c>
      <c r="C160" s="450" t="n">
        <v>2006</v>
      </c>
      <c r="D160" s="451" t="n">
        <v>39015</v>
      </c>
      <c r="E160" s="450" t="s">
        <v>18710</v>
      </c>
      <c r="F160" s="450" t="s">
        <v>1262</v>
      </c>
      <c r="G160" s="450" t="s">
        <v>441</v>
      </c>
      <c r="H160" s="450" t="s">
        <v>14391</v>
      </c>
      <c r="I160" s="451" t="n">
        <v>39776</v>
      </c>
      <c r="J160" s="452" t="n">
        <v>11</v>
      </c>
      <c r="K160" s="634" t="s">
        <v>45</v>
      </c>
      <c r="L160" s="452" t="s">
        <v>58</v>
      </c>
      <c r="M160" s="455" t="n">
        <f aca="false">I160-D160</f>
        <v>761</v>
      </c>
    </row>
    <row r="161" customFormat="false" ht="12.75" hidden="false" customHeight="true" outlineLevel="0" collapsed="false">
      <c r="A161" s="594" t="n">
        <v>16008</v>
      </c>
      <c r="B161" s="458" t="s">
        <v>18711</v>
      </c>
      <c r="C161" s="458" t="n">
        <v>2006</v>
      </c>
      <c r="D161" s="459" t="n">
        <v>39015</v>
      </c>
      <c r="E161" s="458" t="s">
        <v>18712</v>
      </c>
      <c r="F161" s="458" t="s">
        <v>1262</v>
      </c>
      <c r="G161" s="458" t="s">
        <v>441</v>
      </c>
      <c r="H161" s="458" t="s">
        <v>14391</v>
      </c>
      <c r="I161" s="459" t="n">
        <v>39777</v>
      </c>
      <c r="J161" s="460" t="n">
        <v>11</v>
      </c>
      <c r="K161" s="634" t="s">
        <v>45</v>
      </c>
      <c r="L161" s="458" t="s">
        <v>58</v>
      </c>
      <c r="M161" s="463" t="n">
        <f aca="false">I161-D161</f>
        <v>762</v>
      </c>
    </row>
    <row r="162" customFormat="false" ht="12.75" hidden="false" customHeight="true" outlineLevel="0" collapsed="false">
      <c r="A162" s="602" t="n">
        <v>16108</v>
      </c>
      <c r="B162" s="450" t="s">
        <v>18713</v>
      </c>
      <c r="C162" s="450" t="n">
        <v>2007</v>
      </c>
      <c r="D162" s="451" t="n">
        <v>39135</v>
      </c>
      <c r="E162" s="450" t="s">
        <v>18714</v>
      </c>
      <c r="F162" s="450" t="s">
        <v>207</v>
      </c>
      <c r="G162" s="450" t="s">
        <v>441</v>
      </c>
      <c r="H162" s="450" t="s">
        <v>14391</v>
      </c>
      <c r="I162" s="451" t="n">
        <v>39777</v>
      </c>
      <c r="J162" s="452" t="n">
        <v>11</v>
      </c>
      <c r="K162" s="631" t="s">
        <v>42</v>
      </c>
      <c r="L162" s="452" t="s">
        <v>58</v>
      </c>
      <c r="M162" s="455" t="n">
        <f aca="false">I162-D162</f>
        <v>642</v>
      </c>
    </row>
    <row r="163" customFormat="false" ht="12.75" hidden="false" customHeight="true" outlineLevel="0" collapsed="false">
      <c r="A163" s="594" t="n">
        <v>16208</v>
      </c>
      <c r="B163" s="458" t="s">
        <v>18715</v>
      </c>
      <c r="C163" s="458" t="n">
        <v>2004</v>
      </c>
      <c r="D163" s="459" t="n">
        <v>38219</v>
      </c>
      <c r="E163" s="458" t="s">
        <v>18716</v>
      </c>
      <c r="F163" s="458" t="s">
        <v>4956</v>
      </c>
      <c r="G163" s="458" t="s">
        <v>441</v>
      </c>
      <c r="H163" s="458" t="s">
        <v>16610</v>
      </c>
      <c r="I163" s="459" t="n">
        <v>39777</v>
      </c>
      <c r="J163" s="460" t="n">
        <v>11</v>
      </c>
      <c r="K163" s="633" t="s">
        <v>47</v>
      </c>
      <c r="L163" s="458" t="s">
        <v>58</v>
      </c>
      <c r="M163" s="463" t="n">
        <f aca="false">I163-D163</f>
        <v>1558</v>
      </c>
    </row>
    <row r="164" customFormat="false" ht="12.75" hidden="false" customHeight="true" outlineLevel="0" collapsed="false">
      <c r="A164" s="602" t="n">
        <v>16308</v>
      </c>
      <c r="B164" s="450" t="s">
        <v>18717</v>
      </c>
      <c r="C164" s="450" t="n">
        <v>2004</v>
      </c>
      <c r="D164" s="451" t="n">
        <v>38213</v>
      </c>
      <c r="E164" s="450" t="s">
        <v>18718</v>
      </c>
      <c r="F164" s="450" t="s">
        <v>4956</v>
      </c>
      <c r="G164" s="450" t="s">
        <v>441</v>
      </c>
      <c r="H164" s="450" t="s">
        <v>16610</v>
      </c>
      <c r="I164" s="451" t="n">
        <v>39777</v>
      </c>
      <c r="J164" s="452" t="n">
        <v>11</v>
      </c>
      <c r="K164" s="634" t="s">
        <v>45</v>
      </c>
      <c r="L164" s="452" t="s">
        <v>58</v>
      </c>
      <c r="M164" s="455" t="n">
        <f aca="false">I164-D164</f>
        <v>1564</v>
      </c>
    </row>
    <row r="165" customFormat="false" ht="12.75" hidden="false" customHeight="true" outlineLevel="0" collapsed="false">
      <c r="A165" s="594" t="n">
        <v>16408</v>
      </c>
      <c r="B165" s="458" t="s">
        <v>18719</v>
      </c>
      <c r="C165" s="458" t="n">
        <v>2006</v>
      </c>
      <c r="D165" s="459" t="n">
        <v>38959</v>
      </c>
      <c r="E165" s="458" t="s">
        <v>18720</v>
      </c>
      <c r="F165" s="458" t="s">
        <v>1262</v>
      </c>
      <c r="G165" s="458" t="s">
        <v>441</v>
      </c>
      <c r="H165" s="458" t="s">
        <v>14391</v>
      </c>
      <c r="I165" s="459" t="n">
        <v>39778</v>
      </c>
      <c r="J165" s="460" t="n">
        <v>11</v>
      </c>
      <c r="K165" s="634" t="s">
        <v>45</v>
      </c>
      <c r="L165" s="458" t="s">
        <v>58</v>
      </c>
      <c r="M165" s="463" t="n">
        <f aca="false">I165-D165</f>
        <v>819</v>
      </c>
    </row>
    <row r="166" customFormat="false" ht="12.75" hidden="false" customHeight="true" outlineLevel="0" collapsed="false">
      <c r="A166" s="602" t="n">
        <v>16508</v>
      </c>
      <c r="B166" s="450" t="s">
        <v>18721</v>
      </c>
      <c r="C166" s="450" t="n">
        <v>2006</v>
      </c>
      <c r="D166" s="451" t="n">
        <v>39017</v>
      </c>
      <c r="E166" s="450" t="s">
        <v>18722</v>
      </c>
      <c r="F166" s="450" t="s">
        <v>365</v>
      </c>
      <c r="G166" s="450" t="s">
        <v>144</v>
      </c>
      <c r="H166" s="450" t="s">
        <v>134</v>
      </c>
      <c r="I166" s="451" t="n">
        <v>39778</v>
      </c>
      <c r="J166" s="452" t="n">
        <v>11</v>
      </c>
      <c r="K166" s="633" t="s">
        <v>47</v>
      </c>
      <c r="L166" s="452" t="s">
        <v>58</v>
      </c>
      <c r="M166" s="455" t="n">
        <f aca="false">I166-D166</f>
        <v>761</v>
      </c>
    </row>
    <row r="167" customFormat="false" ht="12.75" hidden="false" customHeight="true" outlineLevel="0" collapsed="false">
      <c r="A167" s="594" t="n">
        <v>16608</v>
      </c>
      <c r="B167" s="458" t="s">
        <v>18723</v>
      </c>
      <c r="C167" s="458" t="n">
        <v>2005</v>
      </c>
      <c r="D167" s="459" t="n">
        <v>38530</v>
      </c>
      <c r="E167" s="458" t="s">
        <v>18724</v>
      </c>
      <c r="F167" s="458" t="s">
        <v>1452</v>
      </c>
      <c r="G167" s="458" t="s">
        <v>115</v>
      </c>
      <c r="H167" s="458" t="s">
        <v>134</v>
      </c>
      <c r="I167" s="459" t="n">
        <v>39779</v>
      </c>
      <c r="J167" s="460" t="n">
        <v>11</v>
      </c>
      <c r="K167" s="631" t="s">
        <v>42</v>
      </c>
      <c r="L167" s="458" t="s">
        <v>58</v>
      </c>
      <c r="M167" s="463" t="n">
        <f aca="false">I167-D167</f>
        <v>1249</v>
      </c>
    </row>
    <row r="168" customFormat="false" ht="12.75" hidden="false" customHeight="true" outlineLevel="0" collapsed="false">
      <c r="A168" s="602" t="n">
        <v>16708</v>
      </c>
      <c r="B168" s="450" t="s">
        <v>18725</v>
      </c>
      <c r="C168" s="450" t="n">
        <v>2001</v>
      </c>
      <c r="D168" s="451" t="n">
        <v>37070</v>
      </c>
      <c r="E168" s="450" t="s">
        <v>18726</v>
      </c>
      <c r="F168" s="450" t="s">
        <v>780</v>
      </c>
      <c r="G168" s="450" t="s">
        <v>441</v>
      </c>
      <c r="H168" s="450" t="s">
        <v>12073</v>
      </c>
      <c r="I168" s="451" t="n">
        <v>39793</v>
      </c>
      <c r="J168" s="452" t="n">
        <v>12</v>
      </c>
      <c r="K168" s="632" t="s">
        <v>50</v>
      </c>
      <c r="L168" s="452" t="s">
        <v>60</v>
      </c>
      <c r="M168" s="455" t="n">
        <f aca="false">I168-D168</f>
        <v>2723</v>
      </c>
    </row>
    <row r="169" customFormat="false" ht="12.75" hidden="false" customHeight="true" outlineLevel="0" collapsed="false">
      <c r="A169" s="594" t="n">
        <v>16808</v>
      </c>
      <c r="B169" s="458" t="s">
        <v>18727</v>
      </c>
      <c r="C169" s="458" t="n">
        <v>2007</v>
      </c>
      <c r="D169" s="459" t="n">
        <v>39444</v>
      </c>
      <c r="E169" s="458" t="s">
        <v>18728</v>
      </c>
      <c r="F169" s="458" t="s">
        <v>4270</v>
      </c>
      <c r="G169" s="458" t="s">
        <v>1174</v>
      </c>
      <c r="H169" s="458" t="s">
        <v>4431</v>
      </c>
      <c r="I169" s="459" t="n">
        <v>39793</v>
      </c>
      <c r="J169" s="460" t="n">
        <v>12</v>
      </c>
      <c r="K169" s="631" t="s">
        <v>42</v>
      </c>
      <c r="L169" s="458" t="s">
        <v>60</v>
      </c>
      <c r="M169" s="463" t="n">
        <f aca="false">I169-D169</f>
        <v>349</v>
      </c>
    </row>
    <row r="170" customFormat="false" ht="12.75" hidden="false" customHeight="true" outlineLevel="0" collapsed="false">
      <c r="A170" s="602" t="n">
        <v>16908</v>
      </c>
      <c r="B170" s="450" t="s">
        <v>18729</v>
      </c>
      <c r="C170" s="450" t="n">
        <v>2007</v>
      </c>
      <c r="D170" s="451" t="n">
        <v>39426</v>
      </c>
      <c r="E170" s="450" t="s">
        <v>18730</v>
      </c>
      <c r="F170" s="450" t="s">
        <v>1097</v>
      </c>
      <c r="G170" s="450" t="s">
        <v>1174</v>
      </c>
      <c r="H170" s="450" t="s">
        <v>1059</v>
      </c>
      <c r="I170" s="451" t="n">
        <v>39793</v>
      </c>
      <c r="J170" s="452" t="n">
        <v>12</v>
      </c>
      <c r="K170" s="631" t="s">
        <v>42</v>
      </c>
      <c r="L170" s="452" t="s">
        <v>60</v>
      </c>
      <c r="M170" s="455" t="n">
        <f aca="false">I170-D170</f>
        <v>367</v>
      </c>
    </row>
    <row r="171" customFormat="false" ht="12.75" hidden="false" customHeight="true" outlineLevel="0" collapsed="false">
      <c r="A171" s="594" t="n">
        <v>17008</v>
      </c>
      <c r="B171" s="458" t="s">
        <v>18731</v>
      </c>
      <c r="C171" s="458" t="n">
        <v>2006</v>
      </c>
      <c r="D171" s="459" t="n">
        <v>38937</v>
      </c>
      <c r="E171" s="458" t="s">
        <v>18732</v>
      </c>
      <c r="F171" s="458" t="s">
        <v>18733</v>
      </c>
      <c r="G171" s="458" t="s">
        <v>144</v>
      </c>
      <c r="H171" s="458" t="s">
        <v>1791</v>
      </c>
      <c r="I171" s="459" t="n">
        <v>39794</v>
      </c>
      <c r="J171" s="460" t="n">
        <v>12</v>
      </c>
      <c r="K171" s="631" t="s">
        <v>42</v>
      </c>
      <c r="L171" s="458" t="s">
        <v>58</v>
      </c>
      <c r="M171" s="463" t="n">
        <f aca="false">I171-D171</f>
        <v>857</v>
      </c>
    </row>
    <row r="172" customFormat="false" ht="12.75" hidden="false" customHeight="true" outlineLevel="0" collapsed="false">
      <c r="A172" s="602" t="n">
        <v>17108</v>
      </c>
      <c r="B172" s="450" t="s">
        <v>18734</v>
      </c>
      <c r="C172" s="450" t="n">
        <v>2005</v>
      </c>
      <c r="D172" s="451" t="n">
        <v>38716</v>
      </c>
      <c r="E172" s="450" t="s">
        <v>18735</v>
      </c>
      <c r="F172" s="450" t="s">
        <v>8232</v>
      </c>
      <c r="G172" s="450" t="s">
        <v>144</v>
      </c>
      <c r="H172" s="450" t="s">
        <v>2421</v>
      </c>
      <c r="I172" s="451" t="n">
        <v>39794</v>
      </c>
      <c r="J172" s="452" t="n">
        <v>12</v>
      </c>
      <c r="K172" s="633" t="s">
        <v>47</v>
      </c>
      <c r="L172" s="452" t="s">
        <v>60</v>
      </c>
      <c r="M172" s="455" t="n">
        <f aca="false">I172-D172</f>
        <v>1078</v>
      </c>
    </row>
    <row r="173" customFormat="false" ht="12.75" hidden="false" customHeight="true" outlineLevel="0" collapsed="false">
      <c r="A173" s="594" t="n">
        <v>17208</v>
      </c>
      <c r="B173" s="458" t="s">
        <v>18736</v>
      </c>
      <c r="C173" s="458" t="n">
        <v>2006</v>
      </c>
      <c r="D173" s="459" t="n">
        <v>38939</v>
      </c>
      <c r="E173" s="458" t="s">
        <v>18737</v>
      </c>
      <c r="F173" s="458" t="s">
        <v>172</v>
      </c>
      <c r="G173" s="458" t="s">
        <v>441</v>
      </c>
      <c r="H173" s="458" t="s">
        <v>13006</v>
      </c>
      <c r="I173" s="459" t="n">
        <v>39799</v>
      </c>
      <c r="J173" s="460" t="n">
        <v>12</v>
      </c>
      <c r="K173" s="631" t="s">
        <v>42</v>
      </c>
      <c r="L173" s="458" t="s">
        <v>58</v>
      </c>
      <c r="M173" s="463" t="n">
        <f aca="false">I173-D173</f>
        <v>860</v>
      </c>
    </row>
    <row r="174" customFormat="false" ht="12.75" hidden="false" customHeight="true" outlineLevel="0" collapsed="false">
      <c r="A174" s="602" t="n">
        <v>17308</v>
      </c>
      <c r="B174" s="450" t="s">
        <v>18738</v>
      </c>
      <c r="C174" s="450" t="n">
        <v>2007</v>
      </c>
      <c r="D174" s="451" t="n">
        <v>39395</v>
      </c>
      <c r="E174" s="450" t="s">
        <v>18739</v>
      </c>
      <c r="F174" s="450" t="s">
        <v>1357</v>
      </c>
      <c r="G174" s="450" t="s">
        <v>1174</v>
      </c>
      <c r="H174" s="450" t="s">
        <v>2677</v>
      </c>
      <c r="I174" s="451" t="n">
        <v>39800</v>
      </c>
      <c r="J174" s="452" t="n">
        <v>12</v>
      </c>
      <c r="K174" s="631" t="s">
        <v>42</v>
      </c>
      <c r="L174" s="452" t="s">
        <v>60</v>
      </c>
      <c r="M174" s="455" t="n">
        <f aca="false">I174-D174</f>
        <v>405</v>
      </c>
    </row>
    <row r="175" customFormat="false" ht="12.75" hidden="false" customHeight="true" outlineLevel="0" collapsed="false">
      <c r="A175" s="594" t="n">
        <v>17408</v>
      </c>
      <c r="B175" s="458" t="s">
        <v>18740</v>
      </c>
      <c r="C175" s="458" t="n">
        <v>2007</v>
      </c>
      <c r="D175" s="459" t="n">
        <v>39135</v>
      </c>
      <c r="E175" s="458" t="s">
        <v>18741</v>
      </c>
      <c r="F175" s="458" t="s">
        <v>211</v>
      </c>
      <c r="G175" s="458" t="s">
        <v>441</v>
      </c>
      <c r="H175" s="458" t="s">
        <v>2677</v>
      </c>
      <c r="I175" s="459" t="n">
        <v>39800</v>
      </c>
      <c r="J175" s="460" t="n">
        <v>12</v>
      </c>
      <c r="K175" s="633" t="s">
        <v>47</v>
      </c>
      <c r="L175" s="458" t="s">
        <v>60</v>
      </c>
      <c r="M175" s="463" t="n">
        <f aca="false">I175-D175</f>
        <v>665</v>
      </c>
    </row>
    <row r="176" customFormat="false" ht="12.75" hidden="false" customHeight="true" outlineLevel="0" collapsed="false">
      <c r="A176" s="602" t="n">
        <v>17508</v>
      </c>
      <c r="B176" s="450" t="s">
        <v>18742</v>
      </c>
      <c r="C176" s="450" t="n">
        <v>2006</v>
      </c>
      <c r="D176" s="451" t="n">
        <v>38965</v>
      </c>
      <c r="E176" s="450" t="s">
        <v>18743</v>
      </c>
      <c r="F176" s="450" t="s">
        <v>10637</v>
      </c>
      <c r="G176" s="450" t="s">
        <v>144</v>
      </c>
      <c r="H176" s="450" t="s">
        <v>2421</v>
      </c>
      <c r="I176" s="451" t="n">
        <v>39800</v>
      </c>
      <c r="J176" s="452" t="n">
        <v>12</v>
      </c>
      <c r="K176" s="633" t="s">
        <v>47</v>
      </c>
      <c r="L176" s="452" t="s">
        <v>58</v>
      </c>
      <c r="M176" s="455" t="n">
        <f aca="false">I176-D176</f>
        <v>835</v>
      </c>
    </row>
    <row r="177" customFormat="false" ht="12.75" hidden="false" customHeight="true" outlineLevel="0" collapsed="false">
      <c r="A177" s="594" t="n">
        <v>17608</v>
      </c>
      <c r="B177" s="458" t="s">
        <v>18744</v>
      </c>
      <c r="C177" s="458" t="n">
        <v>2006</v>
      </c>
      <c r="D177" s="459" t="n">
        <v>38965</v>
      </c>
      <c r="E177" s="458" t="s">
        <v>18745</v>
      </c>
      <c r="F177" s="458" t="s">
        <v>10637</v>
      </c>
      <c r="G177" s="458" t="s">
        <v>144</v>
      </c>
      <c r="H177" s="458" t="s">
        <v>2421</v>
      </c>
      <c r="I177" s="459" t="n">
        <v>39800</v>
      </c>
      <c r="J177" s="460" t="n">
        <v>12</v>
      </c>
      <c r="K177" s="633" t="s">
        <v>47</v>
      </c>
      <c r="L177" s="458" t="s">
        <v>58</v>
      </c>
      <c r="M177" s="463" t="n">
        <f aca="false">I177-D177</f>
        <v>835</v>
      </c>
    </row>
    <row r="178" customFormat="false" ht="12.75" hidden="false" customHeight="true" outlineLevel="0" collapsed="false">
      <c r="A178" s="602" t="n">
        <v>17708</v>
      </c>
      <c r="B178" s="450" t="s">
        <v>18746</v>
      </c>
      <c r="C178" s="450" t="n">
        <v>2006</v>
      </c>
      <c r="D178" s="451" t="n">
        <v>38965</v>
      </c>
      <c r="E178" s="450" t="s">
        <v>18747</v>
      </c>
      <c r="F178" s="450" t="s">
        <v>10637</v>
      </c>
      <c r="G178" s="450" t="s">
        <v>144</v>
      </c>
      <c r="H178" s="450" t="s">
        <v>2421</v>
      </c>
      <c r="I178" s="451" t="n">
        <v>39800</v>
      </c>
      <c r="J178" s="452" t="n">
        <v>12</v>
      </c>
      <c r="K178" s="633" t="s">
        <v>47</v>
      </c>
      <c r="L178" s="452" t="s">
        <v>58</v>
      </c>
      <c r="M178" s="455" t="n">
        <f aca="false">I178-D178</f>
        <v>835</v>
      </c>
    </row>
    <row r="179" customFormat="false" ht="12.75" hidden="false" customHeight="true" outlineLevel="0" collapsed="false">
      <c r="A179" s="594" t="n">
        <v>17808</v>
      </c>
      <c r="B179" s="458" t="s">
        <v>18748</v>
      </c>
      <c r="C179" s="458" t="n">
        <v>2006</v>
      </c>
      <c r="D179" s="459" t="n">
        <v>39006</v>
      </c>
      <c r="E179" s="458" t="s">
        <v>18749</v>
      </c>
      <c r="F179" s="458" t="s">
        <v>10637</v>
      </c>
      <c r="G179" s="458" t="s">
        <v>144</v>
      </c>
      <c r="H179" s="458" t="s">
        <v>2421</v>
      </c>
      <c r="I179" s="459" t="n">
        <v>39804</v>
      </c>
      <c r="J179" s="460" t="n">
        <v>12</v>
      </c>
      <c r="K179" s="634" t="s">
        <v>45</v>
      </c>
      <c r="L179" s="458" t="s">
        <v>58</v>
      </c>
      <c r="M179" s="463" t="n">
        <f aca="false">I179-D179</f>
        <v>798</v>
      </c>
    </row>
    <row r="180" customFormat="false" ht="12.75" hidden="false" customHeight="true" outlineLevel="0" collapsed="false">
      <c r="A180" s="602" t="n">
        <v>17908</v>
      </c>
      <c r="B180" s="450" t="s">
        <v>18750</v>
      </c>
      <c r="C180" s="450" t="n">
        <v>2008</v>
      </c>
      <c r="D180" s="451" t="n">
        <v>39479</v>
      </c>
      <c r="E180" s="450" t="s">
        <v>18751</v>
      </c>
      <c r="F180" s="450" t="s">
        <v>211</v>
      </c>
      <c r="G180" s="450" t="s">
        <v>441</v>
      </c>
      <c r="H180" s="450" t="s">
        <v>192</v>
      </c>
      <c r="I180" s="451" t="n">
        <v>39804</v>
      </c>
      <c r="J180" s="452" t="n">
        <v>12</v>
      </c>
      <c r="K180" s="631" t="s">
        <v>42</v>
      </c>
      <c r="L180" s="452" t="s">
        <v>58</v>
      </c>
      <c r="M180" s="455" t="n">
        <f aca="false">I180-D180</f>
        <v>325</v>
      </c>
    </row>
    <row r="181" customFormat="false" ht="12.75" hidden="false" customHeight="true" outlineLevel="0" collapsed="false">
      <c r="A181" s="594" t="n">
        <v>18008</v>
      </c>
      <c r="B181" s="458" t="s">
        <v>18752</v>
      </c>
      <c r="C181" s="458" t="n">
        <v>2007</v>
      </c>
      <c r="D181" s="459" t="n">
        <v>39314</v>
      </c>
      <c r="E181" s="458" t="s">
        <v>18753</v>
      </c>
      <c r="F181" s="458" t="s">
        <v>18754</v>
      </c>
      <c r="G181" s="458" t="s">
        <v>144</v>
      </c>
      <c r="H181" s="458" t="s">
        <v>18755</v>
      </c>
      <c r="I181" s="459" t="n">
        <v>39805</v>
      </c>
      <c r="J181" s="460" t="n">
        <v>12</v>
      </c>
      <c r="K181" s="631" t="s">
        <v>42</v>
      </c>
      <c r="L181" s="458" t="s">
        <v>61</v>
      </c>
      <c r="M181" s="463" t="n">
        <f aca="false">I181-D181</f>
        <v>491</v>
      </c>
    </row>
    <row r="182" customFormat="false" ht="12.75" hidden="false" customHeight="true" outlineLevel="0" collapsed="false">
      <c r="A182" s="602" t="n">
        <v>18108</v>
      </c>
      <c r="B182" s="450" t="s">
        <v>18756</v>
      </c>
      <c r="C182" s="450" t="n">
        <v>2006</v>
      </c>
      <c r="D182" s="451" t="n">
        <v>38965</v>
      </c>
      <c r="E182" s="450" t="s">
        <v>18757</v>
      </c>
      <c r="F182" s="450" t="s">
        <v>10637</v>
      </c>
      <c r="G182" s="450" t="s">
        <v>144</v>
      </c>
      <c r="H182" s="450" t="s">
        <v>2421</v>
      </c>
      <c r="I182" s="451" t="n">
        <v>39805</v>
      </c>
      <c r="J182" s="452" t="n">
        <v>12</v>
      </c>
      <c r="K182" s="633" t="s">
        <v>47</v>
      </c>
      <c r="L182" s="452" t="s">
        <v>58</v>
      </c>
      <c r="M182" s="455" t="n">
        <f aca="false">I182-D182</f>
        <v>840</v>
      </c>
    </row>
    <row r="183" customFormat="false" ht="12.75" hidden="false" customHeight="true" outlineLevel="0" collapsed="false">
      <c r="A183" s="594" t="n">
        <v>18208</v>
      </c>
      <c r="B183" s="458" t="s">
        <v>18758</v>
      </c>
      <c r="C183" s="458" t="n">
        <v>2006</v>
      </c>
      <c r="D183" s="459" t="n">
        <v>38905</v>
      </c>
      <c r="E183" s="458" t="s">
        <v>18759</v>
      </c>
      <c r="F183" s="458" t="s">
        <v>18760</v>
      </c>
      <c r="G183" s="458" t="s">
        <v>144</v>
      </c>
      <c r="H183" s="458" t="s">
        <v>373</v>
      </c>
      <c r="I183" s="459" t="n">
        <v>39805</v>
      </c>
      <c r="J183" s="460" t="n">
        <v>12</v>
      </c>
      <c r="K183" s="633" t="s">
        <v>47</v>
      </c>
      <c r="L183" s="458" t="s">
        <v>58</v>
      </c>
      <c r="M183" s="463" t="n">
        <f aca="false">I183-D183</f>
        <v>900</v>
      </c>
    </row>
    <row r="184" customFormat="false" ht="12.75" hidden="false" customHeight="true" outlineLevel="0" collapsed="false">
      <c r="A184" s="602" t="n">
        <v>18308</v>
      </c>
      <c r="B184" s="450" t="s">
        <v>18761</v>
      </c>
      <c r="C184" s="450" t="n">
        <v>2006</v>
      </c>
      <c r="D184" s="451" t="n">
        <v>39020</v>
      </c>
      <c r="E184" s="450" t="s">
        <v>18762</v>
      </c>
      <c r="F184" s="450" t="s">
        <v>18763</v>
      </c>
      <c r="G184" s="450" t="s">
        <v>144</v>
      </c>
      <c r="H184" s="450" t="s">
        <v>134</v>
      </c>
      <c r="I184" s="451" t="n">
        <v>39805</v>
      </c>
      <c r="J184" s="452" t="n">
        <v>12</v>
      </c>
      <c r="K184" s="634" t="s">
        <v>45</v>
      </c>
      <c r="L184" s="452" t="s">
        <v>58</v>
      </c>
      <c r="M184" s="455" t="n">
        <f aca="false">I184-D184</f>
        <v>785</v>
      </c>
    </row>
    <row r="185" customFormat="false" ht="12.75" hidden="false" customHeight="true" outlineLevel="0" collapsed="false">
      <c r="A185" s="594" t="n">
        <v>18408</v>
      </c>
      <c r="B185" s="458" t="s">
        <v>18764</v>
      </c>
      <c r="C185" s="458" t="n">
        <v>2005</v>
      </c>
      <c r="D185" s="459" t="n">
        <v>38659</v>
      </c>
      <c r="E185" s="458" t="s">
        <v>18765</v>
      </c>
      <c r="F185" s="458" t="s">
        <v>18766</v>
      </c>
      <c r="G185" s="458" t="s">
        <v>144</v>
      </c>
      <c r="H185" s="458" t="s">
        <v>119</v>
      </c>
      <c r="I185" s="459" t="n">
        <v>39805</v>
      </c>
      <c r="J185" s="460" t="n">
        <v>12</v>
      </c>
      <c r="K185" s="633" t="s">
        <v>47</v>
      </c>
      <c r="L185" s="458" t="s">
        <v>60</v>
      </c>
      <c r="M185" s="463" t="n">
        <f aca="false">I185-D185</f>
        <v>1146</v>
      </c>
    </row>
    <row r="186" customFormat="false" ht="12.75" hidden="false" customHeight="true" outlineLevel="0" collapsed="false">
      <c r="A186" s="602" t="n">
        <v>18508</v>
      </c>
      <c r="B186" s="450" t="s">
        <v>18767</v>
      </c>
      <c r="C186" s="450" t="n">
        <v>2007</v>
      </c>
      <c r="D186" s="451" t="n">
        <v>39419</v>
      </c>
      <c r="E186" s="450" t="s">
        <v>18768</v>
      </c>
      <c r="F186" s="450" t="s">
        <v>2003</v>
      </c>
      <c r="G186" s="450" t="s">
        <v>1174</v>
      </c>
      <c r="H186" s="450" t="s">
        <v>1059</v>
      </c>
      <c r="I186" s="451" t="n">
        <v>39805</v>
      </c>
      <c r="J186" s="452" t="n">
        <v>12</v>
      </c>
      <c r="K186" s="631" t="s">
        <v>42</v>
      </c>
      <c r="L186" s="452" t="s">
        <v>58</v>
      </c>
      <c r="M186" s="455" t="n">
        <f aca="false">I186-D186</f>
        <v>386</v>
      </c>
    </row>
    <row r="187" customFormat="false" ht="12.75" hidden="false" customHeight="true" outlineLevel="0" collapsed="false">
      <c r="A187" s="594" t="n">
        <v>18608</v>
      </c>
      <c r="B187" s="458" t="s">
        <v>18769</v>
      </c>
      <c r="C187" s="458" t="n">
        <v>2004</v>
      </c>
      <c r="D187" s="459" t="n">
        <v>38352</v>
      </c>
      <c r="E187" s="458" t="s">
        <v>18770</v>
      </c>
      <c r="F187" s="458" t="s">
        <v>5814</v>
      </c>
      <c r="G187" s="458" t="s">
        <v>441</v>
      </c>
      <c r="H187" s="458" t="s">
        <v>15247</v>
      </c>
      <c r="I187" s="459" t="n">
        <v>39806</v>
      </c>
      <c r="J187" s="460" t="n">
        <v>12</v>
      </c>
      <c r="K187" s="631" t="s">
        <v>42</v>
      </c>
      <c r="L187" s="458" t="s">
        <v>58</v>
      </c>
      <c r="M187" s="463" t="n">
        <f aca="false">I187-D187</f>
        <v>1454</v>
      </c>
    </row>
    <row r="188" customFormat="false" ht="12.75" hidden="false" customHeight="true" outlineLevel="0" collapsed="false">
      <c r="A188" s="602" t="n">
        <v>18708</v>
      </c>
      <c r="B188" s="450" t="s">
        <v>18771</v>
      </c>
      <c r="C188" s="450" t="n">
        <v>2006</v>
      </c>
      <c r="D188" s="451" t="n">
        <v>38762</v>
      </c>
      <c r="E188" s="450" t="s">
        <v>18772</v>
      </c>
      <c r="F188" s="450" t="s">
        <v>18773</v>
      </c>
      <c r="G188" s="450" t="s">
        <v>144</v>
      </c>
      <c r="H188" s="450" t="s">
        <v>254</v>
      </c>
      <c r="I188" s="451" t="n">
        <v>39806</v>
      </c>
      <c r="J188" s="452" t="n">
        <v>12</v>
      </c>
      <c r="K188" s="631" t="s">
        <v>42</v>
      </c>
      <c r="L188" s="452" t="s">
        <v>58</v>
      </c>
      <c r="M188" s="455" t="n">
        <f aca="false">I188-D188</f>
        <v>1044</v>
      </c>
    </row>
    <row r="189" customFormat="false" ht="12.75" hidden="false" customHeight="true" outlineLevel="0" collapsed="false">
      <c r="A189" s="594" t="n">
        <v>18808</v>
      </c>
      <c r="B189" s="458" t="s">
        <v>18774</v>
      </c>
      <c r="C189" s="458" t="n">
        <v>2001</v>
      </c>
      <c r="D189" s="459" t="n">
        <v>36971</v>
      </c>
      <c r="E189" s="458" t="s">
        <v>18775</v>
      </c>
      <c r="F189" s="458" t="s">
        <v>9757</v>
      </c>
      <c r="G189" s="458" t="s">
        <v>1174</v>
      </c>
      <c r="H189" s="458" t="s">
        <v>16610</v>
      </c>
      <c r="I189" s="459" t="n">
        <v>39808</v>
      </c>
      <c r="J189" s="460" t="n">
        <v>12</v>
      </c>
      <c r="K189" s="633" t="s">
        <v>47</v>
      </c>
      <c r="L189" s="458" t="s">
        <v>58</v>
      </c>
      <c r="M189" s="463" t="n">
        <f aca="false">I189-D189</f>
        <v>2837</v>
      </c>
    </row>
    <row r="190" customFormat="false" ht="12.75" hidden="false" customHeight="true" outlineLevel="0" collapsed="false">
      <c r="A190" s="602" t="n">
        <v>18908</v>
      </c>
      <c r="B190" s="450" t="s">
        <v>18776</v>
      </c>
      <c r="C190" s="450" t="n">
        <v>2005</v>
      </c>
      <c r="D190" s="451" t="n">
        <v>38489</v>
      </c>
      <c r="E190" s="450" t="s">
        <v>18777</v>
      </c>
      <c r="F190" s="450" t="s">
        <v>18778</v>
      </c>
      <c r="G190" s="450" t="s">
        <v>144</v>
      </c>
      <c r="H190" s="450" t="s">
        <v>119</v>
      </c>
      <c r="I190" s="451" t="n">
        <v>39808</v>
      </c>
      <c r="J190" s="452" t="n">
        <v>12</v>
      </c>
      <c r="K190" s="631" t="s">
        <v>42</v>
      </c>
      <c r="L190" s="452" t="s">
        <v>58</v>
      </c>
      <c r="M190" s="455" t="n">
        <f aca="false">I190-D190</f>
        <v>1319</v>
      </c>
    </row>
    <row r="191" customFormat="false" ht="12.75" hidden="false" customHeight="true" outlineLevel="0" collapsed="false">
      <c r="A191" s="594" t="n">
        <v>19008</v>
      </c>
      <c r="B191" s="458" t="s">
        <v>18779</v>
      </c>
      <c r="C191" s="458" t="n">
        <v>2001</v>
      </c>
      <c r="D191" s="459" t="n">
        <v>37167</v>
      </c>
      <c r="E191" s="458" t="s">
        <v>18780</v>
      </c>
      <c r="F191" s="458" t="s">
        <v>18781</v>
      </c>
      <c r="G191" s="458" t="s">
        <v>144</v>
      </c>
      <c r="H191" s="458" t="s">
        <v>10110</v>
      </c>
      <c r="I191" s="459" t="n">
        <v>39811</v>
      </c>
      <c r="J191" s="460" t="n">
        <v>12</v>
      </c>
      <c r="K191" s="631" t="s">
        <v>42</v>
      </c>
      <c r="L191" s="458" t="s">
        <v>58</v>
      </c>
      <c r="M191" s="463" t="n">
        <f aca="false">I191-D191</f>
        <v>2644</v>
      </c>
    </row>
    <row r="192" customFormat="false" ht="12.75" hidden="false" customHeight="true" outlineLevel="0" collapsed="false">
      <c r="A192" s="602" t="n">
        <v>19108</v>
      </c>
      <c r="B192" s="450" t="s">
        <v>18782</v>
      </c>
      <c r="C192" s="450" t="n">
        <v>2007</v>
      </c>
      <c r="D192" s="451" t="n">
        <v>39338</v>
      </c>
      <c r="E192" s="450" t="s">
        <v>18783</v>
      </c>
      <c r="F192" s="450" t="s">
        <v>1609</v>
      </c>
      <c r="G192" s="450" t="s">
        <v>441</v>
      </c>
      <c r="H192" s="450" t="s">
        <v>223</v>
      </c>
      <c r="I192" s="451" t="n">
        <v>39812</v>
      </c>
      <c r="J192" s="452" t="n">
        <v>12</v>
      </c>
      <c r="K192" s="631" t="s">
        <v>42</v>
      </c>
      <c r="L192" s="452" t="s">
        <v>57</v>
      </c>
      <c r="M192" s="455" t="n">
        <f aca="false">I192-D192</f>
        <v>474</v>
      </c>
    </row>
    <row r="193" customFormat="false" ht="12.75" hidden="false" customHeight="true" outlineLevel="0" collapsed="false">
      <c r="A193" s="594" t="n">
        <v>19208</v>
      </c>
      <c r="B193" s="458" t="s">
        <v>18784</v>
      </c>
      <c r="C193" s="458" t="n">
        <v>2007</v>
      </c>
      <c r="D193" s="459" t="n">
        <v>39433</v>
      </c>
      <c r="E193" s="458" t="s">
        <v>18785</v>
      </c>
      <c r="F193" s="458" t="s">
        <v>1916</v>
      </c>
      <c r="G193" s="458" t="s">
        <v>441</v>
      </c>
      <c r="H193" s="458" t="s">
        <v>4045</v>
      </c>
      <c r="I193" s="459" t="n">
        <v>39813</v>
      </c>
      <c r="J193" s="460" t="n">
        <v>12</v>
      </c>
      <c r="K193" s="631" t="s">
        <v>42</v>
      </c>
      <c r="L193" s="458" t="s">
        <v>58</v>
      </c>
      <c r="M193" s="463" t="n">
        <f aca="false">I193-D193</f>
        <v>380</v>
      </c>
    </row>
    <row r="194" customFormat="false" ht="12.75" hidden="false" customHeight="true" outlineLevel="0" collapsed="false">
      <c r="A194" s="602" t="n">
        <v>19308</v>
      </c>
      <c r="B194" s="450" t="s">
        <v>18786</v>
      </c>
      <c r="C194" s="450" t="n">
        <v>2006</v>
      </c>
      <c r="D194" s="451" t="n">
        <v>38979</v>
      </c>
      <c r="E194" s="450" t="s">
        <v>18787</v>
      </c>
      <c r="F194" s="450" t="s">
        <v>18788</v>
      </c>
      <c r="G194" s="450" t="s">
        <v>144</v>
      </c>
      <c r="H194" s="450" t="s">
        <v>2421</v>
      </c>
      <c r="I194" s="451" t="n">
        <v>39813</v>
      </c>
      <c r="J194" s="452" t="n">
        <v>12</v>
      </c>
      <c r="K194" s="631" t="s">
        <v>42</v>
      </c>
      <c r="L194" s="452" t="s">
        <v>58</v>
      </c>
      <c r="M194" s="455" t="n">
        <f aca="false">I194-D194</f>
        <v>834</v>
      </c>
    </row>
  </sheetData>
  <autoFilter ref="A1:M199"/>
  <mergeCells count="76">
    <mergeCell ref="O2:P2"/>
    <mergeCell ref="O14:S15"/>
    <mergeCell ref="O16:S16"/>
    <mergeCell ref="O17:S17"/>
    <mergeCell ref="O18:S18"/>
    <mergeCell ref="O19:S19"/>
    <mergeCell ref="O20:S20"/>
    <mergeCell ref="O21:S21"/>
    <mergeCell ref="O22:S22"/>
    <mergeCell ref="O23:S23"/>
    <mergeCell ref="O24:S24"/>
    <mergeCell ref="O26:S27"/>
    <mergeCell ref="P28:R28"/>
    <mergeCell ref="P29:R29"/>
    <mergeCell ref="P30:R30"/>
    <mergeCell ref="P31:R31"/>
    <mergeCell ref="P32:R32"/>
    <mergeCell ref="P33:R33"/>
    <mergeCell ref="P34:R34"/>
    <mergeCell ref="P35:R35"/>
    <mergeCell ref="P36:R36"/>
    <mergeCell ref="P37:R37"/>
    <mergeCell ref="P38:R38"/>
    <mergeCell ref="P39:R39"/>
    <mergeCell ref="P40:R40"/>
    <mergeCell ref="P41:R41"/>
    <mergeCell ref="P42:R42"/>
    <mergeCell ref="O44:S45"/>
    <mergeCell ref="P46:R46"/>
    <mergeCell ref="P47:R47"/>
    <mergeCell ref="P48:R48"/>
    <mergeCell ref="P49:R49"/>
    <mergeCell ref="P50:R50"/>
    <mergeCell ref="P51:R51"/>
    <mergeCell ref="P52:R52"/>
    <mergeCell ref="P53:R53"/>
    <mergeCell ref="P54:R54"/>
    <mergeCell ref="P55:R55"/>
    <mergeCell ref="P56:R56"/>
    <mergeCell ref="P57:R57"/>
    <mergeCell ref="P58:R58"/>
    <mergeCell ref="P59:R59"/>
    <mergeCell ref="O61:T62"/>
    <mergeCell ref="O63:R63"/>
    <mergeCell ref="O64:R64"/>
    <mergeCell ref="O65:R65"/>
    <mergeCell ref="O66:R66"/>
    <mergeCell ref="O67:R67"/>
    <mergeCell ref="O68:R68"/>
    <mergeCell ref="O69:R69"/>
    <mergeCell ref="O70:R70"/>
    <mergeCell ref="O71:R71"/>
    <mergeCell ref="O72:R72"/>
    <mergeCell ref="O73:R73"/>
    <mergeCell ref="O74:R74"/>
    <mergeCell ref="O75:R75"/>
    <mergeCell ref="O76:R76"/>
    <mergeCell ref="O78:T79"/>
    <mergeCell ref="O80:R80"/>
    <mergeCell ref="O81:R81"/>
    <mergeCell ref="O82:R82"/>
    <mergeCell ref="O83:R83"/>
    <mergeCell ref="O84:R84"/>
    <mergeCell ref="O85:R85"/>
    <mergeCell ref="O87:R88"/>
    <mergeCell ref="P89:R89"/>
    <mergeCell ref="P90:R90"/>
    <mergeCell ref="P91:R91"/>
    <mergeCell ref="P92:R92"/>
    <mergeCell ref="P93:R93"/>
    <mergeCell ref="P94:R94"/>
    <mergeCell ref="P95:R95"/>
    <mergeCell ref="P96:R96"/>
    <mergeCell ref="P97:R97"/>
    <mergeCell ref="P98:R98"/>
    <mergeCell ref="P99:R9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20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Y6" activePane="bottomRight" state="frozen"/>
      <selection pane="topLeft" activeCell="A1" activeCellId="0" sqref="A1"/>
      <selection pane="topRight" activeCell="Y1" activeCellId="0" sqref="Y1"/>
      <selection pane="bottomLeft" activeCell="A6" activeCellId="0" sqref="A6"/>
      <selection pane="bottomRight" activeCell="B1" activeCellId="0" sqref="B1"/>
    </sheetView>
  </sheetViews>
  <sheetFormatPr defaultColWidth="14.2890625" defaultRowHeight="12.75" customHeight="false" zeroHeight="false" outlineLevelRow="0" outlineLevelCol="0"/>
  <cols>
    <col collapsed="false" customWidth="true" hidden="false" outlineLevel="0" max="1" min="1" style="0" width="17.29"/>
    <col collapsed="false" customWidth="true" hidden="false" outlineLevel="0" max="2" min="2" style="0" width="24.71"/>
    <col collapsed="false" customWidth="true" hidden="false" outlineLevel="0" max="3" min="3" style="0" width="23.85"/>
    <col collapsed="false" customWidth="true" hidden="false" outlineLevel="0" max="4" min="4" style="0" width="26.57"/>
    <col collapsed="false" customWidth="true" hidden="false" outlineLevel="0" max="5" min="5" style="0" width="38.57"/>
    <col collapsed="false" customWidth="true" hidden="false" outlineLevel="0" max="6" min="6" style="0" width="53.43"/>
    <col collapsed="false" customWidth="true" hidden="false" outlineLevel="0" max="7" min="7" style="0" width="10.72"/>
    <col collapsed="false" customWidth="true" hidden="false" outlineLevel="0" max="8" min="8" style="0" width="15.42"/>
    <col collapsed="false" customWidth="true" hidden="false" outlineLevel="0" max="9" min="9" style="0" width="24"/>
    <col collapsed="false" customWidth="true" hidden="false" outlineLevel="0" max="10" min="10" style="0" width="26.57"/>
    <col collapsed="false" customWidth="true" hidden="false" outlineLevel="0" max="11" min="11" style="0" width="44.14"/>
    <col collapsed="false" customWidth="true" hidden="false" outlineLevel="0" max="12" min="12" style="0" width="59.57"/>
    <col collapsed="false" customWidth="true" hidden="false" outlineLevel="0" max="13" min="13" style="0" width="41.71"/>
    <col collapsed="false" customWidth="true" hidden="false" outlineLevel="0" max="14" min="14" style="0" width="9.14"/>
    <col collapsed="false" customWidth="true" hidden="false" outlineLevel="0" max="15" min="15" style="0" width="27.14"/>
    <col collapsed="false" customWidth="true" hidden="false" outlineLevel="0" max="16" min="16" style="0" width="9.85"/>
    <col collapsed="false" customWidth="true" hidden="false" outlineLevel="0" max="17" min="17" style="0" width="3.42"/>
    <col collapsed="false" customWidth="true" hidden="false" outlineLevel="0" max="18" min="18" style="0" width="39"/>
    <col collapsed="false" customWidth="true" hidden="false" outlineLevel="0" max="19" min="19" style="0" width="62.85"/>
    <col collapsed="false" customWidth="true" hidden="false" outlineLevel="0" max="20" min="20" style="0" width="13.71"/>
    <col collapsed="false" customWidth="true" hidden="false" outlineLevel="0" max="26" min="21" style="0" width="8.71"/>
  </cols>
  <sheetData>
    <row r="1" customFormat="false" ht="12.75" hidden="false" customHeight="true" outlineLevel="0" collapsed="false">
      <c r="A1" s="585" t="s">
        <v>92</v>
      </c>
      <c r="B1" s="585" t="s">
        <v>93</v>
      </c>
      <c r="C1" s="585" t="s">
        <v>89</v>
      </c>
      <c r="D1" s="584" t="s">
        <v>94</v>
      </c>
      <c r="E1" s="585" t="s">
        <v>95</v>
      </c>
      <c r="F1" s="585" t="s">
        <v>96</v>
      </c>
      <c r="G1" s="585" t="s">
        <v>97</v>
      </c>
      <c r="H1" s="585" t="s">
        <v>98</v>
      </c>
      <c r="I1" s="584" t="s">
        <v>99</v>
      </c>
      <c r="J1" s="585" t="s">
        <v>62</v>
      </c>
      <c r="K1" s="586" t="s">
        <v>101</v>
      </c>
      <c r="L1" s="586" t="s">
        <v>102</v>
      </c>
      <c r="M1" s="279" t="s">
        <v>103</v>
      </c>
      <c r="N1" s="4"/>
      <c r="O1" s="4"/>
      <c r="P1" s="4"/>
      <c r="Q1" s="4"/>
      <c r="R1" s="4"/>
      <c r="S1" s="4"/>
    </row>
    <row r="2" customFormat="false" ht="15" hidden="false" customHeight="true" outlineLevel="0" collapsed="false">
      <c r="A2" s="602" t="n">
        <v>107</v>
      </c>
      <c r="B2" s="450" t="s">
        <v>18789</v>
      </c>
      <c r="C2" s="450" t="n">
        <v>2001</v>
      </c>
      <c r="D2" s="451" t="n">
        <v>37232</v>
      </c>
      <c r="E2" s="450" t="s">
        <v>18790</v>
      </c>
      <c r="F2" s="450" t="s">
        <v>2513</v>
      </c>
      <c r="G2" s="450" t="s">
        <v>144</v>
      </c>
      <c r="H2" s="450" t="s">
        <v>2421</v>
      </c>
      <c r="I2" s="451" t="n">
        <v>39104</v>
      </c>
      <c r="J2" s="452" t="n">
        <v>1</v>
      </c>
      <c r="K2" s="634" t="s">
        <v>45</v>
      </c>
      <c r="L2" s="452" t="s">
        <v>58</v>
      </c>
      <c r="M2" s="455" t="n">
        <f aca="false">I2-D2</f>
        <v>1872</v>
      </c>
      <c r="N2" s="4"/>
      <c r="O2" s="280" t="s">
        <v>18791</v>
      </c>
      <c r="P2" s="280"/>
      <c r="Q2" s="146"/>
      <c r="R2" s="146"/>
      <c r="S2" s="146"/>
    </row>
    <row r="3" customFormat="false" ht="12.75" hidden="false" customHeight="true" outlineLevel="0" collapsed="false">
      <c r="A3" s="594" t="n">
        <v>207</v>
      </c>
      <c r="B3" s="458" t="s">
        <v>18792</v>
      </c>
      <c r="C3" s="458" t="n">
        <v>2004</v>
      </c>
      <c r="D3" s="459" t="n">
        <v>38159</v>
      </c>
      <c r="E3" s="458" t="s">
        <v>18793</v>
      </c>
      <c r="F3" s="458" t="s">
        <v>3924</v>
      </c>
      <c r="G3" s="458" t="s">
        <v>1174</v>
      </c>
      <c r="H3" s="458" t="s">
        <v>373</v>
      </c>
      <c r="I3" s="459" t="n">
        <v>39104</v>
      </c>
      <c r="J3" s="460" t="n">
        <v>1</v>
      </c>
      <c r="K3" s="633" t="s">
        <v>47</v>
      </c>
      <c r="L3" s="458" t="s">
        <v>58</v>
      </c>
      <c r="M3" s="463" t="n">
        <f aca="false">I3-D3</f>
        <v>945</v>
      </c>
      <c r="N3" s="4"/>
      <c r="O3" s="281" t="s">
        <v>1182</v>
      </c>
      <c r="P3" s="281" t="n">
        <f aca="false">COUNTIF($G$2:$G$477,"PT")</f>
        <v>2</v>
      </c>
      <c r="Q3" s="146"/>
      <c r="R3" s="146"/>
      <c r="S3" s="146"/>
    </row>
    <row r="4" customFormat="false" ht="12.75" hidden="false" customHeight="true" outlineLevel="0" collapsed="false">
      <c r="A4" s="602" t="n">
        <v>307</v>
      </c>
      <c r="B4" s="450" t="s">
        <v>18794</v>
      </c>
      <c r="C4" s="450" t="n">
        <v>2005</v>
      </c>
      <c r="D4" s="451" t="n">
        <v>38427</v>
      </c>
      <c r="E4" s="450" t="s">
        <v>18795</v>
      </c>
      <c r="F4" s="450" t="s">
        <v>18796</v>
      </c>
      <c r="G4" s="450" t="s">
        <v>1174</v>
      </c>
      <c r="H4" s="450" t="s">
        <v>134</v>
      </c>
      <c r="I4" s="451" t="n">
        <v>39111</v>
      </c>
      <c r="J4" s="452" t="n">
        <v>1</v>
      </c>
      <c r="K4" s="634" t="s">
        <v>45</v>
      </c>
      <c r="L4" s="452" t="s">
        <v>58</v>
      </c>
      <c r="M4" s="455" t="n">
        <f aca="false">I4-D4</f>
        <v>684</v>
      </c>
      <c r="N4" s="4"/>
      <c r="O4" s="282" t="s">
        <v>1188</v>
      </c>
      <c r="P4" s="282" t="n">
        <f aca="false">COUNTIF($G$2:$G$477,"PTN")</f>
        <v>2</v>
      </c>
      <c r="Q4" s="153"/>
      <c r="R4" s="153"/>
      <c r="S4" s="153"/>
    </row>
    <row r="5" customFormat="false" ht="12.75" hidden="false" customHeight="true" outlineLevel="0" collapsed="false">
      <c r="A5" s="594" t="n">
        <v>407</v>
      </c>
      <c r="B5" s="458" t="s">
        <v>18797</v>
      </c>
      <c r="C5" s="458" t="n">
        <v>2002</v>
      </c>
      <c r="D5" s="459" t="n">
        <v>37475</v>
      </c>
      <c r="E5" s="458" t="s">
        <v>18798</v>
      </c>
      <c r="F5" s="458" t="s">
        <v>18799</v>
      </c>
      <c r="G5" s="458" t="s">
        <v>1474</v>
      </c>
      <c r="H5" s="458" t="s">
        <v>1791</v>
      </c>
      <c r="I5" s="459" t="n">
        <v>39111</v>
      </c>
      <c r="J5" s="460" t="n">
        <v>1</v>
      </c>
      <c r="K5" s="633" t="s">
        <v>47</v>
      </c>
      <c r="L5" s="458" t="s">
        <v>58</v>
      </c>
      <c r="M5" s="463" t="n">
        <f aca="false">I5-D5</f>
        <v>1636</v>
      </c>
      <c r="N5" s="4"/>
      <c r="O5" s="283" t="s">
        <v>1192</v>
      </c>
      <c r="P5" s="283" t="n">
        <f aca="false">COUNTIF($G$2:$G$477,"PTE")</f>
        <v>50</v>
      </c>
      <c r="Q5" s="153"/>
      <c r="R5" s="153"/>
      <c r="S5" s="153"/>
    </row>
    <row r="6" customFormat="false" ht="12.75" hidden="false" customHeight="true" outlineLevel="0" collapsed="false">
      <c r="A6" s="602" t="n">
        <v>507</v>
      </c>
      <c r="B6" s="450" t="s">
        <v>18800</v>
      </c>
      <c r="C6" s="450" t="n">
        <v>2004</v>
      </c>
      <c r="D6" s="451" t="n">
        <v>38106</v>
      </c>
      <c r="E6" s="450" t="s">
        <v>18801</v>
      </c>
      <c r="F6" s="450" t="s">
        <v>18802</v>
      </c>
      <c r="G6" s="450" t="s">
        <v>1174</v>
      </c>
      <c r="H6" s="450" t="s">
        <v>1791</v>
      </c>
      <c r="I6" s="451" t="n">
        <v>39111</v>
      </c>
      <c r="J6" s="452" t="n">
        <v>1</v>
      </c>
      <c r="K6" s="633" t="s">
        <v>47</v>
      </c>
      <c r="L6" s="452" t="s">
        <v>60</v>
      </c>
      <c r="M6" s="455" t="n">
        <f aca="false">I6-D6</f>
        <v>1005</v>
      </c>
      <c r="N6" s="4"/>
      <c r="O6" s="282" t="s">
        <v>8</v>
      </c>
      <c r="P6" s="282" t="n">
        <f aca="false">COUNTIF($G$2:$G$477,"Pré-Mistura")</f>
        <v>0</v>
      </c>
      <c r="Q6" s="153"/>
      <c r="R6" s="153"/>
      <c r="S6" s="153"/>
    </row>
    <row r="7" customFormat="false" ht="12.75" hidden="false" customHeight="true" outlineLevel="0" collapsed="false">
      <c r="A7" s="594" t="n">
        <v>607</v>
      </c>
      <c r="B7" s="458" t="s">
        <v>18803</v>
      </c>
      <c r="C7" s="458" t="n">
        <v>2005</v>
      </c>
      <c r="D7" s="459" t="n">
        <v>38604</v>
      </c>
      <c r="E7" s="458" t="s">
        <v>18804</v>
      </c>
      <c r="F7" s="458" t="s">
        <v>238</v>
      </c>
      <c r="G7" s="458" t="s">
        <v>1174</v>
      </c>
      <c r="H7" s="458" t="s">
        <v>119</v>
      </c>
      <c r="I7" s="459" t="n">
        <v>39111</v>
      </c>
      <c r="J7" s="460" t="n">
        <v>1</v>
      </c>
      <c r="K7" s="631" t="s">
        <v>42</v>
      </c>
      <c r="L7" s="458" t="s">
        <v>58</v>
      </c>
      <c r="M7" s="463" t="n">
        <f aca="false">I7-D7</f>
        <v>507</v>
      </c>
      <c r="N7" s="4"/>
      <c r="O7" s="283" t="s">
        <v>110</v>
      </c>
      <c r="P7" s="283" t="n">
        <f aca="false">COUNTIF($G$2:$G$477,"PF")</f>
        <v>57</v>
      </c>
      <c r="Q7" s="153"/>
      <c r="R7" s="153"/>
      <c r="S7" s="153"/>
    </row>
    <row r="8" customFormat="false" ht="12.75" hidden="false" customHeight="true" outlineLevel="0" collapsed="false">
      <c r="A8" s="602" t="n">
        <v>707</v>
      </c>
      <c r="B8" s="450" t="s">
        <v>18805</v>
      </c>
      <c r="C8" s="450" t="n">
        <v>2001</v>
      </c>
      <c r="D8" s="451" t="n">
        <v>37039</v>
      </c>
      <c r="E8" s="450" t="s">
        <v>18806</v>
      </c>
      <c r="F8" s="450" t="s">
        <v>699</v>
      </c>
      <c r="G8" s="450" t="s">
        <v>1174</v>
      </c>
      <c r="H8" s="450" t="s">
        <v>373</v>
      </c>
      <c r="I8" s="451" t="n">
        <v>39111</v>
      </c>
      <c r="J8" s="452" t="n">
        <v>1</v>
      </c>
      <c r="K8" s="633" t="s">
        <v>47</v>
      </c>
      <c r="L8" s="452" t="s">
        <v>60</v>
      </c>
      <c r="M8" s="455" t="n">
        <f aca="false">I8-D8</f>
        <v>2072</v>
      </c>
      <c r="N8" s="4"/>
      <c r="O8" s="282" t="s">
        <v>115</v>
      </c>
      <c r="P8" s="282" t="n">
        <f aca="false">COUNTIF($G$2:$G$477,"PFN")</f>
        <v>5</v>
      </c>
      <c r="Q8" s="153"/>
      <c r="R8" s="153"/>
      <c r="S8" s="153"/>
    </row>
    <row r="9" customFormat="false" ht="12.75" hidden="false" customHeight="true" outlineLevel="0" collapsed="false">
      <c r="A9" s="594" t="n">
        <v>807</v>
      </c>
      <c r="B9" s="458" t="s">
        <v>18807</v>
      </c>
      <c r="C9" s="458" t="n">
        <v>2004</v>
      </c>
      <c r="D9" s="459" t="n">
        <v>38135</v>
      </c>
      <c r="E9" s="458" t="s">
        <v>18808</v>
      </c>
      <c r="F9" s="458" t="s">
        <v>18809</v>
      </c>
      <c r="G9" s="458" t="s">
        <v>1174</v>
      </c>
      <c r="H9" s="458" t="s">
        <v>1791</v>
      </c>
      <c r="I9" s="459" t="n">
        <v>39111</v>
      </c>
      <c r="J9" s="460" t="n">
        <v>1</v>
      </c>
      <c r="K9" s="631" t="s">
        <v>42</v>
      </c>
      <c r="L9" s="458" t="s">
        <v>58</v>
      </c>
      <c r="M9" s="463" t="n">
        <f aca="false">I9-D9</f>
        <v>976</v>
      </c>
      <c r="N9" s="4"/>
      <c r="O9" s="283" t="s">
        <v>120</v>
      </c>
      <c r="P9" s="283" t="n">
        <f aca="false">COUNTIF($G$2:$G$477,"PF/PTE")</f>
        <v>79</v>
      </c>
      <c r="Q9" s="153"/>
      <c r="R9" s="153"/>
      <c r="S9" s="153"/>
    </row>
    <row r="10" customFormat="false" ht="12.75" hidden="false" customHeight="true" outlineLevel="0" collapsed="false">
      <c r="A10" s="602" t="n">
        <v>907</v>
      </c>
      <c r="B10" s="450" t="s">
        <v>18810</v>
      </c>
      <c r="C10" s="450" t="n">
        <v>2001</v>
      </c>
      <c r="D10" s="451" t="n">
        <v>37039</v>
      </c>
      <c r="E10" s="450" t="s">
        <v>18811</v>
      </c>
      <c r="F10" s="450" t="s">
        <v>699</v>
      </c>
      <c r="G10" s="450" t="s">
        <v>441</v>
      </c>
      <c r="H10" s="450" t="s">
        <v>373</v>
      </c>
      <c r="I10" s="451" t="n">
        <v>39113</v>
      </c>
      <c r="J10" s="452" t="n">
        <v>1</v>
      </c>
      <c r="K10" s="633" t="s">
        <v>47</v>
      </c>
      <c r="L10" s="452" t="s">
        <v>60</v>
      </c>
      <c r="M10" s="455" t="n">
        <f aca="false">I10-D10</f>
        <v>2074</v>
      </c>
      <c r="N10" s="4"/>
      <c r="O10" s="282" t="s">
        <v>125</v>
      </c>
      <c r="P10" s="282" t="n">
        <f aca="false">COUNTIF($G$2:$G$477,"Bio")</f>
        <v>7</v>
      </c>
      <c r="Q10" s="153"/>
      <c r="R10" s="153"/>
      <c r="S10" s="153"/>
    </row>
    <row r="11" customFormat="false" ht="12.75" hidden="false" customHeight="true" outlineLevel="0" collapsed="false">
      <c r="A11" s="594" t="n">
        <v>1007</v>
      </c>
      <c r="B11" s="458" t="s">
        <v>18812</v>
      </c>
      <c r="C11" s="458" t="n">
        <v>2001</v>
      </c>
      <c r="D11" s="459" t="n">
        <v>37060</v>
      </c>
      <c r="E11" s="458" t="s">
        <v>18813</v>
      </c>
      <c r="F11" s="458" t="s">
        <v>1890</v>
      </c>
      <c r="G11" s="458" t="s">
        <v>144</v>
      </c>
      <c r="H11" s="458" t="s">
        <v>373</v>
      </c>
      <c r="I11" s="459" t="n">
        <v>39113</v>
      </c>
      <c r="J11" s="460" t="n">
        <v>1</v>
      </c>
      <c r="K11" s="634" t="s">
        <v>45</v>
      </c>
      <c r="L11" s="458" t="s">
        <v>58</v>
      </c>
      <c r="M11" s="463" t="n">
        <f aca="false">I11-D11</f>
        <v>2053</v>
      </c>
      <c r="N11" s="4"/>
      <c r="O11" s="284" t="s">
        <v>130</v>
      </c>
      <c r="P11" s="284" t="n">
        <f aca="false">COUNTIF($G$2:$G$477,"Bio/Org")</f>
        <v>0</v>
      </c>
      <c r="Q11" s="153"/>
      <c r="R11" s="153"/>
      <c r="S11" s="153"/>
    </row>
    <row r="12" customFormat="false" ht="12.75" hidden="false" customHeight="true" outlineLevel="0" collapsed="false">
      <c r="A12" s="602" t="n">
        <v>1107</v>
      </c>
      <c r="B12" s="450" t="s">
        <v>18814</v>
      </c>
      <c r="C12" s="450" t="n">
        <v>2004</v>
      </c>
      <c r="D12" s="451" t="n">
        <v>38141</v>
      </c>
      <c r="E12" s="450" t="s">
        <v>18815</v>
      </c>
      <c r="F12" s="450" t="s">
        <v>18816</v>
      </c>
      <c r="G12" s="450" t="s">
        <v>1174</v>
      </c>
      <c r="H12" s="450" t="s">
        <v>1791</v>
      </c>
      <c r="I12" s="451" t="n">
        <v>39122</v>
      </c>
      <c r="J12" s="452" t="n">
        <v>2</v>
      </c>
      <c r="K12" s="634" t="s">
        <v>45</v>
      </c>
      <c r="L12" s="452" t="s">
        <v>58</v>
      </c>
      <c r="M12" s="455" t="n">
        <f aca="false">I12-D12</f>
        <v>981</v>
      </c>
      <c r="N12" s="4"/>
      <c r="O12" s="285" t="s">
        <v>140</v>
      </c>
      <c r="P12" s="286" t="n">
        <f aca="false">SUM(P3:P11)</f>
        <v>202</v>
      </c>
      <c r="Q12" s="153"/>
      <c r="R12" s="153"/>
      <c r="S12" s="153"/>
    </row>
    <row r="13" customFormat="false" ht="12.75" hidden="false" customHeight="true" outlineLevel="0" collapsed="false">
      <c r="A13" s="594" t="n">
        <v>1207</v>
      </c>
      <c r="B13" s="458" t="s">
        <v>18817</v>
      </c>
      <c r="C13" s="458" t="n">
        <v>2003</v>
      </c>
      <c r="D13" s="459" t="n">
        <v>37819</v>
      </c>
      <c r="E13" s="458" t="s">
        <v>18818</v>
      </c>
      <c r="F13" s="458" t="s">
        <v>18378</v>
      </c>
      <c r="G13" s="458" t="s">
        <v>1174</v>
      </c>
      <c r="H13" s="458" t="s">
        <v>373</v>
      </c>
      <c r="I13" s="459" t="n">
        <v>39122</v>
      </c>
      <c r="J13" s="460" t="n">
        <v>2</v>
      </c>
      <c r="K13" s="634" t="s">
        <v>45</v>
      </c>
      <c r="L13" s="458" t="s">
        <v>58</v>
      </c>
      <c r="M13" s="463" t="n">
        <f aca="false">I13-D13</f>
        <v>1303</v>
      </c>
      <c r="N13" s="4"/>
      <c r="O13" s="153"/>
      <c r="P13" s="153"/>
      <c r="Q13" s="153"/>
      <c r="R13" s="287"/>
      <c r="S13" s="287"/>
    </row>
    <row r="14" customFormat="false" ht="13.5" hidden="false" customHeight="true" outlineLevel="0" collapsed="false">
      <c r="A14" s="602" t="n">
        <v>1307</v>
      </c>
      <c r="B14" s="450" t="s">
        <v>18819</v>
      </c>
      <c r="C14" s="450" t="n">
        <v>2003</v>
      </c>
      <c r="D14" s="451" t="n">
        <v>37895</v>
      </c>
      <c r="E14" s="450" t="s">
        <v>18820</v>
      </c>
      <c r="F14" s="450" t="s">
        <v>18821</v>
      </c>
      <c r="G14" s="450" t="s">
        <v>1188</v>
      </c>
      <c r="H14" s="450" t="s">
        <v>254</v>
      </c>
      <c r="I14" s="451" t="n">
        <v>39126</v>
      </c>
      <c r="J14" s="452" t="n">
        <v>2</v>
      </c>
      <c r="K14" s="634" t="s">
        <v>45</v>
      </c>
      <c r="L14" s="452" t="s">
        <v>58</v>
      </c>
      <c r="M14" s="455" t="n">
        <f aca="false">I14-D14</f>
        <v>1231</v>
      </c>
      <c r="N14" s="4"/>
      <c r="O14" s="411" t="s">
        <v>151</v>
      </c>
      <c r="P14" s="411"/>
      <c r="Q14" s="411"/>
      <c r="R14" s="411"/>
      <c r="S14" s="411"/>
    </row>
    <row r="15" customFormat="false" ht="14.25" hidden="false" customHeight="true" outlineLevel="0" collapsed="false">
      <c r="A15" s="594" t="n">
        <v>1407</v>
      </c>
      <c r="B15" s="458" t="s">
        <v>18822</v>
      </c>
      <c r="C15" s="458" t="n">
        <v>2005</v>
      </c>
      <c r="D15" s="459" t="n">
        <v>38560</v>
      </c>
      <c r="E15" s="458" t="s">
        <v>18823</v>
      </c>
      <c r="F15" s="458" t="s">
        <v>12700</v>
      </c>
      <c r="G15" s="458" t="s">
        <v>1174</v>
      </c>
      <c r="H15" s="458" t="s">
        <v>119</v>
      </c>
      <c r="I15" s="459" t="n">
        <v>39139</v>
      </c>
      <c r="J15" s="460" t="n">
        <v>2</v>
      </c>
      <c r="K15" s="633" t="s">
        <v>47</v>
      </c>
      <c r="L15" s="458" t="s">
        <v>58</v>
      </c>
      <c r="M15" s="463" t="n">
        <f aca="false">I15-D15</f>
        <v>579</v>
      </c>
      <c r="N15" s="4"/>
      <c r="O15" s="411"/>
      <c r="P15" s="411"/>
      <c r="Q15" s="411"/>
      <c r="R15" s="411"/>
      <c r="S15" s="411"/>
    </row>
    <row r="16" customFormat="false" ht="12.75" hidden="false" customHeight="true" outlineLevel="0" collapsed="false">
      <c r="A16" s="602" t="n">
        <v>1507</v>
      </c>
      <c r="B16" s="450" t="s">
        <v>18824</v>
      </c>
      <c r="C16" s="450" t="n">
        <v>2005</v>
      </c>
      <c r="D16" s="451" t="n">
        <v>38677</v>
      </c>
      <c r="E16" s="450" t="s">
        <v>18825</v>
      </c>
      <c r="F16" s="450" t="s">
        <v>18826</v>
      </c>
      <c r="G16" s="450" t="s">
        <v>144</v>
      </c>
      <c r="H16" s="450" t="s">
        <v>134</v>
      </c>
      <c r="I16" s="451" t="n">
        <v>39141</v>
      </c>
      <c r="J16" s="452" t="n">
        <v>2</v>
      </c>
      <c r="K16" s="632" t="s">
        <v>50</v>
      </c>
      <c r="L16" s="452" t="s">
        <v>61</v>
      </c>
      <c r="M16" s="455" t="n">
        <f aca="false">I16-D16</f>
        <v>464</v>
      </c>
      <c r="N16" s="4"/>
      <c r="O16" s="412" t="s">
        <v>2194</v>
      </c>
      <c r="P16" s="412"/>
      <c r="Q16" s="412"/>
      <c r="R16" s="412"/>
      <c r="S16" s="412"/>
    </row>
    <row r="17" customFormat="false" ht="12.75" hidden="false" customHeight="true" outlineLevel="0" collapsed="false">
      <c r="A17" s="594" t="n">
        <v>1607</v>
      </c>
      <c r="B17" s="458" t="s">
        <v>18827</v>
      </c>
      <c r="C17" s="458" t="n">
        <v>2005</v>
      </c>
      <c r="D17" s="459" t="n">
        <v>38555</v>
      </c>
      <c r="E17" s="458" t="s">
        <v>18828</v>
      </c>
      <c r="F17" s="458" t="s">
        <v>2003</v>
      </c>
      <c r="G17" s="458" t="s">
        <v>1174</v>
      </c>
      <c r="H17" s="458" t="s">
        <v>1059</v>
      </c>
      <c r="I17" s="459" t="n">
        <v>39141</v>
      </c>
      <c r="J17" s="460" t="n">
        <v>2</v>
      </c>
      <c r="K17" s="633" t="s">
        <v>47</v>
      </c>
      <c r="L17" s="458" t="s">
        <v>61</v>
      </c>
      <c r="M17" s="463" t="n">
        <f aca="false">I17-D17</f>
        <v>586</v>
      </c>
      <c r="N17" s="4"/>
      <c r="O17" s="413" t="s">
        <v>2198</v>
      </c>
      <c r="P17" s="413"/>
      <c r="Q17" s="413"/>
      <c r="R17" s="413"/>
      <c r="S17" s="413"/>
    </row>
    <row r="18" customFormat="false" ht="12.75" hidden="false" customHeight="true" outlineLevel="0" collapsed="false">
      <c r="A18" s="602" t="n">
        <v>1707</v>
      </c>
      <c r="B18" s="450" t="s">
        <v>18829</v>
      </c>
      <c r="C18" s="450" t="n">
        <v>2005</v>
      </c>
      <c r="D18" s="451" t="n">
        <v>38651</v>
      </c>
      <c r="E18" s="450" t="s">
        <v>18830</v>
      </c>
      <c r="F18" s="450" t="s">
        <v>2003</v>
      </c>
      <c r="G18" s="450" t="s">
        <v>1174</v>
      </c>
      <c r="H18" s="450" t="s">
        <v>18397</v>
      </c>
      <c r="I18" s="451" t="n">
        <v>39153</v>
      </c>
      <c r="J18" s="452" t="n">
        <v>3</v>
      </c>
      <c r="K18" s="631" t="s">
        <v>42</v>
      </c>
      <c r="L18" s="452" t="s">
        <v>58</v>
      </c>
      <c r="M18" s="455" t="n">
        <f aca="false">I18-D18</f>
        <v>502</v>
      </c>
      <c r="N18" s="4"/>
      <c r="O18" s="414" t="s">
        <v>2203</v>
      </c>
      <c r="P18" s="414"/>
      <c r="Q18" s="414"/>
      <c r="R18" s="414"/>
      <c r="S18" s="414"/>
    </row>
    <row r="19" customFormat="false" ht="12.75" hidden="false" customHeight="true" outlineLevel="0" collapsed="false">
      <c r="A19" s="594" t="n">
        <v>1807</v>
      </c>
      <c r="B19" s="458" t="s">
        <v>18831</v>
      </c>
      <c r="C19" s="458" t="n">
        <v>2005</v>
      </c>
      <c r="D19" s="459" t="n">
        <v>38659</v>
      </c>
      <c r="E19" s="458" t="s">
        <v>18832</v>
      </c>
      <c r="F19" s="458" t="s">
        <v>509</v>
      </c>
      <c r="G19" s="458" t="s">
        <v>1174</v>
      </c>
      <c r="H19" s="458" t="s">
        <v>16610</v>
      </c>
      <c r="I19" s="459" t="n">
        <v>39153</v>
      </c>
      <c r="J19" s="460" t="n">
        <v>3</v>
      </c>
      <c r="K19" s="633" t="s">
        <v>47</v>
      </c>
      <c r="L19" s="458" t="s">
        <v>58</v>
      </c>
      <c r="M19" s="463" t="n">
        <f aca="false">I19-D19</f>
        <v>494</v>
      </c>
      <c r="N19" s="4"/>
      <c r="O19" s="413" t="s">
        <v>2207</v>
      </c>
      <c r="P19" s="413"/>
      <c r="Q19" s="413"/>
      <c r="R19" s="413"/>
      <c r="S19" s="413"/>
    </row>
    <row r="20" customFormat="false" ht="12.75" hidden="false" customHeight="true" outlineLevel="0" collapsed="false">
      <c r="A20" s="602" t="n">
        <v>1907</v>
      </c>
      <c r="B20" s="450" t="s">
        <v>18833</v>
      </c>
      <c r="C20" s="450" t="n">
        <v>2004</v>
      </c>
      <c r="D20" s="451" t="n">
        <v>38077</v>
      </c>
      <c r="E20" s="450" t="s">
        <v>18834</v>
      </c>
      <c r="F20" s="450" t="s">
        <v>537</v>
      </c>
      <c r="G20" s="450" t="s">
        <v>1174</v>
      </c>
      <c r="H20" s="450" t="s">
        <v>373</v>
      </c>
      <c r="I20" s="451" t="n">
        <v>39155</v>
      </c>
      <c r="J20" s="452" t="n">
        <v>3</v>
      </c>
      <c r="K20" s="633" t="s">
        <v>47</v>
      </c>
      <c r="L20" s="452" t="s">
        <v>58</v>
      </c>
      <c r="M20" s="455" t="n">
        <f aca="false">I20-D20</f>
        <v>1078</v>
      </c>
      <c r="N20" s="4"/>
      <c r="O20" s="414" t="s">
        <v>2211</v>
      </c>
      <c r="P20" s="414"/>
      <c r="Q20" s="414"/>
      <c r="R20" s="414"/>
      <c r="S20" s="414"/>
    </row>
    <row r="21" customFormat="false" ht="12.75" hidden="false" customHeight="true" outlineLevel="0" collapsed="false">
      <c r="A21" s="594" t="n">
        <v>2007</v>
      </c>
      <c r="B21" s="458" t="s">
        <v>18835</v>
      </c>
      <c r="C21" s="458" t="n">
        <v>2005</v>
      </c>
      <c r="D21" s="459" t="n">
        <v>38665</v>
      </c>
      <c r="E21" s="458" t="s">
        <v>18836</v>
      </c>
      <c r="F21" s="625" t="s">
        <v>18837</v>
      </c>
      <c r="G21" s="458" t="s">
        <v>125</v>
      </c>
      <c r="H21" s="458" t="s">
        <v>18838</v>
      </c>
      <c r="I21" s="459" t="n">
        <v>39155</v>
      </c>
      <c r="J21" s="460" t="n">
        <v>3</v>
      </c>
      <c r="K21" s="633" t="s">
        <v>47</v>
      </c>
      <c r="L21" s="458" t="s">
        <v>61</v>
      </c>
      <c r="M21" s="463" t="n">
        <f aca="false">I21-D21</f>
        <v>490</v>
      </c>
      <c r="N21" s="4"/>
      <c r="O21" s="413" t="s">
        <v>2215</v>
      </c>
      <c r="P21" s="413"/>
      <c r="Q21" s="413"/>
      <c r="R21" s="413"/>
      <c r="S21" s="413"/>
    </row>
    <row r="22" customFormat="false" ht="12.75" hidden="false" customHeight="true" outlineLevel="0" collapsed="false">
      <c r="A22" s="602" t="n">
        <v>2107</v>
      </c>
      <c r="B22" s="450" t="s">
        <v>18839</v>
      </c>
      <c r="C22" s="450" t="n">
        <v>2004</v>
      </c>
      <c r="D22" s="451" t="n">
        <v>38173</v>
      </c>
      <c r="E22" s="450" t="s">
        <v>18840</v>
      </c>
      <c r="F22" s="450" t="s">
        <v>18821</v>
      </c>
      <c r="G22" s="450" t="s">
        <v>115</v>
      </c>
      <c r="H22" s="450" t="s">
        <v>254</v>
      </c>
      <c r="I22" s="451" t="n">
        <v>39155</v>
      </c>
      <c r="J22" s="452" t="n">
        <v>3</v>
      </c>
      <c r="K22" s="634" t="s">
        <v>45</v>
      </c>
      <c r="L22" s="452" t="s">
        <v>60</v>
      </c>
      <c r="M22" s="455" t="n">
        <f aca="false">I22-D22</f>
        <v>982</v>
      </c>
      <c r="N22" s="4"/>
      <c r="O22" s="414" t="s">
        <v>2220</v>
      </c>
      <c r="P22" s="414"/>
      <c r="Q22" s="414"/>
      <c r="R22" s="414"/>
      <c r="S22" s="414"/>
    </row>
    <row r="23" customFormat="false" ht="12.75" hidden="false" customHeight="true" outlineLevel="0" collapsed="false">
      <c r="A23" s="594" t="n">
        <v>2207</v>
      </c>
      <c r="B23" s="458" t="s">
        <v>18841</v>
      </c>
      <c r="C23" s="458" t="n">
        <v>2003</v>
      </c>
      <c r="D23" s="459" t="n">
        <v>37973</v>
      </c>
      <c r="E23" s="458" t="s">
        <v>18842</v>
      </c>
      <c r="F23" s="458" t="s">
        <v>13755</v>
      </c>
      <c r="G23" s="458" t="s">
        <v>1174</v>
      </c>
      <c r="H23" s="458" t="s">
        <v>192</v>
      </c>
      <c r="I23" s="459" t="n">
        <v>39157</v>
      </c>
      <c r="J23" s="460" t="n">
        <v>3</v>
      </c>
      <c r="K23" s="633" t="s">
        <v>47</v>
      </c>
      <c r="L23" s="458" t="s">
        <v>60</v>
      </c>
      <c r="M23" s="463" t="n">
        <f aca="false">I23-D23</f>
        <v>1184</v>
      </c>
      <c r="N23" s="4"/>
      <c r="O23" s="413" t="s">
        <v>18107</v>
      </c>
      <c r="P23" s="413"/>
      <c r="Q23" s="413"/>
      <c r="R23" s="413"/>
      <c r="S23" s="413"/>
    </row>
    <row r="24" customFormat="false" ht="12.75" hidden="false" customHeight="true" outlineLevel="0" collapsed="false">
      <c r="A24" s="602" t="n">
        <v>2307</v>
      </c>
      <c r="B24" s="450" t="s">
        <v>18843</v>
      </c>
      <c r="C24" s="450" t="n">
        <v>2003</v>
      </c>
      <c r="D24" s="451" t="n">
        <v>37971</v>
      </c>
      <c r="E24" s="450" t="s">
        <v>18844</v>
      </c>
      <c r="F24" s="450" t="s">
        <v>780</v>
      </c>
      <c r="G24" s="450" t="s">
        <v>441</v>
      </c>
      <c r="H24" s="450" t="s">
        <v>4431</v>
      </c>
      <c r="I24" s="451" t="n">
        <v>39157</v>
      </c>
      <c r="J24" s="452" t="n">
        <v>3</v>
      </c>
      <c r="K24" s="631" t="s">
        <v>42</v>
      </c>
      <c r="L24" s="452" t="s">
        <v>58</v>
      </c>
      <c r="M24" s="455" t="n">
        <f aca="false">I24-D24</f>
        <v>1186</v>
      </c>
      <c r="N24" s="4"/>
      <c r="O24" s="415" t="s">
        <v>2229</v>
      </c>
      <c r="P24" s="415"/>
      <c r="Q24" s="415"/>
      <c r="R24" s="415"/>
      <c r="S24" s="415"/>
    </row>
    <row r="25" customFormat="false" ht="12.75" hidden="false" customHeight="true" outlineLevel="0" collapsed="false">
      <c r="A25" s="594" t="n">
        <v>2407</v>
      </c>
      <c r="B25" s="458" t="s">
        <v>18845</v>
      </c>
      <c r="C25" s="458" t="n">
        <v>2001</v>
      </c>
      <c r="D25" s="459" t="n">
        <v>37124</v>
      </c>
      <c r="E25" s="458" t="s">
        <v>18846</v>
      </c>
      <c r="F25" s="458" t="s">
        <v>18847</v>
      </c>
      <c r="G25" s="458" t="s">
        <v>144</v>
      </c>
      <c r="H25" s="458" t="s">
        <v>134</v>
      </c>
      <c r="I25" s="459" t="n">
        <v>39157</v>
      </c>
      <c r="J25" s="460" t="n">
        <v>3</v>
      </c>
      <c r="K25" s="633" t="s">
        <v>47</v>
      </c>
      <c r="L25" s="458" t="s">
        <v>58</v>
      </c>
      <c r="M25" s="463" t="n">
        <f aca="false">I25-D25</f>
        <v>2033</v>
      </c>
      <c r="N25" s="4"/>
      <c r="O25" s="153"/>
      <c r="P25" s="153"/>
      <c r="Q25" s="153"/>
      <c r="R25" s="153"/>
      <c r="S25" s="153"/>
    </row>
    <row r="26" customFormat="false" ht="13.5" hidden="false" customHeight="true" outlineLevel="0" collapsed="false">
      <c r="A26" s="602" t="n">
        <v>2507</v>
      </c>
      <c r="B26" s="450" t="s">
        <v>18848</v>
      </c>
      <c r="C26" s="450" t="n">
        <v>2006</v>
      </c>
      <c r="D26" s="451" t="n">
        <v>38814</v>
      </c>
      <c r="E26" s="450" t="s">
        <v>18849</v>
      </c>
      <c r="F26" s="450" t="s">
        <v>211</v>
      </c>
      <c r="G26" s="450" t="s">
        <v>441</v>
      </c>
      <c r="H26" s="450" t="s">
        <v>2677</v>
      </c>
      <c r="I26" s="451" t="n">
        <v>39161</v>
      </c>
      <c r="J26" s="452" t="n">
        <v>3</v>
      </c>
      <c r="K26" s="631" t="s">
        <v>42</v>
      </c>
      <c r="L26" s="452" t="s">
        <v>58</v>
      </c>
      <c r="M26" s="455" t="n">
        <f aca="false">I26-D26</f>
        <v>347</v>
      </c>
      <c r="N26" s="4"/>
      <c r="O26" s="326" t="s">
        <v>185</v>
      </c>
      <c r="P26" s="326"/>
      <c r="Q26" s="326"/>
      <c r="R26" s="326"/>
      <c r="S26" s="326"/>
    </row>
    <row r="27" customFormat="false" ht="13.5" hidden="false" customHeight="true" outlineLevel="0" collapsed="false">
      <c r="A27" s="594" t="n">
        <v>2607</v>
      </c>
      <c r="B27" s="458" t="s">
        <v>18850</v>
      </c>
      <c r="C27" s="458" t="n">
        <v>2004</v>
      </c>
      <c r="D27" s="459" t="n">
        <v>38084</v>
      </c>
      <c r="E27" s="458" t="s">
        <v>18851</v>
      </c>
      <c r="F27" s="458" t="s">
        <v>379</v>
      </c>
      <c r="G27" s="458" t="s">
        <v>441</v>
      </c>
      <c r="H27" s="458" t="s">
        <v>15247</v>
      </c>
      <c r="I27" s="459" t="n">
        <v>39163</v>
      </c>
      <c r="J27" s="460" t="n">
        <v>3</v>
      </c>
      <c r="K27" s="633" t="s">
        <v>47</v>
      </c>
      <c r="L27" s="458" t="s">
        <v>60</v>
      </c>
      <c r="M27" s="463" t="n">
        <f aca="false">I27-D27</f>
        <v>1079</v>
      </c>
      <c r="N27" s="4"/>
      <c r="O27" s="326"/>
      <c r="P27" s="326"/>
      <c r="Q27" s="326"/>
      <c r="R27" s="326"/>
      <c r="S27" s="326"/>
    </row>
    <row r="28" customFormat="false" ht="12.75" hidden="false" customHeight="true" outlineLevel="0" collapsed="false">
      <c r="A28" s="602" t="n">
        <v>2707</v>
      </c>
      <c r="B28" s="450" t="s">
        <v>18852</v>
      </c>
      <c r="C28" s="450" t="n">
        <v>2005</v>
      </c>
      <c r="D28" s="451" t="n">
        <v>38551</v>
      </c>
      <c r="E28" s="450" t="s">
        <v>18853</v>
      </c>
      <c r="F28" s="450" t="s">
        <v>113</v>
      </c>
      <c r="G28" s="450" t="s">
        <v>1174</v>
      </c>
      <c r="H28" s="450" t="s">
        <v>2654</v>
      </c>
      <c r="I28" s="451" t="n">
        <v>39163</v>
      </c>
      <c r="J28" s="452" t="n">
        <v>3</v>
      </c>
      <c r="K28" s="633" t="s">
        <v>47</v>
      </c>
      <c r="L28" s="452" t="s">
        <v>60</v>
      </c>
      <c r="M28" s="455" t="n">
        <f aca="false">I28-D28</f>
        <v>612</v>
      </c>
      <c r="N28" s="4"/>
      <c r="O28" s="309" t="s">
        <v>39</v>
      </c>
      <c r="P28" s="416" t="s">
        <v>40</v>
      </c>
      <c r="Q28" s="416"/>
      <c r="R28" s="416"/>
      <c r="S28" s="313" t="s">
        <v>41</v>
      </c>
    </row>
    <row r="29" customFormat="false" ht="12.75" hidden="false" customHeight="true" outlineLevel="0" collapsed="false">
      <c r="A29" s="594" t="n">
        <v>2807</v>
      </c>
      <c r="B29" s="458" t="s">
        <v>18854</v>
      </c>
      <c r="C29" s="458" t="n">
        <v>2003</v>
      </c>
      <c r="D29" s="459" t="n">
        <v>37979</v>
      </c>
      <c r="E29" s="458" t="s">
        <v>18855</v>
      </c>
      <c r="F29" s="458" t="s">
        <v>18856</v>
      </c>
      <c r="G29" s="458" t="s">
        <v>144</v>
      </c>
      <c r="H29" s="458" t="s">
        <v>119</v>
      </c>
      <c r="I29" s="459" t="n">
        <v>39163</v>
      </c>
      <c r="J29" s="460" t="n">
        <v>3</v>
      </c>
      <c r="K29" s="633" t="s">
        <v>47</v>
      </c>
      <c r="L29" s="458" t="s">
        <v>58</v>
      </c>
      <c r="M29" s="463" t="n">
        <f aca="false">I29-D29</f>
        <v>1184</v>
      </c>
      <c r="N29" s="4"/>
      <c r="O29" s="283" t="n">
        <v>1995</v>
      </c>
      <c r="P29" s="283" t="n">
        <f aca="false">COUNTIF($C$2:$C$504,"1995")</f>
        <v>1</v>
      </c>
      <c r="Q29" s="283"/>
      <c r="R29" s="283"/>
      <c r="S29" s="315" t="n">
        <f aca="false">P29/P42</f>
        <v>0.00495049504950495</v>
      </c>
    </row>
    <row r="30" customFormat="false" ht="12.75" hidden="false" customHeight="true" outlineLevel="0" collapsed="false">
      <c r="A30" s="602" t="n">
        <v>2907</v>
      </c>
      <c r="B30" s="450" t="s">
        <v>18857</v>
      </c>
      <c r="C30" s="450" t="n">
        <v>2002</v>
      </c>
      <c r="D30" s="451" t="n">
        <v>37613</v>
      </c>
      <c r="E30" s="450" t="s">
        <v>18858</v>
      </c>
      <c r="F30" s="450" t="s">
        <v>1357</v>
      </c>
      <c r="G30" s="450" t="s">
        <v>1174</v>
      </c>
      <c r="H30" s="450" t="s">
        <v>2421</v>
      </c>
      <c r="I30" s="451" t="n">
        <v>39167</v>
      </c>
      <c r="J30" s="452" t="n">
        <v>3</v>
      </c>
      <c r="K30" s="631" t="s">
        <v>42</v>
      </c>
      <c r="L30" s="452" t="s">
        <v>60</v>
      </c>
      <c r="M30" s="455" t="n">
        <f aca="false">I30-D30</f>
        <v>1554</v>
      </c>
      <c r="N30" s="4"/>
      <c r="O30" s="282" t="n">
        <v>1996</v>
      </c>
      <c r="P30" s="282" t="n">
        <f aca="false">COUNTIF($C$2:$C$504,"1996")</f>
        <v>1</v>
      </c>
      <c r="Q30" s="282"/>
      <c r="R30" s="282"/>
      <c r="S30" s="316" t="n">
        <f aca="false">P30/P42</f>
        <v>0.00495049504950495</v>
      </c>
    </row>
    <row r="31" customFormat="false" ht="12.75" hidden="false" customHeight="true" outlineLevel="0" collapsed="false">
      <c r="A31" s="594" t="n">
        <v>3007</v>
      </c>
      <c r="B31" s="458" t="s">
        <v>18859</v>
      </c>
      <c r="C31" s="458" t="n">
        <v>2005</v>
      </c>
      <c r="D31" s="459" t="n">
        <v>38502</v>
      </c>
      <c r="E31" s="458" t="s">
        <v>18860</v>
      </c>
      <c r="F31" s="458" t="s">
        <v>18861</v>
      </c>
      <c r="G31" s="458" t="s">
        <v>144</v>
      </c>
      <c r="H31" s="458" t="s">
        <v>18862</v>
      </c>
      <c r="I31" s="459" t="n">
        <v>39170</v>
      </c>
      <c r="J31" s="460" t="n">
        <v>3</v>
      </c>
      <c r="K31" s="634" t="s">
        <v>45</v>
      </c>
      <c r="L31" s="458" t="s">
        <v>61</v>
      </c>
      <c r="M31" s="463" t="n">
        <f aca="false">I31-D31</f>
        <v>668</v>
      </c>
      <c r="N31" s="4"/>
      <c r="O31" s="283" t="n">
        <v>1997</v>
      </c>
      <c r="P31" s="283" t="n">
        <f aca="false">COUNTIF($C$2:$C$504,"1997")</f>
        <v>2</v>
      </c>
      <c r="Q31" s="283"/>
      <c r="R31" s="283"/>
      <c r="S31" s="315" t="n">
        <f aca="false">P31/P42</f>
        <v>0.0099009900990099</v>
      </c>
    </row>
    <row r="32" customFormat="false" ht="12.75" hidden="false" customHeight="true" outlineLevel="0" collapsed="false">
      <c r="A32" s="602" t="n">
        <v>3107</v>
      </c>
      <c r="B32" s="450" t="s">
        <v>18863</v>
      </c>
      <c r="C32" s="450" t="n">
        <v>2004</v>
      </c>
      <c r="D32" s="451" t="n">
        <v>38166</v>
      </c>
      <c r="E32" s="450" t="s">
        <v>18864</v>
      </c>
      <c r="F32" s="450" t="s">
        <v>18865</v>
      </c>
      <c r="G32" s="450" t="s">
        <v>125</v>
      </c>
      <c r="H32" s="450" t="s">
        <v>15408</v>
      </c>
      <c r="I32" s="451" t="n">
        <v>39170</v>
      </c>
      <c r="J32" s="452" t="n">
        <v>3</v>
      </c>
      <c r="K32" s="633" t="s">
        <v>47</v>
      </c>
      <c r="L32" s="452" t="s">
        <v>61</v>
      </c>
      <c r="M32" s="455" t="n">
        <f aca="false">I32-D32</f>
        <v>1004</v>
      </c>
      <c r="N32" s="4"/>
      <c r="O32" s="282" t="n">
        <v>1998</v>
      </c>
      <c r="P32" s="282" t="n">
        <f aca="false">COUNTIF($C$2:$C$504,"1998")</f>
        <v>1</v>
      </c>
      <c r="Q32" s="282"/>
      <c r="R32" s="282"/>
      <c r="S32" s="316" t="n">
        <f aca="false">P32/P42</f>
        <v>0.00495049504950495</v>
      </c>
    </row>
    <row r="33" customFormat="false" ht="12.75" hidden="false" customHeight="true" outlineLevel="0" collapsed="false">
      <c r="A33" s="594" t="n">
        <v>3207</v>
      </c>
      <c r="B33" s="458" t="s">
        <v>18866</v>
      </c>
      <c r="C33" s="458" t="n">
        <v>2004</v>
      </c>
      <c r="D33" s="459" t="n">
        <v>38077</v>
      </c>
      <c r="E33" s="458" t="s">
        <v>18867</v>
      </c>
      <c r="F33" s="458" t="s">
        <v>509</v>
      </c>
      <c r="G33" s="458" t="s">
        <v>144</v>
      </c>
      <c r="H33" s="458" t="s">
        <v>373</v>
      </c>
      <c r="I33" s="459" t="n">
        <v>39175</v>
      </c>
      <c r="J33" s="460" t="n">
        <v>4</v>
      </c>
      <c r="K33" s="634" t="s">
        <v>45</v>
      </c>
      <c r="L33" s="458" t="s">
        <v>58</v>
      </c>
      <c r="M33" s="463" t="n">
        <f aca="false">I33-D33</f>
        <v>1098</v>
      </c>
      <c r="N33" s="4"/>
      <c r="O33" s="283" t="n">
        <v>1999</v>
      </c>
      <c r="P33" s="283" t="n">
        <f aca="false">COUNTIF($C$2:$C$504,"1999")</f>
        <v>4</v>
      </c>
      <c r="Q33" s="283"/>
      <c r="R33" s="283"/>
      <c r="S33" s="315" t="n">
        <f aca="false">P33/P42</f>
        <v>0.0198019801980198</v>
      </c>
    </row>
    <row r="34" customFormat="false" ht="12.75" hidden="false" customHeight="true" outlineLevel="0" collapsed="false">
      <c r="A34" s="602" t="n">
        <v>3307</v>
      </c>
      <c r="B34" s="450" t="s">
        <v>18868</v>
      </c>
      <c r="C34" s="450" t="n">
        <v>2004</v>
      </c>
      <c r="D34" s="451" t="n">
        <v>38338</v>
      </c>
      <c r="E34" s="450" t="s">
        <v>18869</v>
      </c>
      <c r="F34" s="450" t="s">
        <v>17837</v>
      </c>
      <c r="G34" s="450" t="s">
        <v>144</v>
      </c>
      <c r="H34" s="450" t="s">
        <v>373</v>
      </c>
      <c r="I34" s="451" t="n">
        <v>39175</v>
      </c>
      <c r="J34" s="452" t="n">
        <v>4</v>
      </c>
      <c r="K34" s="634" t="s">
        <v>45</v>
      </c>
      <c r="L34" s="452" t="s">
        <v>58</v>
      </c>
      <c r="M34" s="455" t="n">
        <f aca="false">I34-D34</f>
        <v>837</v>
      </c>
      <c r="N34" s="4"/>
      <c r="O34" s="282" t="n">
        <v>2000</v>
      </c>
      <c r="P34" s="282" t="n">
        <f aca="false">COUNTIF($C$2:$C$504,"2000")</f>
        <v>6</v>
      </c>
      <c r="Q34" s="282"/>
      <c r="R34" s="282"/>
      <c r="S34" s="316" t="n">
        <f aca="false">P34/P42</f>
        <v>0.0297029702970297</v>
      </c>
    </row>
    <row r="35" customFormat="false" ht="12.75" hidden="false" customHeight="true" outlineLevel="0" collapsed="false">
      <c r="A35" s="594" t="n">
        <v>3407</v>
      </c>
      <c r="B35" s="458" t="s">
        <v>18870</v>
      </c>
      <c r="C35" s="458" t="n">
        <v>2004</v>
      </c>
      <c r="D35" s="459" t="n">
        <v>38197</v>
      </c>
      <c r="E35" s="458" t="s">
        <v>18871</v>
      </c>
      <c r="F35" s="458" t="s">
        <v>699</v>
      </c>
      <c r="G35" s="458" t="s">
        <v>441</v>
      </c>
      <c r="H35" s="458" t="s">
        <v>14391</v>
      </c>
      <c r="I35" s="459" t="n">
        <v>39182</v>
      </c>
      <c r="J35" s="460" t="n">
        <v>4</v>
      </c>
      <c r="K35" s="633" t="s">
        <v>47</v>
      </c>
      <c r="L35" s="458" t="s">
        <v>60</v>
      </c>
      <c r="M35" s="463" t="n">
        <f aca="false">I35-D35</f>
        <v>985</v>
      </c>
      <c r="N35" s="4"/>
      <c r="O35" s="283" t="n">
        <v>2001</v>
      </c>
      <c r="P35" s="283" t="n">
        <f aca="false">COUNTIF($C$2:$C$504,"2001")</f>
        <v>15</v>
      </c>
      <c r="Q35" s="283"/>
      <c r="R35" s="283"/>
      <c r="S35" s="315" t="n">
        <f aca="false">P35/P42</f>
        <v>0.0742574257425743</v>
      </c>
    </row>
    <row r="36" customFormat="false" ht="12.75" hidden="false" customHeight="true" outlineLevel="0" collapsed="false">
      <c r="A36" s="602" t="n">
        <v>3507</v>
      </c>
      <c r="B36" s="450" t="s">
        <v>18872</v>
      </c>
      <c r="C36" s="450" t="n">
        <v>2005</v>
      </c>
      <c r="D36" s="451" t="n">
        <v>38503</v>
      </c>
      <c r="E36" s="450" t="s">
        <v>18873</v>
      </c>
      <c r="F36" s="450" t="s">
        <v>379</v>
      </c>
      <c r="G36" s="450" t="s">
        <v>1174</v>
      </c>
      <c r="H36" s="450" t="s">
        <v>1059</v>
      </c>
      <c r="I36" s="451" t="n">
        <v>39182</v>
      </c>
      <c r="J36" s="452" t="n">
        <v>4</v>
      </c>
      <c r="K36" s="634" t="s">
        <v>45</v>
      </c>
      <c r="L36" s="452" t="s">
        <v>60</v>
      </c>
      <c r="M36" s="455" t="n">
        <f aca="false">I36-D36</f>
        <v>679</v>
      </c>
      <c r="N36" s="4"/>
      <c r="O36" s="282" t="n">
        <v>2002</v>
      </c>
      <c r="P36" s="282" t="n">
        <f aca="false">COUNTIF($C$2:$C$504,"2002")</f>
        <v>5</v>
      </c>
      <c r="Q36" s="282"/>
      <c r="R36" s="282"/>
      <c r="S36" s="316" t="n">
        <f aca="false">P36/P42</f>
        <v>0.0247524752475248</v>
      </c>
    </row>
    <row r="37" customFormat="false" ht="12.75" hidden="false" customHeight="true" outlineLevel="0" collapsed="false">
      <c r="A37" s="594" t="n">
        <v>3607</v>
      </c>
      <c r="B37" s="458" t="s">
        <v>18874</v>
      </c>
      <c r="C37" s="458" t="n">
        <v>2006</v>
      </c>
      <c r="D37" s="459" t="n">
        <v>38761</v>
      </c>
      <c r="E37" s="458" t="s">
        <v>18875</v>
      </c>
      <c r="F37" s="458" t="s">
        <v>699</v>
      </c>
      <c r="G37" s="458" t="s">
        <v>441</v>
      </c>
      <c r="H37" s="458" t="s">
        <v>6755</v>
      </c>
      <c r="I37" s="459" t="n">
        <v>39191</v>
      </c>
      <c r="J37" s="460" t="n">
        <v>4</v>
      </c>
      <c r="K37" s="633" t="s">
        <v>47</v>
      </c>
      <c r="L37" s="458" t="s">
        <v>60</v>
      </c>
      <c r="M37" s="463" t="n">
        <f aca="false">I37-D37</f>
        <v>430</v>
      </c>
      <c r="N37" s="4"/>
      <c r="O37" s="283" t="n">
        <v>2003</v>
      </c>
      <c r="P37" s="283" t="n">
        <f aca="false">COUNTIF($C$2:$C$504,"2003")</f>
        <v>24</v>
      </c>
      <c r="Q37" s="283"/>
      <c r="R37" s="283"/>
      <c r="S37" s="315" t="n">
        <f aca="false">P37/P42</f>
        <v>0.118811881188119</v>
      </c>
    </row>
    <row r="38" customFormat="false" ht="12.75" hidden="false" customHeight="true" outlineLevel="0" collapsed="false">
      <c r="A38" s="602" t="n">
        <v>3707</v>
      </c>
      <c r="B38" s="450" t="s">
        <v>18876</v>
      </c>
      <c r="C38" s="450" t="n">
        <v>2006</v>
      </c>
      <c r="D38" s="451" t="n">
        <v>38761</v>
      </c>
      <c r="E38" s="450" t="s">
        <v>18877</v>
      </c>
      <c r="F38" s="450" t="s">
        <v>699</v>
      </c>
      <c r="G38" s="450" t="s">
        <v>441</v>
      </c>
      <c r="H38" s="450" t="s">
        <v>6755</v>
      </c>
      <c r="I38" s="451" t="n">
        <v>39191</v>
      </c>
      <c r="J38" s="452" t="n">
        <v>4</v>
      </c>
      <c r="K38" s="633" t="s">
        <v>47</v>
      </c>
      <c r="L38" s="452" t="s">
        <v>60</v>
      </c>
      <c r="M38" s="455" t="n">
        <f aca="false">I38-D38</f>
        <v>430</v>
      </c>
      <c r="N38" s="4"/>
      <c r="O38" s="282" t="n">
        <v>2004</v>
      </c>
      <c r="P38" s="282" t="n">
        <f aca="false">COUNTIF($C$2:$C$504,"2004")</f>
        <v>46</v>
      </c>
      <c r="Q38" s="282"/>
      <c r="R38" s="282"/>
      <c r="S38" s="316" t="n">
        <f aca="false">P38/P42</f>
        <v>0.227722772277228</v>
      </c>
    </row>
    <row r="39" customFormat="false" ht="12.75" hidden="false" customHeight="true" outlineLevel="0" collapsed="false">
      <c r="A39" s="594" t="n">
        <v>3807</v>
      </c>
      <c r="B39" s="458" t="s">
        <v>18878</v>
      </c>
      <c r="C39" s="458" t="n">
        <v>2006</v>
      </c>
      <c r="D39" s="459" t="n">
        <v>38819</v>
      </c>
      <c r="E39" s="458" t="s">
        <v>18879</v>
      </c>
      <c r="F39" s="458" t="s">
        <v>699</v>
      </c>
      <c r="G39" s="458" t="s">
        <v>441</v>
      </c>
      <c r="H39" s="458" t="s">
        <v>6755</v>
      </c>
      <c r="I39" s="459" t="n">
        <v>39191</v>
      </c>
      <c r="J39" s="460" t="n">
        <v>4</v>
      </c>
      <c r="K39" s="633" t="s">
        <v>47</v>
      </c>
      <c r="L39" s="458" t="s">
        <v>60</v>
      </c>
      <c r="M39" s="463" t="n">
        <f aca="false">I39-D39</f>
        <v>372</v>
      </c>
      <c r="N39" s="4"/>
      <c r="O39" s="283" t="n">
        <v>2005</v>
      </c>
      <c r="P39" s="283" t="n">
        <f aca="false">COUNTIF($C$2:$C$504,"2005")</f>
        <v>64</v>
      </c>
      <c r="Q39" s="283"/>
      <c r="R39" s="283"/>
      <c r="S39" s="315" t="n">
        <f aca="false">P39/P42</f>
        <v>0.316831683168317</v>
      </c>
    </row>
    <row r="40" customFormat="false" ht="12.75" hidden="false" customHeight="true" outlineLevel="0" collapsed="false">
      <c r="A40" s="602" t="n">
        <v>3907</v>
      </c>
      <c r="B40" s="450" t="s">
        <v>18880</v>
      </c>
      <c r="C40" s="450" t="n">
        <v>2005</v>
      </c>
      <c r="D40" s="451" t="n">
        <v>38716</v>
      </c>
      <c r="E40" s="450" t="s">
        <v>18881</v>
      </c>
      <c r="F40" s="450" t="s">
        <v>1527</v>
      </c>
      <c r="G40" s="450" t="s">
        <v>441</v>
      </c>
      <c r="H40" s="450" t="s">
        <v>1059</v>
      </c>
      <c r="I40" s="451" t="n">
        <v>39198</v>
      </c>
      <c r="J40" s="452" t="n">
        <v>4</v>
      </c>
      <c r="K40" s="631" t="s">
        <v>42</v>
      </c>
      <c r="L40" s="452" t="s">
        <v>58</v>
      </c>
      <c r="M40" s="455" t="n">
        <f aca="false">I40-D40</f>
        <v>482</v>
      </c>
      <c r="N40" s="4"/>
      <c r="O40" s="282" t="n">
        <v>2006</v>
      </c>
      <c r="P40" s="282" t="n">
        <f aca="false">COUNTIF($C$2:$C$504,"2006")</f>
        <v>28</v>
      </c>
      <c r="Q40" s="282"/>
      <c r="R40" s="282"/>
      <c r="S40" s="316" t="n">
        <f aca="false">P40/P42</f>
        <v>0.138613861386139</v>
      </c>
    </row>
    <row r="41" customFormat="false" ht="12.75" hidden="false" customHeight="true" outlineLevel="0" collapsed="false">
      <c r="A41" s="594" t="n">
        <v>4007</v>
      </c>
      <c r="B41" s="458" t="s">
        <v>18882</v>
      </c>
      <c r="C41" s="458" t="n">
        <v>2003</v>
      </c>
      <c r="D41" s="459" t="n">
        <v>37979</v>
      </c>
      <c r="E41" s="458" t="s">
        <v>18883</v>
      </c>
      <c r="F41" s="458" t="s">
        <v>18856</v>
      </c>
      <c r="G41" s="458" t="s">
        <v>144</v>
      </c>
      <c r="H41" s="458" t="s">
        <v>119</v>
      </c>
      <c r="I41" s="459" t="n">
        <v>39199</v>
      </c>
      <c r="J41" s="460" t="n">
        <v>4</v>
      </c>
      <c r="K41" s="633" t="s">
        <v>47</v>
      </c>
      <c r="L41" s="458" t="s">
        <v>58</v>
      </c>
      <c r="M41" s="463" t="n">
        <f aca="false">I41-D41</f>
        <v>1220</v>
      </c>
      <c r="N41" s="4"/>
      <c r="O41" s="283" t="n">
        <v>2007</v>
      </c>
      <c r="P41" s="283" t="n">
        <f aca="false">COUNTIF($C$2:$C$504,"2007")</f>
        <v>5</v>
      </c>
      <c r="Q41" s="283"/>
      <c r="R41" s="283"/>
      <c r="S41" s="315" t="n">
        <f aca="false">P41/P42</f>
        <v>0.0247524752475248</v>
      </c>
    </row>
    <row r="42" customFormat="false" ht="12.75" hidden="false" customHeight="true" outlineLevel="0" collapsed="false">
      <c r="A42" s="602" t="n">
        <v>4107</v>
      </c>
      <c r="B42" s="450" t="s">
        <v>18884</v>
      </c>
      <c r="C42" s="450" t="n">
        <v>2005</v>
      </c>
      <c r="D42" s="451" t="n">
        <v>38609</v>
      </c>
      <c r="E42" s="450" t="s">
        <v>18885</v>
      </c>
      <c r="F42" s="450" t="s">
        <v>3844</v>
      </c>
      <c r="G42" s="450" t="s">
        <v>1174</v>
      </c>
      <c r="H42" s="450" t="s">
        <v>13006</v>
      </c>
      <c r="I42" s="451" t="n">
        <v>39206</v>
      </c>
      <c r="J42" s="452" t="n">
        <v>5</v>
      </c>
      <c r="K42" s="634" t="s">
        <v>45</v>
      </c>
      <c r="L42" s="452" t="s">
        <v>58</v>
      </c>
      <c r="M42" s="455" t="n">
        <f aca="false">I42-D42</f>
        <v>597</v>
      </c>
      <c r="N42" s="4"/>
      <c r="O42" s="323" t="s">
        <v>56</v>
      </c>
      <c r="P42" s="418" t="n">
        <f aca="false">SUM(P29:R41)</f>
        <v>202</v>
      </c>
      <c r="Q42" s="418"/>
      <c r="R42" s="418"/>
      <c r="S42" s="325" t="n">
        <f aca="false">SUM(S29:S41)</f>
        <v>1</v>
      </c>
    </row>
    <row r="43" customFormat="false" ht="12.75" hidden="false" customHeight="true" outlineLevel="0" collapsed="false">
      <c r="A43" s="594" t="n">
        <v>4207</v>
      </c>
      <c r="B43" s="458" t="s">
        <v>18886</v>
      </c>
      <c r="C43" s="458" t="n">
        <v>1997</v>
      </c>
      <c r="D43" s="459" t="n">
        <v>35675</v>
      </c>
      <c r="E43" s="458" t="s">
        <v>18887</v>
      </c>
      <c r="F43" s="458" t="s">
        <v>3305</v>
      </c>
      <c r="G43" s="458" t="s">
        <v>144</v>
      </c>
      <c r="H43" s="458" t="s">
        <v>17814</v>
      </c>
      <c r="I43" s="459" t="n">
        <v>39210</v>
      </c>
      <c r="J43" s="460" t="n">
        <v>5</v>
      </c>
      <c r="K43" s="631" t="s">
        <v>42</v>
      </c>
      <c r="L43" s="458" t="s">
        <v>60</v>
      </c>
      <c r="M43" s="463" t="n">
        <f aca="false">I43-D43</f>
        <v>3535</v>
      </c>
      <c r="N43" s="4"/>
      <c r="O43" s="153"/>
      <c r="P43" s="153"/>
      <c r="Q43" s="153"/>
      <c r="R43" s="153"/>
      <c r="S43" s="153"/>
    </row>
    <row r="44" customFormat="false" ht="13.5" hidden="false" customHeight="true" outlineLevel="0" collapsed="false">
      <c r="A44" s="602" t="n">
        <v>4307</v>
      </c>
      <c r="B44" s="450" t="s">
        <v>18888</v>
      </c>
      <c r="C44" s="450" t="n">
        <v>1997</v>
      </c>
      <c r="D44" s="451" t="n">
        <v>35675</v>
      </c>
      <c r="E44" s="450" t="s">
        <v>18889</v>
      </c>
      <c r="F44" s="450" t="s">
        <v>3305</v>
      </c>
      <c r="G44" s="450" t="s">
        <v>144</v>
      </c>
      <c r="H44" s="450" t="s">
        <v>17814</v>
      </c>
      <c r="I44" s="451" t="n">
        <v>39210</v>
      </c>
      <c r="J44" s="452" t="n">
        <v>5</v>
      </c>
      <c r="K44" s="631" t="s">
        <v>42</v>
      </c>
      <c r="L44" s="452" t="s">
        <v>60</v>
      </c>
      <c r="M44" s="455" t="n">
        <f aca="false">I44-D44</f>
        <v>3535</v>
      </c>
      <c r="N44" s="4"/>
      <c r="O44" s="326" t="s">
        <v>272</v>
      </c>
      <c r="P44" s="326"/>
      <c r="Q44" s="326"/>
      <c r="R44" s="326"/>
      <c r="S44" s="326"/>
    </row>
    <row r="45" customFormat="false" ht="13.5" hidden="false" customHeight="true" outlineLevel="0" collapsed="false">
      <c r="A45" s="594" t="n">
        <v>4407</v>
      </c>
      <c r="B45" s="458" t="s">
        <v>18890</v>
      </c>
      <c r="C45" s="458" t="n">
        <v>2005</v>
      </c>
      <c r="D45" s="459" t="n">
        <v>38521</v>
      </c>
      <c r="E45" s="458" t="s">
        <v>18891</v>
      </c>
      <c r="F45" s="458" t="s">
        <v>537</v>
      </c>
      <c r="G45" s="458" t="s">
        <v>1174</v>
      </c>
      <c r="H45" s="458" t="s">
        <v>16610</v>
      </c>
      <c r="I45" s="459" t="n">
        <v>39212</v>
      </c>
      <c r="J45" s="460" t="n">
        <v>5</v>
      </c>
      <c r="K45" s="633" t="s">
        <v>47</v>
      </c>
      <c r="L45" s="458" t="s">
        <v>60</v>
      </c>
      <c r="M45" s="463" t="n">
        <f aca="false">I45-D45</f>
        <v>691</v>
      </c>
      <c r="N45" s="4"/>
      <c r="O45" s="326"/>
      <c r="P45" s="326"/>
      <c r="Q45" s="326"/>
      <c r="R45" s="326"/>
      <c r="S45" s="326"/>
    </row>
    <row r="46" customFormat="false" ht="12.75" hidden="false" customHeight="true" outlineLevel="0" collapsed="false">
      <c r="A46" s="602" t="n">
        <v>4507</v>
      </c>
      <c r="B46" s="450" t="s">
        <v>18892</v>
      </c>
      <c r="C46" s="450" t="n">
        <v>2004</v>
      </c>
      <c r="D46" s="451" t="n">
        <v>38296</v>
      </c>
      <c r="E46" s="450" t="s">
        <v>18893</v>
      </c>
      <c r="F46" s="450" t="s">
        <v>18393</v>
      </c>
      <c r="G46" s="450" t="s">
        <v>144</v>
      </c>
      <c r="H46" s="450" t="s">
        <v>18894</v>
      </c>
      <c r="I46" s="451" t="n">
        <v>39212</v>
      </c>
      <c r="J46" s="452" t="n">
        <v>5</v>
      </c>
      <c r="K46" s="632" t="s">
        <v>50</v>
      </c>
      <c r="L46" s="452" t="s">
        <v>61</v>
      </c>
      <c r="M46" s="455" t="n">
        <f aca="false">I46-D46</f>
        <v>916</v>
      </c>
      <c r="N46" s="4"/>
      <c r="O46" s="309" t="s">
        <v>100</v>
      </c>
      <c r="P46" s="416" t="s">
        <v>40</v>
      </c>
      <c r="Q46" s="416"/>
      <c r="R46" s="416"/>
      <c r="S46" s="313" t="s">
        <v>41</v>
      </c>
    </row>
    <row r="47" customFormat="false" ht="12.75" hidden="false" customHeight="true" outlineLevel="0" collapsed="false">
      <c r="A47" s="594" t="n">
        <v>4607</v>
      </c>
      <c r="B47" s="458" t="s">
        <v>18895</v>
      </c>
      <c r="C47" s="458" t="n">
        <v>2003</v>
      </c>
      <c r="D47" s="459" t="n">
        <v>37971</v>
      </c>
      <c r="E47" s="458" t="s">
        <v>18896</v>
      </c>
      <c r="F47" s="458" t="s">
        <v>18479</v>
      </c>
      <c r="G47" s="458" t="s">
        <v>441</v>
      </c>
      <c r="H47" s="458" t="s">
        <v>4431</v>
      </c>
      <c r="I47" s="459" t="n">
        <v>39213</v>
      </c>
      <c r="J47" s="460" t="n">
        <v>5</v>
      </c>
      <c r="K47" s="632" t="s">
        <v>50</v>
      </c>
      <c r="L47" s="458" t="s">
        <v>60</v>
      </c>
      <c r="M47" s="463" t="n">
        <f aca="false">I47-D47</f>
        <v>1242</v>
      </c>
      <c r="N47" s="4"/>
      <c r="O47" s="314" t="s">
        <v>63</v>
      </c>
      <c r="P47" s="314" t="n">
        <f aca="false">COUNTIF($J$2:$J$477,"1")</f>
        <v>10</v>
      </c>
      <c r="Q47" s="314"/>
      <c r="R47" s="314"/>
      <c r="S47" s="469" t="n">
        <f aca="false">(P47/P59)</f>
        <v>0.0495049504950495</v>
      </c>
    </row>
    <row r="48" customFormat="false" ht="12.75" hidden="false" customHeight="true" outlineLevel="0" collapsed="false">
      <c r="A48" s="602" t="n">
        <v>4707</v>
      </c>
      <c r="B48" s="450" t="s">
        <v>18897</v>
      </c>
      <c r="C48" s="450" t="n">
        <v>2006</v>
      </c>
      <c r="D48" s="451" t="n">
        <v>38861</v>
      </c>
      <c r="E48" s="450" t="s">
        <v>18898</v>
      </c>
      <c r="F48" s="450" t="s">
        <v>18899</v>
      </c>
      <c r="G48" s="450" t="s">
        <v>125</v>
      </c>
      <c r="H48" s="450" t="s">
        <v>254</v>
      </c>
      <c r="I48" s="451" t="n">
        <v>39216</v>
      </c>
      <c r="J48" s="452" t="n">
        <v>5</v>
      </c>
      <c r="K48" s="634" t="s">
        <v>45</v>
      </c>
      <c r="L48" s="452" t="s">
        <v>61</v>
      </c>
      <c r="M48" s="455" t="n">
        <f aca="false">I48-D48</f>
        <v>355</v>
      </c>
      <c r="N48" s="4"/>
      <c r="O48" s="282" t="s">
        <v>64</v>
      </c>
      <c r="P48" s="282" t="n">
        <f aca="false">COUNTIF($J$2:$J$477,"2")</f>
        <v>6</v>
      </c>
      <c r="Q48" s="282"/>
      <c r="R48" s="282"/>
      <c r="S48" s="316" t="n">
        <f aca="false">(P48/P59)</f>
        <v>0.0297029702970297</v>
      </c>
    </row>
    <row r="49" customFormat="false" ht="12.75" hidden="false" customHeight="true" outlineLevel="0" collapsed="false">
      <c r="A49" s="594" t="n">
        <v>4807</v>
      </c>
      <c r="B49" s="458" t="s">
        <v>18900</v>
      </c>
      <c r="C49" s="458" t="n">
        <v>2004</v>
      </c>
      <c r="D49" s="459" t="n">
        <v>38324</v>
      </c>
      <c r="E49" s="458" t="s">
        <v>18901</v>
      </c>
      <c r="F49" s="458" t="s">
        <v>705</v>
      </c>
      <c r="G49" s="458" t="s">
        <v>1174</v>
      </c>
      <c r="H49" s="458" t="s">
        <v>192</v>
      </c>
      <c r="I49" s="459" t="n">
        <v>39218</v>
      </c>
      <c r="J49" s="460" t="n">
        <v>5</v>
      </c>
      <c r="K49" s="633" t="s">
        <v>47</v>
      </c>
      <c r="L49" s="458" t="s">
        <v>58</v>
      </c>
      <c r="M49" s="463" t="n">
        <f aca="false">I49-D49</f>
        <v>894</v>
      </c>
      <c r="N49" s="4"/>
      <c r="O49" s="283" t="s">
        <v>66</v>
      </c>
      <c r="P49" s="283" t="n">
        <f aca="false">COUNTIF($J$2:$J$477,"3")</f>
        <v>15</v>
      </c>
      <c r="Q49" s="283"/>
      <c r="R49" s="283"/>
      <c r="S49" s="315" t="n">
        <f aca="false">(P49/P59)</f>
        <v>0.0742574257425743</v>
      </c>
      <c r="T49" s="153"/>
    </row>
    <row r="50" customFormat="false" ht="12.75" hidden="false" customHeight="true" outlineLevel="0" collapsed="false">
      <c r="A50" s="602" t="n">
        <v>4907</v>
      </c>
      <c r="B50" s="450" t="s">
        <v>18902</v>
      </c>
      <c r="C50" s="450" t="n">
        <v>2003</v>
      </c>
      <c r="D50" s="451" t="n">
        <v>37923</v>
      </c>
      <c r="E50" s="450" t="s">
        <v>18903</v>
      </c>
      <c r="F50" s="450" t="s">
        <v>537</v>
      </c>
      <c r="G50" s="450" t="s">
        <v>144</v>
      </c>
      <c r="H50" s="450" t="s">
        <v>1109</v>
      </c>
      <c r="I50" s="451" t="n">
        <v>39219</v>
      </c>
      <c r="J50" s="452" t="n">
        <v>5</v>
      </c>
      <c r="K50" s="634" t="s">
        <v>45</v>
      </c>
      <c r="L50" s="452" t="s">
        <v>58</v>
      </c>
      <c r="M50" s="455" t="n">
        <f aca="false">I50-D50</f>
        <v>1296</v>
      </c>
      <c r="N50" s="4"/>
      <c r="O50" s="282" t="s">
        <v>67</v>
      </c>
      <c r="P50" s="282" t="n">
        <f aca="false">COUNTIF($J$2:$J$477,"4")</f>
        <v>9</v>
      </c>
      <c r="Q50" s="282"/>
      <c r="R50" s="282"/>
      <c r="S50" s="316" t="n">
        <f aca="false">(P50/P59)</f>
        <v>0.0445544554455446</v>
      </c>
      <c r="T50" s="153"/>
    </row>
    <row r="51" customFormat="false" ht="12.75" hidden="false" customHeight="true" outlineLevel="0" collapsed="false">
      <c r="A51" s="594" t="n">
        <v>5007</v>
      </c>
      <c r="B51" s="458" t="s">
        <v>18904</v>
      </c>
      <c r="C51" s="458" t="n">
        <v>2004</v>
      </c>
      <c r="D51" s="459" t="n">
        <v>38254</v>
      </c>
      <c r="E51" s="458" t="s">
        <v>18905</v>
      </c>
      <c r="F51" s="458" t="s">
        <v>9757</v>
      </c>
      <c r="G51" s="458" t="s">
        <v>441</v>
      </c>
      <c r="H51" s="458" t="s">
        <v>18397</v>
      </c>
      <c r="I51" s="459" t="n">
        <v>39219</v>
      </c>
      <c r="J51" s="460" t="n">
        <v>5</v>
      </c>
      <c r="K51" s="631" t="s">
        <v>42</v>
      </c>
      <c r="L51" s="458" t="s">
        <v>60</v>
      </c>
      <c r="M51" s="463" t="n">
        <f aca="false">I51-D51</f>
        <v>965</v>
      </c>
      <c r="N51" s="4"/>
      <c r="O51" s="283" t="s">
        <v>68</v>
      </c>
      <c r="P51" s="283" t="n">
        <f aca="false">COUNTIF($J$2:$J$477,"5")</f>
        <v>19</v>
      </c>
      <c r="Q51" s="283"/>
      <c r="R51" s="283"/>
      <c r="S51" s="315" t="n">
        <f aca="false">(P51/P59)</f>
        <v>0.0940594059405941</v>
      </c>
      <c r="T51" s="153"/>
    </row>
    <row r="52" customFormat="false" ht="12.75" hidden="false" customHeight="true" outlineLevel="0" collapsed="false">
      <c r="A52" s="602" t="n">
        <v>5107</v>
      </c>
      <c r="B52" s="450" t="s">
        <v>18906</v>
      </c>
      <c r="C52" s="450" t="n">
        <v>2005</v>
      </c>
      <c r="D52" s="451" t="n">
        <v>38636</v>
      </c>
      <c r="E52" s="450" t="s">
        <v>18907</v>
      </c>
      <c r="F52" s="450" t="s">
        <v>446</v>
      </c>
      <c r="G52" s="450" t="s">
        <v>1174</v>
      </c>
      <c r="H52" s="450" t="s">
        <v>18397</v>
      </c>
      <c r="I52" s="451" t="n">
        <v>39223</v>
      </c>
      <c r="J52" s="452" t="n">
        <v>5</v>
      </c>
      <c r="K52" s="633" t="s">
        <v>47</v>
      </c>
      <c r="L52" s="452" t="s">
        <v>58</v>
      </c>
      <c r="M52" s="455" t="n">
        <f aca="false">I52-D52</f>
        <v>587</v>
      </c>
      <c r="N52" s="4"/>
      <c r="O52" s="282" t="s">
        <v>70</v>
      </c>
      <c r="P52" s="282" t="n">
        <f aca="false">COUNTIF($J$2:$J$477,"6")</f>
        <v>13</v>
      </c>
      <c r="Q52" s="282"/>
      <c r="R52" s="282"/>
      <c r="S52" s="316" t="n">
        <f aca="false">(P52/P59)</f>
        <v>0.0643564356435644</v>
      </c>
      <c r="T52" s="153"/>
    </row>
    <row r="53" customFormat="false" ht="12.75" hidden="false" customHeight="true" outlineLevel="0" collapsed="false">
      <c r="A53" s="594" t="n">
        <v>5207</v>
      </c>
      <c r="B53" s="458" t="s">
        <v>18908</v>
      </c>
      <c r="C53" s="458" t="n">
        <v>2004</v>
      </c>
      <c r="D53" s="459" t="n">
        <v>38275</v>
      </c>
      <c r="E53" s="458" t="s">
        <v>18909</v>
      </c>
      <c r="F53" s="458" t="s">
        <v>17837</v>
      </c>
      <c r="G53" s="458" t="s">
        <v>144</v>
      </c>
      <c r="H53" s="458" t="s">
        <v>373</v>
      </c>
      <c r="I53" s="459" t="n">
        <v>39227</v>
      </c>
      <c r="J53" s="460" t="n">
        <v>5</v>
      </c>
      <c r="K53" s="633" t="s">
        <v>47</v>
      </c>
      <c r="L53" s="458" t="s">
        <v>60</v>
      </c>
      <c r="M53" s="463" t="n">
        <f aca="false">I53-D53</f>
        <v>952</v>
      </c>
      <c r="N53" s="4"/>
      <c r="O53" s="283" t="s">
        <v>72</v>
      </c>
      <c r="P53" s="283" t="n">
        <f aca="false">COUNTIF($J$2:$J$477,"7")</f>
        <v>7</v>
      </c>
      <c r="Q53" s="283"/>
      <c r="R53" s="283"/>
      <c r="S53" s="315" t="n">
        <f aca="false">(P53/P59)</f>
        <v>0.0346534653465347</v>
      </c>
      <c r="T53" s="153"/>
    </row>
    <row r="54" customFormat="false" ht="12.75" hidden="false" customHeight="true" outlineLevel="0" collapsed="false">
      <c r="A54" s="602" t="n">
        <v>5307</v>
      </c>
      <c r="B54" s="450" t="s">
        <v>18910</v>
      </c>
      <c r="C54" s="450" t="n">
        <v>2006</v>
      </c>
      <c r="D54" s="451" t="n">
        <v>38736</v>
      </c>
      <c r="E54" s="450" t="s">
        <v>18911</v>
      </c>
      <c r="F54" s="450" t="s">
        <v>2003</v>
      </c>
      <c r="G54" s="450" t="s">
        <v>1174</v>
      </c>
      <c r="H54" s="450" t="s">
        <v>13006</v>
      </c>
      <c r="I54" s="451" t="n">
        <v>39232</v>
      </c>
      <c r="J54" s="452" t="n">
        <v>5</v>
      </c>
      <c r="K54" s="631" t="s">
        <v>42</v>
      </c>
      <c r="L54" s="452" t="s">
        <v>58</v>
      </c>
      <c r="M54" s="455" t="n">
        <f aca="false">I54-D54</f>
        <v>496</v>
      </c>
      <c r="N54" s="4"/>
      <c r="O54" s="282" t="s">
        <v>74</v>
      </c>
      <c r="P54" s="282" t="n">
        <f aca="false">COUNTIF($J$2:$J$477,"8")</f>
        <v>44</v>
      </c>
      <c r="Q54" s="282"/>
      <c r="R54" s="282"/>
      <c r="S54" s="316" t="n">
        <f aca="false">(P54/P59)</f>
        <v>0.217821782178218</v>
      </c>
      <c r="T54" s="153"/>
    </row>
    <row r="55" customFormat="false" ht="12.75" hidden="false" customHeight="true" outlineLevel="0" collapsed="false">
      <c r="A55" s="594" t="n">
        <v>5407</v>
      </c>
      <c r="B55" s="458" t="s">
        <v>18912</v>
      </c>
      <c r="C55" s="458" t="n">
        <v>2004</v>
      </c>
      <c r="D55" s="459" t="n">
        <v>38310</v>
      </c>
      <c r="E55" s="458" t="s">
        <v>18913</v>
      </c>
      <c r="F55" s="458" t="s">
        <v>346</v>
      </c>
      <c r="G55" s="458" t="s">
        <v>144</v>
      </c>
      <c r="H55" s="458" t="s">
        <v>373</v>
      </c>
      <c r="I55" s="459" t="n">
        <v>39232</v>
      </c>
      <c r="J55" s="460" t="n">
        <v>5</v>
      </c>
      <c r="K55" s="632" t="s">
        <v>50</v>
      </c>
      <c r="L55" s="458" t="s">
        <v>60</v>
      </c>
      <c r="M55" s="463" t="n">
        <f aca="false">I55-D55</f>
        <v>922</v>
      </c>
      <c r="N55" s="4"/>
      <c r="O55" s="283" t="s">
        <v>76</v>
      </c>
      <c r="P55" s="283" t="n">
        <f aca="false">COUNTIF($J$2:$J$477,"9")</f>
        <v>19</v>
      </c>
      <c r="Q55" s="283"/>
      <c r="R55" s="283"/>
      <c r="S55" s="315" t="n">
        <f aca="false">(P55/P59)</f>
        <v>0.0940594059405941</v>
      </c>
      <c r="T55" s="153"/>
    </row>
    <row r="56" customFormat="false" ht="12.75" hidden="false" customHeight="true" outlineLevel="0" collapsed="false">
      <c r="A56" s="602" t="n">
        <v>5507</v>
      </c>
      <c r="B56" s="450" t="s">
        <v>18914</v>
      </c>
      <c r="C56" s="450" t="n">
        <v>2004</v>
      </c>
      <c r="D56" s="451" t="n">
        <v>38275</v>
      </c>
      <c r="E56" s="450" t="s">
        <v>18915</v>
      </c>
      <c r="F56" s="450" t="s">
        <v>17837</v>
      </c>
      <c r="G56" s="450" t="s">
        <v>144</v>
      </c>
      <c r="H56" s="450" t="s">
        <v>373</v>
      </c>
      <c r="I56" s="451" t="n">
        <v>39232</v>
      </c>
      <c r="J56" s="452" t="n">
        <v>5</v>
      </c>
      <c r="K56" s="633" t="s">
        <v>47</v>
      </c>
      <c r="L56" s="452" t="s">
        <v>60</v>
      </c>
      <c r="M56" s="455" t="n">
        <f aca="false">I56-D56</f>
        <v>957</v>
      </c>
      <c r="N56" s="4"/>
      <c r="O56" s="282" t="s">
        <v>78</v>
      </c>
      <c r="P56" s="282" t="n">
        <f aca="false">COUNTIF($J$2:$J$477,"10")</f>
        <v>15</v>
      </c>
      <c r="Q56" s="282"/>
      <c r="R56" s="282"/>
      <c r="S56" s="316" t="n">
        <f aca="false">(P56/P59)</f>
        <v>0.0742574257425743</v>
      </c>
      <c r="T56" s="153"/>
    </row>
    <row r="57" customFormat="false" ht="12.75" hidden="false" customHeight="true" outlineLevel="0" collapsed="false">
      <c r="A57" s="594" t="n">
        <v>5607</v>
      </c>
      <c r="B57" s="458" t="s">
        <v>18916</v>
      </c>
      <c r="C57" s="458" t="n">
        <v>2004</v>
      </c>
      <c r="D57" s="459" t="n">
        <v>38351</v>
      </c>
      <c r="E57" s="458" t="s">
        <v>18917</v>
      </c>
      <c r="F57" s="458" t="s">
        <v>379</v>
      </c>
      <c r="G57" s="458" t="s">
        <v>1174</v>
      </c>
      <c r="H57" s="458" t="s">
        <v>2654</v>
      </c>
      <c r="I57" s="459" t="n">
        <v>39232</v>
      </c>
      <c r="J57" s="460" t="n">
        <v>5</v>
      </c>
      <c r="K57" s="633" t="s">
        <v>47</v>
      </c>
      <c r="L57" s="458" t="s">
        <v>60</v>
      </c>
      <c r="M57" s="463" t="n">
        <f aca="false">I57-D57</f>
        <v>881</v>
      </c>
      <c r="N57" s="4"/>
      <c r="O57" s="283" t="s">
        <v>80</v>
      </c>
      <c r="P57" s="283" t="n">
        <f aca="false">COUNTIF($J$2:$J$477,"11")</f>
        <v>16</v>
      </c>
      <c r="Q57" s="283"/>
      <c r="R57" s="283"/>
      <c r="S57" s="315" t="n">
        <f aca="false">(P57/P59)</f>
        <v>0.0792079207920792</v>
      </c>
      <c r="T57" s="153"/>
    </row>
    <row r="58" customFormat="false" ht="12.75" hidden="false" customHeight="true" outlineLevel="0" collapsed="false">
      <c r="A58" s="602" t="n">
        <v>5707</v>
      </c>
      <c r="B58" s="450" t="s">
        <v>18918</v>
      </c>
      <c r="C58" s="450" t="n">
        <v>2005</v>
      </c>
      <c r="D58" s="451" t="n">
        <v>38607</v>
      </c>
      <c r="E58" s="450" t="s">
        <v>18919</v>
      </c>
      <c r="F58" s="450" t="s">
        <v>18773</v>
      </c>
      <c r="G58" s="450" t="s">
        <v>1174</v>
      </c>
      <c r="H58" s="450" t="s">
        <v>254</v>
      </c>
      <c r="I58" s="451" t="n">
        <v>39232</v>
      </c>
      <c r="J58" s="452" t="n">
        <v>5</v>
      </c>
      <c r="K58" s="632" t="s">
        <v>50</v>
      </c>
      <c r="L58" s="452" t="s">
        <v>58</v>
      </c>
      <c r="M58" s="455" t="n">
        <f aca="false">I58-D58</f>
        <v>625</v>
      </c>
      <c r="N58" s="4"/>
      <c r="O58" s="336" t="s">
        <v>82</v>
      </c>
      <c r="P58" s="282" t="n">
        <f aca="false">COUNTIF($J$2:$J$477,"12")</f>
        <v>29</v>
      </c>
      <c r="Q58" s="282"/>
      <c r="R58" s="282"/>
      <c r="S58" s="470" t="n">
        <f aca="false">(P58/P59)</f>
        <v>0.143564356435644</v>
      </c>
      <c r="T58" s="153"/>
    </row>
    <row r="59" customFormat="false" ht="12.75" hidden="false" customHeight="true" outlineLevel="0" collapsed="false">
      <c r="A59" s="594" t="n">
        <v>5807</v>
      </c>
      <c r="B59" s="458" t="s">
        <v>18920</v>
      </c>
      <c r="C59" s="458" t="n">
        <v>2005</v>
      </c>
      <c r="D59" s="459" t="n">
        <v>38630</v>
      </c>
      <c r="E59" s="458" t="s">
        <v>18921</v>
      </c>
      <c r="F59" s="458" t="s">
        <v>15274</v>
      </c>
      <c r="G59" s="458" t="s">
        <v>441</v>
      </c>
      <c r="H59" s="458" t="s">
        <v>14391</v>
      </c>
      <c r="I59" s="459" t="n">
        <v>39232</v>
      </c>
      <c r="J59" s="460" t="n">
        <v>5</v>
      </c>
      <c r="K59" s="633" t="s">
        <v>47</v>
      </c>
      <c r="L59" s="458" t="s">
        <v>60</v>
      </c>
      <c r="M59" s="463" t="n">
        <f aca="false">I59-D59</f>
        <v>602</v>
      </c>
      <c r="N59" s="4"/>
      <c r="O59" s="323" t="s">
        <v>54</v>
      </c>
      <c r="P59" s="418" t="n">
        <f aca="false">SUM(P47:R58)</f>
        <v>202</v>
      </c>
      <c r="Q59" s="418"/>
      <c r="R59" s="418"/>
      <c r="S59" s="325" t="n">
        <f aca="false">SUM(S47:S58)</f>
        <v>1</v>
      </c>
      <c r="T59" s="153"/>
    </row>
    <row r="60" customFormat="false" ht="12.75" hidden="false" customHeight="true" outlineLevel="0" collapsed="false">
      <c r="A60" s="602" t="n">
        <v>5907</v>
      </c>
      <c r="B60" s="450" t="s">
        <v>18922</v>
      </c>
      <c r="C60" s="450" t="n">
        <v>2005</v>
      </c>
      <c r="D60" s="451" t="n">
        <v>38687</v>
      </c>
      <c r="E60" s="450" t="s">
        <v>18923</v>
      </c>
      <c r="F60" s="450" t="s">
        <v>15274</v>
      </c>
      <c r="G60" s="450" t="s">
        <v>441</v>
      </c>
      <c r="H60" s="450" t="s">
        <v>14391</v>
      </c>
      <c r="I60" s="451" t="n">
        <v>39232</v>
      </c>
      <c r="J60" s="452" t="n">
        <v>5</v>
      </c>
      <c r="K60" s="633" t="s">
        <v>47</v>
      </c>
      <c r="L60" s="452" t="s">
        <v>60</v>
      </c>
      <c r="M60" s="455" t="n">
        <f aca="false">I60-D60</f>
        <v>545</v>
      </c>
      <c r="N60" s="4"/>
      <c r="O60" s="153"/>
      <c r="P60" s="153"/>
      <c r="Q60" s="153"/>
      <c r="R60" s="153"/>
      <c r="S60" s="153"/>
      <c r="T60" s="153"/>
    </row>
    <row r="61" customFormat="false" ht="13.5" hidden="false" customHeight="true" outlineLevel="0" collapsed="false">
      <c r="A61" s="594" t="n">
        <v>6007</v>
      </c>
      <c r="B61" s="458" t="s">
        <v>18924</v>
      </c>
      <c r="C61" s="458" t="n">
        <v>2003</v>
      </c>
      <c r="D61" s="459" t="n">
        <v>37736</v>
      </c>
      <c r="E61" s="458" t="s">
        <v>18925</v>
      </c>
      <c r="F61" s="458" t="s">
        <v>18926</v>
      </c>
      <c r="G61" s="458" t="s">
        <v>144</v>
      </c>
      <c r="H61" s="458" t="s">
        <v>10110</v>
      </c>
      <c r="I61" s="459" t="n">
        <v>39237</v>
      </c>
      <c r="J61" s="460" t="n">
        <v>6</v>
      </c>
      <c r="K61" s="631" t="s">
        <v>42</v>
      </c>
      <c r="L61" s="458" t="s">
        <v>58</v>
      </c>
      <c r="M61" s="463" t="n">
        <f aca="false">I61-D61</f>
        <v>1501</v>
      </c>
      <c r="N61" s="4"/>
      <c r="O61" s="339" t="s">
        <v>335</v>
      </c>
      <c r="P61" s="339"/>
      <c r="Q61" s="339"/>
      <c r="R61" s="339"/>
      <c r="S61" s="339"/>
      <c r="T61" s="339"/>
    </row>
    <row r="62" customFormat="false" ht="12.75" hidden="false" customHeight="true" outlineLevel="0" collapsed="false">
      <c r="A62" s="602" t="n">
        <v>6107</v>
      </c>
      <c r="B62" s="450" t="s">
        <v>18927</v>
      </c>
      <c r="C62" s="450" t="n">
        <v>2004</v>
      </c>
      <c r="D62" s="451" t="n">
        <v>38348</v>
      </c>
      <c r="E62" s="450" t="s">
        <v>18928</v>
      </c>
      <c r="F62" s="450" t="s">
        <v>1655</v>
      </c>
      <c r="G62" s="450" t="s">
        <v>144</v>
      </c>
      <c r="H62" s="450" t="s">
        <v>373</v>
      </c>
      <c r="I62" s="451" t="n">
        <v>39239</v>
      </c>
      <c r="J62" s="452" t="n">
        <v>6</v>
      </c>
      <c r="K62" s="634" t="s">
        <v>45</v>
      </c>
      <c r="L62" s="452" t="s">
        <v>58</v>
      </c>
      <c r="M62" s="455" t="n">
        <f aca="false">I62-D62</f>
        <v>891</v>
      </c>
      <c r="N62" s="4"/>
      <c r="O62" s="339"/>
      <c r="P62" s="339"/>
      <c r="Q62" s="339"/>
      <c r="R62" s="339"/>
      <c r="S62" s="339"/>
      <c r="T62" s="339"/>
    </row>
    <row r="63" customFormat="false" ht="12.75" hidden="false" customHeight="true" outlineLevel="0" collapsed="false">
      <c r="A63" s="594" t="n">
        <v>6207</v>
      </c>
      <c r="B63" s="458" t="s">
        <v>18929</v>
      </c>
      <c r="C63" s="458" t="n">
        <v>2004</v>
      </c>
      <c r="D63" s="459" t="n">
        <v>38341</v>
      </c>
      <c r="E63" s="458" t="s">
        <v>18930</v>
      </c>
      <c r="F63" s="458" t="s">
        <v>650</v>
      </c>
      <c r="G63" s="458" t="s">
        <v>441</v>
      </c>
      <c r="H63" s="458" t="s">
        <v>14391</v>
      </c>
      <c r="I63" s="459" t="n">
        <v>39239</v>
      </c>
      <c r="J63" s="460" t="n">
        <v>6</v>
      </c>
      <c r="K63" s="633" t="s">
        <v>47</v>
      </c>
      <c r="L63" s="458" t="s">
        <v>58</v>
      </c>
      <c r="M63" s="463" t="n">
        <f aca="false">I63-D63</f>
        <v>898</v>
      </c>
      <c r="N63" s="4"/>
      <c r="O63" s="340" t="s">
        <v>38</v>
      </c>
      <c r="P63" s="340"/>
      <c r="Q63" s="340"/>
      <c r="R63" s="340"/>
      <c r="S63" s="341" t="s">
        <v>343</v>
      </c>
      <c r="T63" s="342" t="s">
        <v>41</v>
      </c>
    </row>
    <row r="64" customFormat="false" ht="12.75" hidden="false" customHeight="true" outlineLevel="0" collapsed="false">
      <c r="A64" s="602" t="n">
        <v>6307</v>
      </c>
      <c r="B64" s="450" t="s">
        <v>18931</v>
      </c>
      <c r="C64" s="450" t="n">
        <v>2006</v>
      </c>
      <c r="D64" s="451" t="n">
        <v>38743</v>
      </c>
      <c r="E64" s="450" t="s">
        <v>18932</v>
      </c>
      <c r="F64" s="450" t="s">
        <v>18826</v>
      </c>
      <c r="G64" s="450" t="s">
        <v>144</v>
      </c>
      <c r="H64" s="450" t="s">
        <v>134</v>
      </c>
      <c r="I64" s="451" t="n">
        <v>39248</v>
      </c>
      <c r="J64" s="452" t="n">
        <v>6</v>
      </c>
      <c r="K64" s="632" t="s">
        <v>50</v>
      </c>
      <c r="L64" s="452" t="s">
        <v>61</v>
      </c>
      <c r="M64" s="455" t="n">
        <f aca="false">I64-D64</f>
        <v>505</v>
      </c>
      <c r="N64" s="4"/>
      <c r="O64" s="471" t="s">
        <v>42</v>
      </c>
      <c r="P64" s="471"/>
      <c r="Q64" s="471"/>
      <c r="R64" s="471"/>
      <c r="S64" s="471" t="n">
        <f aca="false">COUNTIF($K$1:$K$495,"I - Extremamente tóxico")</f>
        <v>62</v>
      </c>
      <c r="T64" s="472" t="n">
        <f aca="false">(S64/S76)</f>
        <v>0.306930693069307</v>
      </c>
    </row>
    <row r="65" customFormat="false" ht="12.75" hidden="false" customHeight="true" outlineLevel="0" collapsed="false">
      <c r="A65" s="594" t="n">
        <v>6407</v>
      </c>
      <c r="B65" s="458" t="s">
        <v>18933</v>
      </c>
      <c r="C65" s="458" t="n">
        <v>1999</v>
      </c>
      <c r="D65" s="459" t="n">
        <v>36525</v>
      </c>
      <c r="E65" s="458" t="s">
        <v>18934</v>
      </c>
      <c r="F65" s="458" t="s">
        <v>18451</v>
      </c>
      <c r="G65" s="458" t="s">
        <v>144</v>
      </c>
      <c r="H65" s="458" t="s">
        <v>2421</v>
      </c>
      <c r="I65" s="459" t="n">
        <v>39248</v>
      </c>
      <c r="J65" s="460" t="n">
        <v>6</v>
      </c>
      <c r="K65" s="633" t="s">
        <v>47</v>
      </c>
      <c r="L65" s="458" t="s">
        <v>60</v>
      </c>
      <c r="M65" s="463" t="n">
        <f aca="false">I65-D65</f>
        <v>2723</v>
      </c>
      <c r="N65" s="4"/>
      <c r="O65" s="345" t="s">
        <v>43</v>
      </c>
      <c r="P65" s="345"/>
      <c r="Q65" s="345"/>
      <c r="R65" s="345"/>
      <c r="S65" s="345" t="n">
        <f aca="false">COUNTIF($K$2:$K$477,"Categoria 1 - Produto Extremamente Tóxico")</f>
        <v>0</v>
      </c>
      <c r="T65" s="473" t="n">
        <f aca="false">(S65/S76)</f>
        <v>0</v>
      </c>
    </row>
    <row r="66" customFormat="false" ht="12.75" hidden="false" customHeight="true" outlineLevel="0" collapsed="false">
      <c r="A66" s="602" t="n">
        <v>6507</v>
      </c>
      <c r="B66" s="450" t="s">
        <v>18935</v>
      </c>
      <c r="C66" s="450" t="n">
        <v>1999</v>
      </c>
      <c r="D66" s="451" t="n">
        <v>36525</v>
      </c>
      <c r="E66" s="450" t="s">
        <v>18936</v>
      </c>
      <c r="F66" s="450" t="s">
        <v>18451</v>
      </c>
      <c r="G66" s="450" t="s">
        <v>144</v>
      </c>
      <c r="H66" s="450" t="s">
        <v>2421</v>
      </c>
      <c r="I66" s="451" t="n">
        <v>39248</v>
      </c>
      <c r="J66" s="452" t="n">
        <v>6</v>
      </c>
      <c r="K66" s="633" t="s">
        <v>47</v>
      </c>
      <c r="L66" s="452" t="s">
        <v>60</v>
      </c>
      <c r="M66" s="455" t="n">
        <f aca="false">I66-D66</f>
        <v>2723</v>
      </c>
      <c r="N66" s="4"/>
      <c r="O66" s="345" t="s">
        <v>44</v>
      </c>
      <c r="P66" s="345"/>
      <c r="Q66" s="345"/>
      <c r="R66" s="345"/>
      <c r="S66" s="345" t="n">
        <f aca="false">COUNTIF($K$2:$K$477,"Categoria 2 - Produto Altamente Tóxico")</f>
        <v>0</v>
      </c>
      <c r="T66" s="473" t="n">
        <f aca="false">(S66/S76)</f>
        <v>0</v>
      </c>
    </row>
    <row r="67" customFormat="false" ht="12.75" hidden="false" customHeight="true" outlineLevel="0" collapsed="false">
      <c r="A67" s="594" t="n">
        <v>6607</v>
      </c>
      <c r="B67" s="458" t="s">
        <v>18937</v>
      </c>
      <c r="C67" s="458" t="n">
        <v>2004</v>
      </c>
      <c r="D67" s="459" t="n">
        <v>38222</v>
      </c>
      <c r="E67" s="458" t="s">
        <v>18938</v>
      </c>
      <c r="F67" s="458" t="s">
        <v>1890</v>
      </c>
      <c r="G67" s="458" t="s">
        <v>144</v>
      </c>
      <c r="H67" s="458" t="s">
        <v>373</v>
      </c>
      <c r="I67" s="459" t="n">
        <v>39255</v>
      </c>
      <c r="J67" s="460" t="n">
        <v>6</v>
      </c>
      <c r="K67" s="633" t="s">
        <v>47</v>
      </c>
      <c r="L67" s="458" t="s">
        <v>58</v>
      </c>
      <c r="M67" s="463" t="n">
        <f aca="false">I67-D67</f>
        <v>1033</v>
      </c>
      <c r="N67" s="4"/>
      <c r="O67" s="349" t="s">
        <v>45</v>
      </c>
      <c r="P67" s="349"/>
      <c r="Q67" s="349"/>
      <c r="R67" s="349"/>
      <c r="S67" s="349" t="n">
        <f aca="false">COUNTIF($K$2:$K$477,"II - Altamente tóxico")</f>
        <v>36</v>
      </c>
      <c r="T67" s="474" t="n">
        <f aca="false">(S67/S76)</f>
        <v>0.178217821782178</v>
      </c>
    </row>
    <row r="68" customFormat="false" ht="12.75" hidden="false" customHeight="true" outlineLevel="0" collapsed="false">
      <c r="A68" s="602" t="n">
        <v>6707</v>
      </c>
      <c r="B68" s="450" t="s">
        <v>18939</v>
      </c>
      <c r="C68" s="450" t="n">
        <v>2006</v>
      </c>
      <c r="D68" s="451" t="n">
        <v>38761</v>
      </c>
      <c r="E68" s="450" t="s">
        <v>18940</v>
      </c>
      <c r="F68" s="450" t="s">
        <v>699</v>
      </c>
      <c r="G68" s="450" t="s">
        <v>441</v>
      </c>
      <c r="H68" s="450" t="s">
        <v>18941</v>
      </c>
      <c r="I68" s="451" t="n">
        <v>39255</v>
      </c>
      <c r="J68" s="452" t="n">
        <v>6</v>
      </c>
      <c r="K68" s="633" t="s">
        <v>47</v>
      </c>
      <c r="L68" s="452" t="s">
        <v>60</v>
      </c>
      <c r="M68" s="455" t="n">
        <f aca="false">I68-D68</f>
        <v>494</v>
      </c>
      <c r="N68" s="4"/>
      <c r="O68" s="349" t="s">
        <v>46</v>
      </c>
      <c r="P68" s="349"/>
      <c r="Q68" s="349"/>
      <c r="R68" s="349"/>
      <c r="S68" s="349" t="n">
        <f aca="false">COUNTIF($K$2:$K$477,"Categoria 3 - Produto Moderadamente Tóxico")</f>
        <v>0</v>
      </c>
      <c r="T68" s="474" t="n">
        <f aca="false">(S68/S76)</f>
        <v>0</v>
      </c>
    </row>
    <row r="69" customFormat="false" ht="12.75" hidden="false" customHeight="true" outlineLevel="0" collapsed="false">
      <c r="A69" s="594" t="n">
        <v>6807</v>
      </c>
      <c r="B69" s="458" t="s">
        <v>18942</v>
      </c>
      <c r="C69" s="458" t="n">
        <v>2004</v>
      </c>
      <c r="D69" s="459" t="n">
        <v>38275</v>
      </c>
      <c r="E69" s="458" t="s">
        <v>18943</v>
      </c>
      <c r="F69" s="458" t="s">
        <v>180</v>
      </c>
      <c r="G69" s="458" t="s">
        <v>441</v>
      </c>
      <c r="H69" s="458" t="s">
        <v>3339</v>
      </c>
      <c r="I69" s="459" t="n">
        <v>39255</v>
      </c>
      <c r="J69" s="460" t="n">
        <v>6</v>
      </c>
      <c r="K69" s="633" t="s">
        <v>47</v>
      </c>
      <c r="L69" s="458" t="s">
        <v>60</v>
      </c>
      <c r="M69" s="463" t="n">
        <f aca="false">I69-D69</f>
        <v>980</v>
      </c>
      <c r="N69" s="4"/>
      <c r="O69" s="351" t="s">
        <v>47</v>
      </c>
      <c r="P69" s="351"/>
      <c r="Q69" s="351"/>
      <c r="R69" s="351"/>
      <c r="S69" s="351" t="n">
        <f aca="false">COUNTIF($K$2:$K$477,"III - Medianamente tóxico")</f>
        <v>87</v>
      </c>
      <c r="T69" s="475" t="n">
        <f aca="false">(S69/S76)</f>
        <v>0.430693069306931</v>
      </c>
    </row>
    <row r="70" customFormat="false" ht="12.75" hidden="false" customHeight="true" outlineLevel="0" collapsed="false">
      <c r="A70" s="602" t="n">
        <v>6907</v>
      </c>
      <c r="B70" s="450" t="s">
        <v>18944</v>
      </c>
      <c r="C70" s="450" t="n">
        <v>2005</v>
      </c>
      <c r="D70" s="451" t="n">
        <v>38499</v>
      </c>
      <c r="E70" s="450" t="s">
        <v>18945</v>
      </c>
      <c r="F70" s="450" t="s">
        <v>3946</v>
      </c>
      <c r="G70" s="450" t="s">
        <v>125</v>
      </c>
      <c r="H70" s="450" t="s">
        <v>18946</v>
      </c>
      <c r="I70" s="451" t="n">
        <v>39255</v>
      </c>
      <c r="J70" s="452" t="n">
        <v>6</v>
      </c>
      <c r="K70" s="633" t="s">
        <v>47</v>
      </c>
      <c r="L70" s="452" t="s">
        <v>61</v>
      </c>
      <c r="M70" s="455" t="n">
        <f aca="false">I70-D70</f>
        <v>756</v>
      </c>
      <c r="N70" s="4"/>
      <c r="O70" s="351" t="s">
        <v>48</v>
      </c>
      <c r="P70" s="351"/>
      <c r="Q70" s="351"/>
      <c r="R70" s="351"/>
      <c r="S70" s="351" t="n">
        <f aca="false">COUNTIF($K$2:$K$477,"Categoria 4 - Produto Pouco Tóxico")</f>
        <v>0</v>
      </c>
      <c r="T70" s="475" t="n">
        <f aca="false">(S70/S76)</f>
        <v>0</v>
      </c>
    </row>
    <row r="71" customFormat="false" ht="12.75" hidden="false" customHeight="true" outlineLevel="0" collapsed="false">
      <c r="A71" s="594" t="n">
        <v>7007</v>
      </c>
      <c r="B71" s="458" t="s">
        <v>18947</v>
      </c>
      <c r="C71" s="458" t="n">
        <v>2004</v>
      </c>
      <c r="D71" s="459" t="n">
        <v>38275</v>
      </c>
      <c r="E71" s="458" t="s">
        <v>18948</v>
      </c>
      <c r="F71" s="458" t="s">
        <v>10617</v>
      </c>
      <c r="G71" s="458" t="s">
        <v>441</v>
      </c>
      <c r="H71" s="458" t="s">
        <v>3339</v>
      </c>
      <c r="I71" s="459" t="n">
        <v>39258</v>
      </c>
      <c r="J71" s="460" t="n">
        <v>6</v>
      </c>
      <c r="K71" s="633" t="s">
        <v>47</v>
      </c>
      <c r="L71" s="458" t="s">
        <v>60</v>
      </c>
      <c r="M71" s="463" t="n">
        <f aca="false">I71-D71</f>
        <v>983</v>
      </c>
      <c r="N71" s="4"/>
      <c r="O71" s="351" t="s">
        <v>49</v>
      </c>
      <c r="P71" s="351"/>
      <c r="Q71" s="351"/>
      <c r="R71" s="351"/>
      <c r="S71" s="351" t="n">
        <f aca="false">COUNTIF($K$2:$K$477,"Categoria 5 - Produto Improvável de Causar Dano Agudo")</f>
        <v>0</v>
      </c>
      <c r="T71" s="475" t="n">
        <f aca="false">(S71/S76)</f>
        <v>0</v>
      </c>
    </row>
    <row r="72" customFormat="false" ht="12.75" hidden="false" customHeight="true" outlineLevel="0" collapsed="false">
      <c r="A72" s="602" t="n">
        <v>7107</v>
      </c>
      <c r="B72" s="450" t="s">
        <v>18949</v>
      </c>
      <c r="C72" s="450" t="n">
        <v>2004</v>
      </c>
      <c r="D72" s="451" t="n">
        <v>38266</v>
      </c>
      <c r="E72" s="450" t="s">
        <v>18950</v>
      </c>
      <c r="F72" s="450" t="s">
        <v>18951</v>
      </c>
      <c r="G72" s="450" t="s">
        <v>144</v>
      </c>
      <c r="H72" s="450" t="s">
        <v>1791</v>
      </c>
      <c r="I72" s="451" t="n">
        <v>39258</v>
      </c>
      <c r="J72" s="452" t="n">
        <v>6</v>
      </c>
      <c r="K72" s="631" t="s">
        <v>42</v>
      </c>
      <c r="L72" s="452" t="s">
        <v>58</v>
      </c>
      <c r="M72" s="455" t="n">
        <f aca="false">I72-D72</f>
        <v>992</v>
      </c>
      <c r="N72" s="4"/>
      <c r="O72" s="353" t="s">
        <v>50</v>
      </c>
      <c r="P72" s="353"/>
      <c r="Q72" s="353"/>
      <c r="R72" s="353"/>
      <c r="S72" s="353" t="n">
        <f aca="false">COUNTIF($K$2:$K$477,"IV - Pouco tóxico")</f>
        <v>17</v>
      </c>
      <c r="T72" s="476" t="n">
        <f aca="false">(S72/S76)</f>
        <v>0.0841584158415842</v>
      </c>
    </row>
    <row r="73" customFormat="false" ht="12.75" hidden="false" customHeight="true" outlineLevel="0" collapsed="false">
      <c r="A73" s="594" t="n">
        <v>7207</v>
      </c>
      <c r="B73" s="458" t="s">
        <v>18952</v>
      </c>
      <c r="C73" s="458" t="n">
        <v>2001</v>
      </c>
      <c r="D73" s="459" t="n">
        <v>37139</v>
      </c>
      <c r="E73" s="458" t="s">
        <v>18953</v>
      </c>
      <c r="F73" s="458" t="s">
        <v>18479</v>
      </c>
      <c r="G73" s="458" t="s">
        <v>144</v>
      </c>
      <c r="H73" s="458" t="s">
        <v>2421</v>
      </c>
      <c r="I73" s="459" t="n">
        <v>39261</v>
      </c>
      <c r="J73" s="460" t="n">
        <v>6</v>
      </c>
      <c r="K73" s="631" t="s">
        <v>42</v>
      </c>
      <c r="L73" s="458" t="s">
        <v>60</v>
      </c>
      <c r="M73" s="463" t="n">
        <f aca="false">I73-D73</f>
        <v>2122</v>
      </c>
      <c r="N73" s="4"/>
      <c r="O73" s="353" t="s">
        <v>51</v>
      </c>
      <c r="P73" s="353"/>
      <c r="Q73" s="353"/>
      <c r="R73" s="353"/>
      <c r="S73" s="353" t="n">
        <f aca="false">COUNTIF($K$2:$K$477,"Não classificado - Produto não classificado")</f>
        <v>0</v>
      </c>
      <c r="T73" s="476" t="n">
        <f aca="false">(S73/S76)</f>
        <v>0</v>
      </c>
    </row>
    <row r="74" customFormat="false" ht="12.75" hidden="false" customHeight="true" outlineLevel="0" collapsed="false">
      <c r="A74" s="602" t="n">
        <v>7307</v>
      </c>
      <c r="B74" s="450" t="s">
        <v>18954</v>
      </c>
      <c r="C74" s="450" t="n">
        <v>2003</v>
      </c>
      <c r="D74" s="451" t="n">
        <v>37890</v>
      </c>
      <c r="E74" s="450" t="s">
        <v>18955</v>
      </c>
      <c r="F74" s="450" t="s">
        <v>3844</v>
      </c>
      <c r="G74" s="450" t="s">
        <v>441</v>
      </c>
      <c r="H74" s="450" t="s">
        <v>16610</v>
      </c>
      <c r="I74" s="451" t="n">
        <v>39273</v>
      </c>
      <c r="J74" s="452" t="n">
        <v>7</v>
      </c>
      <c r="K74" s="633" t="s">
        <v>47</v>
      </c>
      <c r="L74" s="452" t="s">
        <v>60</v>
      </c>
      <c r="M74" s="455" t="n">
        <f aca="false">I74-D74</f>
        <v>1383</v>
      </c>
      <c r="N74" s="4"/>
      <c r="O74" s="353" t="s">
        <v>2407</v>
      </c>
      <c r="P74" s="353"/>
      <c r="Q74" s="353"/>
      <c r="R74" s="353"/>
      <c r="S74" s="353" t="n">
        <f aca="false">COUNTIF($K$2:$K$477,"Não determinada devido à natureza do produto (Inimigos naturais)")</f>
        <v>0</v>
      </c>
      <c r="T74" s="476" t="n">
        <f aca="false">(S74/S76)</f>
        <v>0</v>
      </c>
    </row>
    <row r="75" customFormat="false" ht="12.75" hidden="false" customHeight="true" outlineLevel="0" collapsed="false">
      <c r="A75" s="594" t="n">
        <v>7407</v>
      </c>
      <c r="B75" s="458" t="s">
        <v>18956</v>
      </c>
      <c r="C75" s="458" t="n">
        <v>2005</v>
      </c>
      <c r="D75" s="459" t="n">
        <v>38709</v>
      </c>
      <c r="E75" s="458" t="s">
        <v>18957</v>
      </c>
      <c r="F75" s="458" t="s">
        <v>18958</v>
      </c>
      <c r="G75" s="458" t="s">
        <v>1174</v>
      </c>
      <c r="H75" s="458" t="s">
        <v>6755</v>
      </c>
      <c r="I75" s="459" t="n">
        <v>39275</v>
      </c>
      <c r="J75" s="460" t="n">
        <v>7</v>
      </c>
      <c r="K75" s="633" t="s">
        <v>47</v>
      </c>
      <c r="L75" s="458" t="s">
        <v>60</v>
      </c>
      <c r="M75" s="463" t="n">
        <f aca="false">I75-D75</f>
        <v>566</v>
      </c>
      <c r="N75" s="4"/>
      <c r="O75" s="478" t="s">
        <v>53</v>
      </c>
      <c r="P75" s="478"/>
      <c r="Q75" s="478"/>
      <c r="R75" s="478"/>
      <c r="S75" s="478" t="n">
        <f aca="false">COUNTIF($K$2:$K$477,"O perfil toxicológico foi considerado equivalente ao produto técnico de referência")</f>
        <v>0</v>
      </c>
      <c r="T75" s="479" t="n">
        <f aca="false">(S75/S76)</f>
        <v>0</v>
      </c>
    </row>
    <row r="76" customFormat="false" ht="12.75" hidden="false" customHeight="true" outlineLevel="0" collapsed="false">
      <c r="A76" s="602" t="n">
        <v>7507</v>
      </c>
      <c r="B76" s="450" t="s">
        <v>18959</v>
      </c>
      <c r="C76" s="450" t="n">
        <v>2005</v>
      </c>
      <c r="D76" s="451" t="n">
        <v>38464</v>
      </c>
      <c r="E76" s="450" t="s">
        <v>18960</v>
      </c>
      <c r="F76" s="450" t="s">
        <v>379</v>
      </c>
      <c r="G76" s="450" t="s">
        <v>441</v>
      </c>
      <c r="H76" s="450" t="s">
        <v>18397</v>
      </c>
      <c r="I76" s="451" t="n">
        <v>39290</v>
      </c>
      <c r="J76" s="452" t="n">
        <v>7</v>
      </c>
      <c r="K76" s="632" t="s">
        <v>50</v>
      </c>
      <c r="L76" s="452" t="s">
        <v>61</v>
      </c>
      <c r="M76" s="455" t="n">
        <f aca="false">I76-D76</f>
        <v>826</v>
      </c>
      <c r="N76" s="4"/>
      <c r="O76" s="419" t="s">
        <v>54</v>
      </c>
      <c r="P76" s="419"/>
      <c r="Q76" s="419"/>
      <c r="R76" s="419"/>
      <c r="S76" s="363" t="n">
        <f aca="false">SUM(S64:S75)</f>
        <v>202</v>
      </c>
      <c r="T76" s="364" t="n">
        <f aca="false">(S76/S76)</f>
        <v>1</v>
      </c>
    </row>
    <row r="77" customFormat="false" ht="12.75" hidden="false" customHeight="true" outlineLevel="0" collapsed="false">
      <c r="A77" s="594" t="n">
        <v>7607</v>
      </c>
      <c r="B77" s="458" t="s">
        <v>18961</v>
      </c>
      <c r="C77" s="458" t="n">
        <v>2005</v>
      </c>
      <c r="D77" s="459" t="n">
        <v>38541</v>
      </c>
      <c r="E77" s="458" t="s">
        <v>18962</v>
      </c>
      <c r="F77" s="458" t="s">
        <v>1097</v>
      </c>
      <c r="G77" s="458" t="s">
        <v>1174</v>
      </c>
      <c r="H77" s="458" t="s">
        <v>15992</v>
      </c>
      <c r="I77" s="459" t="n">
        <v>39290</v>
      </c>
      <c r="J77" s="460" t="n">
        <v>7</v>
      </c>
      <c r="K77" s="631" t="s">
        <v>42</v>
      </c>
      <c r="L77" s="458" t="s">
        <v>60</v>
      </c>
      <c r="M77" s="463" t="n">
        <f aca="false">I77-D77</f>
        <v>749</v>
      </c>
      <c r="N77" s="4"/>
      <c r="O77" s="153"/>
      <c r="P77" s="153"/>
      <c r="Q77" s="153"/>
      <c r="R77" s="153"/>
      <c r="S77" s="153"/>
      <c r="T77" s="153"/>
    </row>
    <row r="78" customFormat="false" ht="13.5" hidden="false" customHeight="true" outlineLevel="0" collapsed="false">
      <c r="A78" s="602" t="n">
        <v>7707</v>
      </c>
      <c r="B78" s="450" t="s">
        <v>18963</v>
      </c>
      <c r="C78" s="450" t="n">
        <v>2005</v>
      </c>
      <c r="D78" s="451" t="n">
        <v>38677</v>
      </c>
      <c r="E78" s="450" t="s">
        <v>18964</v>
      </c>
      <c r="F78" s="450" t="s">
        <v>446</v>
      </c>
      <c r="G78" s="450" t="s">
        <v>1174</v>
      </c>
      <c r="H78" s="450" t="s">
        <v>223</v>
      </c>
      <c r="I78" s="451" t="n">
        <v>39290</v>
      </c>
      <c r="J78" s="452" t="n">
        <v>7</v>
      </c>
      <c r="K78" s="633" t="s">
        <v>47</v>
      </c>
      <c r="L78" s="452" t="s">
        <v>58</v>
      </c>
      <c r="M78" s="455" t="n">
        <f aca="false">I78-D78</f>
        <v>613</v>
      </c>
      <c r="N78" s="4"/>
      <c r="O78" s="339" t="s">
        <v>102</v>
      </c>
      <c r="P78" s="339"/>
      <c r="Q78" s="339"/>
      <c r="R78" s="339"/>
      <c r="S78" s="339"/>
      <c r="T78" s="339"/>
    </row>
    <row r="79" customFormat="false" ht="12.75" hidden="false" customHeight="true" outlineLevel="0" collapsed="false">
      <c r="A79" s="594" t="n">
        <v>7807</v>
      </c>
      <c r="B79" s="458" t="s">
        <v>18965</v>
      </c>
      <c r="C79" s="458" t="n">
        <v>2005</v>
      </c>
      <c r="D79" s="459" t="n">
        <v>38677</v>
      </c>
      <c r="E79" s="458" t="s">
        <v>18966</v>
      </c>
      <c r="F79" s="458" t="s">
        <v>1609</v>
      </c>
      <c r="G79" s="458" t="s">
        <v>1174</v>
      </c>
      <c r="H79" s="458" t="s">
        <v>223</v>
      </c>
      <c r="I79" s="459" t="n">
        <v>39293</v>
      </c>
      <c r="J79" s="460" t="n">
        <v>7</v>
      </c>
      <c r="K79" s="631" t="s">
        <v>42</v>
      </c>
      <c r="L79" s="458" t="s">
        <v>57</v>
      </c>
      <c r="M79" s="463" t="n">
        <f aca="false">I79-D79</f>
        <v>616</v>
      </c>
      <c r="N79" s="4"/>
      <c r="O79" s="339"/>
      <c r="P79" s="339"/>
      <c r="Q79" s="339"/>
      <c r="R79" s="339"/>
      <c r="S79" s="339"/>
      <c r="T79" s="339"/>
    </row>
    <row r="80" customFormat="false" ht="12.75" hidden="false" customHeight="true" outlineLevel="0" collapsed="false">
      <c r="A80" s="602" t="n">
        <v>7907</v>
      </c>
      <c r="B80" s="450" t="s">
        <v>18967</v>
      </c>
      <c r="C80" s="450" t="n">
        <v>2004</v>
      </c>
      <c r="D80" s="451" t="n">
        <v>38138</v>
      </c>
      <c r="E80" s="450" t="s">
        <v>18968</v>
      </c>
      <c r="F80" s="450" t="s">
        <v>18969</v>
      </c>
      <c r="G80" s="450" t="s">
        <v>144</v>
      </c>
      <c r="H80" s="450" t="s">
        <v>1791</v>
      </c>
      <c r="I80" s="451" t="n">
        <v>39293</v>
      </c>
      <c r="J80" s="452" t="n">
        <v>7</v>
      </c>
      <c r="K80" s="634" t="s">
        <v>45</v>
      </c>
      <c r="L80" s="452" t="s">
        <v>60</v>
      </c>
      <c r="M80" s="455" t="n">
        <f aca="false">I80-D80</f>
        <v>1155</v>
      </c>
      <c r="N80" s="4"/>
      <c r="O80" s="340" t="s">
        <v>38</v>
      </c>
      <c r="P80" s="340"/>
      <c r="Q80" s="340"/>
      <c r="R80" s="340"/>
      <c r="S80" s="374" t="s">
        <v>343</v>
      </c>
      <c r="T80" s="375" t="s">
        <v>41</v>
      </c>
    </row>
    <row r="81" customFormat="false" ht="13.5" hidden="false" customHeight="true" outlineLevel="0" collapsed="false">
      <c r="A81" s="594" t="n">
        <v>8007</v>
      </c>
      <c r="B81" s="458" t="s">
        <v>18970</v>
      </c>
      <c r="C81" s="458" t="n">
        <v>2004</v>
      </c>
      <c r="D81" s="459" t="n">
        <v>38341</v>
      </c>
      <c r="E81" s="458" t="s">
        <v>18971</v>
      </c>
      <c r="F81" s="458" t="s">
        <v>15457</v>
      </c>
      <c r="G81" s="458" t="s">
        <v>441</v>
      </c>
      <c r="H81" s="458" t="s">
        <v>3339</v>
      </c>
      <c r="I81" s="459" t="n">
        <v>39295</v>
      </c>
      <c r="J81" s="460" t="n">
        <v>8</v>
      </c>
      <c r="K81" s="631" t="s">
        <v>42</v>
      </c>
      <c r="L81" s="458" t="s">
        <v>58</v>
      </c>
      <c r="M81" s="463" t="n">
        <f aca="false">I81-D81</f>
        <v>954</v>
      </c>
      <c r="N81" s="4"/>
      <c r="O81" s="480" t="s">
        <v>57</v>
      </c>
      <c r="P81" s="480"/>
      <c r="Q81" s="480"/>
      <c r="R81" s="480"/>
      <c r="S81" s="536" t="n">
        <f aca="false">COUNTIF($L$2:$L$477,"I - Produto altamente perigoso ao meio ambiente")</f>
        <v>3</v>
      </c>
      <c r="T81" s="377" t="n">
        <f aca="false">(S81/S85)</f>
        <v>0.0148514851485149</v>
      </c>
    </row>
    <row r="82" customFormat="false" ht="13.5" hidden="false" customHeight="true" outlineLevel="0" collapsed="false">
      <c r="A82" s="602" t="n">
        <v>8107</v>
      </c>
      <c r="B82" s="450" t="s">
        <v>18972</v>
      </c>
      <c r="C82" s="450" t="n">
        <v>1995</v>
      </c>
      <c r="D82" s="451" t="n">
        <v>34821</v>
      </c>
      <c r="E82" s="450" t="s">
        <v>18973</v>
      </c>
      <c r="F82" s="450" t="s">
        <v>1347</v>
      </c>
      <c r="G82" s="450" t="s">
        <v>441</v>
      </c>
      <c r="H82" s="450" t="s">
        <v>18974</v>
      </c>
      <c r="I82" s="451" t="n">
        <v>39296</v>
      </c>
      <c r="J82" s="452" t="n">
        <v>8</v>
      </c>
      <c r="K82" s="631" t="s">
        <v>42</v>
      </c>
      <c r="L82" s="452" t="s">
        <v>58</v>
      </c>
      <c r="M82" s="455" t="n">
        <f aca="false">I82-D82</f>
        <v>4475</v>
      </c>
      <c r="N82" s="4"/>
      <c r="O82" s="378" t="s">
        <v>58</v>
      </c>
      <c r="P82" s="378"/>
      <c r="Q82" s="378"/>
      <c r="R82" s="378"/>
      <c r="S82" s="537" t="n">
        <f aca="false">COUNTIF($L$2:$L$477,"II - Produto muito perigoso ao meio ambiente")</f>
        <v>83</v>
      </c>
      <c r="T82" s="379" t="n">
        <f aca="false">(S82/S85)</f>
        <v>0.410891089108911</v>
      </c>
    </row>
    <row r="83" customFormat="false" ht="13.5" hidden="false" customHeight="true" outlineLevel="0" collapsed="false">
      <c r="A83" s="594" t="n">
        <v>8207</v>
      </c>
      <c r="B83" s="458" t="s">
        <v>18975</v>
      </c>
      <c r="C83" s="458" t="n">
        <v>2005</v>
      </c>
      <c r="D83" s="459" t="n">
        <v>38386</v>
      </c>
      <c r="E83" s="458" t="s">
        <v>18976</v>
      </c>
      <c r="F83" s="458" t="s">
        <v>18444</v>
      </c>
      <c r="G83" s="458" t="s">
        <v>441</v>
      </c>
      <c r="H83" s="458" t="s">
        <v>3339</v>
      </c>
      <c r="I83" s="459" t="n">
        <v>39297</v>
      </c>
      <c r="J83" s="460" t="n">
        <v>8</v>
      </c>
      <c r="K83" s="631" t="s">
        <v>42</v>
      </c>
      <c r="L83" s="458" t="s">
        <v>60</v>
      </c>
      <c r="M83" s="463" t="n">
        <f aca="false">I83-D83</f>
        <v>911</v>
      </c>
      <c r="N83" s="4"/>
      <c r="O83" s="380" t="s">
        <v>60</v>
      </c>
      <c r="P83" s="380"/>
      <c r="Q83" s="380"/>
      <c r="R83" s="380"/>
      <c r="S83" s="536" t="n">
        <f aca="false">COUNTIF($L$2:$L$477,"III - Produto perigoso ao meio ambiente")</f>
        <v>100</v>
      </c>
      <c r="T83" s="377" t="n">
        <f aca="false">(S83/S85)</f>
        <v>0.495049504950495</v>
      </c>
    </row>
    <row r="84" customFormat="false" ht="14.25" hidden="false" customHeight="true" outlineLevel="0" collapsed="false">
      <c r="A84" s="602" t="n">
        <v>8307</v>
      </c>
      <c r="B84" s="450" t="s">
        <v>18977</v>
      </c>
      <c r="C84" s="450" t="n">
        <v>2002</v>
      </c>
      <c r="D84" s="451" t="n">
        <v>37342</v>
      </c>
      <c r="E84" s="450" t="s">
        <v>18978</v>
      </c>
      <c r="F84" s="450" t="s">
        <v>780</v>
      </c>
      <c r="G84" s="450" t="s">
        <v>144</v>
      </c>
      <c r="H84" s="450" t="s">
        <v>1791</v>
      </c>
      <c r="I84" s="451" t="n">
        <v>39302</v>
      </c>
      <c r="J84" s="452" t="n">
        <v>8</v>
      </c>
      <c r="K84" s="633" t="s">
        <v>47</v>
      </c>
      <c r="L84" s="452" t="s">
        <v>60</v>
      </c>
      <c r="M84" s="455" t="n">
        <f aca="false">I84-D84</f>
        <v>1960</v>
      </c>
      <c r="N84" s="4"/>
      <c r="O84" s="378" t="s">
        <v>61</v>
      </c>
      <c r="P84" s="378"/>
      <c r="Q84" s="378"/>
      <c r="R84" s="378"/>
      <c r="S84" s="537" t="n">
        <f aca="false">COUNTIF($L$2:$L$477,"IV - Produto pouco perigoso ao meio ambiente")</f>
        <v>16</v>
      </c>
      <c r="T84" s="379" t="n">
        <f aca="false">(S84/S85)</f>
        <v>0.0792079207920792</v>
      </c>
    </row>
    <row r="85" customFormat="false" ht="12.75" hidden="false" customHeight="true" outlineLevel="0" collapsed="false">
      <c r="A85" s="594" t="n">
        <v>8407</v>
      </c>
      <c r="B85" s="458" t="s">
        <v>18979</v>
      </c>
      <c r="C85" s="458" t="n">
        <v>2001</v>
      </c>
      <c r="D85" s="459" t="n">
        <v>36915</v>
      </c>
      <c r="E85" s="458" t="s">
        <v>18980</v>
      </c>
      <c r="F85" s="458" t="s">
        <v>780</v>
      </c>
      <c r="G85" s="458" t="s">
        <v>144</v>
      </c>
      <c r="H85" s="458" t="s">
        <v>1791</v>
      </c>
      <c r="I85" s="459" t="n">
        <v>39302</v>
      </c>
      <c r="J85" s="460" t="n">
        <v>8</v>
      </c>
      <c r="K85" s="633" t="s">
        <v>47</v>
      </c>
      <c r="L85" s="458" t="s">
        <v>60</v>
      </c>
      <c r="M85" s="463" t="n">
        <f aca="false">I85-D85</f>
        <v>2387</v>
      </c>
      <c r="N85" s="4"/>
      <c r="O85" s="340" t="s">
        <v>54</v>
      </c>
      <c r="P85" s="340"/>
      <c r="Q85" s="340"/>
      <c r="R85" s="340"/>
      <c r="S85" s="363" t="n">
        <f aca="false">SUM(S81:S84)</f>
        <v>202</v>
      </c>
      <c r="T85" s="364" t="n">
        <f aca="false">(S85/S85)</f>
        <v>1</v>
      </c>
    </row>
    <row r="86" customFormat="false" ht="12.75" hidden="false" customHeight="true" outlineLevel="0" collapsed="false">
      <c r="A86" s="602" t="n">
        <v>8507</v>
      </c>
      <c r="B86" s="450" t="s">
        <v>18981</v>
      </c>
      <c r="C86" s="450" t="n">
        <v>2002</v>
      </c>
      <c r="D86" s="451" t="n">
        <v>37342</v>
      </c>
      <c r="E86" s="450" t="s">
        <v>18982</v>
      </c>
      <c r="F86" s="450" t="s">
        <v>780</v>
      </c>
      <c r="G86" s="450" t="s">
        <v>144</v>
      </c>
      <c r="H86" s="450" t="s">
        <v>1791</v>
      </c>
      <c r="I86" s="451" t="n">
        <v>39302</v>
      </c>
      <c r="J86" s="452" t="n">
        <v>8</v>
      </c>
      <c r="K86" s="633" t="s">
        <v>47</v>
      </c>
      <c r="L86" s="452" t="s">
        <v>60</v>
      </c>
      <c r="M86" s="455" t="n">
        <f aca="false">I86-D86</f>
        <v>1960</v>
      </c>
      <c r="N86" s="4"/>
      <c r="O86" s="153"/>
      <c r="P86" s="153"/>
      <c r="Q86" s="153"/>
      <c r="R86" s="153"/>
      <c r="S86" s="153"/>
      <c r="T86" s="153"/>
    </row>
    <row r="87" customFormat="false" ht="13.5" hidden="false" customHeight="true" outlineLevel="0" collapsed="false">
      <c r="A87" s="594" t="n">
        <v>8607</v>
      </c>
      <c r="B87" s="458" t="s">
        <v>18983</v>
      </c>
      <c r="C87" s="458" t="n">
        <v>2005</v>
      </c>
      <c r="D87" s="459" t="n">
        <v>38618</v>
      </c>
      <c r="E87" s="458" t="s">
        <v>18984</v>
      </c>
      <c r="F87" s="458" t="s">
        <v>10637</v>
      </c>
      <c r="G87" s="458" t="s">
        <v>144</v>
      </c>
      <c r="H87" s="458" t="s">
        <v>2421</v>
      </c>
      <c r="I87" s="459" t="n">
        <v>39302</v>
      </c>
      <c r="J87" s="460" t="n">
        <v>8</v>
      </c>
      <c r="K87" s="633" t="s">
        <v>47</v>
      </c>
      <c r="L87" s="458" t="s">
        <v>58</v>
      </c>
      <c r="M87" s="463" t="n">
        <f aca="false">I87-D87</f>
        <v>684</v>
      </c>
      <c r="N87" s="4"/>
      <c r="O87" s="421" t="s">
        <v>425</v>
      </c>
      <c r="P87" s="421"/>
      <c r="Q87" s="421"/>
      <c r="R87" s="421"/>
      <c r="S87" s="153"/>
      <c r="T87" s="153"/>
    </row>
    <row r="88" customFormat="false" ht="12.75" hidden="false" customHeight="true" outlineLevel="0" collapsed="false">
      <c r="A88" s="602" t="n">
        <v>8707</v>
      </c>
      <c r="B88" s="450" t="s">
        <v>18985</v>
      </c>
      <c r="C88" s="450" t="n">
        <v>2005</v>
      </c>
      <c r="D88" s="451" t="n">
        <v>38695</v>
      </c>
      <c r="E88" s="450" t="s">
        <v>18986</v>
      </c>
      <c r="F88" s="450" t="s">
        <v>10637</v>
      </c>
      <c r="G88" s="450" t="s">
        <v>144</v>
      </c>
      <c r="H88" s="450" t="s">
        <v>2421</v>
      </c>
      <c r="I88" s="451" t="n">
        <v>39302</v>
      </c>
      <c r="J88" s="452" t="n">
        <v>8</v>
      </c>
      <c r="K88" s="633" t="s">
        <v>47</v>
      </c>
      <c r="L88" s="452" t="s">
        <v>58</v>
      </c>
      <c r="M88" s="455" t="n">
        <f aca="false">I88-D88</f>
        <v>607</v>
      </c>
      <c r="N88" s="4"/>
      <c r="O88" s="421"/>
      <c r="P88" s="421"/>
      <c r="Q88" s="421"/>
      <c r="R88" s="421"/>
      <c r="S88" s="153"/>
      <c r="T88" s="153"/>
    </row>
    <row r="89" customFormat="false" ht="12.75" hidden="false" customHeight="true" outlineLevel="0" collapsed="false">
      <c r="A89" s="594" t="n">
        <v>8807</v>
      </c>
      <c r="B89" s="458" t="s">
        <v>18987</v>
      </c>
      <c r="C89" s="458" t="n">
        <v>2005</v>
      </c>
      <c r="D89" s="459" t="n">
        <v>38695</v>
      </c>
      <c r="E89" s="458" t="s">
        <v>18988</v>
      </c>
      <c r="F89" s="458" t="s">
        <v>10637</v>
      </c>
      <c r="G89" s="458" t="s">
        <v>144</v>
      </c>
      <c r="H89" s="458" t="s">
        <v>2421</v>
      </c>
      <c r="I89" s="459" t="n">
        <v>39302</v>
      </c>
      <c r="J89" s="460" t="n">
        <v>8</v>
      </c>
      <c r="K89" s="633" t="s">
        <v>47</v>
      </c>
      <c r="L89" s="458" t="s">
        <v>58</v>
      </c>
      <c r="M89" s="463" t="n">
        <f aca="false">I89-D89</f>
        <v>607</v>
      </c>
      <c r="N89" s="4"/>
      <c r="O89" s="390" t="s">
        <v>69</v>
      </c>
      <c r="P89" s="422" t="s">
        <v>433</v>
      </c>
      <c r="Q89" s="422"/>
      <c r="R89" s="422"/>
      <c r="S89" s="153"/>
      <c r="T89" s="153"/>
    </row>
    <row r="90" customFormat="false" ht="12.75" hidden="false" customHeight="true" outlineLevel="0" collapsed="false">
      <c r="A90" s="602" t="n">
        <v>8907</v>
      </c>
      <c r="B90" s="450" t="s">
        <v>18989</v>
      </c>
      <c r="C90" s="450" t="n">
        <v>2003</v>
      </c>
      <c r="D90" s="451" t="n">
        <v>37894</v>
      </c>
      <c r="E90" s="450" t="s">
        <v>18990</v>
      </c>
      <c r="F90" s="450" t="s">
        <v>3844</v>
      </c>
      <c r="G90" s="450" t="s">
        <v>441</v>
      </c>
      <c r="H90" s="450" t="s">
        <v>16610</v>
      </c>
      <c r="I90" s="451" t="n">
        <v>39302</v>
      </c>
      <c r="J90" s="452" t="n">
        <v>8</v>
      </c>
      <c r="K90" s="633" t="s">
        <v>47</v>
      </c>
      <c r="L90" s="452" t="s">
        <v>60</v>
      </c>
      <c r="M90" s="455" t="n">
        <f aca="false">I90-D90</f>
        <v>1408</v>
      </c>
      <c r="N90" s="4"/>
      <c r="O90" s="394" t="s">
        <v>1474</v>
      </c>
      <c r="P90" s="481" t="n">
        <f aca="false">AVERAGEIF(G2:G477,"PT",M2:M477)</f>
        <v>2152</v>
      </c>
      <c r="Q90" s="481"/>
      <c r="R90" s="481"/>
      <c r="S90" s="153"/>
      <c r="T90" s="153"/>
    </row>
    <row r="91" customFormat="false" ht="12.75" hidden="false" customHeight="true" outlineLevel="0" collapsed="false">
      <c r="A91" s="594" t="n">
        <v>9007</v>
      </c>
      <c r="B91" s="458" t="s">
        <v>18991</v>
      </c>
      <c r="C91" s="458" t="n">
        <v>2003</v>
      </c>
      <c r="D91" s="459" t="n">
        <v>37894</v>
      </c>
      <c r="E91" s="458" t="s">
        <v>18992</v>
      </c>
      <c r="F91" s="458" t="s">
        <v>3844</v>
      </c>
      <c r="G91" s="458" t="s">
        <v>441</v>
      </c>
      <c r="H91" s="458" t="s">
        <v>16610</v>
      </c>
      <c r="I91" s="459" t="n">
        <v>39302</v>
      </c>
      <c r="J91" s="460" t="n">
        <v>8</v>
      </c>
      <c r="K91" s="633" t="s">
        <v>47</v>
      </c>
      <c r="L91" s="458" t="s">
        <v>60</v>
      </c>
      <c r="M91" s="463" t="n">
        <f aca="false">I91-D91</f>
        <v>1408</v>
      </c>
      <c r="N91" s="4"/>
      <c r="O91" s="396" t="s">
        <v>1188</v>
      </c>
      <c r="P91" s="482" t="n">
        <f aca="false">AVERAGEIF(G2:G478,"PTN",M2:M478)</f>
        <v>917.5</v>
      </c>
      <c r="Q91" s="482"/>
      <c r="R91" s="482"/>
      <c r="S91" s="153"/>
      <c r="T91" s="153"/>
    </row>
    <row r="92" customFormat="false" ht="12.75" hidden="false" customHeight="true" outlineLevel="0" collapsed="false">
      <c r="A92" s="602" t="n">
        <v>9107</v>
      </c>
      <c r="B92" s="450" t="s">
        <v>18993</v>
      </c>
      <c r="C92" s="450" t="n">
        <v>2006</v>
      </c>
      <c r="D92" s="451" t="n">
        <v>38796</v>
      </c>
      <c r="E92" s="450" t="s">
        <v>18994</v>
      </c>
      <c r="F92" s="450" t="s">
        <v>4369</v>
      </c>
      <c r="G92" s="450" t="s">
        <v>144</v>
      </c>
      <c r="H92" s="450" t="s">
        <v>2421</v>
      </c>
      <c r="I92" s="451" t="n">
        <v>39303</v>
      </c>
      <c r="J92" s="452" t="n">
        <v>8</v>
      </c>
      <c r="K92" s="633" t="s">
        <v>47</v>
      </c>
      <c r="L92" s="452" t="s">
        <v>58</v>
      </c>
      <c r="M92" s="455" t="n">
        <f aca="false">I92-D92</f>
        <v>507</v>
      </c>
      <c r="N92" s="4"/>
      <c r="O92" s="394" t="s">
        <v>1174</v>
      </c>
      <c r="P92" s="481" t="n">
        <f aca="false">AVERAGEIF(G2:G477,"PTE",M2:M477)</f>
        <v>936.4</v>
      </c>
      <c r="Q92" s="481"/>
      <c r="R92" s="481"/>
      <c r="S92" s="153"/>
      <c r="T92" s="153"/>
    </row>
    <row r="93" customFormat="false" ht="12.75" hidden="false" customHeight="true" outlineLevel="0" collapsed="false">
      <c r="A93" s="594" t="n">
        <v>9207</v>
      </c>
      <c r="B93" s="458" t="s">
        <v>18995</v>
      </c>
      <c r="C93" s="458" t="n">
        <v>2003</v>
      </c>
      <c r="D93" s="459" t="n">
        <v>37846</v>
      </c>
      <c r="E93" s="458" t="s">
        <v>18996</v>
      </c>
      <c r="F93" s="458" t="s">
        <v>180</v>
      </c>
      <c r="G93" s="458" t="s">
        <v>441</v>
      </c>
      <c r="H93" s="458" t="s">
        <v>16610</v>
      </c>
      <c r="I93" s="459" t="n">
        <v>39303</v>
      </c>
      <c r="J93" s="460" t="n">
        <v>8</v>
      </c>
      <c r="K93" s="631" t="s">
        <v>42</v>
      </c>
      <c r="L93" s="458" t="s">
        <v>60</v>
      </c>
      <c r="M93" s="463" t="n">
        <f aca="false">I93-D93</f>
        <v>1457</v>
      </c>
      <c r="N93" s="4"/>
      <c r="O93" s="396" t="s">
        <v>8</v>
      </c>
      <c r="P93" s="482" t="e">
        <f aca="false">AVERAGEIF(G2:G477,"Pré-Mistura",M2:M477)</f>
        <v>#DIV/0!</v>
      </c>
      <c r="Q93" s="482"/>
      <c r="R93" s="482"/>
      <c r="S93" s="153"/>
      <c r="T93" s="153"/>
    </row>
    <row r="94" customFormat="false" ht="12.75" hidden="false" customHeight="true" outlineLevel="0" collapsed="false">
      <c r="A94" s="602" t="n">
        <v>9307</v>
      </c>
      <c r="B94" s="450" t="s">
        <v>18997</v>
      </c>
      <c r="C94" s="450" t="n">
        <v>2004</v>
      </c>
      <c r="D94" s="451" t="n">
        <v>38286</v>
      </c>
      <c r="E94" s="450" t="s">
        <v>18998</v>
      </c>
      <c r="F94" s="450" t="s">
        <v>17837</v>
      </c>
      <c r="G94" s="450" t="s">
        <v>144</v>
      </c>
      <c r="H94" s="450" t="s">
        <v>373</v>
      </c>
      <c r="I94" s="451" t="n">
        <v>39304</v>
      </c>
      <c r="J94" s="452" t="n">
        <v>8</v>
      </c>
      <c r="K94" s="634" t="s">
        <v>45</v>
      </c>
      <c r="L94" s="452" t="s">
        <v>58</v>
      </c>
      <c r="M94" s="455" t="n">
        <f aca="false">I94-D94</f>
        <v>1018</v>
      </c>
      <c r="N94" s="4"/>
      <c r="O94" s="394" t="s">
        <v>144</v>
      </c>
      <c r="P94" s="481" t="n">
        <f aca="false">AVERAGEIF(G2:G477,"PF",M2:M477)</f>
        <v>1313.78947368421</v>
      </c>
      <c r="Q94" s="481"/>
      <c r="R94" s="481"/>
      <c r="S94" s="153"/>
      <c r="T94" s="153"/>
    </row>
    <row r="95" customFormat="false" ht="12.75" hidden="false" customHeight="true" outlineLevel="0" collapsed="false">
      <c r="A95" s="594" t="n">
        <v>9407</v>
      </c>
      <c r="B95" s="458" t="s">
        <v>18999</v>
      </c>
      <c r="C95" s="458" t="n">
        <v>2004</v>
      </c>
      <c r="D95" s="459" t="n">
        <v>38286</v>
      </c>
      <c r="E95" s="458" t="s">
        <v>19000</v>
      </c>
      <c r="F95" s="458" t="s">
        <v>17837</v>
      </c>
      <c r="G95" s="458" t="s">
        <v>144</v>
      </c>
      <c r="H95" s="458" t="s">
        <v>373</v>
      </c>
      <c r="I95" s="459" t="n">
        <v>39304</v>
      </c>
      <c r="J95" s="460" t="n">
        <v>8</v>
      </c>
      <c r="K95" s="633" t="s">
        <v>47</v>
      </c>
      <c r="L95" s="458" t="s">
        <v>60</v>
      </c>
      <c r="M95" s="463" t="n">
        <f aca="false">I95-D95</f>
        <v>1018</v>
      </c>
      <c r="N95" s="4"/>
      <c r="O95" s="396" t="s">
        <v>115</v>
      </c>
      <c r="P95" s="482" t="n">
        <f aca="false">AVERAGEIF(G2:G477,"PFN",M2:M477)</f>
        <v>845.6</v>
      </c>
      <c r="Q95" s="482"/>
      <c r="R95" s="482"/>
      <c r="S95" s="153"/>
      <c r="T95" s="153"/>
    </row>
    <row r="96" customFormat="false" ht="12.75" hidden="false" customHeight="true" outlineLevel="0" collapsed="false">
      <c r="A96" s="602" t="n">
        <v>9507</v>
      </c>
      <c r="B96" s="450" t="s">
        <v>19001</v>
      </c>
      <c r="C96" s="450" t="n">
        <v>2002</v>
      </c>
      <c r="D96" s="451" t="n">
        <v>37530</v>
      </c>
      <c r="E96" s="450" t="s">
        <v>19002</v>
      </c>
      <c r="F96" s="450" t="s">
        <v>19003</v>
      </c>
      <c r="G96" s="450" t="s">
        <v>144</v>
      </c>
      <c r="H96" s="450" t="s">
        <v>119</v>
      </c>
      <c r="I96" s="451" t="n">
        <v>39308</v>
      </c>
      <c r="J96" s="452" t="n">
        <v>8</v>
      </c>
      <c r="K96" s="634" t="s">
        <v>47</v>
      </c>
      <c r="L96" s="452" t="s">
        <v>57</v>
      </c>
      <c r="M96" s="455" t="n">
        <f aca="false">I96-D96</f>
        <v>1778</v>
      </c>
      <c r="N96" s="4"/>
      <c r="O96" s="394" t="s">
        <v>441</v>
      </c>
      <c r="P96" s="481" t="n">
        <f aca="false">AVERAGEIF(G2:G477,"PF/PTE",M2:M477)</f>
        <v>1158.79746835443</v>
      </c>
      <c r="Q96" s="481"/>
      <c r="R96" s="481"/>
      <c r="S96" s="153"/>
      <c r="T96" s="153"/>
    </row>
    <row r="97" customFormat="false" ht="12.75" hidden="false" customHeight="true" outlineLevel="0" collapsed="false">
      <c r="A97" s="594" t="n">
        <v>9607</v>
      </c>
      <c r="B97" s="458" t="s">
        <v>19004</v>
      </c>
      <c r="C97" s="458" t="n">
        <v>2003</v>
      </c>
      <c r="D97" s="459" t="n">
        <v>37798</v>
      </c>
      <c r="E97" s="458" t="s">
        <v>19005</v>
      </c>
      <c r="F97" s="458" t="s">
        <v>10617</v>
      </c>
      <c r="G97" s="458" t="s">
        <v>441</v>
      </c>
      <c r="H97" s="458" t="s">
        <v>16610</v>
      </c>
      <c r="I97" s="459" t="n">
        <v>39311</v>
      </c>
      <c r="J97" s="460" t="n">
        <v>8</v>
      </c>
      <c r="K97" s="632" t="s">
        <v>50</v>
      </c>
      <c r="L97" s="458" t="s">
        <v>60</v>
      </c>
      <c r="M97" s="463" t="n">
        <f aca="false">I97-D97</f>
        <v>1513</v>
      </c>
      <c r="N97" s="4"/>
      <c r="O97" s="396" t="s">
        <v>125</v>
      </c>
      <c r="P97" s="482" t="n">
        <f aca="false">AVERAGEIF(G2:G477,"Bio",M2:M477)</f>
        <v>556.857142857143</v>
      </c>
      <c r="Q97" s="482"/>
      <c r="R97" s="482"/>
    </row>
    <row r="98" customFormat="false" ht="12.75" hidden="false" customHeight="true" outlineLevel="0" collapsed="false">
      <c r="A98" s="602" t="n">
        <v>9707</v>
      </c>
      <c r="B98" s="450" t="s">
        <v>19006</v>
      </c>
      <c r="C98" s="450" t="n">
        <v>2000</v>
      </c>
      <c r="D98" s="451" t="n">
        <v>36882</v>
      </c>
      <c r="E98" s="450" t="s">
        <v>19007</v>
      </c>
      <c r="F98" s="450" t="s">
        <v>4623</v>
      </c>
      <c r="G98" s="450" t="s">
        <v>144</v>
      </c>
      <c r="H98" s="450" t="s">
        <v>10110</v>
      </c>
      <c r="I98" s="451" t="n">
        <v>39309</v>
      </c>
      <c r="J98" s="452" t="n">
        <v>8</v>
      </c>
      <c r="K98" s="631" t="s">
        <v>42</v>
      </c>
      <c r="L98" s="452" t="s">
        <v>60</v>
      </c>
      <c r="M98" s="455" t="n">
        <f aca="false">I98-D98</f>
        <v>2427</v>
      </c>
      <c r="N98" s="4"/>
      <c r="O98" s="394" t="s">
        <v>130</v>
      </c>
      <c r="P98" s="481" t="e">
        <f aca="false">AVERAGEIF(G2:G477,"Bio/Org",M2:M477)</f>
        <v>#DIV/0!</v>
      </c>
      <c r="Q98" s="481"/>
      <c r="R98" s="481"/>
    </row>
    <row r="99" customFormat="false" ht="12.75" hidden="false" customHeight="true" outlineLevel="0" collapsed="false">
      <c r="A99" s="594" t="n">
        <v>9807</v>
      </c>
      <c r="B99" s="458" t="s">
        <v>19008</v>
      </c>
      <c r="C99" s="458" t="n">
        <v>2005</v>
      </c>
      <c r="D99" s="459" t="n">
        <v>38630</v>
      </c>
      <c r="E99" s="458" t="s">
        <v>19009</v>
      </c>
      <c r="F99" s="458" t="s">
        <v>18444</v>
      </c>
      <c r="G99" s="458" t="s">
        <v>441</v>
      </c>
      <c r="H99" s="458" t="s">
        <v>3339</v>
      </c>
      <c r="I99" s="459" t="n">
        <v>39317</v>
      </c>
      <c r="J99" s="460" t="n">
        <v>8</v>
      </c>
      <c r="K99" s="631" t="s">
        <v>42</v>
      </c>
      <c r="L99" s="458" t="s">
        <v>60</v>
      </c>
      <c r="M99" s="463" t="n">
        <f aca="false">I99-D99</f>
        <v>687</v>
      </c>
      <c r="N99" s="4"/>
      <c r="O99" s="398" t="s">
        <v>86</v>
      </c>
      <c r="P99" s="399" t="n">
        <f aca="false">AVERAGE(M2:M495)</f>
        <v>1126.31683168317</v>
      </c>
      <c r="Q99" s="399"/>
      <c r="R99" s="399"/>
    </row>
    <row r="100" customFormat="false" ht="12.75" hidden="false" customHeight="true" outlineLevel="0" collapsed="false">
      <c r="A100" s="602" t="n">
        <v>9907</v>
      </c>
      <c r="B100" s="450" t="s">
        <v>19010</v>
      </c>
      <c r="C100" s="450" t="n">
        <v>2005</v>
      </c>
      <c r="D100" s="451" t="n">
        <v>38630</v>
      </c>
      <c r="E100" s="450" t="s">
        <v>19011</v>
      </c>
      <c r="F100" s="450" t="s">
        <v>18444</v>
      </c>
      <c r="G100" s="450" t="s">
        <v>441</v>
      </c>
      <c r="H100" s="450" t="s">
        <v>3339</v>
      </c>
      <c r="I100" s="451" t="n">
        <v>39317</v>
      </c>
      <c r="J100" s="452" t="n">
        <v>8</v>
      </c>
      <c r="K100" s="631" t="s">
        <v>42</v>
      </c>
      <c r="L100" s="452" t="s">
        <v>60</v>
      </c>
      <c r="M100" s="455" t="n">
        <f aca="false">I100-D100</f>
        <v>687</v>
      </c>
      <c r="N100" s="4"/>
      <c r="O100" s="4"/>
      <c r="P100" s="4"/>
      <c r="Q100" s="4"/>
      <c r="R100" s="4"/>
    </row>
    <row r="101" customFormat="false" ht="12.75" hidden="false" customHeight="true" outlineLevel="0" collapsed="false">
      <c r="A101" s="594" t="n">
        <v>10007</v>
      </c>
      <c r="B101" s="458" t="s">
        <v>19012</v>
      </c>
      <c r="C101" s="458" t="n">
        <v>2005</v>
      </c>
      <c r="D101" s="459" t="n">
        <v>38630</v>
      </c>
      <c r="E101" s="458" t="s">
        <v>19013</v>
      </c>
      <c r="F101" s="458" t="s">
        <v>18444</v>
      </c>
      <c r="G101" s="458" t="s">
        <v>441</v>
      </c>
      <c r="H101" s="458" t="s">
        <v>3339</v>
      </c>
      <c r="I101" s="459" t="n">
        <v>39317</v>
      </c>
      <c r="J101" s="460" t="n">
        <v>8</v>
      </c>
      <c r="K101" s="634" t="s">
        <v>45</v>
      </c>
      <c r="L101" s="458" t="s">
        <v>61</v>
      </c>
      <c r="M101" s="463" t="n">
        <f aca="false">I101-D101</f>
        <v>687</v>
      </c>
      <c r="N101" s="4"/>
      <c r="O101" s="4"/>
      <c r="P101" s="4"/>
      <c r="Q101" s="4"/>
      <c r="R101" s="4"/>
    </row>
    <row r="102" customFormat="false" ht="12.75" hidden="false" customHeight="true" outlineLevel="0" collapsed="false">
      <c r="A102" s="602" t="n">
        <v>10107</v>
      </c>
      <c r="B102" s="450" t="s">
        <v>19014</v>
      </c>
      <c r="C102" s="450" t="n">
        <v>2005</v>
      </c>
      <c r="D102" s="451" t="n">
        <v>38713</v>
      </c>
      <c r="E102" s="450" t="s">
        <v>19015</v>
      </c>
      <c r="F102" s="450" t="s">
        <v>19016</v>
      </c>
      <c r="G102" s="450" t="s">
        <v>1188</v>
      </c>
      <c r="H102" s="450" t="s">
        <v>18397</v>
      </c>
      <c r="I102" s="451" t="n">
        <v>39317</v>
      </c>
      <c r="J102" s="452" t="n">
        <v>8</v>
      </c>
      <c r="K102" s="634" t="s">
        <v>45</v>
      </c>
      <c r="L102" s="452" t="s">
        <v>58</v>
      </c>
      <c r="M102" s="455" t="n">
        <f aca="false">I102-D102</f>
        <v>604</v>
      </c>
      <c r="N102" s="4"/>
      <c r="O102" s="4"/>
      <c r="P102" s="4"/>
      <c r="Q102" s="4"/>
      <c r="R102" s="4"/>
    </row>
    <row r="103" customFormat="false" ht="12.75" hidden="false" customHeight="true" outlineLevel="0" collapsed="false">
      <c r="A103" s="594" t="n">
        <v>10207</v>
      </c>
      <c r="B103" s="458" t="s">
        <v>19017</v>
      </c>
      <c r="C103" s="458" t="n">
        <v>2004</v>
      </c>
      <c r="D103" s="459" t="n">
        <v>38286</v>
      </c>
      <c r="E103" s="458" t="s">
        <v>19018</v>
      </c>
      <c r="F103" s="458" t="s">
        <v>17837</v>
      </c>
      <c r="G103" s="458" t="s">
        <v>441</v>
      </c>
      <c r="H103" s="458" t="s">
        <v>373</v>
      </c>
      <c r="I103" s="459" t="n">
        <v>39318</v>
      </c>
      <c r="J103" s="460" t="n">
        <v>8</v>
      </c>
      <c r="K103" s="633" t="s">
        <v>47</v>
      </c>
      <c r="L103" s="458" t="s">
        <v>60</v>
      </c>
      <c r="M103" s="463" t="n">
        <f aca="false">I103-D103</f>
        <v>1032</v>
      </c>
      <c r="N103" s="4"/>
      <c r="O103" s="4"/>
      <c r="P103" s="4"/>
      <c r="Q103" s="4"/>
      <c r="R103" s="4"/>
    </row>
    <row r="104" customFormat="false" ht="12.75" hidden="false" customHeight="true" outlineLevel="0" collapsed="false">
      <c r="A104" s="602" t="n">
        <v>10307</v>
      </c>
      <c r="B104" s="450" t="s">
        <v>19019</v>
      </c>
      <c r="C104" s="450" t="n">
        <v>2005</v>
      </c>
      <c r="D104" s="451" t="n">
        <v>38600</v>
      </c>
      <c r="E104" s="450" t="s">
        <v>19020</v>
      </c>
      <c r="F104" s="450" t="s">
        <v>180</v>
      </c>
      <c r="G104" s="450" t="s">
        <v>441</v>
      </c>
      <c r="H104" s="450" t="s">
        <v>3339</v>
      </c>
      <c r="I104" s="451" t="n">
        <v>39318</v>
      </c>
      <c r="J104" s="452" t="n">
        <v>8</v>
      </c>
      <c r="K104" s="633" t="s">
        <v>47</v>
      </c>
      <c r="L104" s="452" t="s">
        <v>60</v>
      </c>
      <c r="M104" s="455" t="n">
        <f aca="false">I104-D104</f>
        <v>718</v>
      </c>
      <c r="N104" s="4"/>
      <c r="O104" s="4"/>
      <c r="P104" s="4"/>
      <c r="Q104" s="4"/>
      <c r="R104" s="4"/>
    </row>
    <row r="105" customFormat="false" ht="12.75" hidden="false" customHeight="true" outlineLevel="0" collapsed="false">
      <c r="A105" s="594" t="n">
        <v>10407</v>
      </c>
      <c r="B105" s="458" t="s">
        <v>19021</v>
      </c>
      <c r="C105" s="458" t="n">
        <v>2006</v>
      </c>
      <c r="D105" s="459" t="n">
        <v>38930</v>
      </c>
      <c r="E105" s="458" t="s">
        <v>19022</v>
      </c>
      <c r="F105" s="458" t="s">
        <v>7411</v>
      </c>
      <c r="G105" s="458" t="s">
        <v>144</v>
      </c>
      <c r="H105" s="458" t="s">
        <v>18941</v>
      </c>
      <c r="I105" s="459" t="n">
        <v>39318</v>
      </c>
      <c r="J105" s="460" t="n">
        <v>8</v>
      </c>
      <c r="K105" s="632" t="s">
        <v>50</v>
      </c>
      <c r="L105" s="458" t="s">
        <v>60</v>
      </c>
      <c r="M105" s="463" t="n">
        <f aca="false">I105-D105</f>
        <v>388</v>
      </c>
      <c r="N105" s="4"/>
      <c r="O105" s="4"/>
      <c r="P105" s="4"/>
      <c r="Q105" s="4"/>
      <c r="R105" s="4"/>
    </row>
    <row r="106" customFormat="false" ht="12.75" hidden="false" customHeight="true" outlineLevel="0" collapsed="false">
      <c r="A106" s="602" t="n">
        <v>10507</v>
      </c>
      <c r="B106" s="450" t="s">
        <v>19023</v>
      </c>
      <c r="C106" s="450" t="n">
        <v>2003</v>
      </c>
      <c r="D106" s="451" t="n">
        <v>37868</v>
      </c>
      <c r="E106" s="450" t="s">
        <v>19024</v>
      </c>
      <c r="F106" s="450" t="s">
        <v>180</v>
      </c>
      <c r="G106" s="450" t="s">
        <v>441</v>
      </c>
      <c r="H106" s="450" t="s">
        <v>16610</v>
      </c>
      <c r="I106" s="451" t="n">
        <v>39318</v>
      </c>
      <c r="J106" s="452" t="n">
        <v>8</v>
      </c>
      <c r="K106" s="631" t="s">
        <v>42</v>
      </c>
      <c r="L106" s="452" t="s">
        <v>60</v>
      </c>
      <c r="M106" s="455" t="n">
        <f aca="false">I106-D106</f>
        <v>1450</v>
      </c>
      <c r="N106" s="4"/>
      <c r="O106" s="4"/>
      <c r="P106" s="4"/>
      <c r="Q106" s="4"/>
      <c r="R106" s="4"/>
    </row>
    <row r="107" customFormat="false" ht="12.75" hidden="false" customHeight="true" outlineLevel="0" collapsed="false">
      <c r="A107" s="594" t="n">
        <v>10607</v>
      </c>
      <c r="B107" s="458" t="s">
        <v>19025</v>
      </c>
      <c r="C107" s="458" t="n">
        <v>2003</v>
      </c>
      <c r="D107" s="459" t="n">
        <v>37805</v>
      </c>
      <c r="E107" s="458" t="s">
        <v>19026</v>
      </c>
      <c r="F107" s="458" t="s">
        <v>10617</v>
      </c>
      <c r="G107" s="458" t="s">
        <v>441</v>
      </c>
      <c r="H107" s="458" t="s">
        <v>16610</v>
      </c>
      <c r="I107" s="459" t="n">
        <v>39318</v>
      </c>
      <c r="J107" s="460" t="n">
        <v>8</v>
      </c>
      <c r="K107" s="632" t="s">
        <v>50</v>
      </c>
      <c r="L107" s="458" t="s">
        <v>60</v>
      </c>
      <c r="M107" s="463" t="n">
        <f aca="false">I107-D107</f>
        <v>1513</v>
      </c>
      <c r="N107" s="4"/>
      <c r="O107" s="4"/>
      <c r="P107" s="4"/>
      <c r="Q107" s="4"/>
      <c r="R107" s="4"/>
    </row>
    <row r="108" customFormat="false" ht="12.75" hidden="false" customHeight="true" outlineLevel="0" collapsed="false">
      <c r="A108" s="602" t="n">
        <v>10707</v>
      </c>
      <c r="B108" s="450" t="s">
        <v>19027</v>
      </c>
      <c r="C108" s="450" t="n">
        <v>2001</v>
      </c>
      <c r="D108" s="451" t="n">
        <v>37183</v>
      </c>
      <c r="E108" s="450" t="s">
        <v>19028</v>
      </c>
      <c r="F108" s="450" t="s">
        <v>3101</v>
      </c>
      <c r="G108" s="450" t="s">
        <v>1174</v>
      </c>
      <c r="H108" s="450" t="s">
        <v>2421</v>
      </c>
      <c r="I108" s="451" t="n">
        <v>39318</v>
      </c>
      <c r="J108" s="452" t="n">
        <v>8</v>
      </c>
      <c r="K108" s="633" t="s">
        <v>47</v>
      </c>
      <c r="L108" s="452" t="s">
        <v>61</v>
      </c>
      <c r="M108" s="455" t="n">
        <f aca="false">I108-D108</f>
        <v>2135</v>
      </c>
      <c r="N108" s="4"/>
      <c r="O108" s="4"/>
      <c r="P108" s="4"/>
      <c r="Q108" s="4"/>
      <c r="R108" s="4"/>
    </row>
    <row r="109" customFormat="false" ht="12.75" hidden="false" customHeight="true" outlineLevel="0" collapsed="false">
      <c r="A109" s="594" t="n">
        <v>10807</v>
      </c>
      <c r="B109" s="458" t="s">
        <v>19029</v>
      </c>
      <c r="C109" s="458" t="n">
        <v>2005</v>
      </c>
      <c r="D109" s="459" t="n">
        <v>38506</v>
      </c>
      <c r="E109" s="458" t="s">
        <v>19030</v>
      </c>
      <c r="F109" s="458" t="s">
        <v>18498</v>
      </c>
      <c r="G109" s="458" t="s">
        <v>1174</v>
      </c>
      <c r="H109" s="458" t="s">
        <v>13006</v>
      </c>
      <c r="I109" s="459" t="n">
        <v>39321</v>
      </c>
      <c r="J109" s="460" t="n">
        <v>8</v>
      </c>
      <c r="K109" s="634" t="s">
        <v>45</v>
      </c>
      <c r="L109" s="458" t="s">
        <v>58</v>
      </c>
      <c r="M109" s="463" t="n">
        <f aca="false">I109-D109</f>
        <v>815</v>
      </c>
      <c r="N109" s="4"/>
      <c r="O109" s="4"/>
      <c r="P109" s="4"/>
      <c r="Q109" s="4"/>
      <c r="R109" s="4"/>
    </row>
    <row r="110" customFormat="false" ht="12.75" hidden="false" customHeight="true" outlineLevel="0" collapsed="false">
      <c r="A110" s="602" t="n">
        <v>10907</v>
      </c>
      <c r="B110" s="450" t="s">
        <v>19031</v>
      </c>
      <c r="C110" s="450" t="n">
        <v>2005</v>
      </c>
      <c r="D110" s="451" t="n">
        <v>38716</v>
      </c>
      <c r="E110" s="450" t="s">
        <v>19032</v>
      </c>
      <c r="F110" s="450" t="s">
        <v>9757</v>
      </c>
      <c r="G110" s="450" t="s">
        <v>441</v>
      </c>
      <c r="H110" s="450" t="s">
        <v>18397</v>
      </c>
      <c r="I110" s="451" t="n">
        <v>39321</v>
      </c>
      <c r="J110" s="452" t="n">
        <v>8</v>
      </c>
      <c r="K110" s="631" t="s">
        <v>42</v>
      </c>
      <c r="L110" s="452" t="s">
        <v>60</v>
      </c>
      <c r="M110" s="455" t="n">
        <f aca="false">I110-D110</f>
        <v>605</v>
      </c>
      <c r="N110" s="4"/>
      <c r="O110" s="4"/>
      <c r="P110" s="4"/>
      <c r="Q110" s="4"/>
      <c r="R110" s="4"/>
    </row>
    <row r="111" customFormat="false" ht="12.75" hidden="false" customHeight="true" outlineLevel="0" collapsed="false">
      <c r="A111" s="594" t="n">
        <v>11007</v>
      </c>
      <c r="B111" s="458" t="s">
        <v>19033</v>
      </c>
      <c r="C111" s="458" t="n">
        <v>1996</v>
      </c>
      <c r="D111" s="459" t="n">
        <v>35166</v>
      </c>
      <c r="E111" s="458" t="s">
        <v>19034</v>
      </c>
      <c r="F111" s="458" t="s">
        <v>19035</v>
      </c>
      <c r="G111" s="458" t="s">
        <v>441</v>
      </c>
      <c r="H111" s="458" t="s">
        <v>18974</v>
      </c>
      <c r="I111" s="459" t="n">
        <v>39321</v>
      </c>
      <c r="J111" s="460" t="n">
        <v>8</v>
      </c>
      <c r="K111" s="633" t="s">
        <v>47</v>
      </c>
      <c r="L111" s="458" t="s">
        <v>58</v>
      </c>
      <c r="M111" s="463" t="n">
        <f aca="false">I111-D111</f>
        <v>4155</v>
      </c>
      <c r="N111" s="4"/>
      <c r="O111" s="4"/>
      <c r="P111" s="4"/>
      <c r="Q111" s="4"/>
      <c r="R111" s="4"/>
    </row>
    <row r="112" customFormat="false" ht="12.75" hidden="false" customHeight="true" outlineLevel="0" collapsed="false">
      <c r="A112" s="602" t="n">
        <v>11107</v>
      </c>
      <c r="B112" s="450" t="s">
        <v>19036</v>
      </c>
      <c r="C112" s="450" t="n">
        <v>2001</v>
      </c>
      <c r="D112" s="451" t="n">
        <v>37194</v>
      </c>
      <c r="E112" s="450" t="s">
        <v>19037</v>
      </c>
      <c r="F112" s="450" t="s">
        <v>19038</v>
      </c>
      <c r="G112" s="450" t="s">
        <v>1174</v>
      </c>
      <c r="H112" s="450" t="s">
        <v>18974</v>
      </c>
      <c r="I112" s="451" t="n">
        <v>39325</v>
      </c>
      <c r="J112" s="452" t="n">
        <v>8</v>
      </c>
      <c r="K112" s="631" t="s">
        <v>42</v>
      </c>
      <c r="L112" s="452" t="s">
        <v>58</v>
      </c>
      <c r="M112" s="455" t="n">
        <f aca="false">I112-D112</f>
        <v>2131</v>
      </c>
      <c r="N112" s="4"/>
      <c r="O112" s="4"/>
      <c r="P112" s="4"/>
      <c r="Q112" s="4"/>
      <c r="R112" s="4"/>
    </row>
    <row r="113" customFormat="false" ht="12.75" hidden="false" customHeight="true" outlineLevel="0" collapsed="false">
      <c r="A113" s="594" t="n">
        <v>11207</v>
      </c>
      <c r="B113" s="458" t="s">
        <v>19039</v>
      </c>
      <c r="C113" s="458" t="n">
        <v>1999</v>
      </c>
      <c r="D113" s="459" t="n">
        <v>36313</v>
      </c>
      <c r="E113" s="458" t="s">
        <v>19040</v>
      </c>
      <c r="F113" s="458" t="s">
        <v>6078</v>
      </c>
      <c r="G113" s="458" t="s">
        <v>1174</v>
      </c>
      <c r="H113" s="458" t="s">
        <v>19041</v>
      </c>
      <c r="I113" s="459" t="n">
        <v>39325</v>
      </c>
      <c r="J113" s="460" t="n">
        <v>8</v>
      </c>
      <c r="K113" s="631" t="s">
        <v>42</v>
      </c>
      <c r="L113" s="458" t="s">
        <v>58</v>
      </c>
      <c r="M113" s="463" t="n">
        <f aca="false">I113-D113</f>
        <v>3012</v>
      </c>
    </row>
    <row r="114" customFormat="false" ht="12.75" hidden="false" customHeight="true" outlineLevel="0" collapsed="false">
      <c r="A114" s="602" t="n">
        <v>11307</v>
      </c>
      <c r="B114" s="450" t="s">
        <v>19042</v>
      </c>
      <c r="C114" s="450" t="n">
        <v>2001</v>
      </c>
      <c r="D114" s="451" t="n">
        <v>37160</v>
      </c>
      <c r="E114" s="450" t="s">
        <v>19043</v>
      </c>
      <c r="F114" s="450" t="s">
        <v>699</v>
      </c>
      <c r="G114" s="450" t="s">
        <v>1174</v>
      </c>
      <c r="H114" s="450" t="s">
        <v>184</v>
      </c>
      <c r="I114" s="451" t="n">
        <v>39325</v>
      </c>
      <c r="J114" s="452" t="n">
        <v>8</v>
      </c>
      <c r="K114" s="631" t="s">
        <v>42</v>
      </c>
      <c r="L114" s="452" t="s">
        <v>60</v>
      </c>
      <c r="M114" s="455" t="n">
        <f aca="false">I114-D114</f>
        <v>2165</v>
      </c>
    </row>
    <row r="115" customFormat="false" ht="12.75" hidden="false" customHeight="true" outlineLevel="0" collapsed="false">
      <c r="A115" s="594" t="n">
        <v>11407</v>
      </c>
      <c r="B115" s="458" t="s">
        <v>19044</v>
      </c>
      <c r="C115" s="458" t="n">
        <v>2003</v>
      </c>
      <c r="D115" s="459" t="n">
        <v>37837</v>
      </c>
      <c r="E115" s="458" t="s">
        <v>19045</v>
      </c>
      <c r="F115" s="458" t="s">
        <v>8232</v>
      </c>
      <c r="G115" s="458" t="s">
        <v>1174</v>
      </c>
      <c r="H115" s="458" t="s">
        <v>134</v>
      </c>
      <c r="I115" s="459" t="n">
        <v>39325</v>
      </c>
      <c r="J115" s="460" t="n">
        <v>8</v>
      </c>
      <c r="K115" s="633" t="s">
        <v>47</v>
      </c>
      <c r="L115" s="458" t="s">
        <v>60</v>
      </c>
      <c r="M115" s="463" t="n">
        <f aca="false">I115-D115</f>
        <v>1488</v>
      </c>
    </row>
    <row r="116" customFormat="false" ht="12.75" hidden="false" customHeight="true" outlineLevel="0" collapsed="false">
      <c r="A116" s="602" t="n">
        <v>11507</v>
      </c>
      <c r="B116" s="450" t="s">
        <v>19046</v>
      </c>
      <c r="C116" s="450" t="n">
        <v>2001</v>
      </c>
      <c r="D116" s="451" t="n">
        <v>37070</v>
      </c>
      <c r="E116" s="450" t="s">
        <v>19047</v>
      </c>
      <c r="F116" s="450" t="s">
        <v>211</v>
      </c>
      <c r="G116" s="450" t="s">
        <v>441</v>
      </c>
      <c r="H116" s="450" t="s">
        <v>18397</v>
      </c>
      <c r="I116" s="451" t="n">
        <v>39325</v>
      </c>
      <c r="J116" s="452" t="n">
        <v>8</v>
      </c>
      <c r="K116" s="631" t="s">
        <v>42</v>
      </c>
      <c r="L116" s="452" t="s">
        <v>58</v>
      </c>
      <c r="M116" s="455" t="n">
        <f aca="false">I116-D116</f>
        <v>2255</v>
      </c>
    </row>
    <row r="117" customFormat="false" ht="12.75" hidden="false" customHeight="true" outlineLevel="0" collapsed="false">
      <c r="A117" s="594" t="n">
        <v>11607</v>
      </c>
      <c r="B117" s="458" t="s">
        <v>19048</v>
      </c>
      <c r="C117" s="458" t="n">
        <v>2000</v>
      </c>
      <c r="D117" s="459" t="n">
        <v>36587</v>
      </c>
      <c r="E117" s="458" t="s">
        <v>19049</v>
      </c>
      <c r="F117" s="458" t="s">
        <v>19050</v>
      </c>
      <c r="G117" s="458" t="s">
        <v>441</v>
      </c>
      <c r="H117" s="458" t="s">
        <v>192</v>
      </c>
      <c r="I117" s="459" t="n">
        <v>39325</v>
      </c>
      <c r="J117" s="460" t="n">
        <v>8</v>
      </c>
      <c r="K117" s="631" t="s">
        <v>42</v>
      </c>
      <c r="L117" s="458" t="s">
        <v>58</v>
      </c>
      <c r="M117" s="463" t="n">
        <f aca="false">I117-D117</f>
        <v>2738</v>
      </c>
    </row>
    <row r="118" customFormat="false" ht="12.75" hidden="false" customHeight="true" outlineLevel="0" collapsed="false">
      <c r="A118" s="602" t="n">
        <v>11707</v>
      </c>
      <c r="B118" s="450" t="s">
        <v>19051</v>
      </c>
      <c r="C118" s="450" t="n">
        <v>2000</v>
      </c>
      <c r="D118" s="451" t="n">
        <v>36587</v>
      </c>
      <c r="E118" s="450" t="s">
        <v>19052</v>
      </c>
      <c r="F118" s="450" t="s">
        <v>19050</v>
      </c>
      <c r="G118" s="450" t="s">
        <v>441</v>
      </c>
      <c r="H118" s="450" t="s">
        <v>192</v>
      </c>
      <c r="I118" s="451" t="n">
        <v>39325</v>
      </c>
      <c r="J118" s="452" t="n">
        <v>8</v>
      </c>
      <c r="K118" s="631" t="s">
        <v>42</v>
      </c>
      <c r="L118" s="452" t="s">
        <v>58</v>
      </c>
      <c r="M118" s="455" t="n">
        <f aca="false">I118-D118</f>
        <v>2738</v>
      </c>
    </row>
    <row r="119" customFormat="false" ht="12.75" hidden="false" customHeight="true" outlineLevel="0" collapsed="false">
      <c r="A119" s="594" t="n">
        <v>11807</v>
      </c>
      <c r="B119" s="458" t="s">
        <v>19053</v>
      </c>
      <c r="C119" s="458" t="n">
        <v>1999</v>
      </c>
      <c r="D119" s="459" t="n">
        <v>36507</v>
      </c>
      <c r="E119" s="458" t="s">
        <v>19054</v>
      </c>
      <c r="F119" s="458" t="s">
        <v>705</v>
      </c>
      <c r="G119" s="458" t="s">
        <v>441</v>
      </c>
      <c r="H119" s="458" t="s">
        <v>192</v>
      </c>
      <c r="I119" s="459" t="n">
        <v>39325</v>
      </c>
      <c r="J119" s="460" t="n">
        <v>8</v>
      </c>
      <c r="K119" s="633" t="s">
        <v>47</v>
      </c>
      <c r="L119" s="458" t="s">
        <v>60</v>
      </c>
      <c r="M119" s="463" t="n">
        <f aca="false">I119-D119</f>
        <v>2818</v>
      </c>
    </row>
    <row r="120" customFormat="false" ht="12.75" hidden="false" customHeight="true" outlineLevel="0" collapsed="false">
      <c r="A120" s="602" t="n">
        <v>11907</v>
      </c>
      <c r="B120" s="450" t="s">
        <v>19055</v>
      </c>
      <c r="C120" s="450" t="n">
        <v>2005</v>
      </c>
      <c r="D120" s="451" t="n">
        <v>38629</v>
      </c>
      <c r="E120" s="450" t="s">
        <v>19056</v>
      </c>
      <c r="F120" s="450" t="s">
        <v>6078</v>
      </c>
      <c r="G120" s="450" t="s">
        <v>441</v>
      </c>
      <c r="H120" s="450" t="s">
        <v>3339</v>
      </c>
      <c r="I120" s="451" t="n">
        <v>39325</v>
      </c>
      <c r="J120" s="452" t="n">
        <v>8</v>
      </c>
      <c r="K120" s="631" t="s">
        <v>42</v>
      </c>
      <c r="L120" s="452" t="s">
        <v>58</v>
      </c>
      <c r="M120" s="455" t="n">
        <f aca="false">I120-D120</f>
        <v>696</v>
      </c>
    </row>
    <row r="121" customFormat="false" ht="12.75" hidden="false" customHeight="true" outlineLevel="0" collapsed="false">
      <c r="A121" s="594" t="n">
        <v>12007</v>
      </c>
      <c r="B121" s="458" t="s">
        <v>19057</v>
      </c>
      <c r="C121" s="458" t="n">
        <v>2005</v>
      </c>
      <c r="D121" s="459" t="n">
        <v>38667</v>
      </c>
      <c r="E121" s="458" t="s">
        <v>19058</v>
      </c>
      <c r="F121" s="458" t="s">
        <v>7411</v>
      </c>
      <c r="G121" s="458" t="s">
        <v>144</v>
      </c>
      <c r="H121" s="458" t="s">
        <v>19059</v>
      </c>
      <c r="I121" s="459" t="n">
        <v>39325</v>
      </c>
      <c r="J121" s="460" t="n">
        <v>8</v>
      </c>
      <c r="K121" s="632" t="s">
        <v>50</v>
      </c>
      <c r="L121" s="458" t="s">
        <v>60</v>
      </c>
      <c r="M121" s="463" t="n">
        <f aca="false">I121-D121</f>
        <v>658</v>
      </c>
    </row>
    <row r="122" customFormat="false" ht="12.75" hidden="false" customHeight="true" outlineLevel="0" collapsed="false">
      <c r="A122" s="602" t="n">
        <v>12107</v>
      </c>
      <c r="B122" s="450" t="s">
        <v>19060</v>
      </c>
      <c r="C122" s="450" t="n">
        <v>2005</v>
      </c>
      <c r="D122" s="451" t="n">
        <v>38629</v>
      </c>
      <c r="E122" s="450" t="s">
        <v>19061</v>
      </c>
      <c r="F122" s="450" t="s">
        <v>18444</v>
      </c>
      <c r="G122" s="450" t="s">
        <v>441</v>
      </c>
      <c r="H122" s="450" t="s">
        <v>3339</v>
      </c>
      <c r="I122" s="451" t="n">
        <v>39325</v>
      </c>
      <c r="J122" s="452" t="n">
        <v>8</v>
      </c>
      <c r="K122" s="631" t="s">
        <v>42</v>
      </c>
      <c r="L122" s="452" t="s">
        <v>58</v>
      </c>
      <c r="M122" s="455" t="n">
        <f aca="false">I122-D122</f>
        <v>696</v>
      </c>
    </row>
    <row r="123" customFormat="false" ht="12.75" hidden="false" customHeight="true" outlineLevel="0" collapsed="false">
      <c r="A123" s="594" t="n">
        <v>12207</v>
      </c>
      <c r="B123" s="458" t="s">
        <v>19062</v>
      </c>
      <c r="C123" s="458" t="n">
        <v>2000</v>
      </c>
      <c r="D123" s="459" t="n">
        <v>36804</v>
      </c>
      <c r="E123" s="458" t="s">
        <v>19063</v>
      </c>
      <c r="F123" s="458" t="s">
        <v>699</v>
      </c>
      <c r="G123" s="458" t="s">
        <v>441</v>
      </c>
      <c r="H123" s="458" t="s">
        <v>2421</v>
      </c>
      <c r="I123" s="459" t="n">
        <v>39325</v>
      </c>
      <c r="J123" s="460" t="n">
        <v>8</v>
      </c>
      <c r="K123" s="633" t="s">
        <v>47</v>
      </c>
      <c r="L123" s="458" t="s">
        <v>60</v>
      </c>
      <c r="M123" s="463" t="n">
        <f aca="false">I123-D123</f>
        <v>2521</v>
      </c>
    </row>
    <row r="124" customFormat="false" ht="12.75" hidden="false" customHeight="true" outlineLevel="0" collapsed="false">
      <c r="A124" s="602" t="n">
        <v>12307</v>
      </c>
      <c r="B124" s="450" t="s">
        <v>19064</v>
      </c>
      <c r="C124" s="450" t="n">
        <v>2001</v>
      </c>
      <c r="D124" s="451" t="n">
        <v>37021</v>
      </c>
      <c r="E124" s="450" t="s">
        <v>19065</v>
      </c>
      <c r="F124" s="450" t="s">
        <v>365</v>
      </c>
      <c r="G124" s="450" t="s">
        <v>144</v>
      </c>
      <c r="H124" s="450" t="s">
        <v>134</v>
      </c>
      <c r="I124" s="451" t="n">
        <v>39325</v>
      </c>
      <c r="J124" s="452" t="n">
        <v>8</v>
      </c>
      <c r="K124" s="631" t="s">
        <v>42</v>
      </c>
      <c r="L124" s="452" t="s">
        <v>60</v>
      </c>
      <c r="M124" s="455" t="n">
        <f aca="false">I124-D124</f>
        <v>2304</v>
      </c>
    </row>
    <row r="125" customFormat="false" ht="12.75" hidden="false" customHeight="true" outlineLevel="0" collapsed="false">
      <c r="A125" s="594" t="n">
        <v>12407</v>
      </c>
      <c r="B125" s="458" t="s">
        <v>19066</v>
      </c>
      <c r="C125" s="458" t="n">
        <v>2006</v>
      </c>
      <c r="D125" s="459" t="n">
        <v>38778</v>
      </c>
      <c r="E125" s="458" t="s">
        <v>19067</v>
      </c>
      <c r="F125" s="458" t="s">
        <v>6078</v>
      </c>
      <c r="G125" s="458" t="s">
        <v>441</v>
      </c>
      <c r="H125" s="458" t="s">
        <v>3339</v>
      </c>
      <c r="I125" s="459" t="n">
        <v>39328</v>
      </c>
      <c r="J125" s="460" t="n">
        <v>9</v>
      </c>
      <c r="K125" s="631" t="s">
        <v>42</v>
      </c>
      <c r="L125" s="458" t="s">
        <v>58</v>
      </c>
      <c r="M125" s="463" t="n">
        <f aca="false">I125-D125</f>
        <v>550</v>
      </c>
    </row>
    <row r="126" customFormat="false" ht="12.75" hidden="false" customHeight="true" outlineLevel="0" collapsed="false">
      <c r="A126" s="602" t="n">
        <v>12507</v>
      </c>
      <c r="B126" s="450" t="s">
        <v>19068</v>
      </c>
      <c r="C126" s="450" t="n">
        <v>2001</v>
      </c>
      <c r="D126" s="451" t="n">
        <v>37097</v>
      </c>
      <c r="E126" s="450" t="s">
        <v>19069</v>
      </c>
      <c r="F126" s="450" t="s">
        <v>365</v>
      </c>
      <c r="G126" s="450" t="s">
        <v>144</v>
      </c>
      <c r="H126" s="450" t="s">
        <v>134</v>
      </c>
      <c r="I126" s="451" t="n">
        <v>39328</v>
      </c>
      <c r="J126" s="452" t="n">
        <v>9</v>
      </c>
      <c r="K126" s="633" t="s">
        <v>47</v>
      </c>
      <c r="L126" s="452" t="s">
        <v>60</v>
      </c>
      <c r="M126" s="455" t="n">
        <f aca="false">I126-D126</f>
        <v>2231</v>
      </c>
    </row>
    <row r="127" customFormat="false" ht="12.75" hidden="false" customHeight="true" outlineLevel="0" collapsed="false">
      <c r="A127" s="594" t="n">
        <v>12607</v>
      </c>
      <c r="B127" s="458" t="s">
        <v>19070</v>
      </c>
      <c r="C127" s="458" t="n">
        <v>2004</v>
      </c>
      <c r="D127" s="459" t="n">
        <v>38224</v>
      </c>
      <c r="E127" s="458" t="s">
        <v>19071</v>
      </c>
      <c r="F127" s="458" t="s">
        <v>699</v>
      </c>
      <c r="G127" s="458" t="s">
        <v>441</v>
      </c>
      <c r="H127" s="458" t="s">
        <v>14391</v>
      </c>
      <c r="I127" s="459" t="n">
        <v>39328</v>
      </c>
      <c r="J127" s="460" t="n">
        <v>9</v>
      </c>
      <c r="K127" s="633" t="s">
        <v>47</v>
      </c>
      <c r="L127" s="458" t="s">
        <v>60</v>
      </c>
      <c r="M127" s="463" t="n">
        <f aca="false">I127-D127</f>
        <v>1104</v>
      </c>
    </row>
    <row r="128" customFormat="false" ht="12.75" hidden="false" customHeight="true" outlineLevel="0" collapsed="false">
      <c r="A128" s="602" t="n">
        <v>12707</v>
      </c>
      <c r="B128" s="450" t="s">
        <v>19072</v>
      </c>
      <c r="C128" s="450" t="n">
        <v>2006</v>
      </c>
      <c r="D128" s="451" t="n">
        <v>38953</v>
      </c>
      <c r="E128" s="450" t="s">
        <v>19073</v>
      </c>
      <c r="F128" s="450" t="s">
        <v>1693</v>
      </c>
      <c r="G128" s="450" t="s">
        <v>441</v>
      </c>
      <c r="H128" s="450" t="s">
        <v>13006</v>
      </c>
      <c r="I128" s="451" t="n">
        <v>39328</v>
      </c>
      <c r="J128" s="452" t="n">
        <v>9</v>
      </c>
      <c r="K128" s="633" t="s">
        <v>47</v>
      </c>
      <c r="L128" s="452" t="s">
        <v>58</v>
      </c>
      <c r="M128" s="455" t="n">
        <f aca="false">I128-D128</f>
        <v>375</v>
      </c>
    </row>
    <row r="129" customFormat="false" ht="12.75" hidden="false" customHeight="true" outlineLevel="0" collapsed="false">
      <c r="A129" s="594" t="n">
        <v>12807</v>
      </c>
      <c r="B129" s="458" t="s">
        <v>19074</v>
      </c>
      <c r="C129" s="458" t="n">
        <v>2005</v>
      </c>
      <c r="D129" s="459" t="n">
        <v>38688</v>
      </c>
      <c r="E129" s="458" t="s">
        <v>19075</v>
      </c>
      <c r="F129" s="458" t="s">
        <v>1693</v>
      </c>
      <c r="G129" s="458" t="s">
        <v>441</v>
      </c>
      <c r="H129" s="458" t="s">
        <v>13006</v>
      </c>
      <c r="I129" s="459" t="n">
        <v>39328</v>
      </c>
      <c r="J129" s="460" t="n">
        <v>9</v>
      </c>
      <c r="K129" s="633" t="s">
        <v>47</v>
      </c>
      <c r="L129" s="458" t="s">
        <v>58</v>
      </c>
      <c r="M129" s="463" t="n">
        <f aca="false">I129-D129</f>
        <v>640</v>
      </c>
    </row>
    <row r="130" customFormat="false" ht="12.75" hidden="false" customHeight="true" outlineLevel="0" collapsed="false">
      <c r="A130" s="602" t="n">
        <v>12907</v>
      </c>
      <c r="B130" s="450" t="s">
        <v>19076</v>
      </c>
      <c r="C130" s="450" t="n">
        <v>2005</v>
      </c>
      <c r="D130" s="451" t="n">
        <v>38677</v>
      </c>
      <c r="E130" s="450" t="s">
        <v>19077</v>
      </c>
      <c r="F130" s="450" t="s">
        <v>18467</v>
      </c>
      <c r="G130" s="450" t="s">
        <v>144</v>
      </c>
      <c r="H130" s="450" t="s">
        <v>373</v>
      </c>
      <c r="I130" s="451" t="n">
        <v>39329</v>
      </c>
      <c r="J130" s="452" t="n">
        <v>9</v>
      </c>
      <c r="K130" s="634" t="s">
        <v>45</v>
      </c>
      <c r="L130" s="452" t="s">
        <v>60</v>
      </c>
      <c r="M130" s="455" t="n">
        <f aca="false">I130-D130</f>
        <v>652</v>
      </c>
    </row>
    <row r="131" customFormat="false" ht="12.75" hidden="false" customHeight="true" outlineLevel="0" collapsed="false">
      <c r="A131" s="594" t="n">
        <v>13007</v>
      </c>
      <c r="B131" s="458" t="s">
        <v>19078</v>
      </c>
      <c r="C131" s="458" t="n">
        <v>2004</v>
      </c>
      <c r="D131" s="459" t="n">
        <v>38286</v>
      </c>
      <c r="E131" s="458" t="s">
        <v>19079</v>
      </c>
      <c r="F131" s="458" t="s">
        <v>18378</v>
      </c>
      <c r="G131" s="458" t="s">
        <v>441</v>
      </c>
      <c r="H131" s="458" t="s">
        <v>373</v>
      </c>
      <c r="I131" s="459" t="n">
        <v>39329</v>
      </c>
      <c r="J131" s="460" t="n">
        <v>9</v>
      </c>
      <c r="K131" s="634" t="s">
        <v>45</v>
      </c>
      <c r="L131" s="458" t="s">
        <v>58</v>
      </c>
      <c r="M131" s="463" t="n">
        <f aca="false">I131-D131</f>
        <v>1043</v>
      </c>
    </row>
    <row r="132" customFormat="false" ht="12.75" hidden="false" customHeight="true" outlineLevel="0" collapsed="false">
      <c r="A132" s="602" t="n">
        <v>13107</v>
      </c>
      <c r="B132" s="450" t="s">
        <v>19080</v>
      </c>
      <c r="C132" s="450" t="n">
        <v>2004</v>
      </c>
      <c r="D132" s="451" t="n">
        <v>38286</v>
      </c>
      <c r="E132" s="450" t="s">
        <v>19081</v>
      </c>
      <c r="F132" s="450" t="s">
        <v>18378</v>
      </c>
      <c r="G132" s="450" t="s">
        <v>441</v>
      </c>
      <c r="H132" s="450" t="s">
        <v>373</v>
      </c>
      <c r="I132" s="451" t="n">
        <v>39329</v>
      </c>
      <c r="J132" s="452" t="n">
        <v>9</v>
      </c>
      <c r="K132" s="634" t="s">
        <v>45</v>
      </c>
      <c r="L132" s="452" t="s">
        <v>58</v>
      </c>
      <c r="M132" s="455" t="n">
        <f aca="false">I132-D132</f>
        <v>1043</v>
      </c>
    </row>
    <row r="133" customFormat="false" ht="12.75" hidden="false" customHeight="true" outlineLevel="0" collapsed="false">
      <c r="A133" s="594" t="n">
        <v>13207</v>
      </c>
      <c r="B133" s="458" t="s">
        <v>19082</v>
      </c>
      <c r="C133" s="458" t="n">
        <v>2004</v>
      </c>
      <c r="D133" s="459" t="n">
        <v>38275</v>
      </c>
      <c r="E133" s="458" t="s">
        <v>19083</v>
      </c>
      <c r="F133" s="458" t="s">
        <v>17837</v>
      </c>
      <c r="G133" s="458" t="s">
        <v>144</v>
      </c>
      <c r="H133" s="458" t="s">
        <v>373</v>
      </c>
      <c r="I133" s="459" t="n">
        <v>39329</v>
      </c>
      <c r="J133" s="460" t="n">
        <v>9</v>
      </c>
      <c r="K133" s="633" t="s">
        <v>47</v>
      </c>
      <c r="L133" s="458" t="s">
        <v>60</v>
      </c>
      <c r="M133" s="463" t="n">
        <f aca="false">I133-D133</f>
        <v>1054</v>
      </c>
    </row>
    <row r="134" customFormat="false" ht="12.75" hidden="false" customHeight="true" outlineLevel="0" collapsed="false">
      <c r="A134" s="602" t="n">
        <v>13307</v>
      </c>
      <c r="B134" s="450" t="s">
        <v>19084</v>
      </c>
      <c r="C134" s="450" t="n">
        <v>2004</v>
      </c>
      <c r="D134" s="451" t="n">
        <v>38139</v>
      </c>
      <c r="E134" s="450" t="s">
        <v>19085</v>
      </c>
      <c r="F134" s="450" t="s">
        <v>10814</v>
      </c>
      <c r="G134" s="450" t="s">
        <v>115</v>
      </c>
      <c r="H134" s="450" t="s">
        <v>10110</v>
      </c>
      <c r="I134" s="451" t="n">
        <v>39331</v>
      </c>
      <c r="J134" s="452" t="n">
        <v>9</v>
      </c>
      <c r="K134" s="631" t="s">
        <v>42</v>
      </c>
      <c r="L134" s="452" t="s">
        <v>60</v>
      </c>
      <c r="M134" s="455" t="n">
        <f aca="false">I134-D134</f>
        <v>1192</v>
      </c>
    </row>
    <row r="135" customFormat="false" ht="12.75" hidden="false" customHeight="true" outlineLevel="0" collapsed="false">
      <c r="A135" s="594" t="n">
        <v>13407</v>
      </c>
      <c r="B135" s="458" t="s">
        <v>19086</v>
      </c>
      <c r="C135" s="458" t="n">
        <v>2003</v>
      </c>
      <c r="D135" s="459" t="n">
        <v>37971</v>
      </c>
      <c r="E135" s="458" t="s">
        <v>19087</v>
      </c>
      <c r="F135" s="458" t="s">
        <v>4381</v>
      </c>
      <c r="G135" s="458" t="s">
        <v>144</v>
      </c>
      <c r="H135" s="458" t="s">
        <v>10110</v>
      </c>
      <c r="I135" s="459" t="n">
        <v>39331</v>
      </c>
      <c r="J135" s="460" t="n">
        <v>9</v>
      </c>
      <c r="K135" s="634" t="s">
        <v>45</v>
      </c>
      <c r="L135" s="458" t="s">
        <v>58</v>
      </c>
      <c r="M135" s="463" t="n">
        <f aca="false">I135-D135</f>
        <v>1360</v>
      </c>
    </row>
    <row r="136" customFormat="false" ht="12.75" hidden="false" customHeight="true" outlineLevel="0" collapsed="false">
      <c r="A136" s="602" t="n">
        <v>13507</v>
      </c>
      <c r="B136" s="450" t="s">
        <v>19088</v>
      </c>
      <c r="C136" s="450" t="n">
        <v>2003</v>
      </c>
      <c r="D136" s="451" t="n">
        <v>37904</v>
      </c>
      <c r="E136" s="450" t="s">
        <v>19089</v>
      </c>
      <c r="F136" s="450" t="s">
        <v>699</v>
      </c>
      <c r="G136" s="450" t="s">
        <v>441</v>
      </c>
      <c r="H136" s="450" t="s">
        <v>184</v>
      </c>
      <c r="I136" s="451" t="n">
        <v>39337</v>
      </c>
      <c r="J136" s="452" t="n">
        <v>9</v>
      </c>
      <c r="K136" s="633" t="s">
        <v>47</v>
      </c>
      <c r="L136" s="452" t="s">
        <v>60</v>
      </c>
      <c r="M136" s="455" t="n">
        <f aca="false">I136-D136</f>
        <v>1433</v>
      </c>
    </row>
    <row r="137" customFormat="false" ht="12.75" hidden="false" customHeight="true" outlineLevel="0" collapsed="false">
      <c r="A137" s="594" t="n">
        <v>13607</v>
      </c>
      <c r="B137" s="458" t="s">
        <v>19090</v>
      </c>
      <c r="C137" s="458" t="n">
        <v>2006</v>
      </c>
      <c r="D137" s="459" t="n">
        <v>38915</v>
      </c>
      <c r="E137" s="458" t="s">
        <v>19091</v>
      </c>
      <c r="F137" s="458" t="s">
        <v>19092</v>
      </c>
      <c r="G137" s="458" t="s">
        <v>125</v>
      </c>
      <c r="H137" s="458" t="s">
        <v>19093</v>
      </c>
      <c r="I137" s="459" t="n">
        <v>39342</v>
      </c>
      <c r="J137" s="460" t="n">
        <v>9</v>
      </c>
      <c r="K137" s="632" t="s">
        <v>50</v>
      </c>
      <c r="L137" s="458" t="s">
        <v>61</v>
      </c>
      <c r="M137" s="463" t="n">
        <f aca="false">I137-D137</f>
        <v>427</v>
      </c>
    </row>
    <row r="138" customFormat="false" ht="12.75" hidden="false" customHeight="true" outlineLevel="0" collapsed="false">
      <c r="A138" s="602" t="n">
        <v>13707</v>
      </c>
      <c r="B138" s="450" t="s">
        <v>19094</v>
      </c>
      <c r="C138" s="450" t="n">
        <v>2006</v>
      </c>
      <c r="D138" s="451" t="n">
        <v>38915</v>
      </c>
      <c r="E138" s="450" t="s">
        <v>19095</v>
      </c>
      <c r="F138" s="450" t="s">
        <v>19092</v>
      </c>
      <c r="G138" s="450" t="s">
        <v>125</v>
      </c>
      <c r="H138" s="450" t="s">
        <v>19093</v>
      </c>
      <c r="I138" s="451" t="n">
        <v>39342</v>
      </c>
      <c r="J138" s="452" t="n">
        <v>9</v>
      </c>
      <c r="K138" s="632" t="s">
        <v>50</v>
      </c>
      <c r="L138" s="452" t="s">
        <v>61</v>
      </c>
      <c r="M138" s="455" t="n">
        <f aca="false">I138-D138</f>
        <v>427</v>
      </c>
    </row>
    <row r="139" customFormat="false" ht="12.75" hidden="false" customHeight="true" outlineLevel="0" collapsed="false">
      <c r="A139" s="594" t="n">
        <v>13807</v>
      </c>
      <c r="B139" s="458" t="s">
        <v>19096</v>
      </c>
      <c r="C139" s="458" t="n">
        <v>2006</v>
      </c>
      <c r="D139" s="459" t="n">
        <v>38903</v>
      </c>
      <c r="E139" s="458" t="s">
        <v>19097</v>
      </c>
      <c r="F139" s="458" t="s">
        <v>19092</v>
      </c>
      <c r="G139" s="458" t="s">
        <v>125</v>
      </c>
      <c r="H139" s="458" t="s">
        <v>19093</v>
      </c>
      <c r="I139" s="459" t="n">
        <v>39342</v>
      </c>
      <c r="J139" s="460" t="n">
        <v>9</v>
      </c>
      <c r="K139" s="632" t="s">
        <v>50</v>
      </c>
      <c r="L139" s="458" t="s">
        <v>61</v>
      </c>
      <c r="M139" s="463" t="n">
        <f aca="false">I139-D139</f>
        <v>439</v>
      </c>
    </row>
    <row r="140" customFormat="false" ht="12.75" hidden="false" customHeight="true" outlineLevel="0" collapsed="false">
      <c r="A140" s="602" t="n">
        <v>13907</v>
      </c>
      <c r="B140" s="450" t="s">
        <v>19098</v>
      </c>
      <c r="C140" s="450" t="n">
        <v>2006</v>
      </c>
      <c r="D140" s="451" t="n">
        <v>38930</v>
      </c>
      <c r="E140" s="450" t="s">
        <v>19099</v>
      </c>
      <c r="F140" s="450" t="s">
        <v>7411</v>
      </c>
      <c r="G140" s="450" t="s">
        <v>144</v>
      </c>
      <c r="H140" s="450" t="s">
        <v>6633</v>
      </c>
      <c r="I140" s="451" t="n">
        <v>39342</v>
      </c>
      <c r="J140" s="452" t="n">
        <v>9</v>
      </c>
      <c r="K140" s="631" t="s">
        <v>42</v>
      </c>
      <c r="L140" s="452" t="s">
        <v>58</v>
      </c>
      <c r="M140" s="455" t="n">
        <f aca="false">I140-D140</f>
        <v>412</v>
      </c>
    </row>
    <row r="141" customFormat="false" ht="12.75" hidden="false" customHeight="true" outlineLevel="0" collapsed="false">
      <c r="A141" s="594" t="n">
        <v>14007</v>
      </c>
      <c r="B141" s="458" t="s">
        <v>19100</v>
      </c>
      <c r="C141" s="458" t="n">
        <v>2004</v>
      </c>
      <c r="D141" s="459" t="n">
        <v>38348</v>
      </c>
      <c r="E141" s="458" t="s">
        <v>19101</v>
      </c>
      <c r="F141" s="458" t="s">
        <v>699</v>
      </c>
      <c r="G141" s="458" t="s">
        <v>441</v>
      </c>
      <c r="H141" s="458" t="s">
        <v>184</v>
      </c>
      <c r="I141" s="459" t="n">
        <v>39345</v>
      </c>
      <c r="J141" s="460" t="n">
        <v>9</v>
      </c>
      <c r="K141" s="633" t="s">
        <v>47</v>
      </c>
      <c r="L141" s="458" t="s">
        <v>60</v>
      </c>
      <c r="M141" s="463" t="n">
        <f aca="false">I141-D141</f>
        <v>997</v>
      </c>
    </row>
    <row r="142" customFormat="false" ht="12.75" hidden="false" customHeight="true" outlineLevel="0" collapsed="false">
      <c r="A142" s="602" t="n">
        <v>14107</v>
      </c>
      <c r="B142" s="450" t="s">
        <v>19102</v>
      </c>
      <c r="C142" s="450" t="n">
        <v>2001</v>
      </c>
      <c r="D142" s="451" t="n">
        <v>37246</v>
      </c>
      <c r="E142" s="450" t="s">
        <v>19103</v>
      </c>
      <c r="F142" s="450" t="s">
        <v>19104</v>
      </c>
      <c r="G142" s="450" t="s">
        <v>144</v>
      </c>
      <c r="H142" s="450" t="s">
        <v>254</v>
      </c>
      <c r="I142" s="451" t="n">
        <v>39351</v>
      </c>
      <c r="J142" s="452" t="n">
        <v>9</v>
      </c>
      <c r="K142" s="631" t="s">
        <v>42</v>
      </c>
      <c r="L142" s="452" t="s">
        <v>58</v>
      </c>
      <c r="M142" s="455" t="n">
        <f aca="false">I142-D142</f>
        <v>2105</v>
      </c>
    </row>
    <row r="143" customFormat="false" ht="12.75" hidden="false" customHeight="true" outlineLevel="0" collapsed="false">
      <c r="A143" s="594" t="n">
        <v>14207</v>
      </c>
      <c r="B143" s="458" t="s">
        <v>19105</v>
      </c>
      <c r="C143" s="458" t="n">
        <v>2005</v>
      </c>
      <c r="D143" s="459" t="n">
        <v>38611</v>
      </c>
      <c r="E143" s="458" t="s">
        <v>19106</v>
      </c>
      <c r="F143" s="458" t="s">
        <v>4623</v>
      </c>
      <c r="G143" s="458" t="s">
        <v>441</v>
      </c>
      <c r="H143" s="458" t="s">
        <v>15992</v>
      </c>
      <c r="I143" s="459" t="n">
        <v>39351</v>
      </c>
      <c r="J143" s="460" t="n">
        <v>9</v>
      </c>
      <c r="K143" s="631" t="s">
        <v>42</v>
      </c>
      <c r="L143" s="458" t="s">
        <v>60</v>
      </c>
      <c r="M143" s="463" t="n">
        <f aca="false">I143-D143</f>
        <v>740</v>
      </c>
    </row>
    <row r="144" customFormat="false" ht="12.75" hidden="false" customHeight="true" outlineLevel="0" collapsed="false">
      <c r="A144" s="602" t="n">
        <v>14307</v>
      </c>
      <c r="B144" s="450" t="s">
        <v>19107</v>
      </c>
      <c r="C144" s="450" t="n">
        <v>2004</v>
      </c>
      <c r="D144" s="451" t="n">
        <v>38183</v>
      </c>
      <c r="E144" s="450" t="s">
        <v>19108</v>
      </c>
      <c r="F144" s="450" t="s">
        <v>650</v>
      </c>
      <c r="G144" s="450" t="s">
        <v>441</v>
      </c>
      <c r="H144" s="450" t="s">
        <v>14391</v>
      </c>
      <c r="I144" s="451" t="n">
        <v>39356</v>
      </c>
      <c r="J144" s="452" t="n">
        <v>10</v>
      </c>
      <c r="K144" s="633" t="s">
        <v>47</v>
      </c>
      <c r="L144" s="452" t="s">
        <v>58</v>
      </c>
      <c r="M144" s="455" t="n">
        <f aca="false">I144-D144</f>
        <v>1173</v>
      </c>
    </row>
    <row r="145" customFormat="false" ht="12.75" hidden="false" customHeight="true" outlineLevel="0" collapsed="false">
      <c r="A145" s="594" t="n">
        <v>14407</v>
      </c>
      <c r="B145" s="594" t="s">
        <v>10996</v>
      </c>
      <c r="C145" s="594" t="s">
        <v>10996</v>
      </c>
      <c r="D145" s="595" t="s">
        <v>10996</v>
      </c>
      <c r="E145" s="594" t="s">
        <v>10996</v>
      </c>
      <c r="F145" s="594" t="s">
        <v>10996</v>
      </c>
      <c r="G145" s="594" t="s">
        <v>10996</v>
      </c>
      <c r="H145" s="594" t="s">
        <v>10996</v>
      </c>
      <c r="I145" s="595" t="s">
        <v>10996</v>
      </c>
      <c r="J145" s="283" t="s">
        <v>10996</v>
      </c>
      <c r="K145" s="283" t="s">
        <v>10996</v>
      </c>
      <c r="L145" s="594" t="s">
        <v>10996</v>
      </c>
      <c r="M145" s="649" t="s">
        <v>10996</v>
      </c>
    </row>
    <row r="146" customFormat="false" ht="12.75" hidden="false" customHeight="true" outlineLevel="0" collapsed="false">
      <c r="A146" s="602" t="n">
        <v>14507</v>
      </c>
      <c r="B146" s="450" t="s">
        <v>19109</v>
      </c>
      <c r="C146" s="450" t="n">
        <v>2005</v>
      </c>
      <c r="D146" s="451" t="n">
        <v>38625</v>
      </c>
      <c r="E146" s="450" t="s">
        <v>19110</v>
      </c>
      <c r="F146" s="450" t="s">
        <v>15802</v>
      </c>
      <c r="G146" s="450" t="s">
        <v>1174</v>
      </c>
      <c r="H146" s="450" t="s">
        <v>119</v>
      </c>
      <c r="I146" s="451" t="n">
        <v>39356</v>
      </c>
      <c r="J146" s="452" t="n">
        <v>10</v>
      </c>
      <c r="K146" s="631" t="s">
        <v>42</v>
      </c>
      <c r="L146" s="452" t="s">
        <v>58</v>
      </c>
      <c r="M146" s="455" t="n">
        <f aca="false">I146-D146</f>
        <v>731</v>
      </c>
    </row>
    <row r="147" customFormat="false" ht="12.75" hidden="false" customHeight="true" outlineLevel="0" collapsed="false">
      <c r="A147" s="594" t="n">
        <v>14607</v>
      </c>
      <c r="B147" s="458" t="s">
        <v>19111</v>
      </c>
      <c r="C147" s="458" t="n">
        <v>2000</v>
      </c>
      <c r="D147" s="459" t="n">
        <v>36847</v>
      </c>
      <c r="E147" s="458" t="s">
        <v>19112</v>
      </c>
      <c r="F147" s="458" t="s">
        <v>699</v>
      </c>
      <c r="G147" s="458" t="s">
        <v>1174</v>
      </c>
      <c r="H147" s="458" t="s">
        <v>18974</v>
      </c>
      <c r="I147" s="459" t="n">
        <v>39363</v>
      </c>
      <c r="J147" s="460" t="n">
        <v>10</v>
      </c>
      <c r="K147" s="631" t="s">
        <v>42</v>
      </c>
      <c r="L147" s="458" t="s">
        <v>60</v>
      </c>
      <c r="M147" s="463" t="n">
        <f aca="false">I147-D147</f>
        <v>2516</v>
      </c>
    </row>
    <row r="148" customFormat="false" ht="12.75" hidden="false" customHeight="true" outlineLevel="0" collapsed="false">
      <c r="A148" s="602" t="n">
        <v>14707</v>
      </c>
      <c r="B148" s="450" t="s">
        <v>19113</v>
      </c>
      <c r="C148" s="450" t="n">
        <v>2003</v>
      </c>
      <c r="D148" s="451" t="n">
        <v>37861</v>
      </c>
      <c r="E148" s="450" t="s">
        <v>19114</v>
      </c>
      <c r="F148" s="450" t="s">
        <v>19115</v>
      </c>
      <c r="G148" s="450" t="s">
        <v>1174</v>
      </c>
      <c r="H148" s="450" t="s">
        <v>19116</v>
      </c>
      <c r="I148" s="451" t="n">
        <v>39365</v>
      </c>
      <c r="J148" s="452" t="n">
        <v>10</v>
      </c>
      <c r="K148" s="633" t="s">
        <v>47</v>
      </c>
      <c r="L148" s="452" t="s">
        <v>60</v>
      </c>
      <c r="M148" s="455" t="n">
        <f aca="false">I148-D148</f>
        <v>1504</v>
      </c>
    </row>
    <row r="149" customFormat="false" ht="12.75" hidden="false" customHeight="true" outlineLevel="0" collapsed="false">
      <c r="A149" s="594" t="n">
        <v>14807</v>
      </c>
      <c r="B149" s="458" t="s">
        <v>19117</v>
      </c>
      <c r="C149" s="458" t="n">
        <v>2006</v>
      </c>
      <c r="D149" s="459" t="n">
        <v>38741</v>
      </c>
      <c r="E149" s="458" t="s">
        <v>19118</v>
      </c>
      <c r="F149" s="458" t="s">
        <v>19016</v>
      </c>
      <c r="G149" s="458" t="s">
        <v>115</v>
      </c>
      <c r="H149" s="458" t="s">
        <v>18397</v>
      </c>
      <c r="I149" s="459" t="n">
        <v>39370</v>
      </c>
      <c r="J149" s="460" t="n">
        <v>10</v>
      </c>
      <c r="K149" s="633" t="s">
        <v>47</v>
      </c>
      <c r="L149" s="458" t="s">
        <v>61</v>
      </c>
      <c r="M149" s="463" t="n">
        <f aca="false">I149-D149</f>
        <v>629</v>
      </c>
    </row>
    <row r="150" customFormat="false" ht="12.75" hidden="false" customHeight="true" outlineLevel="0" collapsed="false">
      <c r="A150" s="602" t="n">
        <v>14907</v>
      </c>
      <c r="B150" s="450" t="s">
        <v>19119</v>
      </c>
      <c r="C150" s="450" t="n">
        <v>2005</v>
      </c>
      <c r="D150" s="451" t="n">
        <v>38615</v>
      </c>
      <c r="E150" s="450" t="s">
        <v>19120</v>
      </c>
      <c r="F150" s="450" t="s">
        <v>113</v>
      </c>
      <c r="G150" s="450" t="s">
        <v>441</v>
      </c>
      <c r="H150" s="450" t="s">
        <v>2654</v>
      </c>
      <c r="I150" s="451" t="n">
        <v>39373</v>
      </c>
      <c r="J150" s="452" t="n">
        <v>10</v>
      </c>
      <c r="K150" s="633" t="s">
        <v>47</v>
      </c>
      <c r="L150" s="452" t="s">
        <v>60</v>
      </c>
      <c r="M150" s="455" t="n">
        <f aca="false">I150-D150</f>
        <v>758</v>
      </c>
    </row>
    <row r="151" customFormat="false" ht="12.75" hidden="false" customHeight="true" outlineLevel="0" collapsed="false">
      <c r="A151" s="594" t="n">
        <v>15007</v>
      </c>
      <c r="B151" s="458" t="s">
        <v>19121</v>
      </c>
      <c r="C151" s="458" t="n">
        <v>2000</v>
      </c>
      <c r="D151" s="459" t="n">
        <v>36706</v>
      </c>
      <c r="E151" s="458" t="s">
        <v>19122</v>
      </c>
      <c r="F151" s="458" t="s">
        <v>7411</v>
      </c>
      <c r="G151" s="458" t="s">
        <v>1474</v>
      </c>
      <c r="H151" s="458" t="s">
        <v>19123</v>
      </c>
      <c r="I151" s="459" t="n">
        <v>39374</v>
      </c>
      <c r="J151" s="460" t="n">
        <v>10</v>
      </c>
      <c r="K151" s="631" t="s">
        <v>42</v>
      </c>
      <c r="L151" s="458" t="s">
        <v>58</v>
      </c>
      <c r="M151" s="463" t="n">
        <f aca="false">I151-D151</f>
        <v>2668</v>
      </c>
    </row>
    <row r="152" customFormat="false" ht="12.75" hidden="false" customHeight="true" outlineLevel="0" collapsed="false">
      <c r="A152" s="602" t="n">
        <v>15107</v>
      </c>
      <c r="B152" s="450" t="s">
        <v>19124</v>
      </c>
      <c r="C152" s="450" t="n">
        <v>2003</v>
      </c>
      <c r="D152" s="451" t="n">
        <v>37935</v>
      </c>
      <c r="E152" s="450" t="s">
        <v>19125</v>
      </c>
      <c r="F152" s="450" t="s">
        <v>18479</v>
      </c>
      <c r="G152" s="450" t="s">
        <v>441</v>
      </c>
      <c r="H152" s="450" t="s">
        <v>18397</v>
      </c>
      <c r="I152" s="451" t="n">
        <v>39378</v>
      </c>
      <c r="J152" s="452" t="n">
        <v>10</v>
      </c>
      <c r="K152" s="633" t="s">
        <v>47</v>
      </c>
      <c r="L152" s="452" t="s">
        <v>60</v>
      </c>
      <c r="M152" s="455" t="n">
        <f aca="false">I152-D152</f>
        <v>1443</v>
      </c>
    </row>
    <row r="153" customFormat="false" ht="12.75" hidden="false" customHeight="true" outlineLevel="0" collapsed="false">
      <c r="A153" s="594" t="n">
        <v>15207</v>
      </c>
      <c r="B153" s="458" t="s">
        <v>19126</v>
      </c>
      <c r="C153" s="458" t="n">
        <v>1998</v>
      </c>
      <c r="D153" s="459" t="n">
        <v>36124</v>
      </c>
      <c r="E153" s="458" t="s">
        <v>19127</v>
      </c>
      <c r="F153" s="458" t="s">
        <v>19128</v>
      </c>
      <c r="G153" s="458" t="s">
        <v>441</v>
      </c>
      <c r="H153" s="458" t="s">
        <v>1791</v>
      </c>
      <c r="I153" s="459" t="n">
        <v>39380</v>
      </c>
      <c r="J153" s="460" t="n">
        <v>10</v>
      </c>
      <c r="K153" s="631" t="s">
        <v>42</v>
      </c>
      <c r="L153" s="458" t="s">
        <v>60</v>
      </c>
      <c r="M153" s="463" t="n">
        <f aca="false">I153-D153</f>
        <v>3256</v>
      </c>
    </row>
    <row r="154" customFormat="false" ht="12.75" hidden="false" customHeight="true" outlineLevel="0" collapsed="false">
      <c r="A154" s="602" t="n">
        <v>15307</v>
      </c>
      <c r="B154" s="450" t="s">
        <v>19129</v>
      </c>
      <c r="C154" s="450" t="n">
        <v>2005</v>
      </c>
      <c r="D154" s="451" t="n">
        <v>38713</v>
      </c>
      <c r="E154" s="450" t="s">
        <v>19130</v>
      </c>
      <c r="F154" s="450" t="s">
        <v>113</v>
      </c>
      <c r="G154" s="450" t="s">
        <v>441</v>
      </c>
      <c r="H154" s="450" t="s">
        <v>14391</v>
      </c>
      <c r="I154" s="451" t="n">
        <v>39380</v>
      </c>
      <c r="J154" s="452" t="n">
        <v>10</v>
      </c>
      <c r="K154" s="633" t="s">
        <v>47</v>
      </c>
      <c r="L154" s="452" t="s">
        <v>60</v>
      </c>
      <c r="M154" s="455" t="n">
        <f aca="false">I154-D154</f>
        <v>667</v>
      </c>
    </row>
    <row r="155" customFormat="false" ht="12.75" hidden="false" customHeight="true" outlineLevel="0" collapsed="false">
      <c r="A155" s="594" t="n">
        <v>15407</v>
      </c>
      <c r="B155" s="458" t="s">
        <v>19131</v>
      </c>
      <c r="C155" s="458" t="n">
        <v>2005</v>
      </c>
      <c r="D155" s="459" t="n">
        <v>38677</v>
      </c>
      <c r="E155" s="458" t="s">
        <v>19132</v>
      </c>
      <c r="F155" s="458" t="s">
        <v>18821</v>
      </c>
      <c r="G155" s="458" t="s">
        <v>115</v>
      </c>
      <c r="H155" s="458" t="s">
        <v>254</v>
      </c>
      <c r="I155" s="459" t="n">
        <v>39381</v>
      </c>
      <c r="J155" s="460" t="n">
        <v>10</v>
      </c>
      <c r="K155" s="634" t="s">
        <v>45</v>
      </c>
      <c r="L155" s="458" t="s">
        <v>60</v>
      </c>
      <c r="M155" s="463" t="n">
        <f aca="false">I155-D155</f>
        <v>704</v>
      </c>
    </row>
    <row r="156" customFormat="false" ht="12.75" hidden="false" customHeight="true" outlineLevel="0" collapsed="false">
      <c r="A156" s="602" t="n">
        <v>15507</v>
      </c>
      <c r="B156" s="450" t="s">
        <v>19133</v>
      </c>
      <c r="C156" s="450" t="n">
        <v>2005</v>
      </c>
      <c r="D156" s="451" t="n">
        <v>38632</v>
      </c>
      <c r="E156" s="450" t="s">
        <v>19134</v>
      </c>
      <c r="F156" s="450" t="s">
        <v>7411</v>
      </c>
      <c r="G156" s="450" t="s">
        <v>144</v>
      </c>
      <c r="H156" s="450" t="s">
        <v>19059</v>
      </c>
      <c r="I156" s="451" t="n">
        <v>39386</v>
      </c>
      <c r="J156" s="452" t="n">
        <v>10</v>
      </c>
      <c r="K156" s="631" t="s">
        <v>42</v>
      </c>
      <c r="L156" s="452" t="s">
        <v>60</v>
      </c>
      <c r="M156" s="455" t="n">
        <f aca="false">I156-D156</f>
        <v>754</v>
      </c>
    </row>
    <row r="157" customFormat="false" ht="12.75" hidden="false" customHeight="true" outlineLevel="0" collapsed="false">
      <c r="A157" s="594" t="n">
        <v>15607</v>
      </c>
      <c r="B157" s="458" t="s">
        <v>19135</v>
      </c>
      <c r="C157" s="458" t="n">
        <v>2004</v>
      </c>
      <c r="D157" s="459" t="n">
        <v>38089</v>
      </c>
      <c r="E157" s="458" t="s">
        <v>19136</v>
      </c>
      <c r="F157" s="458" t="s">
        <v>113</v>
      </c>
      <c r="G157" s="458" t="s">
        <v>441</v>
      </c>
      <c r="H157" s="458" t="s">
        <v>14391</v>
      </c>
      <c r="I157" s="459" t="n">
        <v>39386</v>
      </c>
      <c r="J157" s="460" t="n">
        <v>10</v>
      </c>
      <c r="K157" s="634" t="s">
        <v>45</v>
      </c>
      <c r="L157" s="458" t="s">
        <v>58</v>
      </c>
      <c r="M157" s="463" t="n">
        <f aca="false">I157-D157</f>
        <v>1297</v>
      </c>
    </row>
    <row r="158" customFormat="false" ht="12.75" hidden="false" customHeight="true" outlineLevel="0" collapsed="false">
      <c r="A158" s="602" t="n">
        <v>15707</v>
      </c>
      <c r="B158" s="450" t="s">
        <v>19137</v>
      </c>
      <c r="C158" s="450" t="n">
        <v>2004</v>
      </c>
      <c r="D158" s="451" t="n">
        <v>38089</v>
      </c>
      <c r="E158" s="450" t="s">
        <v>19138</v>
      </c>
      <c r="F158" s="450" t="s">
        <v>113</v>
      </c>
      <c r="G158" s="450" t="s">
        <v>441</v>
      </c>
      <c r="H158" s="450" t="s">
        <v>14391</v>
      </c>
      <c r="I158" s="451" t="n">
        <v>39386</v>
      </c>
      <c r="J158" s="452" t="n">
        <v>10</v>
      </c>
      <c r="K158" s="634" t="s">
        <v>45</v>
      </c>
      <c r="L158" s="452" t="s">
        <v>58</v>
      </c>
      <c r="M158" s="455" t="n">
        <f aca="false">I158-D158</f>
        <v>1297</v>
      </c>
    </row>
    <row r="159" customFormat="false" ht="12.75" hidden="false" customHeight="true" outlineLevel="0" collapsed="false">
      <c r="A159" s="594" t="n">
        <v>15807</v>
      </c>
      <c r="B159" s="458" t="s">
        <v>19139</v>
      </c>
      <c r="C159" s="458" t="n">
        <v>2006</v>
      </c>
      <c r="D159" s="459" t="n">
        <v>38862</v>
      </c>
      <c r="E159" s="458" t="s">
        <v>19140</v>
      </c>
      <c r="F159" s="458" t="s">
        <v>8232</v>
      </c>
      <c r="G159" s="458" t="s">
        <v>144</v>
      </c>
      <c r="H159" s="458" t="s">
        <v>373</v>
      </c>
      <c r="I159" s="459" t="n">
        <v>39386</v>
      </c>
      <c r="J159" s="460" t="n">
        <v>10</v>
      </c>
      <c r="K159" s="633" t="s">
        <v>47</v>
      </c>
      <c r="L159" s="458" t="s">
        <v>60</v>
      </c>
      <c r="M159" s="463" t="n">
        <f aca="false">I159-D159</f>
        <v>524</v>
      </c>
    </row>
    <row r="160" customFormat="false" ht="12.75" hidden="false" customHeight="true" outlineLevel="0" collapsed="false">
      <c r="A160" s="602" t="n">
        <v>15907</v>
      </c>
      <c r="B160" s="450" t="s">
        <v>19141</v>
      </c>
      <c r="C160" s="450" t="n">
        <v>2005</v>
      </c>
      <c r="D160" s="451" t="n">
        <v>38632</v>
      </c>
      <c r="E160" s="450" t="s">
        <v>19142</v>
      </c>
      <c r="F160" s="450" t="s">
        <v>18426</v>
      </c>
      <c r="G160" s="450" t="s">
        <v>144</v>
      </c>
      <c r="H160" s="450" t="s">
        <v>1791</v>
      </c>
      <c r="I160" s="451" t="n">
        <v>39387</v>
      </c>
      <c r="J160" s="452" t="n">
        <v>11</v>
      </c>
      <c r="K160" s="633" t="s">
        <v>47</v>
      </c>
      <c r="L160" s="452" t="s">
        <v>58</v>
      </c>
      <c r="M160" s="455" t="n">
        <f aca="false">I160-D160</f>
        <v>755</v>
      </c>
    </row>
    <row r="161" customFormat="false" ht="12.75" hidden="false" customHeight="true" outlineLevel="0" collapsed="false">
      <c r="A161" s="594" t="n">
        <v>16007</v>
      </c>
      <c r="B161" s="458" t="s">
        <v>19143</v>
      </c>
      <c r="C161" s="458" t="n">
        <v>2005</v>
      </c>
      <c r="D161" s="459" t="n">
        <v>38713</v>
      </c>
      <c r="E161" s="458" t="s">
        <v>19144</v>
      </c>
      <c r="F161" s="458" t="s">
        <v>211</v>
      </c>
      <c r="G161" s="458" t="s">
        <v>1174</v>
      </c>
      <c r="H161" s="458" t="s">
        <v>14391</v>
      </c>
      <c r="I161" s="459" t="n">
        <v>39392</v>
      </c>
      <c r="J161" s="460" t="n">
        <v>11</v>
      </c>
      <c r="K161" s="634" t="s">
        <v>45</v>
      </c>
      <c r="L161" s="458" t="s">
        <v>58</v>
      </c>
      <c r="M161" s="463" t="n">
        <f aca="false">I161-D161</f>
        <v>679</v>
      </c>
    </row>
    <row r="162" customFormat="false" ht="12.75" hidden="false" customHeight="true" outlineLevel="0" collapsed="false">
      <c r="A162" s="602" t="n">
        <v>16107</v>
      </c>
      <c r="B162" s="450" t="s">
        <v>19145</v>
      </c>
      <c r="C162" s="450" t="n">
        <v>2005</v>
      </c>
      <c r="D162" s="451" t="n">
        <v>38580</v>
      </c>
      <c r="E162" s="450" t="s">
        <v>19146</v>
      </c>
      <c r="F162" s="450" t="s">
        <v>379</v>
      </c>
      <c r="G162" s="450" t="s">
        <v>441</v>
      </c>
      <c r="H162" s="450" t="s">
        <v>1059</v>
      </c>
      <c r="I162" s="451" t="n">
        <v>39394</v>
      </c>
      <c r="J162" s="452" t="n">
        <v>11</v>
      </c>
      <c r="K162" s="633" t="s">
        <v>47</v>
      </c>
      <c r="L162" s="452" t="s">
        <v>58</v>
      </c>
      <c r="M162" s="455" t="n">
        <f aca="false">I162-D162</f>
        <v>814</v>
      </c>
    </row>
    <row r="163" customFormat="false" ht="12.75" hidden="false" customHeight="true" outlineLevel="0" collapsed="false">
      <c r="A163" s="594" t="n">
        <v>16207</v>
      </c>
      <c r="B163" s="458" t="s">
        <v>19147</v>
      </c>
      <c r="C163" s="458" t="n">
        <v>2005</v>
      </c>
      <c r="D163" s="459" t="n">
        <v>38593</v>
      </c>
      <c r="E163" s="458" t="s">
        <v>19148</v>
      </c>
      <c r="F163" s="458" t="s">
        <v>379</v>
      </c>
      <c r="G163" s="458" t="s">
        <v>441</v>
      </c>
      <c r="H163" s="458" t="s">
        <v>1059</v>
      </c>
      <c r="I163" s="459" t="n">
        <v>39394</v>
      </c>
      <c r="J163" s="460" t="n">
        <v>11</v>
      </c>
      <c r="K163" s="633" t="s">
        <v>47</v>
      </c>
      <c r="L163" s="458" t="s">
        <v>58</v>
      </c>
      <c r="M163" s="463" t="n">
        <f aca="false">I163-D163</f>
        <v>801</v>
      </c>
    </row>
    <row r="164" customFormat="false" ht="12.75" hidden="false" customHeight="true" outlineLevel="0" collapsed="false">
      <c r="A164" s="602" t="n">
        <v>16307</v>
      </c>
      <c r="B164" s="450" t="s">
        <v>19149</v>
      </c>
      <c r="C164" s="450" t="n">
        <v>2005</v>
      </c>
      <c r="D164" s="451" t="n">
        <v>38443</v>
      </c>
      <c r="E164" s="450" t="s">
        <v>19150</v>
      </c>
      <c r="F164" s="450" t="s">
        <v>4270</v>
      </c>
      <c r="G164" s="450" t="s">
        <v>441</v>
      </c>
      <c r="H164" s="450" t="s">
        <v>2677</v>
      </c>
      <c r="I164" s="451" t="n">
        <v>39398</v>
      </c>
      <c r="J164" s="452" t="n">
        <v>11</v>
      </c>
      <c r="K164" s="631" t="s">
        <v>42</v>
      </c>
      <c r="L164" s="452" t="s">
        <v>60</v>
      </c>
      <c r="M164" s="455" t="n">
        <f aca="false">I164-D164</f>
        <v>955</v>
      </c>
    </row>
    <row r="165" customFormat="false" ht="12.75" hidden="false" customHeight="true" outlineLevel="0" collapsed="false">
      <c r="A165" s="594" t="n">
        <v>16407</v>
      </c>
      <c r="B165" s="458" t="s">
        <v>19151</v>
      </c>
      <c r="C165" s="458" t="n">
        <v>2006</v>
      </c>
      <c r="D165" s="459" t="n">
        <v>38782</v>
      </c>
      <c r="E165" s="458" t="s">
        <v>19152</v>
      </c>
      <c r="F165" s="458" t="s">
        <v>4623</v>
      </c>
      <c r="G165" s="458" t="s">
        <v>441</v>
      </c>
      <c r="H165" s="458" t="s">
        <v>15992</v>
      </c>
      <c r="I165" s="459" t="n">
        <v>39398</v>
      </c>
      <c r="J165" s="460" t="n">
        <v>11</v>
      </c>
      <c r="K165" s="631" t="s">
        <v>42</v>
      </c>
      <c r="L165" s="458" t="s">
        <v>60</v>
      </c>
      <c r="M165" s="463" t="n">
        <f aca="false">I165-D165</f>
        <v>616</v>
      </c>
    </row>
    <row r="166" customFormat="false" ht="12.75" hidden="false" customHeight="true" outlineLevel="0" collapsed="false">
      <c r="A166" s="602" t="n">
        <v>16507</v>
      </c>
      <c r="B166" s="450" t="s">
        <v>19153</v>
      </c>
      <c r="C166" s="450" t="n">
        <v>2004</v>
      </c>
      <c r="D166" s="451" t="n">
        <v>38348</v>
      </c>
      <c r="E166" s="450" t="s">
        <v>19154</v>
      </c>
      <c r="F166" s="450" t="s">
        <v>8232</v>
      </c>
      <c r="G166" s="450" t="s">
        <v>441</v>
      </c>
      <c r="H166" s="450" t="s">
        <v>184</v>
      </c>
      <c r="I166" s="451" t="n">
        <v>39399</v>
      </c>
      <c r="J166" s="452" t="n">
        <v>11</v>
      </c>
      <c r="K166" s="633" t="s">
        <v>47</v>
      </c>
      <c r="L166" s="452" t="s">
        <v>60</v>
      </c>
      <c r="M166" s="455" t="n">
        <f aca="false">I166-D166</f>
        <v>1051</v>
      </c>
    </row>
    <row r="167" customFormat="false" ht="12.75" hidden="false" customHeight="true" outlineLevel="0" collapsed="false">
      <c r="A167" s="594" t="n">
        <v>16607</v>
      </c>
      <c r="B167" s="458" t="s">
        <v>19155</v>
      </c>
      <c r="C167" s="458" t="n">
        <v>2005</v>
      </c>
      <c r="D167" s="459" t="n">
        <v>38623</v>
      </c>
      <c r="E167" s="458" t="s">
        <v>19156</v>
      </c>
      <c r="F167" s="458" t="s">
        <v>1097</v>
      </c>
      <c r="G167" s="458" t="s">
        <v>441</v>
      </c>
      <c r="H167" s="458" t="s">
        <v>15992</v>
      </c>
      <c r="I167" s="459" t="n">
        <v>39399</v>
      </c>
      <c r="J167" s="460" t="n">
        <v>11</v>
      </c>
      <c r="K167" s="631" t="s">
        <v>42</v>
      </c>
      <c r="L167" s="458" t="s">
        <v>60</v>
      </c>
      <c r="M167" s="463" t="n">
        <f aca="false">I167-D167</f>
        <v>776</v>
      </c>
    </row>
    <row r="168" customFormat="false" ht="12.75" hidden="false" customHeight="true" outlineLevel="0" collapsed="false">
      <c r="A168" s="602" t="n">
        <v>16707</v>
      </c>
      <c r="B168" s="450" t="s">
        <v>19157</v>
      </c>
      <c r="C168" s="450" t="n">
        <v>2007</v>
      </c>
      <c r="D168" s="451" t="n">
        <v>39266</v>
      </c>
      <c r="E168" s="450" t="s">
        <v>19158</v>
      </c>
      <c r="F168" s="450" t="s">
        <v>1097</v>
      </c>
      <c r="G168" s="450" t="s">
        <v>1174</v>
      </c>
      <c r="H168" s="450" t="s">
        <v>6570</v>
      </c>
      <c r="I168" s="451" t="n">
        <v>39408</v>
      </c>
      <c r="J168" s="452" t="n">
        <v>11</v>
      </c>
      <c r="K168" s="631" t="s">
        <v>42</v>
      </c>
      <c r="L168" s="452" t="s">
        <v>60</v>
      </c>
      <c r="M168" s="455" t="n">
        <f aca="false">I168-D168</f>
        <v>142</v>
      </c>
    </row>
    <row r="169" customFormat="false" ht="12.75" hidden="false" customHeight="true" outlineLevel="0" collapsed="false">
      <c r="A169" s="594" t="n">
        <v>16807</v>
      </c>
      <c r="B169" s="458" t="s">
        <v>19159</v>
      </c>
      <c r="C169" s="458" t="n">
        <v>2007</v>
      </c>
      <c r="D169" s="459" t="n">
        <v>39266</v>
      </c>
      <c r="E169" s="458" t="s">
        <v>19160</v>
      </c>
      <c r="F169" s="458" t="s">
        <v>1097</v>
      </c>
      <c r="G169" s="458" t="s">
        <v>1174</v>
      </c>
      <c r="H169" s="458" t="s">
        <v>1266</v>
      </c>
      <c r="I169" s="459" t="n">
        <v>39408</v>
      </c>
      <c r="J169" s="460" t="n">
        <v>11</v>
      </c>
      <c r="K169" s="631" t="s">
        <v>42</v>
      </c>
      <c r="L169" s="458" t="s">
        <v>60</v>
      </c>
      <c r="M169" s="463" t="n">
        <f aca="false">I169-D169</f>
        <v>142</v>
      </c>
    </row>
    <row r="170" customFormat="false" ht="12.75" hidden="false" customHeight="true" outlineLevel="0" collapsed="false">
      <c r="A170" s="602" t="n">
        <v>16907</v>
      </c>
      <c r="B170" s="450" t="s">
        <v>19161</v>
      </c>
      <c r="C170" s="450" t="n">
        <v>2004</v>
      </c>
      <c r="D170" s="451" t="n">
        <v>38336</v>
      </c>
      <c r="E170" s="450" t="s">
        <v>19162</v>
      </c>
      <c r="F170" s="450" t="s">
        <v>705</v>
      </c>
      <c r="G170" s="450" t="s">
        <v>441</v>
      </c>
      <c r="H170" s="450" t="s">
        <v>192</v>
      </c>
      <c r="I170" s="451" t="n">
        <v>39409</v>
      </c>
      <c r="J170" s="452" t="n">
        <v>11</v>
      </c>
      <c r="K170" s="634" t="s">
        <v>45</v>
      </c>
      <c r="L170" s="452" t="s">
        <v>58</v>
      </c>
      <c r="M170" s="455" t="n">
        <f aca="false">I170-D170</f>
        <v>1073</v>
      </c>
    </row>
    <row r="171" customFormat="false" ht="12.75" hidden="false" customHeight="true" outlineLevel="0" collapsed="false">
      <c r="A171" s="594" t="n">
        <v>17007</v>
      </c>
      <c r="B171" s="458" t="s">
        <v>19163</v>
      </c>
      <c r="C171" s="458" t="n">
        <v>2006</v>
      </c>
      <c r="D171" s="459" t="n">
        <v>38868</v>
      </c>
      <c r="E171" s="458" t="s">
        <v>19164</v>
      </c>
      <c r="F171" s="458" t="s">
        <v>113</v>
      </c>
      <c r="G171" s="458" t="s">
        <v>1174</v>
      </c>
      <c r="H171" s="458" t="s">
        <v>19165</v>
      </c>
      <c r="I171" s="459" t="n">
        <v>39414</v>
      </c>
      <c r="J171" s="460" t="n">
        <v>11</v>
      </c>
      <c r="K171" s="633" t="s">
        <v>47</v>
      </c>
      <c r="L171" s="458" t="s">
        <v>60</v>
      </c>
      <c r="M171" s="463" t="n">
        <f aca="false">I171-D171</f>
        <v>546</v>
      </c>
    </row>
    <row r="172" customFormat="false" ht="12.75" hidden="false" customHeight="true" outlineLevel="0" collapsed="false">
      <c r="A172" s="602" t="n">
        <v>17107</v>
      </c>
      <c r="B172" s="450" t="s">
        <v>19166</v>
      </c>
      <c r="C172" s="450" t="n">
        <v>2004</v>
      </c>
      <c r="D172" s="451" t="n">
        <v>38051</v>
      </c>
      <c r="E172" s="450" t="s">
        <v>19167</v>
      </c>
      <c r="F172" s="450" t="s">
        <v>18479</v>
      </c>
      <c r="G172" s="450" t="s">
        <v>1174</v>
      </c>
      <c r="H172" s="450" t="s">
        <v>14391</v>
      </c>
      <c r="I172" s="451" t="n">
        <v>39414</v>
      </c>
      <c r="J172" s="452" t="n">
        <v>11</v>
      </c>
      <c r="K172" s="631" t="s">
        <v>42</v>
      </c>
      <c r="L172" s="452" t="s">
        <v>60</v>
      </c>
      <c r="M172" s="455" t="n">
        <f aca="false">I172-D172</f>
        <v>1363</v>
      </c>
    </row>
    <row r="173" customFormat="false" ht="12.75" hidden="false" customHeight="true" outlineLevel="0" collapsed="false">
      <c r="A173" s="594" t="n">
        <v>17207</v>
      </c>
      <c r="B173" s="458" t="s">
        <v>19168</v>
      </c>
      <c r="C173" s="458" t="n">
        <v>2007</v>
      </c>
      <c r="D173" s="459" t="n">
        <v>39234</v>
      </c>
      <c r="E173" s="458" t="s">
        <v>19169</v>
      </c>
      <c r="F173" s="458" t="s">
        <v>8232</v>
      </c>
      <c r="G173" s="458" t="s">
        <v>1174</v>
      </c>
      <c r="H173" s="458" t="s">
        <v>19170</v>
      </c>
      <c r="I173" s="459" t="n">
        <v>39414</v>
      </c>
      <c r="J173" s="460" t="n">
        <v>11</v>
      </c>
      <c r="K173" s="633" t="s">
        <v>47</v>
      </c>
      <c r="L173" s="458" t="s">
        <v>60</v>
      </c>
      <c r="M173" s="463" t="n">
        <f aca="false">I173-D173</f>
        <v>180</v>
      </c>
    </row>
    <row r="174" customFormat="false" ht="12.75" hidden="false" customHeight="true" outlineLevel="0" collapsed="false">
      <c r="A174" s="602" t="n">
        <v>17307</v>
      </c>
      <c r="B174" s="450" t="s">
        <v>19171</v>
      </c>
      <c r="C174" s="450" t="n">
        <v>2006</v>
      </c>
      <c r="D174" s="451" t="n">
        <v>38979</v>
      </c>
      <c r="E174" s="450" t="s">
        <v>19172</v>
      </c>
      <c r="F174" s="450" t="s">
        <v>1357</v>
      </c>
      <c r="G174" s="450" t="s">
        <v>1174</v>
      </c>
      <c r="H174" s="450" t="s">
        <v>5230</v>
      </c>
      <c r="I174" s="451" t="n">
        <v>39416</v>
      </c>
      <c r="J174" s="452" t="n">
        <v>11</v>
      </c>
      <c r="K174" s="631" t="s">
        <v>42</v>
      </c>
      <c r="L174" s="452" t="s">
        <v>60</v>
      </c>
      <c r="M174" s="455" t="n">
        <f aca="false">I174-D174</f>
        <v>437</v>
      </c>
    </row>
    <row r="175" customFormat="false" ht="12.75" hidden="false" customHeight="true" outlineLevel="0" collapsed="false">
      <c r="A175" s="594" t="n">
        <v>17407</v>
      </c>
      <c r="B175" s="458" t="s">
        <v>19173</v>
      </c>
      <c r="C175" s="458" t="n">
        <v>2007</v>
      </c>
      <c r="D175" s="459" t="n">
        <v>39272</v>
      </c>
      <c r="E175" s="458" t="s">
        <v>19174</v>
      </c>
      <c r="F175" s="458" t="s">
        <v>1357</v>
      </c>
      <c r="G175" s="458" t="s">
        <v>1174</v>
      </c>
      <c r="H175" s="458" t="s">
        <v>192</v>
      </c>
      <c r="I175" s="459" t="n">
        <v>39416</v>
      </c>
      <c r="J175" s="460" t="n">
        <v>11</v>
      </c>
      <c r="K175" s="631" t="s">
        <v>42</v>
      </c>
      <c r="L175" s="458" t="s">
        <v>60</v>
      </c>
      <c r="M175" s="463" t="n">
        <f aca="false">I175-D175</f>
        <v>144</v>
      </c>
    </row>
    <row r="176" customFormat="false" ht="12.75" hidden="false" customHeight="true" outlineLevel="0" collapsed="false">
      <c r="A176" s="602" t="n">
        <v>17507</v>
      </c>
      <c r="B176" s="450" t="s">
        <v>19175</v>
      </c>
      <c r="C176" s="450" t="n">
        <v>2007</v>
      </c>
      <c r="D176" s="451" t="n">
        <v>39266</v>
      </c>
      <c r="E176" s="450" t="s">
        <v>19176</v>
      </c>
      <c r="F176" s="450" t="s">
        <v>211</v>
      </c>
      <c r="G176" s="450" t="s">
        <v>1174</v>
      </c>
      <c r="H176" s="450" t="s">
        <v>192</v>
      </c>
      <c r="I176" s="451" t="n">
        <v>39421</v>
      </c>
      <c r="J176" s="452" t="n">
        <v>12</v>
      </c>
      <c r="K176" s="634" t="s">
        <v>45</v>
      </c>
      <c r="L176" s="452" t="s">
        <v>60</v>
      </c>
      <c r="M176" s="455" t="n">
        <f aca="false">I176-D176</f>
        <v>155</v>
      </c>
    </row>
    <row r="177" customFormat="false" ht="12.75" hidden="false" customHeight="true" outlineLevel="0" collapsed="false">
      <c r="A177" s="594" t="n">
        <v>17607</v>
      </c>
      <c r="B177" s="458" t="s">
        <v>19177</v>
      </c>
      <c r="C177" s="458" t="n">
        <v>2004</v>
      </c>
      <c r="D177" s="459" t="n">
        <v>38275</v>
      </c>
      <c r="E177" s="458" t="s">
        <v>19178</v>
      </c>
      <c r="F177" s="458" t="s">
        <v>18378</v>
      </c>
      <c r="G177" s="458" t="s">
        <v>144</v>
      </c>
      <c r="H177" s="458" t="s">
        <v>373</v>
      </c>
      <c r="I177" s="459" t="n">
        <v>39421</v>
      </c>
      <c r="J177" s="460" t="n">
        <v>12</v>
      </c>
      <c r="K177" s="634" t="s">
        <v>45</v>
      </c>
      <c r="L177" s="458" t="s">
        <v>58</v>
      </c>
      <c r="M177" s="463" t="n">
        <f aca="false">I177-D177</f>
        <v>1146</v>
      </c>
    </row>
    <row r="178" customFormat="false" ht="12.75" hidden="false" customHeight="true" outlineLevel="0" collapsed="false">
      <c r="A178" s="602" t="n">
        <v>17707</v>
      </c>
      <c r="B178" s="450" t="s">
        <v>19179</v>
      </c>
      <c r="C178" s="450" t="n">
        <v>2005</v>
      </c>
      <c r="D178" s="451" t="n">
        <v>38701</v>
      </c>
      <c r="E178" s="450" t="s">
        <v>19180</v>
      </c>
      <c r="F178" s="450" t="s">
        <v>19181</v>
      </c>
      <c r="G178" s="450" t="s">
        <v>115</v>
      </c>
      <c r="H178" s="450" t="s">
        <v>373</v>
      </c>
      <c r="I178" s="451" t="n">
        <v>39422</v>
      </c>
      <c r="J178" s="452" t="n">
        <v>12</v>
      </c>
      <c r="K178" s="631" t="s">
        <v>42</v>
      </c>
      <c r="L178" s="452" t="s">
        <v>60</v>
      </c>
      <c r="M178" s="455" t="n">
        <f aca="false">I178-D178</f>
        <v>721</v>
      </c>
    </row>
    <row r="179" customFormat="false" ht="12.75" hidden="false" customHeight="true" outlineLevel="0" collapsed="false">
      <c r="A179" s="594" t="n">
        <v>17807</v>
      </c>
      <c r="B179" s="458" t="s">
        <v>19182</v>
      </c>
      <c r="C179" s="458" t="n">
        <v>2004</v>
      </c>
      <c r="D179" s="459" t="n">
        <v>38019</v>
      </c>
      <c r="E179" s="458" t="s">
        <v>19183</v>
      </c>
      <c r="F179" s="458" t="s">
        <v>13755</v>
      </c>
      <c r="G179" s="458" t="s">
        <v>441</v>
      </c>
      <c r="H179" s="458" t="s">
        <v>192</v>
      </c>
      <c r="I179" s="459" t="n">
        <v>39422</v>
      </c>
      <c r="J179" s="460" t="n">
        <v>12</v>
      </c>
      <c r="K179" s="631" t="s">
        <v>42</v>
      </c>
      <c r="L179" s="458" t="s">
        <v>58</v>
      </c>
      <c r="M179" s="463" t="n">
        <f aca="false">I179-D179</f>
        <v>1403</v>
      </c>
    </row>
    <row r="180" customFormat="false" ht="12.75" hidden="false" customHeight="true" outlineLevel="0" collapsed="false">
      <c r="A180" s="602" t="n">
        <v>17907</v>
      </c>
      <c r="B180" s="450" t="s">
        <v>19184</v>
      </c>
      <c r="C180" s="450" t="n">
        <v>2004</v>
      </c>
      <c r="D180" s="451" t="n">
        <v>38093</v>
      </c>
      <c r="E180" s="450" t="s">
        <v>19185</v>
      </c>
      <c r="F180" s="450" t="s">
        <v>3091</v>
      </c>
      <c r="G180" s="450" t="s">
        <v>1174</v>
      </c>
      <c r="H180" s="450" t="s">
        <v>373</v>
      </c>
      <c r="I180" s="451" t="n">
        <v>39422</v>
      </c>
      <c r="J180" s="452" t="n">
        <v>12</v>
      </c>
      <c r="K180" s="633" t="s">
        <v>47</v>
      </c>
      <c r="L180" s="452" t="s">
        <v>58</v>
      </c>
      <c r="M180" s="455" t="n">
        <f aca="false">I180-D180</f>
        <v>1329</v>
      </c>
    </row>
    <row r="181" customFormat="false" ht="12.75" hidden="false" customHeight="true" outlineLevel="0" collapsed="false">
      <c r="A181" s="594" t="n">
        <v>18007</v>
      </c>
      <c r="B181" s="458" t="s">
        <v>19186</v>
      </c>
      <c r="C181" s="458" t="n">
        <v>2003</v>
      </c>
      <c r="D181" s="459" t="n">
        <v>37672</v>
      </c>
      <c r="E181" s="458" t="s">
        <v>19187</v>
      </c>
      <c r="F181" s="458" t="s">
        <v>446</v>
      </c>
      <c r="G181" s="458" t="s">
        <v>441</v>
      </c>
      <c r="H181" s="458" t="s">
        <v>223</v>
      </c>
      <c r="I181" s="459" t="n">
        <v>39423</v>
      </c>
      <c r="J181" s="460" t="n">
        <v>12</v>
      </c>
      <c r="K181" s="632" t="s">
        <v>50</v>
      </c>
      <c r="L181" s="458" t="s">
        <v>60</v>
      </c>
      <c r="M181" s="463" t="n">
        <f aca="false">I181-D181</f>
        <v>1751</v>
      </c>
    </row>
    <row r="182" customFormat="false" ht="12.75" hidden="false" customHeight="true" outlineLevel="0" collapsed="false">
      <c r="A182" s="602" t="n">
        <v>18107</v>
      </c>
      <c r="B182" s="450" t="s">
        <v>19188</v>
      </c>
      <c r="C182" s="450" t="n">
        <v>2005</v>
      </c>
      <c r="D182" s="451" t="n">
        <v>38477</v>
      </c>
      <c r="E182" s="450" t="s">
        <v>19189</v>
      </c>
      <c r="F182" s="450" t="s">
        <v>19190</v>
      </c>
      <c r="G182" s="450" t="s">
        <v>144</v>
      </c>
      <c r="H182" s="450" t="s">
        <v>373</v>
      </c>
      <c r="I182" s="451" t="n">
        <v>39423</v>
      </c>
      <c r="J182" s="452" t="n">
        <v>12</v>
      </c>
      <c r="K182" s="634" t="s">
        <v>45</v>
      </c>
      <c r="L182" s="452" t="s">
        <v>57</v>
      </c>
      <c r="M182" s="455" t="n">
        <f aca="false">I182-D182</f>
        <v>946</v>
      </c>
    </row>
    <row r="183" customFormat="false" ht="12.75" hidden="false" customHeight="true" outlineLevel="0" collapsed="false">
      <c r="A183" s="594" t="n">
        <v>18207</v>
      </c>
      <c r="B183" s="458" t="s">
        <v>19191</v>
      </c>
      <c r="C183" s="458" t="n">
        <v>2003</v>
      </c>
      <c r="D183" s="459" t="n">
        <v>37694</v>
      </c>
      <c r="E183" s="458" t="s">
        <v>19192</v>
      </c>
      <c r="F183" s="458" t="s">
        <v>446</v>
      </c>
      <c r="G183" s="458" t="s">
        <v>441</v>
      </c>
      <c r="H183" s="458" t="s">
        <v>223</v>
      </c>
      <c r="I183" s="459" t="n">
        <v>39426</v>
      </c>
      <c r="J183" s="460" t="n">
        <v>12</v>
      </c>
      <c r="K183" s="632" t="s">
        <v>50</v>
      </c>
      <c r="L183" s="458" t="s">
        <v>60</v>
      </c>
      <c r="M183" s="463" t="n">
        <f aca="false">I183-D183</f>
        <v>1732</v>
      </c>
    </row>
    <row r="184" customFormat="false" ht="12.75" hidden="false" customHeight="true" outlineLevel="0" collapsed="false">
      <c r="A184" s="602" t="n">
        <v>18307</v>
      </c>
      <c r="B184" s="450" t="s">
        <v>19193</v>
      </c>
      <c r="C184" s="450" t="n">
        <v>2003</v>
      </c>
      <c r="D184" s="451" t="n">
        <v>37874</v>
      </c>
      <c r="E184" s="450" t="s">
        <v>19194</v>
      </c>
      <c r="F184" s="450" t="s">
        <v>18444</v>
      </c>
      <c r="G184" s="450" t="s">
        <v>441</v>
      </c>
      <c r="H184" s="450" t="s">
        <v>19195</v>
      </c>
      <c r="I184" s="451" t="n">
        <v>39427</v>
      </c>
      <c r="J184" s="452" t="n">
        <v>12</v>
      </c>
      <c r="K184" s="633" t="s">
        <v>47</v>
      </c>
      <c r="L184" s="452" t="s">
        <v>60</v>
      </c>
      <c r="M184" s="455" t="n">
        <f aca="false">I184-D184</f>
        <v>1553</v>
      </c>
    </row>
    <row r="185" customFormat="false" ht="12.75" hidden="false" customHeight="true" outlineLevel="0" collapsed="false">
      <c r="A185" s="594" t="n">
        <v>18407</v>
      </c>
      <c r="B185" s="458" t="s">
        <v>19196</v>
      </c>
      <c r="C185" s="458" t="n">
        <v>2005</v>
      </c>
      <c r="D185" s="459" t="n">
        <v>38687</v>
      </c>
      <c r="E185" s="458" t="s">
        <v>19197</v>
      </c>
      <c r="F185" s="458" t="s">
        <v>2003</v>
      </c>
      <c r="G185" s="458" t="s">
        <v>441</v>
      </c>
      <c r="H185" s="458" t="s">
        <v>18397</v>
      </c>
      <c r="I185" s="459" t="n">
        <v>39433</v>
      </c>
      <c r="J185" s="460" t="n">
        <v>12</v>
      </c>
      <c r="K185" s="631" t="s">
        <v>42</v>
      </c>
      <c r="L185" s="458" t="s">
        <v>58</v>
      </c>
      <c r="M185" s="463" t="n">
        <f aca="false">I185-D185</f>
        <v>746</v>
      </c>
    </row>
    <row r="186" customFormat="false" ht="12.75" hidden="false" customHeight="true" outlineLevel="0" collapsed="false">
      <c r="A186" s="602" t="n">
        <v>18507</v>
      </c>
      <c r="B186" s="450" t="s">
        <v>19198</v>
      </c>
      <c r="C186" s="450" t="n">
        <v>2005</v>
      </c>
      <c r="D186" s="451" t="n">
        <v>38707</v>
      </c>
      <c r="E186" s="450" t="s">
        <v>19199</v>
      </c>
      <c r="F186" s="450" t="s">
        <v>18444</v>
      </c>
      <c r="G186" s="450" t="s">
        <v>144</v>
      </c>
      <c r="H186" s="450" t="s">
        <v>1109</v>
      </c>
      <c r="I186" s="451" t="n">
        <v>39433</v>
      </c>
      <c r="J186" s="452" t="n">
        <v>12</v>
      </c>
      <c r="K186" s="633" t="s">
        <v>47</v>
      </c>
      <c r="L186" s="452" t="s">
        <v>60</v>
      </c>
      <c r="M186" s="455" t="n">
        <f aca="false">I186-D186</f>
        <v>726</v>
      </c>
    </row>
    <row r="187" customFormat="false" ht="12.75" hidden="false" customHeight="true" outlineLevel="0" collapsed="false">
      <c r="A187" s="594" t="n">
        <v>18607</v>
      </c>
      <c r="B187" s="458" t="s">
        <v>19200</v>
      </c>
      <c r="C187" s="458" t="n">
        <v>2005</v>
      </c>
      <c r="D187" s="459" t="n">
        <v>38716</v>
      </c>
      <c r="E187" s="458" t="s">
        <v>19201</v>
      </c>
      <c r="F187" s="458" t="s">
        <v>2003</v>
      </c>
      <c r="G187" s="458" t="s">
        <v>441</v>
      </c>
      <c r="H187" s="458" t="s">
        <v>18397</v>
      </c>
      <c r="I187" s="459" t="n">
        <v>39433</v>
      </c>
      <c r="J187" s="460" t="n">
        <v>12</v>
      </c>
      <c r="K187" s="631" t="s">
        <v>42</v>
      </c>
      <c r="L187" s="458" t="s">
        <v>58</v>
      </c>
      <c r="M187" s="463" t="n">
        <f aca="false">I187-D187</f>
        <v>717</v>
      </c>
    </row>
    <row r="188" customFormat="false" ht="12.75" hidden="false" customHeight="true" outlineLevel="0" collapsed="false">
      <c r="A188" s="602" t="n">
        <v>18707</v>
      </c>
      <c r="B188" s="450" t="s">
        <v>19202</v>
      </c>
      <c r="C188" s="450" t="n">
        <v>2005</v>
      </c>
      <c r="D188" s="451" t="n">
        <v>38687</v>
      </c>
      <c r="E188" s="450" t="s">
        <v>19203</v>
      </c>
      <c r="F188" s="450" t="s">
        <v>4623</v>
      </c>
      <c r="G188" s="450" t="s">
        <v>441</v>
      </c>
      <c r="H188" s="450" t="s">
        <v>18397</v>
      </c>
      <c r="I188" s="451" t="n">
        <v>39433</v>
      </c>
      <c r="J188" s="452" t="n">
        <v>12</v>
      </c>
      <c r="K188" s="631" t="s">
        <v>42</v>
      </c>
      <c r="L188" s="452" t="s">
        <v>60</v>
      </c>
      <c r="M188" s="455" t="n">
        <f aca="false">I188-D188</f>
        <v>746</v>
      </c>
    </row>
    <row r="189" customFormat="false" ht="12.75" hidden="false" customHeight="true" outlineLevel="0" collapsed="false">
      <c r="A189" s="594" t="n">
        <v>18807</v>
      </c>
      <c r="B189" s="458" t="s">
        <v>19204</v>
      </c>
      <c r="C189" s="458" t="n">
        <v>2006</v>
      </c>
      <c r="D189" s="459" t="n">
        <v>38761</v>
      </c>
      <c r="E189" s="458" t="s">
        <v>19205</v>
      </c>
      <c r="F189" s="458" t="s">
        <v>180</v>
      </c>
      <c r="G189" s="458" t="s">
        <v>441</v>
      </c>
      <c r="H189" s="458" t="s">
        <v>3339</v>
      </c>
      <c r="I189" s="459" t="n">
        <v>39433</v>
      </c>
      <c r="J189" s="460" t="n">
        <v>12</v>
      </c>
      <c r="K189" s="633" t="s">
        <v>47</v>
      </c>
      <c r="L189" s="458" t="s">
        <v>60</v>
      </c>
      <c r="M189" s="463" t="n">
        <f aca="false">I189-D189</f>
        <v>672</v>
      </c>
    </row>
    <row r="190" customFormat="false" ht="12.75" hidden="false" customHeight="true" outlineLevel="0" collapsed="false">
      <c r="A190" s="602" t="n">
        <v>18907</v>
      </c>
      <c r="B190" s="450" t="s">
        <v>19206</v>
      </c>
      <c r="C190" s="450" t="n">
        <v>2006</v>
      </c>
      <c r="D190" s="451" t="n">
        <v>38761</v>
      </c>
      <c r="E190" s="450" t="s">
        <v>19207</v>
      </c>
      <c r="F190" s="450" t="s">
        <v>180</v>
      </c>
      <c r="G190" s="450" t="s">
        <v>441</v>
      </c>
      <c r="H190" s="450" t="s">
        <v>3339</v>
      </c>
      <c r="I190" s="451" t="n">
        <v>39433</v>
      </c>
      <c r="J190" s="452" t="n">
        <v>12</v>
      </c>
      <c r="K190" s="633" t="s">
        <v>47</v>
      </c>
      <c r="L190" s="452" t="s">
        <v>60</v>
      </c>
      <c r="M190" s="455" t="n">
        <f aca="false">I190-D190</f>
        <v>672</v>
      </c>
    </row>
    <row r="191" customFormat="false" ht="12.75" hidden="false" customHeight="true" outlineLevel="0" collapsed="false">
      <c r="A191" s="594" t="n">
        <v>19007</v>
      </c>
      <c r="B191" s="458" t="s">
        <v>19208</v>
      </c>
      <c r="C191" s="458" t="n">
        <v>2005</v>
      </c>
      <c r="D191" s="459" t="n">
        <v>38688</v>
      </c>
      <c r="E191" s="458" t="s">
        <v>19209</v>
      </c>
      <c r="F191" s="458" t="s">
        <v>3844</v>
      </c>
      <c r="G191" s="458" t="s">
        <v>441</v>
      </c>
      <c r="H191" s="458" t="s">
        <v>13006</v>
      </c>
      <c r="I191" s="459" t="n">
        <v>39433</v>
      </c>
      <c r="J191" s="460" t="n">
        <v>12</v>
      </c>
      <c r="K191" s="633" t="s">
        <v>47</v>
      </c>
      <c r="L191" s="458" t="s">
        <v>58</v>
      </c>
      <c r="M191" s="463" t="n">
        <f aca="false">I191-D191</f>
        <v>745</v>
      </c>
    </row>
    <row r="192" customFormat="false" ht="12.75" hidden="false" customHeight="true" outlineLevel="0" collapsed="false">
      <c r="A192" s="602" t="n">
        <v>19107</v>
      </c>
      <c r="B192" s="450" t="s">
        <v>19210</v>
      </c>
      <c r="C192" s="450" t="n">
        <v>2005</v>
      </c>
      <c r="D192" s="451" t="n">
        <v>38491</v>
      </c>
      <c r="E192" s="450" t="s">
        <v>19211</v>
      </c>
      <c r="F192" s="450" t="s">
        <v>18605</v>
      </c>
      <c r="G192" s="450" t="s">
        <v>1174</v>
      </c>
      <c r="H192" s="450" t="s">
        <v>15247</v>
      </c>
      <c r="I192" s="451" t="n">
        <v>39433</v>
      </c>
      <c r="J192" s="452" t="n">
        <v>12</v>
      </c>
      <c r="K192" s="631" t="s">
        <v>42</v>
      </c>
      <c r="L192" s="452" t="s">
        <v>58</v>
      </c>
      <c r="M192" s="455" t="n">
        <f aca="false">I192-D192</f>
        <v>942</v>
      </c>
    </row>
    <row r="193" customFormat="false" ht="12.75" hidden="false" customHeight="true" outlineLevel="0" collapsed="false">
      <c r="A193" s="594" t="n">
        <v>19207</v>
      </c>
      <c r="B193" s="458" t="s">
        <v>19212</v>
      </c>
      <c r="C193" s="458" t="n">
        <v>2005</v>
      </c>
      <c r="D193" s="459" t="n">
        <v>38693</v>
      </c>
      <c r="E193" s="458" t="s">
        <v>19213</v>
      </c>
      <c r="F193" s="458" t="s">
        <v>1097</v>
      </c>
      <c r="G193" s="458" t="s">
        <v>1174</v>
      </c>
      <c r="H193" s="458" t="s">
        <v>10110</v>
      </c>
      <c r="I193" s="459" t="n">
        <v>39433</v>
      </c>
      <c r="J193" s="460" t="n">
        <v>12</v>
      </c>
      <c r="K193" s="631" t="s">
        <v>42</v>
      </c>
      <c r="L193" s="458" t="s">
        <v>60</v>
      </c>
      <c r="M193" s="463" t="n">
        <f aca="false">I193-D193</f>
        <v>740</v>
      </c>
    </row>
    <row r="194" customFormat="false" ht="12.75" hidden="false" customHeight="true" outlineLevel="0" collapsed="false">
      <c r="A194" s="602" t="n">
        <v>19307</v>
      </c>
      <c r="B194" s="450" t="s">
        <v>19214</v>
      </c>
      <c r="C194" s="450" t="n">
        <v>2004</v>
      </c>
      <c r="D194" s="451" t="n">
        <v>38275</v>
      </c>
      <c r="E194" s="450" t="s">
        <v>19215</v>
      </c>
      <c r="F194" s="450" t="s">
        <v>780</v>
      </c>
      <c r="G194" s="450" t="s">
        <v>144</v>
      </c>
      <c r="H194" s="450" t="s">
        <v>1791</v>
      </c>
      <c r="I194" s="451" t="n">
        <v>39436</v>
      </c>
      <c r="J194" s="452" t="n">
        <v>12</v>
      </c>
      <c r="K194" s="632" t="s">
        <v>50</v>
      </c>
      <c r="L194" s="452" t="s">
        <v>60</v>
      </c>
      <c r="M194" s="455" t="n">
        <f aca="false">I194-D194</f>
        <v>1161</v>
      </c>
    </row>
    <row r="195" customFormat="false" ht="12.75" hidden="false" customHeight="true" outlineLevel="0" collapsed="false">
      <c r="A195" s="594" t="n">
        <v>19407</v>
      </c>
      <c r="B195" s="458" t="s">
        <v>17519</v>
      </c>
      <c r="C195" s="458" t="n">
        <v>2005</v>
      </c>
      <c r="D195" s="459" t="n">
        <v>38665</v>
      </c>
      <c r="E195" s="458" t="s">
        <v>19216</v>
      </c>
      <c r="F195" s="458" t="s">
        <v>16953</v>
      </c>
      <c r="G195" s="458" t="s">
        <v>144</v>
      </c>
      <c r="H195" s="458" t="s">
        <v>1109</v>
      </c>
      <c r="I195" s="459" t="n">
        <v>39436</v>
      </c>
      <c r="J195" s="460" t="n">
        <v>12</v>
      </c>
      <c r="K195" s="634" t="s">
        <v>45</v>
      </c>
      <c r="L195" s="458" t="s">
        <v>58</v>
      </c>
      <c r="M195" s="463" t="n">
        <f aca="false">I195-D195</f>
        <v>771</v>
      </c>
    </row>
    <row r="196" customFormat="false" ht="12.75" hidden="false" customHeight="true" outlineLevel="0" collapsed="false">
      <c r="A196" s="602" t="n">
        <v>19507</v>
      </c>
      <c r="B196" s="450" t="s">
        <v>19217</v>
      </c>
      <c r="C196" s="450" t="n">
        <v>2001</v>
      </c>
      <c r="D196" s="451" t="n">
        <v>37175</v>
      </c>
      <c r="E196" s="450" t="s">
        <v>19218</v>
      </c>
      <c r="F196" s="450" t="s">
        <v>19219</v>
      </c>
      <c r="G196" s="450" t="s">
        <v>144</v>
      </c>
      <c r="H196" s="450" t="s">
        <v>2421</v>
      </c>
      <c r="I196" s="451" t="n">
        <v>39436</v>
      </c>
      <c r="J196" s="452" t="n">
        <v>12</v>
      </c>
      <c r="K196" s="633" t="s">
        <v>47</v>
      </c>
      <c r="L196" s="452" t="s">
        <v>60</v>
      </c>
      <c r="M196" s="455" t="n">
        <f aca="false">I196-D196</f>
        <v>2261</v>
      </c>
    </row>
    <row r="197" customFormat="false" ht="12.75" hidden="false" customHeight="true" outlineLevel="0" collapsed="false">
      <c r="A197" s="594" t="n">
        <v>19607</v>
      </c>
      <c r="B197" s="458" t="s">
        <v>19220</v>
      </c>
      <c r="C197" s="458" t="n">
        <v>2004</v>
      </c>
      <c r="D197" s="459" t="n">
        <v>38352</v>
      </c>
      <c r="E197" s="458" t="s">
        <v>19221</v>
      </c>
      <c r="F197" s="458" t="s">
        <v>18519</v>
      </c>
      <c r="G197" s="458" t="s">
        <v>144</v>
      </c>
      <c r="H197" s="458" t="s">
        <v>373</v>
      </c>
      <c r="I197" s="459" t="n">
        <v>39436</v>
      </c>
      <c r="J197" s="460" t="n">
        <v>12</v>
      </c>
      <c r="K197" s="634" t="s">
        <v>45</v>
      </c>
      <c r="L197" s="458" t="s">
        <v>58</v>
      </c>
      <c r="M197" s="463" t="n">
        <f aca="false">I197-D197</f>
        <v>1084</v>
      </c>
    </row>
    <row r="198" customFormat="false" ht="12.75" hidden="false" customHeight="true" outlineLevel="0" collapsed="false">
      <c r="A198" s="602" t="n">
        <v>19707</v>
      </c>
      <c r="B198" s="450" t="s">
        <v>19222</v>
      </c>
      <c r="C198" s="450" t="n">
        <v>2005</v>
      </c>
      <c r="D198" s="451" t="n">
        <v>38677</v>
      </c>
      <c r="E198" s="450" t="s">
        <v>19223</v>
      </c>
      <c r="F198" s="450" t="s">
        <v>10637</v>
      </c>
      <c r="G198" s="450" t="s">
        <v>441</v>
      </c>
      <c r="H198" s="450" t="s">
        <v>13006</v>
      </c>
      <c r="I198" s="451" t="n">
        <v>39436</v>
      </c>
      <c r="J198" s="452" t="n">
        <v>12</v>
      </c>
      <c r="K198" s="631" t="s">
        <v>42</v>
      </c>
      <c r="L198" s="452" t="s">
        <v>58</v>
      </c>
      <c r="M198" s="455" t="n">
        <f aca="false">I198-D198</f>
        <v>759</v>
      </c>
    </row>
    <row r="199" customFormat="false" ht="12.75" hidden="false" customHeight="true" outlineLevel="0" collapsed="false">
      <c r="A199" s="594" t="n">
        <v>19807</v>
      </c>
      <c r="B199" s="458" t="s">
        <v>19224</v>
      </c>
      <c r="C199" s="458" t="n">
        <v>2006</v>
      </c>
      <c r="D199" s="459" t="n">
        <v>38968</v>
      </c>
      <c r="E199" s="458" t="s">
        <v>19225</v>
      </c>
      <c r="F199" s="458" t="s">
        <v>365</v>
      </c>
      <c r="G199" s="458" t="s">
        <v>1174</v>
      </c>
      <c r="H199" s="458" t="s">
        <v>15992</v>
      </c>
      <c r="I199" s="459" t="n">
        <v>39436</v>
      </c>
      <c r="J199" s="460" t="n">
        <v>12</v>
      </c>
      <c r="K199" s="633" t="s">
        <v>47</v>
      </c>
      <c r="L199" s="458" t="s">
        <v>60</v>
      </c>
      <c r="M199" s="463" t="n">
        <f aca="false">I199-D199</f>
        <v>468</v>
      </c>
    </row>
    <row r="200" customFormat="false" ht="12.75" hidden="false" customHeight="true" outlineLevel="0" collapsed="false">
      <c r="A200" s="602" t="n">
        <v>19907</v>
      </c>
      <c r="B200" s="450" t="s">
        <v>19226</v>
      </c>
      <c r="C200" s="450" t="n">
        <v>2005</v>
      </c>
      <c r="D200" s="451" t="n">
        <v>38693</v>
      </c>
      <c r="E200" s="450" t="s">
        <v>19227</v>
      </c>
      <c r="F200" s="450" t="s">
        <v>18365</v>
      </c>
      <c r="G200" s="450" t="s">
        <v>144</v>
      </c>
      <c r="H200" s="450" t="s">
        <v>19228</v>
      </c>
      <c r="I200" s="451" t="n">
        <v>39436</v>
      </c>
      <c r="J200" s="452" t="n">
        <v>12</v>
      </c>
      <c r="K200" s="633" t="s">
        <v>47</v>
      </c>
      <c r="L200" s="452" t="s">
        <v>60</v>
      </c>
      <c r="M200" s="455" t="n">
        <f aca="false">I200-D200</f>
        <v>743</v>
      </c>
    </row>
    <row r="201" customFormat="false" ht="12.75" hidden="false" customHeight="true" outlineLevel="0" collapsed="false">
      <c r="A201" s="594" t="n">
        <v>20007</v>
      </c>
      <c r="B201" s="458" t="s">
        <v>19229</v>
      </c>
      <c r="C201" s="458" t="n">
        <v>2006</v>
      </c>
      <c r="D201" s="459" t="n">
        <v>38772</v>
      </c>
      <c r="E201" s="458" t="s">
        <v>19230</v>
      </c>
      <c r="F201" s="458" t="s">
        <v>113</v>
      </c>
      <c r="G201" s="458" t="s">
        <v>441</v>
      </c>
      <c r="H201" s="458" t="s">
        <v>14391</v>
      </c>
      <c r="I201" s="459" t="n">
        <v>39437</v>
      </c>
      <c r="J201" s="460" t="n">
        <v>12</v>
      </c>
      <c r="K201" s="634" t="s">
        <v>45</v>
      </c>
      <c r="L201" s="458" t="s">
        <v>58</v>
      </c>
      <c r="M201" s="463" t="n">
        <f aca="false">I201-D201</f>
        <v>665</v>
      </c>
    </row>
    <row r="202" customFormat="false" ht="12.75" hidden="false" customHeight="true" outlineLevel="0" collapsed="false">
      <c r="A202" s="602" t="n">
        <v>20107</v>
      </c>
      <c r="B202" s="450" t="s">
        <v>19231</v>
      </c>
      <c r="C202" s="450" t="n">
        <v>2006</v>
      </c>
      <c r="D202" s="451" t="n">
        <v>38726</v>
      </c>
      <c r="E202" s="450" t="s">
        <v>19232</v>
      </c>
      <c r="F202" s="450" t="s">
        <v>4270</v>
      </c>
      <c r="G202" s="450" t="s">
        <v>144</v>
      </c>
      <c r="H202" s="450" t="s">
        <v>119</v>
      </c>
      <c r="I202" s="451" t="n">
        <v>39437</v>
      </c>
      <c r="J202" s="452" t="n">
        <v>12</v>
      </c>
      <c r="K202" s="631" t="s">
        <v>42</v>
      </c>
      <c r="L202" s="452" t="s">
        <v>58</v>
      </c>
      <c r="M202" s="455" t="n">
        <f aca="false">I202-D202</f>
        <v>711</v>
      </c>
    </row>
    <row r="203" customFormat="false" ht="12.75" hidden="false" customHeight="true" outlineLevel="0" collapsed="false">
      <c r="A203" s="594" t="n">
        <v>20207</v>
      </c>
      <c r="B203" s="458" t="s">
        <v>19233</v>
      </c>
      <c r="C203" s="458" t="n">
        <v>2006</v>
      </c>
      <c r="D203" s="459" t="n">
        <v>39051</v>
      </c>
      <c r="E203" s="458" t="s">
        <v>19234</v>
      </c>
      <c r="F203" s="458" t="s">
        <v>211</v>
      </c>
      <c r="G203" s="458" t="s">
        <v>441</v>
      </c>
      <c r="H203" s="458" t="s">
        <v>14391</v>
      </c>
      <c r="I203" s="459" t="n">
        <v>39440</v>
      </c>
      <c r="J203" s="460" t="n">
        <v>12</v>
      </c>
      <c r="K203" s="631" t="s">
        <v>42</v>
      </c>
      <c r="L203" s="458" t="s">
        <v>58</v>
      </c>
      <c r="M203" s="463" t="n">
        <f aca="false">I203-D203</f>
        <v>389</v>
      </c>
    </row>
    <row r="204" customFormat="false" ht="12.75" hidden="false" customHeight="true" outlineLevel="0" collapsed="false">
      <c r="A204" s="602" t="n">
        <v>20307</v>
      </c>
      <c r="B204" s="450" t="s">
        <v>19235</v>
      </c>
      <c r="C204" s="450" t="n">
        <v>2006</v>
      </c>
      <c r="D204" s="451" t="n">
        <v>38772</v>
      </c>
      <c r="E204" s="450" t="s">
        <v>19236</v>
      </c>
      <c r="F204" s="450" t="s">
        <v>113</v>
      </c>
      <c r="G204" s="450" t="s">
        <v>441</v>
      </c>
      <c r="H204" s="450" t="s">
        <v>14391</v>
      </c>
      <c r="I204" s="451" t="n">
        <v>39440</v>
      </c>
      <c r="J204" s="452" t="n">
        <v>12</v>
      </c>
      <c r="K204" s="634" t="s">
        <v>45</v>
      </c>
      <c r="L204" s="452" t="s">
        <v>58</v>
      </c>
      <c r="M204" s="455" t="n">
        <f aca="false">I204-D204</f>
        <v>668</v>
      </c>
    </row>
  </sheetData>
  <autoFilter ref="A1:M204"/>
  <mergeCells count="76">
    <mergeCell ref="O2:P2"/>
    <mergeCell ref="O14:S15"/>
    <mergeCell ref="O16:S16"/>
    <mergeCell ref="O17:S17"/>
    <mergeCell ref="O18:S18"/>
    <mergeCell ref="O19:S19"/>
    <mergeCell ref="O20:S20"/>
    <mergeCell ref="O21:S21"/>
    <mergeCell ref="O22:S22"/>
    <mergeCell ref="O23:S23"/>
    <mergeCell ref="O24:S24"/>
    <mergeCell ref="O26:S27"/>
    <mergeCell ref="P28:R28"/>
    <mergeCell ref="P29:R29"/>
    <mergeCell ref="P30:R30"/>
    <mergeCell ref="P31:R31"/>
    <mergeCell ref="P32:R32"/>
    <mergeCell ref="P33:R33"/>
    <mergeCell ref="P34:R34"/>
    <mergeCell ref="P35:R35"/>
    <mergeCell ref="P36:R36"/>
    <mergeCell ref="P37:R37"/>
    <mergeCell ref="P38:R38"/>
    <mergeCell ref="P39:R39"/>
    <mergeCell ref="P40:R40"/>
    <mergeCell ref="P41:R41"/>
    <mergeCell ref="P42:R42"/>
    <mergeCell ref="O44:S45"/>
    <mergeCell ref="P46:R46"/>
    <mergeCell ref="P47:R47"/>
    <mergeCell ref="P48:R48"/>
    <mergeCell ref="P49:R49"/>
    <mergeCell ref="P50:R50"/>
    <mergeCell ref="P51:R51"/>
    <mergeCell ref="P52:R52"/>
    <mergeCell ref="P53:R53"/>
    <mergeCell ref="P54:R54"/>
    <mergeCell ref="P55:R55"/>
    <mergeCell ref="P56:R56"/>
    <mergeCell ref="P57:R57"/>
    <mergeCell ref="P58:R58"/>
    <mergeCell ref="P59:R59"/>
    <mergeCell ref="O61:T62"/>
    <mergeCell ref="O63:R63"/>
    <mergeCell ref="O64:R64"/>
    <mergeCell ref="O65:R65"/>
    <mergeCell ref="O66:R66"/>
    <mergeCell ref="O67:R67"/>
    <mergeCell ref="O68:R68"/>
    <mergeCell ref="O69:R69"/>
    <mergeCell ref="O70:R70"/>
    <mergeCell ref="O71:R71"/>
    <mergeCell ref="O72:R72"/>
    <mergeCell ref="O73:R73"/>
    <mergeCell ref="O74:R74"/>
    <mergeCell ref="O75:R75"/>
    <mergeCell ref="O76:R76"/>
    <mergeCell ref="O78:T79"/>
    <mergeCell ref="O80:R80"/>
    <mergeCell ref="O81:R81"/>
    <mergeCell ref="O82:R82"/>
    <mergeCell ref="O83:R83"/>
    <mergeCell ref="O84:R84"/>
    <mergeCell ref="O85:R85"/>
    <mergeCell ref="O87:R88"/>
    <mergeCell ref="P89:R89"/>
    <mergeCell ref="P90:R90"/>
    <mergeCell ref="P91:R91"/>
    <mergeCell ref="P92:R92"/>
    <mergeCell ref="P93:R93"/>
    <mergeCell ref="P94:R94"/>
    <mergeCell ref="P95:R95"/>
    <mergeCell ref="P96:R96"/>
    <mergeCell ref="P97:R97"/>
    <mergeCell ref="P98:R98"/>
    <mergeCell ref="P99:R99"/>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1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99" activePane="bottomRight" state="frozen"/>
      <selection pane="topLeft" activeCell="A1" activeCellId="0" sqref="A1"/>
      <selection pane="topRight" activeCell="B1" activeCellId="0" sqref="B1"/>
      <selection pane="bottomLeft" activeCell="A99" activeCellId="0" sqref="A99"/>
      <selection pane="bottomRight" activeCell="B1" activeCellId="0" sqref="B1"/>
    </sheetView>
  </sheetViews>
  <sheetFormatPr defaultColWidth="14.2890625" defaultRowHeight="12.75" customHeight="false" zeroHeight="false" outlineLevelRow="0" outlineLevelCol="0"/>
  <cols>
    <col collapsed="false" customWidth="true" hidden="false" outlineLevel="0" max="1" min="1" style="0" width="15.85"/>
    <col collapsed="false" customWidth="true" hidden="false" outlineLevel="0" max="2" min="2" style="0" width="24.71"/>
    <col collapsed="false" customWidth="true" hidden="false" outlineLevel="0" max="3" min="3" style="0" width="25.57"/>
    <col collapsed="false" customWidth="true" hidden="false" outlineLevel="0" max="4" min="4" style="0" width="26.14"/>
    <col collapsed="false" customWidth="true" hidden="false" outlineLevel="0" max="5" min="5" style="0" width="42.42"/>
    <col collapsed="false" customWidth="true" hidden="false" outlineLevel="0" max="6" min="6" style="0" width="61.71"/>
    <col collapsed="false" customWidth="true" hidden="false" outlineLevel="0" max="8" min="7" style="0" width="15.42"/>
    <col collapsed="false" customWidth="true" hidden="false" outlineLevel="0" max="9" min="9" style="0" width="25.43"/>
    <col collapsed="false" customWidth="true" hidden="false" outlineLevel="0" max="10" min="10" style="0" width="26.57"/>
    <col collapsed="false" customWidth="true" hidden="false" outlineLevel="0" max="11" min="11" style="0" width="57.14"/>
    <col collapsed="false" customWidth="true" hidden="false" outlineLevel="0" max="12" min="12" style="0" width="59.57"/>
    <col collapsed="false" customWidth="true" hidden="false" outlineLevel="0" max="13" min="13" style="0" width="43.14"/>
    <col collapsed="false" customWidth="true" hidden="false" outlineLevel="0" max="14" min="14" style="0" width="9.14"/>
    <col collapsed="false" customWidth="true" hidden="false" outlineLevel="0" max="15" min="15" style="0" width="27.14"/>
    <col collapsed="false" customWidth="true" hidden="false" outlineLevel="0" max="16" min="16" style="0" width="9.85"/>
    <col collapsed="false" customWidth="true" hidden="false" outlineLevel="0" max="17" min="17" style="0" width="3.42"/>
    <col collapsed="false" customWidth="true" hidden="false" outlineLevel="0" max="18" min="18" style="0" width="39"/>
    <col collapsed="false" customWidth="true" hidden="false" outlineLevel="0" max="19" min="19" style="0" width="62.85"/>
    <col collapsed="false" customWidth="true" hidden="false" outlineLevel="0" max="20" min="20" style="0" width="13.71"/>
    <col collapsed="false" customWidth="true" hidden="false" outlineLevel="0" max="26" min="21" style="0" width="8.71"/>
  </cols>
  <sheetData>
    <row r="1" customFormat="false" ht="12.75" hidden="false" customHeight="true" outlineLevel="0" collapsed="false">
      <c r="A1" s="585" t="s">
        <v>92</v>
      </c>
      <c r="B1" s="585" t="s">
        <v>93</v>
      </c>
      <c r="C1" s="585" t="s">
        <v>89</v>
      </c>
      <c r="D1" s="584" t="s">
        <v>94</v>
      </c>
      <c r="E1" s="585" t="s">
        <v>95</v>
      </c>
      <c r="F1" s="585" t="s">
        <v>96</v>
      </c>
      <c r="G1" s="585" t="s">
        <v>97</v>
      </c>
      <c r="H1" s="585" t="s">
        <v>98</v>
      </c>
      <c r="I1" s="584" t="s">
        <v>99</v>
      </c>
      <c r="J1" s="585" t="s">
        <v>62</v>
      </c>
      <c r="K1" s="586" t="s">
        <v>101</v>
      </c>
      <c r="L1" s="586" t="s">
        <v>102</v>
      </c>
      <c r="M1" s="279" t="s">
        <v>103</v>
      </c>
      <c r="N1" s="4"/>
      <c r="O1" s="4"/>
      <c r="P1" s="4"/>
      <c r="Q1" s="4"/>
      <c r="R1" s="4"/>
      <c r="S1" s="4"/>
    </row>
    <row r="2" customFormat="false" ht="12.75" hidden="false" customHeight="true" outlineLevel="0" collapsed="false">
      <c r="A2" s="602" t="n">
        <v>106</v>
      </c>
      <c r="B2" s="450" t="s">
        <v>19237</v>
      </c>
      <c r="C2" s="450" t="n">
        <v>2002</v>
      </c>
      <c r="D2" s="451" t="n">
        <v>37287</v>
      </c>
      <c r="E2" s="450" t="s">
        <v>19238</v>
      </c>
      <c r="F2" s="450" t="s">
        <v>5814</v>
      </c>
      <c r="G2" s="450" t="s">
        <v>1474</v>
      </c>
      <c r="H2" s="450" t="s">
        <v>16610</v>
      </c>
      <c r="I2" s="451" t="n">
        <v>38728</v>
      </c>
      <c r="J2" s="452" t="n">
        <v>1</v>
      </c>
      <c r="K2" s="633" t="s">
        <v>47</v>
      </c>
      <c r="L2" s="452" t="s">
        <v>60</v>
      </c>
      <c r="M2" s="455" t="n">
        <f aca="false">I2-D2</f>
        <v>1441</v>
      </c>
      <c r="N2" s="4"/>
      <c r="O2" s="280" t="s">
        <v>19239</v>
      </c>
      <c r="P2" s="280"/>
      <c r="Q2" s="146"/>
      <c r="R2" s="146"/>
      <c r="S2" s="146"/>
    </row>
    <row r="3" customFormat="false" ht="12.75" hidden="false" customHeight="true" outlineLevel="0" collapsed="false">
      <c r="A3" s="594" t="n">
        <v>206</v>
      </c>
      <c r="B3" s="458" t="s">
        <v>19240</v>
      </c>
      <c r="C3" s="458" t="n">
        <v>2002</v>
      </c>
      <c r="D3" s="459" t="n">
        <v>37287</v>
      </c>
      <c r="E3" s="458" t="s">
        <v>11315</v>
      </c>
      <c r="F3" s="458" t="s">
        <v>5814</v>
      </c>
      <c r="G3" s="458" t="s">
        <v>144</v>
      </c>
      <c r="H3" s="458" t="s">
        <v>16610</v>
      </c>
      <c r="I3" s="459" t="n">
        <v>38728</v>
      </c>
      <c r="J3" s="460" t="n">
        <v>1</v>
      </c>
      <c r="K3" s="633" t="s">
        <v>47</v>
      </c>
      <c r="L3" s="458" t="s">
        <v>58</v>
      </c>
      <c r="M3" s="463" t="n">
        <f aca="false">I3-D3</f>
        <v>1441</v>
      </c>
      <c r="N3" s="4"/>
      <c r="O3" s="281" t="s">
        <v>1182</v>
      </c>
      <c r="P3" s="281" t="n">
        <f aca="false">COUNTIF($G$2:$G$476,"PT")</f>
        <v>18</v>
      </c>
      <c r="Q3" s="146"/>
      <c r="R3" s="146"/>
      <c r="S3" s="146"/>
    </row>
    <row r="4" customFormat="false" ht="12.75" hidden="false" customHeight="true" outlineLevel="0" collapsed="false">
      <c r="A4" s="602" t="n">
        <v>306</v>
      </c>
      <c r="B4" s="450" t="s">
        <v>19241</v>
      </c>
      <c r="C4" s="450" t="n">
        <v>2004</v>
      </c>
      <c r="D4" s="451" t="n">
        <v>38351</v>
      </c>
      <c r="E4" s="450" t="s">
        <v>19242</v>
      </c>
      <c r="F4" s="450" t="s">
        <v>8232</v>
      </c>
      <c r="G4" s="450" t="s">
        <v>1174</v>
      </c>
      <c r="H4" s="450" t="s">
        <v>2677</v>
      </c>
      <c r="I4" s="451" t="n">
        <v>38730</v>
      </c>
      <c r="J4" s="452" t="n">
        <v>1</v>
      </c>
      <c r="K4" s="633" t="s">
        <v>47</v>
      </c>
      <c r="L4" s="452" t="s">
        <v>60</v>
      </c>
      <c r="M4" s="455" t="n">
        <f aca="false">I4-D4</f>
        <v>379</v>
      </c>
      <c r="N4" s="4"/>
      <c r="O4" s="282" t="s">
        <v>1188</v>
      </c>
      <c r="P4" s="282" t="n">
        <f aca="false">COUNTIF($G$2:$G$476,"PTN")</f>
        <v>5</v>
      </c>
      <c r="Q4" s="153"/>
      <c r="R4" s="153"/>
      <c r="S4" s="153"/>
    </row>
    <row r="5" customFormat="false" ht="12.75" hidden="false" customHeight="true" outlineLevel="0" collapsed="false">
      <c r="A5" s="594" t="n">
        <v>406</v>
      </c>
      <c r="B5" s="458" t="s">
        <v>19243</v>
      </c>
      <c r="C5" s="458" t="n">
        <v>2003</v>
      </c>
      <c r="D5" s="459" t="n">
        <v>37873</v>
      </c>
      <c r="E5" s="458" t="s">
        <v>19244</v>
      </c>
      <c r="F5" s="458" t="s">
        <v>19245</v>
      </c>
      <c r="G5" s="458" t="s">
        <v>144</v>
      </c>
      <c r="H5" s="458" t="s">
        <v>373</v>
      </c>
      <c r="I5" s="459" t="n">
        <v>38741</v>
      </c>
      <c r="J5" s="460" t="n">
        <v>1</v>
      </c>
      <c r="K5" s="633" t="s">
        <v>47</v>
      </c>
      <c r="L5" s="458" t="s">
        <v>58</v>
      </c>
      <c r="M5" s="463" t="n">
        <f aca="false">I5-D5</f>
        <v>868</v>
      </c>
      <c r="N5" s="4"/>
      <c r="O5" s="283" t="s">
        <v>1192</v>
      </c>
      <c r="P5" s="283" t="n">
        <f aca="false">COUNTIF($G$2:$G$476,"PTE")</f>
        <v>15</v>
      </c>
      <c r="Q5" s="153"/>
      <c r="R5" s="153"/>
      <c r="S5" s="153"/>
    </row>
    <row r="6" customFormat="false" ht="12.75" hidden="false" customHeight="true" outlineLevel="0" collapsed="false">
      <c r="A6" s="602" t="n">
        <v>506</v>
      </c>
      <c r="B6" s="450" t="s">
        <v>19246</v>
      </c>
      <c r="C6" s="450" t="n">
        <v>2001</v>
      </c>
      <c r="D6" s="451" t="n">
        <v>37089</v>
      </c>
      <c r="E6" s="450" t="s">
        <v>19247</v>
      </c>
      <c r="F6" s="450" t="s">
        <v>699</v>
      </c>
      <c r="G6" s="450" t="s">
        <v>144</v>
      </c>
      <c r="H6" s="450" t="s">
        <v>6570</v>
      </c>
      <c r="I6" s="451" t="n">
        <v>38744</v>
      </c>
      <c r="J6" s="452" t="n">
        <v>1</v>
      </c>
      <c r="K6" s="634" t="s">
        <v>45</v>
      </c>
      <c r="L6" s="452" t="s">
        <v>60</v>
      </c>
      <c r="M6" s="455" t="n">
        <f aca="false">I6-D6</f>
        <v>1655</v>
      </c>
      <c r="N6" s="4"/>
      <c r="O6" s="282" t="s">
        <v>8</v>
      </c>
      <c r="P6" s="282" t="n">
        <f aca="false">COUNTIF($G$2:$G$476,"Pré-Mistura")</f>
        <v>1</v>
      </c>
      <c r="Q6" s="153"/>
      <c r="R6" s="153"/>
      <c r="S6" s="153"/>
    </row>
    <row r="7" customFormat="false" ht="12.75" hidden="false" customHeight="true" outlineLevel="0" collapsed="false">
      <c r="A7" s="594" t="n">
        <v>606</v>
      </c>
      <c r="B7" s="458" t="s">
        <v>19248</v>
      </c>
      <c r="C7" s="458" t="n">
        <v>2001</v>
      </c>
      <c r="D7" s="459" t="n">
        <v>37089</v>
      </c>
      <c r="E7" s="458" t="s">
        <v>19249</v>
      </c>
      <c r="F7" s="458" t="s">
        <v>4270</v>
      </c>
      <c r="G7" s="458" t="s">
        <v>1474</v>
      </c>
      <c r="H7" s="458" t="s">
        <v>6570</v>
      </c>
      <c r="I7" s="459" t="n">
        <v>38744</v>
      </c>
      <c r="J7" s="460" t="n">
        <v>1</v>
      </c>
      <c r="K7" s="631" t="s">
        <v>42</v>
      </c>
      <c r="L7" s="458" t="s">
        <v>60</v>
      </c>
      <c r="M7" s="463" t="n">
        <f aca="false">I7-D7</f>
        <v>1655</v>
      </c>
      <c r="N7" s="4"/>
      <c r="O7" s="283" t="s">
        <v>110</v>
      </c>
      <c r="P7" s="283" t="n">
        <f aca="false">COUNTIF($G$2:$G$476,"PF")</f>
        <v>56</v>
      </c>
      <c r="Q7" s="153"/>
      <c r="R7" s="153"/>
      <c r="S7" s="153"/>
    </row>
    <row r="8" customFormat="false" ht="12.75" hidden="false" customHeight="true" outlineLevel="0" collapsed="false">
      <c r="A8" s="602" t="n">
        <v>706</v>
      </c>
      <c r="B8" s="450" t="s">
        <v>19250</v>
      </c>
      <c r="C8" s="450" t="n">
        <v>2003</v>
      </c>
      <c r="D8" s="451" t="n">
        <v>37873</v>
      </c>
      <c r="E8" s="450" t="s">
        <v>19251</v>
      </c>
      <c r="F8" s="450" t="s">
        <v>19245</v>
      </c>
      <c r="G8" s="450" t="s">
        <v>144</v>
      </c>
      <c r="H8" s="450" t="s">
        <v>2421</v>
      </c>
      <c r="I8" s="451" t="n">
        <v>38757</v>
      </c>
      <c r="J8" s="452" t="n">
        <v>2</v>
      </c>
      <c r="K8" s="633" t="s">
        <v>47</v>
      </c>
      <c r="L8" s="452" t="s">
        <v>58</v>
      </c>
      <c r="M8" s="455" t="n">
        <f aca="false">I8-D8</f>
        <v>884</v>
      </c>
      <c r="N8" s="4"/>
      <c r="O8" s="282" t="s">
        <v>115</v>
      </c>
      <c r="P8" s="282" t="n">
        <f aca="false">COUNTIF($G$2:$G$476,"PFN")</f>
        <v>7</v>
      </c>
      <c r="Q8" s="153"/>
      <c r="R8" s="153"/>
      <c r="S8" s="153"/>
    </row>
    <row r="9" customFormat="false" ht="12.75" hidden="false" customHeight="true" outlineLevel="0" collapsed="false">
      <c r="A9" s="594" t="n">
        <v>806</v>
      </c>
      <c r="B9" s="458" t="s">
        <v>19252</v>
      </c>
      <c r="C9" s="458" t="n">
        <v>2003</v>
      </c>
      <c r="D9" s="459" t="n">
        <v>37734</v>
      </c>
      <c r="E9" s="458" t="s">
        <v>19253</v>
      </c>
      <c r="F9" s="458" t="s">
        <v>4270</v>
      </c>
      <c r="G9" s="458" t="s">
        <v>144</v>
      </c>
      <c r="H9" s="458" t="s">
        <v>6570</v>
      </c>
      <c r="I9" s="459" t="n">
        <v>38763</v>
      </c>
      <c r="J9" s="460" t="n">
        <v>2</v>
      </c>
      <c r="K9" s="631" t="s">
        <v>42</v>
      </c>
      <c r="L9" s="458" t="s">
        <v>60</v>
      </c>
      <c r="M9" s="463" t="n">
        <f aca="false">I9-D9</f>
        <v>1029</v>
      </c>
      <c r="N9" s="4"/>
      <c r="O9" s="283" t="s">
        <v>120</v>
      </c>
      <c r="P9" s="283" t="n">
        <f aca="false">COUNTIF($G$2:$G$476,"PF/PTE")</f>
        <v>0</v>
      </c>
      <c r="Q9" s="153"/>
      <c r="R9" s="153"/>
      <c r="S9" s="153"/>
    </row>
    <row r="10" customFormat="false" ht="12.75" hidden="false" customHeight="true" outlineLevel="0" collapsed="false">
      <c r="A10" s="602" t="n">
        <v>906</v>
      </c>
      <c r="B10" s="450" t="s">
        <v>19254</v>
      </c>
      <c r="C10" s="450" t="n">
        <v>2000</v>
      </c>
      <c r="D10" s="451" t="n">
        <v>36874</v>
      </c>
      <c r="E10" s="450" t="s">
        <v>19255</v>
      </c>
      <c r="F10" s="450" t="s">
        <v>19256</v>
      </c>
      <c r="G10" s="450" t="s">
        <v>1474</v>
      </c>
      <c r="H10" s="450" t="s">
        <v>134</v>
      </c>
      <c r="I10" s="451" t="n">
        <v>38770</v>
      </c>
      <c r="J10" s="452" t="n">
        <v>2</v>
      </c>
      <c r="K10" s="634" t="s">
        <v>45</v>
      </c>
      <c r="L10" s="452" t="s">
        <v>60</v>
      </c>
      <c r="M10" s="455" t="n">
        <f aca="false">I10-D10</f>
        <v>1896</v>
      </c>
      <c r="N10" s="4"/>
      <c r="O10" s="282" t="s">
        <v>125</v>
      </c>
      <c r="P10" s="282" t="n">
        <f aca="false">COUNTIF($G$2:$G$476,"Bio")</f>
        <v>7</v>
      </c>
      <c r="Q10" s="153"/>
      <c r="R10" s="153"/>
      <c r="S10" s="153"/>
    </row>
    <row r="11" customFormat="false" ht="12.75" hidden="false" customHeight="true" outlineLevel="0" collapsed="false">
      <c r="A11" s="594" t="n">
        <v>1006</v>
      </c>
      <c r="B11" s="458" t="s">
        <v>19257</v>
      </c>
      <c r="C11" s="458" t="n">
        <v>2003</v>
      </c>
      <c r="D11" s="459" t="n">
        <v>37981</v>
      </c>
      <c r="E11" s="458" t="s">
        <v>19258</v>
      </c>
      <c r="F11" s="458" t="s">
        <v>19259</v>
      </c>
      <c r="G11" s="458" t="s">
        <v>1474</v>
      </c>
      <c r="H11" s="458" t="s">
        <v>1791</v>
      </c>
      <c r="I11" s="459" t="n">
        <v>38772</v>
      </c>
      <c r="J11" s="460" t="n">
        <v>2</v>
      </c>
      <c r="K11" s="634" t="s">
        <v>45</v>
      </c>
      <c r="L11" s="458" t="s">
        <v>60</v>
      </c>
      <c r="M11" s="463" t="n">
        <f aca="false">I11-D11</f>
        <v>791</v>
      </c>
      <c r="N11" s="4"/>
      <c r="O11" s="284" t="s">
        <v>130</v>
      </c>
      <c r="P11" s="284" t="n">
        <f aca="false">COUNTIF($G$2:$G$476,"Bio/Org")</f>
        <v>0</v>
      </c>
      <c r="Q11" s="153"/>
      <c r="R11" s="153"/>
      <c r="S11" s="153"/>
    </row>
    <row r="12" customFormat="false" ht="12.75" hidden="false" customHeight="true" outlineLevel="0" collapsed="false">
      <c r="A12" s="602" t="n">
        <v>1106</v>
      </c>
      <c r="B12" s="450" t="s">
        <v>19260</v>
      </c>
      <c r="C12" s="450" t="n">
        <v>1995</v>
      </c>
      <c r="D12" s="451" t="n">
        <v>35033</v>
      </c>
      <c r="E12" s="450" t="s">
        <v>19261</v>
      </c>
      <c r="F12" s="450" t="s">
        <v>3844</v>
      </c>
      <c r="G12" s="450" t="s">
        <v>144</v>
      </c>
      <c r="H12" s="450" t="s">
        <v>18974</v>
      </c>
      <c r="I12" s="451" t="n">
        <v>38772</v>
      </c>
      <c r="J12" s="452" t="n">
        <v>2</v>
      </c>
      <c r="K12" s="633" t="s">
        <v>47</v>
      </c>
      <c r="L12" s="452" t="s">
        <v>58</v>
      </c>
      <c r="M12" s="455" t="n">
        <f aca="false">I12-D12</f>
        <v>3739</v>
      </c>
      <c r="N12" s="4"/>
      <c r="O12" s="285" t="s">
        <v>140</v>
      </c>
      <c r="P12" s="286" t="n">
        <f aca="false">SUM(P3:P11)</f>
        <v>109</v>
      </c>
      <c r="Q12" s="153"/>
      <c r="R12" s="153"/>
      <c r="S12" s="153"/>
    </row>
    <row r="13" customFormat="false" ht="12.75" hidden="false" customHeight="true" outlineLevel="0" collapsed="false">
      <c r="A13" s="594" t="n">
        <v>1206</v>
      </c>
      <c r="B13" s="458" t="s">
        <v>19262</v>
      </c>
      <c r="C13" s="458" t="n">
        <v>1999</v>
      </c>
      <c r="D13" s="459" t="n">
        <v>36180</v>
      </c>
      <c r="E13" s="458" t="s">
        <v>19263</v>
      </c>
      <c r="F13" s="458" t="s">
        <v>1894</v>
      </c>
      <c r="G13" s="458" t="s">
        <v>144</v>
      </c>
      <c r="H13" s="458" t="s">
        <v>1791</v>
      </c>
      <c r="I13" s="459" t="n">
        <v>38779</v>
      </c>
      <c r="J13" s="460" t="n">
        <v>3</v>
      </c>
      <c r="K13" s="633" t="s">
        <v>47</v>
      </c>
      <c r="L13" s="458" t="s">
        <v>58</v>
      </c>
      <c r="M13" s="463" t="n">
        <f aca="false">I13-D13</f>
        <v>2599</v>
      </c>
      <c r="N13" s="4"/>
      <c r="O13" s="153"/>
      <c r="P13" s="153"/>
      <c r="Q13" s="153"/>
      <c r="R13" s="287"/>
      <c r="S13" s="287"/>
    </row>
    <row r="14" customFormat="false" ht="13.5" hidden="false" customHeight="true" outlineLevel="0" collapsed="false">
      <c r="A14" s="602" t="n">
        <v>1306</v>
      </c>
      <c r="B14" s="450" t="s">
        <v>19264</v>
      </c>
      <c r="C14" s="450" t="n">
        <v>2003</v>
      </c>
      <c r="D14" s="451" t="n">
        <v>37704</v>
      </c>
      <c r="E14" s="450" t="s">
        <v>19265</v>
      </c>
      <c r="F14" s="450" t="s">
        <v>2948</v>
      </c>
      <c r="G14" s="450" t="s">
        <v>1188</v>
      </c>
      <c r="H14" s="450" t="s">
        <v>134</v>
      </c>
      <c r="I14" s="451" t="n">
        <v>38791</v>
      </c>
      <c r="J14" s="452" t="n">
        <v>3</v>
      </c>
      <c r="K14" s="633" t="s">
        <v>47</v>
      </c>
      <c r="L14" s="452" t="s">
        <v>60</v>
      </c>
      <c r="M14" s="455" t="n">
        <f aca="false">I14-D14</f>
        <v>1087</v>
      </c>
      <c r="N14" s="4"/>
      <c r="O14" s="411" t="s">
        <v>151</v>
      </c>
      <c r="P14" s="411"/>
      <c r="Q14" s="411"/>
      <c r="R14" s="411"/>
      <c r="S14" s="411"/>
    </row>
    <row r="15" customFormat="false" ht="14.25" hidden="false" customHeight="true" outlineLevel="0" collapsed="false">
      <c r="A15" s="594" t="n">
        <v>1406</v>
      </c>
      <c r="B15" s="458" t="s">
        <v>19266</v>
      </c>
      <c r="C15" s="458" t="n">
        <v>2004</v>
      </c>
      <c r="D15" s="459" t="n">
        <v>38075</v>
      </c>
      <c r="E15" s="458" t="s">
        <v>19267</v>
      </c>
      <c r="F15" s="458" t="s">
        <v>809</v>
      </c>
      <c r="G15" s="458" t="s">
        <v>1188</v>
      </c>
      <c r="H15" s="458" t="s">
        <v>119</v>
      </c>
      <c r="I15" s="459" t="n">
        <v>38792</v>
      </c>
      <c r="J15" s="460" t="n">
        <v>3</v>
      </c>
      <c r="K15" s="631" t="s">
        <v>42</v>
      </c>
      <c r="L15" s="458" t="s">
        <v>58</v>
      </c>
      <c r="M15" s="463" t="n">
        <f aca="false">I15-D15</f>
        <v>717</v>
      </c>
      <c r="N15" s="4"/>
      <c r="O15" s="411"/>
      <c r="P15" s="411"/>
      <c r="Q15" s="411"/>
      <c r="R15" s="411"/>
      <c r="S15" s="411"/>
    </row>
    <row r="16" customFormat="false" ht="12.75" hidden="false" customHeight="true" outlineLevel="0" collapsed="false">
      <c r="A16" s="602" t="n">
        <v>1506</v>
      </c>
      <c r="B16" s="450" t="s">
        <v>19268</v>
      </c>
      <c r="C16" s="450" t="n">
        <v>2004</v>
      </c>
      <c r="D16" s="451" t="n">
        <v>38078</v>
      </c>
      <c r="E16" s="450" t="s">
        <v>19269</v>
      </c>
      <c r="F16" s="450" t="s">
        <v>809</v>
      </c>
      <c r="G16" s="450" t="s">
        <v>115</v>
      </c>
      <c r="H16" s="450" t="s">
        <v>119</v>
      </c>
      <c r="I16" s="451" t="n">
        <v>38792</v>
      </c>
      <c r="J16" s="452" t="n">
        <v>3</v>
      </c>
      <c r="K16" s="631" t="s">
        <v>42</v>
      </c>
      <c r="L16" s="452" t="s">
        <v>58</v>
      </c>
      <c r="M16" s="455" t="n">
        <f aca="false">I16-D16</f>
        <v>714</v>
      </c>
      <c r="N16" s="4"/>
      <c r="O16" s="412" t="s">
        <v>2194</v>
      </c>
      <c r="P16" s="412"/>
      <c r="Q16" s="412"/>
      <c r="R16" s="412"/>
      <c r="S16" s="412"/>
    </row>
    <row r="17" customFormat="false" ht="12.75" hidden="false" customHeight="true" outlineLevel="0" collapsed="false">
      <c r="A17" s="594" t="n">
        <v>1606</v>
      </c>
      <c r="B17" s="458" t="s">
        <v>19270</v>
      </c>
      <c r="C17" s="458" t="n">
        <v>1994</v>
      </c>
      <c r="D17" s="459" t="n">
        <v>34620</v>
      </c>
      <c r="E17" s="458" t="s">
        <v>19271</v>
      </c>
      <c r="F17" s="458" t="s">
        <v>19272</v>
      </c>
      <c r="G17" s="458" t="s">
        <v>144</v>
      </c>
      <c r="H17" s="458" t="s">
        <v>16610</v>
      </c>
      <c r="I17" s="459" t="n">
        <v>38798</v>
      </c>
      <c r="J17" s="460" t="n">
        <v>3</v>
      </c>
      <c r="K17" s="634" t="s">
        <v>45</v>
      </c>
      <c r="L17" s="458" t="s">
        <v>57</v>
      </c>
      <c r="M17" s="463" t="n">
        <f aca="false">I17-D17</f>
        <v>4178</v>
      </c>
      <c r="N17" s="4"/>
      <c r="O17" s="413" t="s">
        <v>2198</v>
      </c>
      <c r="P17" s="413"/>
      <c r="Q17" s="413"/>
      <c r="R17" s="413"/>
      <c r="S17" s="413"/>
    </row>
    <row r="18" customFormat="false" ht="12.75" hidden="false" customHeight="true" outlineLevel="0" collapsed="false">
      <c r="A18" s="602" t="n">
        <v>1706</v>
      </c>
      <c r="B18" s="450" t="s">
        <v>19273</v>
      </c>
      <c r="C18" s="450" t="n">
        <v>2003</v>
      </c>
      <c r="D18" s="451" t="n">
        <v>37798</v>
      </c>
      <c r="E18" s="450" t="s">
        <v>19274</v>
      </c>
      <c r="F18" s="450" t="s">
        <v>2948</v>
      </c>
      <c r="G18" s="450" t="s">
        <v>115</v>
      </c>
      <c r="H18" s="450" t="s">
        <v>134</v>
      </c>
      <c r="I18" s="451" t="n">
        <v>38800</v>
      </c>
      <c r="J18" s="452" t="n">
        <v>3</v>
      </c>
      <c r="K18" s="633" t="s">
        <v>47</v>
      </c>
      <c r="L18" s="452" t="s">
        <v>58</v>
      </c>
      <c r="M18" s="455" t="n">
        <f aca="false">I18-D18</f>
        <v>1002</v>
      </c>
      <c r="N18" s="4"/>
      <c r="O18" s="414" t="s">
        <v>2203</v>
      </c>
      <c r="P18" s="414"/>
      <c r="Q18" s="414"/>
      <c r="R18" s="414"/>
      <c r="S18" s="414"/>
    </row>
    <row r="19" customFormat="false" ht="12.75" hidden="false" customHeight="true" outlineLevel="0" collapsed="false">
      <c r="A19" s="594" t="n">
        <v>1806</v>
      </c>
      <c r="B19" s="458" t="s">
        <v>19275</v>
      </c>
      <c r="C19" s="458" t="n">
        <v>1998</v>
      </c>
      <c r="D19" s="459" t="n">
        <v>36122</v>
      </c>
      <c r="E19" s="458" t="s">
        <v>19276</v>
      </c>
      <c r="F19" s="458" t="s">
        <v>180</v>
      </c>
      <c r="G19" s="458" t="s">
        <v>144</v>
      </c>
      <c r="H19" s="458" t="s">
        <v>3339</v>
      </c>
      <c r="I19" s="459" t="n">
        <v>38805</v>
      </c>
      <c r="J19" s="460" t="n">
        <v>3</v>
      </c>
      <c r="K19" s="631" t="s">
        <v>42</v>
      </c>
      <c r="L19" s="458" t="s">
        <v>58</v>
      </c>
      <c r="M19" s="463" t="n">
        <f aca="false">I19-D19</f>
        <v>2683</v>
      </c>
      <c r="N19" s="4"/>
      <c r="O19" s="413" t="s">
        <v>2207</v>
      </c>
      <c r="P19" s="413"/>
      <c r="Q19" s="413"/>
      <c r="R19" s="413"/>
      <c r="S19" s="413"/>
    </row>
    <row r="20" customFormat="false" ht="12.75" hidden="false" customHeight="true" outlineLevel="0" collapsed="false">
      <c r="A20" s="602" t="n">
        <v>1906</v>
      </c>
      <c r="B20" s="450" t="s">
        <v>19277</v>
      </c>
      <c r="C20" s="450" t="n">
        <v>2000</v>
      </c>
      <c r="D20" s="451" t="n">
        <v>36851</v>
      </c>
      <c r="E20" s="450" t="s">
        <v>19278</v>
      </c>
      <c r="F20" s="450" t="s">
        <v>699</v>
      </c>
      <c r="G20" s="450" t="s">
        <v>144</v>
      </c>
      <c r="H20" s="450" t="s">
        <v>14391</v>
      </c>
      <c r="I20" s="451" t="n">
        <v>38806</v>
      </c>
      <c r="J20" s="452" t="n">
        <v>3</v>
      </c>
      <c r="K20" s="634" t="s">
        <v>45</v>
      </c>
      <c r="L20" s="452" t="s">
        <v>60</v>
      </c>
      <c r="M20" s="455" t="n">
        <f aca="false">I20-D20</f>
        <v>1955</v>
      </c>
      <c r="N20" s="4"/>
      <c r="O20" s="414" t="s">
        <v>2211</v>
      </c>
      <c r="P20" s="414"/>
      <c r="Q20" s="414"/>
      <c r="R20" s="414"/>
      <c r="S20" s="414"/>
    </row>
    <row r="21" customFormat="false" ht="12.75" hidden="false" customHeight="true" outlineLevel="0" collapsed="false">
      <c r="A21" s="594" t="n">
        <v>2006</v>
      </c>
      <c r="B21" s="458" t="s">
        <v>19279</v>
      </c>
      <c r="C21" s="458" t="n">
        <v>2004</v>
      </c>
      <c r="D21" s="459" t="n">
        <v>38308</v>
      </c>
      <c r="E21" s="458" t="s">
        <v>19280</v>
      </c>
      <c r="F21" s="458" t="s">
        <v>1316</v>
      </c>
      <c r="G21" s="458" t="s">
        <v>115</v>
      </c>
      <c r="H21" s="458" t="s">
        <v>2421</v>
      </c>
      <c r="I21" s="459" t="n">
        <v>38810</v>
      </c>
      <c r="J21" s="460" t="n">
        <v>4</v>
      </c>
      <c r="K21" s="633" t="s">
        <v>47</v>
      </c>
      <c r="L21" s="458" t="s">
        <v>58</v>
      </c>
      <c r="M21" s="463" t="n">
        <f aca="false">I21-D21</f>
        <v>502</v>
      </c>
      <c r="N21" s="4"/>
      <c r="O21" s="413" t="s">
        <v>2215</v>
      </c>
      <c r="P21" s="413"/>
      <c r="Q21" s="413"/>
      <c r="R21" s="413"/>
      <c r="S21" s="413"/>
    </row>
    <row r="22" customFormat="false" ht="12.75" hidden="false" customHeight="true" outlineLevel="0" collapsed="false">
      <c r="A22" s="602" t="n">
        <v>2106</v>
      </c>
      <c r="B22" s="450" t="s">
        <v>19281</v>
      </c>
      <c r="C22" s="450" t="n">
        <v>2002</v>
      </c>
      <c r="D22" s="451" t="n">
        <v>37442</v>
      </c>
      <c r="E22" s="450" t="s">
        <v>19282</v>
      </c>
      <c r="F22" s="450" t="s">
        <v>9757</v>
      </c>
      <c r="G22" s="450" t="s">
        <v>1474</v>
      </c>
      <c r="H22" s="450" t="s">
        <v>18397</v>
      </c>
      <c r="I22" s="451" t="n">
        <v>38820</v>
      </c>
      <c r="J22" s="452" t="n">
        <v>4</v>
      </c>
      <c r="K22" s="634" t="s">
        <v>45</v>
      </c>
      <c r="L22" s="452" t="s">
        <v>60</v>
      </c>
      <c r="M22" s="455" t="n">
        <f aca="false">I22-D22</f>
        <v>1378</v>
      </c>
      <c r="N22" s="4"/>
      <c r="O22" s="414" t="s">
        <v>2220</v>
      </c>
      <c r="P22" s="414"/>
      <c r="Q22" s="414"/>
      <c r="R22" s="414"/>
      <c r="S22" s="414"/>
    </row>
    <row r="23" customFormat="false" ht="12.75" hidden="false" customHeight="true" outlineLevel="0" collapsed="false">
      <c r="A23" s="594" t="n">
        <v>2206</v>
      </c>
      <c r="B23" s="458" t="s">
        <v>19283</v>
      </c>
      <c r="C23" s="458" t="n">
        <v>2003</v>
      </c>
      <c r="D23" s="459" t="n">
        <v>37973</v>
      </c>
      <c r="E23" s="458" t="s">
        <v>19284</v>
      </c>
      <c r="F23" s="458" t="s">
        <v>211</v>
      </c>
      <c r="G23" s="458" t="s">
        <v>1174</v>
      </c>
      <c r="H23" s="458" t="s">
        <v>192</v>
      </c>
      <c r="I23" s="459" t="n">
        <v>38824</v>
      </c>
      <c r="J23" s="460" t="n">
        <v>4</v>
      </c>
      <c r="K23" s="631" t="s">
        <v>42</v>
      </c>
      <c r="L23" s="458" t="s">
        <v>60</v>
      </c>
      <c r="M23" s="463" t="n">
        <f aca="false">I23-D23</f>
        <v>851</v>
      </c>
      <c r="N23" s="4"/>
      <c r="O23" s="413" t="s">
        <v>18107</v>
      </c>
      <c r="P23" s="413"/>
      <c r="Q23" s="413"/>
      <c r="R23" s="413"/>
      <c r="S23" s="413"/>
    </row>
    <row r="24" customFormat="false" ht="15" hidden="false" customHeight="true" outlineLevel="0" collapsed="false">
      <c r="A24" s="602" t="n">
        <v>2306</v>
      </c>
      <c r="B24" s="450" t="s">
        <v>19285</v>
      </c>
      <c r="C24" s="450" t="n">
        <v>2004</v>
      </c>
      <c r="D24" s="451" t="n">
        <v>38281</v>
      </c>
      <c r="E24" s="450" t="s">
        <v>19286</v>
      </c>
      <c r="F24" s="450" t="s">
        <v>8232</v>
      </c>
      <c r="G24" s="450" t="s">
        <v>1174</v>
      </c>
      <c r="H24" s="450" t="s">
        <v>14391</v>
      </c>
      <c r="I24" s="451" t="n">
        <v>38826</v>
      </c>
      <c r="J24" s="452" t="n">
        <v>4</v>
      </c>
      <c r="K24" s="633" t="s">
        <v>47</v>
      </c>
      <c r="L24" s="452" t="s">
        <v>60</v>
      </c>
      <c r="M24" s="455" t="n">
        <f aca="false">I24-D24</f>
        <v>545</v>
      </c>
      <c r="N24" s="4"/>
      <c r="O24" s="415" t="s">
        <v>2229</v>
      </c>
      <c r="P24" s="415"/>
      <c r="Q24" s="415"/>
      <c r="R24" s="415"/>
      <c r="S24" s="415"/>
    </row>
    <row r="25" customFormat="false" ht="12.75" hidden="false" customHeight="true" outlineLevel="0" collapsed="false">
      <c r="A25" s="594" t="n">
        <v>2406</v>
      </c>
      <c r="B25" s="458" t="s">
        <v>19287</v>
      </c>
      <c r="C25" s="458" t="n">
        <v>2001</v>
      </c>
      <c r="D25" s="459" t="n">
        <v>37246</v>
      </c>
      <c r="E25" s="458" t="s">
        <v>19288</v>
      </c>
      <c r="F25" s="458" t="s">
        <v>19289</v>
      </c>
      <c r="G25" s="458" t="s">
        <v>1188</v>
      </c>
      <c r="H25" s="458" t="s">
        <v>2283</v>
      </c>
      <c r="I25" s="459" t="n">
        <v>38840</v>
      </c>
      <c r="J25" s="460" t="n">
        <v>5</v>
      </c>
      <c r="K25" s="633" t="s">
        <v>47</v>
      </c>
      <c r="L25" s="458" t="s">
        <v>60</v>
      </c>
      <c r="M25" s="463" t="n">
        <f aca="false">I25-D25</f>
        <v>1594</v>
      </c>
      <c r="N25" s="4"/>
      <c r="O25" s="153"/>
      <c r="P25" s="153"/>
      <c r="Q25" s="153"/>
      <c r="R25" s="153"/>
      <c r="S25" s="153"/>
    </row>
    <row r="26" customFormat="false" ht="13.5" hidden="false" customHeight="true" outlineLevel="0" collapsed="false">
      <c r="A26" s="602" t="n">
        <v>2506</v>
      </c>
      <c r="B26" s="450" t="s">
        <v>19290</v>
      </c>
      <c r="C26" s="450" t="n">
        <v>2005</v>
      </c>
      <c r="D26" s="451" t="n">
        <v>38400</v>
      </c>
      <c r="E26" s="450" t="s">
        <v>19291</v>
      </c>
      <c r="F26" s="450" t="s">
        <v>4384</v>
      </c>
      <c r="G26" s="450" t="s">
        <v>144</v>
      </c>
      <c r="H26" s="450" t="s">
        <v>134</v>
      </c>
      <c r="I26" s="451" t="n">
        <v>38840</v>
      </c>
      <c r="J26" s="452" t="n">
        <v>5</v>
      </c>
      <c r="K26" s="634" t="s">
        <v>45</v>
      </c>
      <c r="L26" s="452" t="s">
        <v>58</v>
      </c>
      <c r="M26" s="455" t="n">
        <f aca="false">I26-D26</f>
        <v>440</v>
      </c>
      <c r="N26" s="4"/>
      <c r="O26" s="326" t="s">
        <v>185</v>
      </c>
      <c r="P26" s="326"/>
      <c r="Q26" s="326"/>
      <c r="R26" s="326"/>
      <c r="S26" s="326"/>
    </row>
    <row r="27" customFormat="false" ht="13.5" hidden="false" customHeight="true" outlineLevel="0" collapsed="false">
      <c r="A27" s="594" t="n">
        <v>2606</v>
      </c>
      <c r="B27" s="458" t="s">
        <v>19292</v>
      </c>
      <c r="C27" s="458" t="n">
        <v>2003</v>
      </c>
      <c r="D27" s="459" t="n">
        <v>37985</v>
      </c>
      <c r="E27" s="458" t="s">
        <v>19293</v>
      </c>
      <c r="F27" s="458" t="s">
        <v>211</v>
      </c>
      <c r="G27" s="458" t="s">
        <v>144</v>
      </c>
      <c r="H27" s="458" t="s">
        <v>192</v>
      </c>
      <c r="I27" s="459" t="n">
        <v>38849</v>
      </c>
      <c r="J27" s="460" t="n">
        <v>5</v>
      </c>
      <c r="K27" s="631" t="s">
        <v>42</v>
      </c>
      <c r="L27" s="458" t="s">
        <v>58</v>
      </c>
      <c r="M27" s="463" t="n">
        <f aca="false">I27-D27</f>
        <v>864</v>
      </c>
      <c r="N27" s="4"/>
      <c r="O27" s="326"/>
      <c r="P27" s="326"/>
      <c r="Q27" s="326"/>
      <c r="R27" s="326"/>
      <c r="S27" s="326"/>
    </row>
    <row r="28" customFormat="false" ht="12.75" hidden="false" customHeight="true" outlineLevel="0" collapsed="false">
      <c r="A28" s="602" t="n">
        <v>2706</v>
      </c>
      <c r="B28" s="450" t="s">
        <v>19294</v>
      </c>
      <c r="C28" s="450" t="n">
        <v>2001</v>
      </c>
      <c r="D28" s="451" t="n">
        <v>37091</v>
      </c>
      <c r="E28" s="450" t="s">
        <v>19295</v>
      </c>
      <c r="F28" s="450" t="s">
        <v>19296</v>
      </c>
      <c r="G28" s="450" t="s">
        <v>144</v>
      </c>
      <c r="H28" s="450" t="s">
        <v>14391</v>
      </c>
      <c r="I28" s="451" t="n">
        <v>38867</v>
      </c>
      <c r="J28" s="452" t="n">
        <v>5</v>
      </c>
      <c r="K28" s="631" t="s">
        <v>42</v>
      </c>
      <c r="L28" s="452" t="s">
        <v>58</v>
      </c>
      <c r="M28" s="455" t="n">
        <f aca="false">I28-D28</f>
        <v>1776</v>
      </c>
      <c r="N28" s="4"/>
      <c r="O28" s="309" t="s">
        <v>39</v>
      </c>
      <c r="P28" s="416" t="s">
        <v>40</v>
      </c>
      <c r="Q28" s="416"/>
      <c r="R28" s="416"/>
      <c r="S28" s="313" t="s">
        <v>41</v>
      </c>
    </row>
    <row r="29" customFormat="false" ht="12.75" hidden="false" customHeight="true" outlineLevel="0" collapsed="false">
      <c r="A29" s="594" t="n">
        <v>2806</v>
      </c>
      <c r="B29" s="458" t="s">
        <v>19297</v>
      </c>
      <c r="C29" s="458" t="n">
        <v>2003</v>
      </c>
      <c r="D29" s="459" t="n">
        <v>37882</v>
      </c>
      <c r="E29" s="458" t="s">
        <v>19298</v>
      </c>
      <c r="F29" s="458" t="s">
        <v>19299</v>
      </c>
      <c r="G29" s="458" t="s">
        <v>8</v>
      </c>
      <c r="H29" s="458" t="s">
        <v>10110</v>
      </c>
      <c r="I29" s="459" t="n">
        <v>38867</v>
      </c>
      <c r="J29" s="460" t="n">
        <v>5</v>
      </c>
      <c r="K29" s="633" t="s">
        <v>47</v>
      </c>
      <c r="L29" s="458" t="s">
        <v>60</v>
      </c>
      <c r="M29" s="463" t="n">
        <f aca="false">I29-D29</f>
        <v>985</v>
      </c>
      <c r="N29" s="4"/>
      <c r="O29" s="283" t="n">
        <v>1994</v>
      </c>
      <c r="P29" s="283" t="n">
        <f aca="false">COUNTIF($C$2:$C$503,"1994")</f>
        <v>1</v>
      </c>
      <c r="Q29" s="283"/>
      <c r="R29" s="283"/>
      <c r="S29" s="315" t="n">
        <f aca="false">P29/P42</f>
        <v>0.00917431192660551</v>
      </c>
    </row>
    <row r="30" customFormat="false" ht="12.75" hidden="false" customHeight="true" outlineLevel="0" collapsed="false">
      <c r="A30" s="602" t="n">
        <v>2906</v>
      </c>
      <c r="B30" s="450" t="s">
        <v>19300</v>
      </c>
      <c r="C30" s="450" t="n">
        <v>2002</v>
      </c>
      <c r="D30" s="451" t="n">
        <v>37588</v>
      </c>
      <c r="E30" s="450" t="s">
        <v>19301</v>
      </c>
      <c r="F30" s="450" t="s">
        <v>19302</v>
      </c>
      <c r="G30" s="450" t="s">
        <v>1474</v>
      </c>
      <c r="H30" s="450" t="s">
        <v>19303</v>
      </c>
      <c r="I30" s="451" t="n">
        <v>38867</v>
      </c>
      <c r="J30" s="452" t="n">
        <v>5</v>
      </c>
      <c r="K30" s="634" t="s">
        <v>45</v>
      </c>
      <c r="L30" s="452" t="s">
        <v>60</v>
      </c>
      <c r="M30" s="455" t="n">
        <f aca="false">I30-D30</f>
        <v>1279</v>
      </c>
      <c r="N30" s="4"/>
      <c r="O30" s="282" t="n">
        <v>1995</v>
      </c>
      <c r="P30" s="282" t="n">
        <f aca="false">COUNTIF($C$2:$C$503,"1995")</f>
        <v>2</v>
      </c>
      <c r="Q30" s="282"/>
      <c r="R30" s="282"/>
      <c r="S30" s="316" t="n">
        <f aca="false">P30/P42</f>
        <v>0.018348623853211</v>
      </c>
    </row>
    <row r="31" customFormat="false" ht="12.75" hidden="false" customHeight="true" outlineLevel="0" collapsed="false">
      <c r="A31" s="594" t="n">
        <v>3006</v>
      </c>
      <c r="B31" s="458" t="s">
        <v>19304</v>
      </c>
      <c r="C31" s="458" t="n">
        <v>2003</v>
      </c>
      <c r="D31" s="459" t="n">
        <v>37918</v>
      </c>
      <c r="E31" s="458" t="s">
        <v>19305</v>
      </c>
      <c r="F31" s="458" t="s">
        <v>19306</v>
      </c>
      <c r="G31" s="458" t="s">
        <v>1474</v>
      </c>
      <c r="H31" s="458" t="s">
        <v>19303</v>
      </c>
      <c r="I31" s="459" t="n">
        <v>38867</v>
      </c>
      <c r="J31" s="460" t="n">
        <v>5</v>
      </c>
      <c r="K31" s="631" t="s">
        <v>42</v>
      </c>
      <c r="L31" s="458" t="s">
        <v>58</v>
      </c>
      <c r="M31" s="463" t="n">
        <f aca="false">I31-D31</f>
        <v>949</v>
      </c>
      <c r="N31" s="4"/>
      <c r="O31" s="283" t="n">
        <v>1996</v>
      </c>
      <c r="P31" s="283" t="n">
        <f aca="false">COUNTIF($C$2:$C$503,"1996")</f>
        <v>0</v>
      </c>
      <c r="Q31" s="283"/>
      <c r="R31" s="283"/>
      <c r="S31" s="315" t="n">
        <f aca="false">P31/P42</f>
        <v>0</v>
      </c>
    </row>
    <row r="32" customFormat="false" ht="12.75" hidden="false" customHeight="true" outlineLevel="0" collapsed="false">
      <c r="A32" s="602" t="n">
        <v>3106</v>
      </c>
      <c r="B32" s="450" t="s">
        <v>19307</v>
      </c>
      <c r="C32" s="450" t="n">
        <v>2000</v>
      </c>
      <c r="D32" s="451" t="n">
        <v>36662</v>
      </c>
      <c r="E32" s="450" t="s">
        <v>19308</v>
      </c>
      <c r="F32" s="450" t="s">
        <v>1916</v>
      </c>
      <c r="G32" s="450" t="s">
        <v>144</v>
      </c>
      <c r="H32" s="450" t="s">
        <v>373</v>
      </c>
      <c r="I32" s="451" t="n">
        <v>38873</v>
      </c>
      <c r="J32" s="452" t="n">
        <v>6</v>
      </c>
      <c r="K32" s="631" t="s">
        <v>42</v>
      </c>
      <c r="L32" s="452" t="s">
        <v>58</v>
      </c>
      <c r="M32" s="455" t="n">
        <f aca="false">I32-D32</f>
        <v>2211</v>
      </c>
      <c r="N32" s="4"/>
      <c r="O32" s="282" t="n">
        <v>1997</v>
      </c>
      <c r="P32" s="282" t="n">
        <f aca="false">COUNTIF($C$2:$C$503,"1997")</f>
        <v>0</v>
      </c>
      <c r="Q32" s="282"/>
      <c r="R32" s="282"/>
      <c r="S32" s="316" t="n">
        <f aca="false">P32/P42</f>
        <v>0</v>
      </c>
    </row>
    <row r="33" customFormat="false" ht="12.75" hidden="false" customHeight="true" outlineLevel="0" collapsed="false">
      <c r="A33" s="594" t="n">
        <v>3206</v>
      </c>
      <c r="B33" s="458" t="s">
        <v>19309</v>
      </c>
      <c r="C33" s="458" t="n">
        <v>1999</v>
      </c>
      <c r="D33" s="459" t="n">
        <v>36294</v>
      </c>
      <c r="E33" s="458" t="s">
        <v>19310</v>
      </c>
      <c r="F33" s="458" t="s">
        <v>699</v>
      </c>
      <c r="G33" s="458" t="s">
        <v>144</v>
      </c>
      <c r="H33" s="458" t="s">
        <v>14391</v>
      </c>
      <c r="I33" s="459" t="n">
        <v>38874</v>
      </c>
      <c r="J33" s="460" t="n">
        <v>6</v>
      </c>
      <c r="K33" s="634" t="s">
        <v>45</v>
      </c>
      <c r="L33" s="458" t="s">
        <v>60</v>
      </c>
      <c r="M33" s="463" t="n">
        <f aca="false">I33-D33</f>
        <v>2580</v>
      </c>
      <c r="N33" s="4"/>
      <c r="O33" s="283" t="n">
        <v>1998</v>
      </c>
      <c r="P33" s="283" t="n">
        <f aca="false">COUNTIF($C$2:$C$503,"1998")</f>
        <v>1</v>
      </c>
      <c r="Q33" s="283"/>
      <c r="R33" s="283"/>
      <c r="S33" s="315" t="n">
        <f aca="false">P33/P42</f>
        <v>0.00917431192660551</v>
      </c>
    </row>
    <row r="34" customFormat="false" ht="12.75" hidden="false" customHeight="true" outlineLevel="0" collapsed="false">
      <c r="A34" s="602" t="n">
        <v>3306</v>
      </c>
      <c r="B34" s="450" t="s">
        <v>19311</v>
      </c>
      <c r="C34" s="450" t="n">
        <v>2001</v>
      </c>
      <c r="D34" s="451" t="n">
        <v>37246</v>
      </c>
      <c r="E34" s="450" t="s">
        <v>19312</v>
      </c>
      <c r="F34" s="450" t="s">
        <v>19313</v>
      </c>
      <c r="G34" s="450" t="s">
        <v>115</v>
      </c>
      <c r="H34" s="450" t="s">
        <v>2283</v>
      </c>
      <c r="I34" s="451" t="n">
        <v>38887</v>
      </c>
      <c r="J34" s="452" t="n">
        <v>6</v>
      </c>
      <c r="K34" s="633" t="s">
        <v>47</v>
      </c>
      <c r="L34" s="452" t="s">
        <v>60</v>
      </c>
      <c r="M34" s="455" t="n">
        <f aca="false">I34-D34</f>
        <v>1641</v>
      </c>
      <c r="N34" s="4"/>
      <c r="O34" s="282" t="n">
        <v>1999</v>
      </c>
      <c r="P34" s="282" t="n">
        <f aca="false">COUNTIF($C$2:$C$503,"1999")</f>
        <v>5</v>
      </c>
      <c r="Q34" s="282"/>
      <c r="R34" s="282"/>
      <c r="S34" s="316" t="n">
        <f aca="false">P34/P42</f>
        <v>0.0458715596330275</v>
      </c>
    </row>
    <row r="35" customFormat="false" ht="12.75" hidden="false" customHeight="true" outlineLevel="0" collapsed="false">
      <c r="A35" s="594" t="n">
        <v>3406</v>
      </c>
      <c r="B35" s="458" t="s">
        <v>19314</v>
      </c>
      <c r="C35" s="458" t="n">
        <v>2005</v>
      </c>
      <c r="D35" s="459" t="n">
        <v>38373</v>
      </c>
      <c r="E35" s="458" t="s">
        <v>19315</v>
      </c>
      <c r="F35" s="458" t="s">
        <v>8232</v>
      </c>
      <c r="G35" s="458" t="s">
        <v>144</v>
      </c>
      <c r="H35" s="458" t="s">
        <v>2677</v>
      </c>
      <c r="I35" s="459" t="n">
        <v>38888</v>
      </c>
      <c r="J35" s="460" t="n">
        <v>6</v>
      </c>
      <c r="K35" s="633" t="s">
        <v>47</v>
      </c>
      <c r="L35" s="458" t="s">
        <v>60</v>
      </c>
      <c r="M35" s="463" t="n">
        <f aca="false">I35-D35</f>
        <v>515</v>
      </c>
      <c r="N35" s="4"/>
      <c r="O35" s="283" t="n">
        <v>2000</v>
      </c>
      <c r="P35" s="283" t="n">
        <f aca="false">COUNTIF($C$2:$C$503,"2000")</f>
        <v>4</v>
      </c>
      <c r="Q35" s="283"/>
      <c r="R35" s="283"/>
      <c r="S35" s="315" t="n">
        <f aca="false">P35/P42</f>
        <v>0.036697247706422</v>
      </c>
    </row>
    <row r="36" customFormat="false" ht="12.75" hidden="false" customHeight="true" outlineLevel="0" collapsed="false">
      <c r="A36" s="602" t="n">
        <v>3506</v>
      </c>
      <c r="B36" s="450" t="s">
        <v>19316</v>
      </c>
      <c r="C36" s="450" t="n">
        <v>2005</v>
      </c>
      <c r="D36" s="451" t="n">
        <v>38496</v>
      </c>
      <c r="E36" s="450" t="s">
        <v>19317</v>
      </c>
      <c r="F36" s="450" t="s">
        <v>11477</v>
      </c>
      <c r="G36" s="450" t="s">
        <v>144</v>
      </c>
      <c r="H36" s="450" t="s">
        <v>254</v>
      </c>
      <c r="I36" s="451" t="n">
        <v>38897</v>
      </c>
      <c r="J36" s="452" t="n">
        <v>6</v>
      </c>
      <c r="K36" s="634" t="s">
        <v>45</v>
      </c>
      <c r="L36" s="452" t="s">
        <v>61</v>
      </c>
      <c r="M36" s="455" t="n">
        <f aca="false">I36-D36</f>
        <v>401</v>
      </c>
      <c r="N36" s="4"/>
      <c r="O36" s="282" t="n">
        <v>2001</v>
      </c>
      <c r="P36" s="282" t="n">
        <f aca="false">COUNTIF($C$2:$C$503,"2001")</f>
        <v>17</v>
      </c>
      <c r="Q36" s="282"/>
      <c r="R36" s="282"/>
      <c r="S36" s="316" t="n">
        <f aca="false">P36/P42</f>
        <v>0.155963302752294</v>
      </c>
    </row>
    <row r="37" customFormat="false" ht="12.75" hidden="false" customHeight="true" outlineLevel="0" collapsed="false">
      <c r="A37" s="594" t="n">
        <v>3606</v>
      </c>
      <c r="B37" s="458" t="s">
        <v>19318</v>
      </c>
      <c r="C37" s="458" t="n">
        <v>1995</v>
      </c>
      <c r="D37" s="459" t="n">
        <v>34852</v>
      </c>
      <c r="E37" s="458" t="s">
        <v>19319</v>
      </c>
      <c r="F37" s="458" t="s">
        <v>1347</v>
      </c>
      <c r="G37" s="458" t="s">
        <v>144</v>
      </c>
      <c r="H37" s="458" t="s">
        <v>18974</v>
      </c>
      <c r="I37" s="459" t="n">
        <v>38902</v>
      </c>
      <c r="J37" s="460" t="n">
        <v>7</v>
      </c>
      <c r="K37" s="633" t="s">
        <v>47</v>
      </c>
      <c r="L37" s="458" t="s">
        <v>60</v>
      </c>
      <c r="M37" s="463" t="n">
        <f aca="false">I37-D37</f>
        <v>4050</v>
      </c>
      <c r="N37" s="4"/>
      <c r="O37" s="283" t="n">
        <v>2002</v>
      </c>
      <c r="P37" s="283" t="n">
        <f aca="false">COUNTIF($C$2:$C$503,"2002")</f>
        <v>14</v>
      </c>
      <c r="Q37" s="283"/>
      <c r="R37" s="283"/>
      <c r="S37" s="315" t="n">
        <f aca="false">P37/P42</f>
        <v>0.128440366972477</v>
      </c>
    </row>
    <row r="38" customFormat="false" ht="12.75" hidden="false" customHeight="true" outlineLevel="0" collapsed="false">
      <c r="A38" s="602" t="n">
        <v>3706</v>
      </c>
      <c r="B38" s="450" t="s">
        <v>19320</v>
      </c>
      <c r="C38" s="450" t="n">
        <v>2003</v>
      </c>
      <c r="D38" s="451" t="n">
        <v>37977</v>
      </c>
      <c r="E38" s="450" t="s">
        <v>19321</v>
      </c>
      <c r="F38" s="450" t="s">
        <v>705</v>
      </c>
      <c r="G38" s="450" t="s">
        <v>1474</v>
      </c>
      <c r="H38" s="450" t="s">
        <v>2654</v>
      </c>
      <c r="I38" s="451" t="n">
        <v>38902</v>
      </c>
      <c r="J38" s="452" t="n">
        <v>7</v>
      </c>
      <c r="K38" s="633" t="s">
        <v>47</v>
      </c>
      <c r="L38" s="452" t="s">
        <v>60</v>
      </c>
      <c r="M38" s="455" t="n">
        <f aca="false">I38-D38</f>
        <v>925</v>
      </c>
      <c r="N38" s="4"/>
      <c r="O38" s="282" t="n">
        <v>2003</v>
      </c>
      <c r="P38" s="282" t="n">
        <f aca="false">COUNTIF($C$2:$C$503,"2003")</f>
        <v>16</v>
      </c>
      <c r="Q38" s="282"/>
      <c r="R38" s="282"/>
      <c r="S38" s="316" t="n">
        <f aca="false">P38/P42</f>
        <v>0.146788990825688</v>
      </c>
    </row>
    <row r="39" customFormat="false" ht="12.75" hidden="false" customHeight="true" outlineLevel="0" collapsed="false">
      <c r="A39" s="594" t="n">
        <v>3806</v>
      </c>
      <c r="B39" s="458" t="s">
        <v>19322</v>
      </c>
      <c r="C39" s="458" t="n">
        <v>2001</v>
      </c>
      <c r="D39" s="459" t="n">
        <v>37089</v>
      </c>
      <c r="E39" s="458" t="s">
        <v>19323</v>
      </c>
      <c r="F39" s="458" t="s">
        <v>1097</v>
      </c>
      <c r="G39" s="458" t="s">
        <v>144</v>
      </c>
      <c r="H39" s="458" t="s">
        <v>6570</v>
      </c>
      <c r="I39" s="459" t="n">
        <v>38911</v>
      </c>
      <c r="J39" s="460" t="n">
        <v>7</v>
      </c>
      <c r="K39" s="631" t="s">
        <v>42</v>
      </c>
      <c r="L39" s="458" t="s">
        <v>60</v>
      </c>
      <c r="M39" s="463" t="n">
        <f aca="false">I39-D39</f>
        <v>1822</v>
      </c>
      <c r="N39" s="4"/>
      <c r="O39" s="283" t="n">
        <v>2004</v>
      </c>
      <c r="P39" s="283" t="n">
        <f aca="false">COUNTIF($C$2:$C$503,"2004")</f>
        <v>29</v>
      </c>
      <c r="Q39" s="283"/>
      <c r="R39" s="283"/>
      <c r="S39" s="315" t="n">
        <f aca="false">P39/P42</f>
        <v>0.26605504587156</v>
      </c>
    </row>
    <row r="40" customFormat="false" ht="12.75" hidden="false" customHeight="true" outlineLevel="0" collapsed="false">
      <c r="A40" s="602" t="n">
        <v>3906</v>
      </c>
      <c r="B40" s="450" t="s">
        <v>19324</v>
      </c>
      <c r="C40" s="450" t="n">
        <v>2005</v>
      </c>
      <c r="D40" s="451" t="n">
        <v>38514</v>
      </c>
      <c r="E40" s="450" t="s">
        <v>19325</v>
      </c>
      <c r="F40" s="450" t="s">
        <v>19326</v>
      </c>
      <c r="G40" s="450" t="s">
        <v>125</v>
      </c>
      <c r="H40" s="450" t="s">
        <v>391</v>
      </c>
      <c r="I40" s="451" t="n">
        <v>38911</v>
      </c>
      <c r="J40" s="452" t="n">
        <v>7</v>
      </c>
      <c r="K40" s="632" t="s">
        <v>50</v>
      </c>
      <c r="L40" s="452" t="s">
        <v>61</v>
      </c>
      <c r="M40" s="455" t="n">
        <f aca="false">I40-D40</f>
        <v>397</v>
      </c>
      <c r="N40" s="4"/>
      <c r="O40" s="282" t="n">
        <v>2005</v>
      </c>
      <c r="P40" s="282" t="n">
        <f aca="false">COUNTIF($C$2:$C$503,"2005")</f>
        <v>17</v>
      </c>
      <c r="Q40" s="282"/>
      <c r="R40" s="282"/>
      <c r="S40" s="316" t="n">
        <f aca="false">P40/P42</f>
        <v>0.155963302752294</v>
      </c>
    </row>
    <row r="41" customFormat="false" ht="12.75" hidden="false" customHeight="true" outlineLevel="0" collapsed="false">
      <c r="A41" s="594" t="n">
        <v>4006</v>
      </c>
      <c r="B41" s="458" t="s">
        <v>19327</v>
      </c>
      <c r="C41" s="458" t="n">
        <v>2002</v>
      </c>
      <c r="D41" s="459" t="n">
        <v>37263</v>
      </c>
      <c r="E41" s="458" t="s">
        <v>19328</v>
      </c>
      <c r="F41" s="458" t="s">
        <v>509</v>
      </c>
      <c r="G41" s="458" t="s">
        <v>144</v>
      </c>
      <c r="H41" s="458" t="s">
        <v>373</v>
      </c>
      <c r="I41" s="459" t="n">
        <v>38912</v>
      </c>
      <c r="J41" s="460" t="n">
        <v>7</v>
      </c>
      <c r="K41" s="632" t="s">
        <v>50</v>
      </c>
      <c r="L41" s="458" t="s">
        <v>58</v>
      </c>
      <c r="M41" s="463" t="n">
        <f aca="false">I41-D41</f>
        <v>1649</v>
      </c>
      <c r="N41" s="4"/>
      <c r="O41" s="283" t="n">
        <v>2006</v>
      </c>
      <c r="P41" s="283" t="n">
        <f aca="false">COUNTIF($C$2:$C$503,"2006")</f>
        <v>3</v>
      </c>
      <c r="Q41" s="283"/>
      <c r="R41" s="283"/>
      <c r="S41" s="315" t="n">
        <f aca="false">P41/P42</f>
        <v>0.0275229357798165</v>
      </c>
    </row>
    <row r="42" customFormat="false" ht="12.75" hidden="false" customHeight="true" outlineLevel="0" collapsed="false">
      <c r="A42" s="602" t="n">
        <v>4106</v>
      </c>
      <c r="B42" s="450" t="s">
        <v>19329</v>
      </c>
      <c r="C42" s="450" t="n">
        <v>2002</v>
      </c>
      <c r="D42" s="451" t="n">
        <v>37530</v>
      </c>
      <c r="E42" s="450" t="s">
        <v>19330</v>
      </c>
      <c r="F42" s="450" t="s">
        <v>19331</v>
      </c>
      <c r="G42" s="450" t="s">
        <v>144</v>
      </c>
      <c r="H42" s="450" t="s">
        <v>119</v>
      </c>
      <c r="I42" s="451" t="n">
        <v>38915</v>
      </c>
      <c r="J42" s="452" t="n">
        <v>7</v>
      </c>
      <c r="K42" s="633" t="s">
        <v>47</v>
      </c>
      <c r="L42" s="452" t="s">
        <v>57</v>
      </c>
      <c r="M42" s="455" t="n">
        <f aca="false">I42-D42</f>
        <v>1385</v>
      </c>
      <c r="N42" s="4"/>
      <c r="O42" s="323" t="s">
        <v>56</v>
      </c>
      <c r="P42" s="418" t="n">
        <f aca="false">SUM(P29:R41)</f>
        <v>109</v>
      </c>
      <c r="Q42" s="418"/>
      <c r="R42" s="418"/>
      <c r="S42" s="325" t="n">
        <f aca="false">SUM(S29:S41)</f>
        <v>1</v>
      </c>
    </row>
    <row r="43" customFormat="false" ht="12.75" hidden="false" customHeight="true" outlineLevel="0" collapsed="false">
      <c r="A43" s="594" t="n">
        <v>4206</v>
      </c>
      <c r="B43" s="458" t="s">
        <v>19332</v>
      </c>
      <c r="C43" s="458" t="n">
        <v>2004</v>
      </c>
      <c r="D43" s="459" t="n">
        <v>38303</v>
      </c>
      <c r="E43" s="458" t="s">
        <v>19333</v>
      </c>
      <c r="F43" s="458" t="s">
        <v>211</v>
      </c>
      <c r="G43" s="458" t="s">
        <v>1174</v>
      </c>
      <c r="H43" s="458" t="s">
        <v>1059</v>
      </c>
      <c r="I43" s="459" t="n">
        <v>38915</v>
      </c>
      <c r="J43" s="460" t="n">
        <v>7</v>
      </c>
      <c r="K43" s="634" t="s">
        <v>45</v>
      </c>
      <c r="L43" s="458" t="s">
        <v>58</v>
      </c>
      <c r="M43" s="463" t="n">
        <f aca="false">I43-D43</f>
        <v>612</v>
      </c>
      <c r="N43" s="4"/>
      <c r="O43" s="153"/>
      <c r="P43" s="153"/>
      <c r="Q43" s="153"/>
      <c r="R43" s="153"/>
      <c r="S43" s="153"/>
    </row>
    <row r="44" customFormat="false" ht="13.5" hidden="false" customHeight="true" outlineLevel="0" collapsed="false">
      <c r="A44" s="602" t="n">
        <v>4306</v>
      </c>
      <c r="B44" s="450" t="s">
        <v>19334</v>
      </c>
      <c r="C44" s="450" t="n">
        <v>2005</v>
      </c>
      <c r="D44" s="451" t="n">
        <v>38455</v>
      </c>
      <c r="E44" s="450" t="s">
        <v>19335</v>
      </c>
      <c r="F44" s="450" t="s">
        <v>1527</v>
      </c>
      <c r="G44" s="450" t="s">
        <v>1174</v>
      </c>
      <c r="H44" s="450" t="s">
        <v>1059</v>
      </c>
      <c r="I44" s="451" t="n">
        <v>38915</v>
      </c>
      <c r="J44" s="452" t="n">
        <v>7</v>
      </c>
      <c r="K44" s="633" t="s">
        <v>47</v>
      </c>
      <c r="L44" s="452" t="s">
        <v>58</v>
      </c>
      <c r="M44" s="455" t="n">
        <f aca="false">I44-D44</f>
        <v>460</v>
      </c>
      <c r="N44" s="4"/>
      <c r="O44" s="326" t="s">
        <v>272</v>
      </c>
      <c r="P44" s="326"/>
      <c r="Q44" s="326"/>
      <c r="R44" s="326"/>
      <c r="S44" s="326"/>
    </row>
    <row r="45" customFormat="false" ht="13.5" hidden="false" customHeight="true" outlineLevel="0" collapsed="false">
      <c r="A45" s="594" t="n">
        <v>4406</v>
      </c>
      <c r="B45" s="458" t="s">
        <v>19336</v>
      </c>
      <c r="C45" s="458" t="n">
        <v>2001</v>
      </c>
      <c r="D45" s="459" t="n">
        <v>37112</v>
      </c>
      <c r="E45" s="458" t="s">
        <v>19337</v>
      </c>
      <c r="F45" s="458" t="s">
        <v>1277</v>
      </c>
      <c r="G45" s="458" t="s">
        <v>144</v>
      </c>
      <c r="H45" s="458" t="s">
        <v>1791</v>
      </c>
      <c r="I45" s="459" t="n">
        <v>38915</v>
      </c>
      <c r="J45" s="460" t="n">
        <v>7</v>
      </c>
      <c r="K45" s="633" t="s">
        <v>47</v>
      </c>
      <c r="L45" s="458" t="s">
        <v>58</v>
      </c>
      <c r="M45" s="463" t="n">
        <f aca="false">I45-D45</f>
        <v>1803</v>
      </c>
      <c r="N45" s="4"/>
      <c r="O45" s="326"/>
      <c r="P45" s="326"/>
      <c r="Q45" s="326"/>
      <c r="R45" s="326"/>
      <c r="S45" s="326"/>
    </row>
    <row r="46" customFormat="false" ht="12.75" hidden="false" customHeight="true" outlineLevel="0" collapsed="false">
      <c r="A46" s="602" t="n">
        <v>4506</v>
      </c>
      <c r="B46" s="450" t="s">
        <v>19338</v>
      </c>
      <c r="C46" s="450" t="n">
        <v>2004</v>
      </c>
      <c r="D46" s="451" t="n">
        <v>38051</v>
      </c>
      <c r="E46" s="450" t="s">
        <v>19339</v>
      </c>
      <c r="F46" s="450" t="s">
        <v>1727</v>
      </c>
      <c r="G46" s="450" t="s">
        <v>1474</v>
      </c>
      <c r="H46" s="450" t="s">
        <v>119</v>
      </c>
      <c r="I46" s="451" t="n">
        <v>38922</v>
      </c>
      <c r="J46" s="452" t="n">
        <v>7</v>
      </c>
      <c r="K46" s="633" t="s">
        <v>47</v>
      </c>
      <c r="L46" s="452" t="s">
        <v>58</v>
      </c>
      <c r="M46" s="455" t="n">
        <f aca="false">I46-D46</f>
        <v>871</v>
      </c>
      <c r="N46" s="4"/>
      <c r="O46" s="309" t="s">
        <v>100</v>
      </c>
      <c r="P46" s="416" t="s">
        <v>40</v>
      </c>
      <c r="Q46" s="416"/>
      <c r="R46" s="416"/>
      <c r="S46" s="313" t="s">
        <v>41</v>
      </c>
    </row>
    <row r="47" customFormat="false" ht="12.75" hidden="false" customHeight="true" outlineLevel="0" collapsed="false">
      <c r="A47" s="594" t="n">
        <v>4606</v>
      </c>
      <c r="B47" s="458" t="s">
        <v>19340</v>
      </c>
      <c r="C47" s="458" t="n">
        <v>2001</v>
      </c>
      <c r="D47" s="459" t="n">
        <v>37174</v>
      </c>
      <c r="E47" s="458" t="s">
        <v>19341</v>
      </c>
      <c r="F47" s="458" t="s">
        <v>19342</v>
      </c>
      <c r="G47" s="458" t="s">
        <v>1474</v>
      </c>
      <c r="H47" s="458" t="s">
        <v>19343</v>
      </c>
      <c r="I47" s="459" t="n">
        <v>38930</v>
      </c>
      <c r="J47" s="460" t="n">
        <v>8</v>
      </c>
      <c r="K47" s="632" t="s">
        <v>50</v>
      </c>
      <c r="L47" s="458" t="s">
        <v>60</v>
      </c>
      <c r="M47" s="463" t="n">
        <f aca="false">I47-D47</f>
        <v>1756</v>
      </c>
      <c r="N47" s="4"/>
      <c r="O47" s="314" t="s">
        <v>63</v>
      </c>
      <c r="P47" s="314" t="n">
        <f aca="false">COUNTIF($J$2:$J$476,"1")</f>
        <v>6</v>
      </c>
      <c r="Q47" s="314"/>
      <c r="R47" s="314"/>
      <c r="S47" s="469" t="n">
        <f aca="false">(P47/P59)</f>
        <v>0.055045871559633</v>
      </c>
    </row>
    <row r="48" customFormat="false" ht="12.75" hidden="false" customHeight="true" outlineLevel="0" collapsed="false">
      <c r="A48" s="602" t="n">
        <v>4706</v>
      </c>
      <c r="B48" s="450" t="s">
        <v>19344</v>
      </c>
      <c r="C48" s="450" t="n">
        <v>2001</v>
      </c>
      <c r="D48" s="451" t="n">
        <v>37243</v>
      </c>
      <c r="E48" s="450" t="s">
        <v>19345</v>
      </c>
      <c r="F48" s="450" t="s">
        <v>19346</v>
      </c>
      <c r="G48" s="450" t="s">
        <v>1474</v>
      </c>
      <c r="H48" s="450" t="s">
        <v>2421</v>
      </c>
      <c r="I48" s="451" t="n">
        <v>38930</v>
      </c>
      <c r="J48" s="452" t="n">
        <v>8</v>
      </c>
      <c r="K48" s="631" t="s">
        <v>42</v>
      </c>
      <c r="L48" s="452" t="s">
        <v>60</v>
      </c>
      <c r="M48" s="455" t="n">
        <f aca="false">I48-D48</f>
        <v>1687</v>
      </c>
      <c r="N48" s="4"/>
      <c r="O48" s="282" t="s">
        <v>64</v>
      </c>
      <c r="P48" s="282" t="n">
        <f aca="false">COUNTIF($J$2:$J$476,"2")</f>
        <v>5</v>
      </c>
      <c r="Q48" s="282"/>
      <c r="R48" s="282"/>
      <c r="S48" s="316" t="n">
        <f aca="false">(P48/P59)</f>
        <v>0.0458715596330275</v>
      </c>
    </row>
    <row r="49" customFormat="false" ht="12.75" hidden="false" customHeight="true" outlineLevel="0" collapsed="false">
      <c r="A49" s="594" t="n">
        <v>4806</v>
      </c>
      <c r="B49" s="458" t="s">
        <v>19347</v>
      </c>
      <c r="C49" s="458" t="n">
        <v>2002</v>
      </c>
      <c r="D49" s="459" t="n">
        <v>37613</v>
      </c>
      <c r="E49" s="458" t="s">
        <v>19348</v>
      </c>
      <c r="F49" s="458" t="s">
        <v>9764</v>
      </c>
      <c r="G49" s="458" t="s">
        <v>1474</v>
      </c>
      <c r="H49" s="458" t="s">
        <v>2421</v>
      </c>
      <c r="I49" s="459" t="n">
        <v>38930</v>
      </c>
      <c r="J49" s="460" t="n">
        <v>8</v>
      </c>
      <c r="K49" s="633" t="s">
        <v>47</v>
      </c>
      <c r="L49" s="458" t="s">
        <v>60</v>
      </c>
      <c r="M49" s="463" t="n">
        <f aca="false">I49-D49</f>
        <v>1317</v>
      </c>
      <c r="N49" s="4"/>
      <c r="O49" s="283" t="s">
        <v>66</v>
      </c>
      <c r="P49" s="283" t="n">
        <f aca="false">COUNTIF($J$2:$J$476,"3")</f>
        <v>8</v>
      </c>
      <c r="Q49" s="283"/>
      <c r="R49" s="283"/>
      <c r="S49" s="315" t="n">
        <f aca="false">(P49/P59)</f>
        <v>0.073394495412844</v>
      </c>
      <c r="T49" s="153"/>
    </row>
    <row r="50" customFormat="false" ht="12.75" hidden="false" customHeight="true" outlineLevel="0" collapsed="false">
      <c r="A50" s="602" t="n">
        <v>4906</v>
      </c>
      <c r="B50" s="450" t="s">
        <v>19349</v>
      </c>
      <c r="C50" s="450" t="n">
        <v>2001</v>
      </c>
      <c r="D50" s="451" t="n">
        <v>37146</v>
      </c>
      <c r="E50" s="450" t="s">
        <v>19350</v>
      </c>
      <c r="F50" s="450" t="s">
        <v>19351</v>
      </c>
      <c r="G50" s="450" t="s">
        <v>125</v>
      </c>
      <c r="H50" s="450" t="s">
        <v>391</v>
      </c>
      <c r="I50" s="451" t="n">
        <v>38932</v>
      </c>
      <c r="J50" s="452" t="n">
        <v>8</v>
      </c>
      <c r="K50" s="632" t="s">
        <v>50</v>
      </c>
      <c r="L50" s="452" t="s">
        <v>61</v>
      </c>
      <c r="M50" s="455" t="n">
        <f aca="false">I50-D50</f>
        <v>1786</v>
      </c>
      <c r="N50" s="4"/>
      <c r="O50" s="282" t="s">
        <v>67</v>
      </c>
      <c r="P50" s="282" t="n">
        <f aca="false">COUNTIF($J$2:$J$476,"4")</f>
        <v>4</v>
      </c>
      <c r="Q50" s="282"/>
      <c r="R50" s="282"/>
      <c r="S50" s="316" t="n">
        <f aca="false">(P50/P59)</f>
        <v>0.036697247706422</v>
      </c>
      <c r="T50" s="153"/>
    </row>
    <row r="51" customFormat="false" ht="12.75" hidden="false" customHeight="true" outlineLevel="0" collapsed="false">
      <c r="A51" s="594" t="n">
        <v>5006</v>
      </c>
      <c r="B51" s="458" t="s">
        <v>19352</v>
      </c>
      <c r="C51" s="458" t="n">
        <v>2004</v>
      </c>
      <c r="D51" s="459" t="n">
        <v>38133</v>
      </c>
      <c r="E51" s="458" t="s">
        <v>19353</v>
      </c>
      <c r="F51" s="458" t="s">
        <v>15092</v>
      </c>
      <c r="G51" s="458" t="s">
        <v>144</v>
      </c>
      <c r="H51" s="458" t="s">
        <v>2654</v>
      </c>
      <c r="I51" s="459" t="n">
        <v>38933</v>
      </c>
      <c r="J51" s="460" t="n">
        <v>8</v>
      </c>
      <c r="K51" s="631" t="s">
        <v>42</v>
      </c>
      <c r="L51" s="458" t="s">
        <v>58</v>
      </c>
      <c r="M51" s="463" t="n">
        <f aca="false">I51-D51</f>
        <v>800</v>
      </c>
      <c r="N51" s="4"/>
      <c r="O51" s="283" t="s">
        <v>68</v>
      </c>
      <c r="P51" s="283" t="n">
        <f aca="false">COUNTIF($J$2:$J$476,"5")</f>
        <v>7</v>
      </c>
      <c r="Q51" s="283"/>
      <c r="R51" s="283"/>
      <c r="S51" s="315" t="n">
        <f aca="false">(P51/P59)</f>
        <v>0.0642201834862385</v>
      </c>
      <c r="T51" s="153"/>
    </row>
    <row r="52" customFormat="false" ht="12.75" hidden="false" customHeight="true" outlineLevel="0" collapsed="false">
      <c r="A52" s="602" t="n">
        <v>5106</v>
      </c>
      <c r="B52" s="450" t="s">
        <v>19354</v>
      </c>
      <c r="C52" s="450" t="n">
        <v>2005</v>
      </c>
      <c r="D52" s="451" t="n">
        <v>38370</v>
      </c>
      <c r="E52" s="450" t="s">
        <v>19355</v>
      </c>
      <c r="F52" s="450" t="s">
        <v>1693</v>
      </c>
      <c r="G52" s="450" t="s">
        <v>1174</v>
      </c>
      <c r="H52" s="450" t="s">
        <v>13006</v>
      </c>
      <c r="I52" s="451" t="n">
        <v>38938</v>
      </c>
      <c r="J52" s="452" t="n">
        <v>8</v>
      </c>
      <c r="K52" s="633" t="s">
        <v>47</v>
      </c>
      <c r="L52" s="452" t="s">
        <v>58</v>
      </c>
      <c r="M52" s="455" t="n">
        <f aca="false">I52-D52</f>
        <v>568</v>
      </c>
      <c r="N52" s="4"/>
      <c r="O52" s="282" t="s">
        <v>70</v>
      </c>
      <c r="P52" s="282" t="n">
        <f aca="false">COUNTIF($J$2:$J$476,"6")</f>
        <v>5</v>
      </c>
      <c r="Q52" s="282"/>
      <c r="R52" s="282"/>
      <c r="S52" s="316" t="n">
        <f aca="false">(P52/P59)</f>
        <v>0.0458715596330275</v>
      </c>
      <c r="T52" s="153"/>
    </row>
    <row r="53" customFormat="false" ht="12.75" hidden="false" customHeight="true" outlineLevel="0" collapsed="false">
      <c r="A53" s="594" t="n">
        <v>5206</v>
      </c>
      <c r="B53" s="458" t="s">
        <v>19356</v>
      </c>
      <c r="C53" s="458" t="n">
        <v>2005</v>
      </c>
      <c r="D53" s="459" t="n">
        <v>38362</v>
      </c>
      <c r="E53" s="458" t="s">
        <v>19357</v>
      </c>
      <c r="F53" s="458" t="s">
        <v>211</v>
      </c>
      <c r="G53" s="458" t="s">
        <v>1174</v>
      </c>
      <c r="H53" s="458" t="s">
        <v>2677</v>
      </c>
      <c r="I53" s="459" t="n">
        <v>38938</v>
      </c>
      <c r="J53" s="460" t="n">
        <v>8</v>
      </c>
      <c r="K53" s="633" t="s">
        <v>47</v>
      </c>
      <c r="L53" s="458" t="s">
        <v>58</v>
      </c>
      <c r="M53" s="463" t="n">
        <f aca="false">I53-D53</f>
        <v>576</v>
      </c>
      <c r="N53" s="4"/>
      <c r="O53" s="283" t="s">
        <v>72</v>
      </c>
      <c r="P53" s="283" t="n">
        <f aca="false">COUNTIF($J$2:$J$476,"7")</f>
        <v>10</v>
      </c>
      <c r="Q53" s="283"/>
      <c r="R53" s="283"/>
      <c r="S53" s="315" t="n">
        <f aca="false">(P53/P59)</f>
        <v>0.0917431192660551</v>
      </c>
      <c r="T53" s="153"/>
    </row>
    <row r="54" customFormat="false" ht="12.75" hidden="false" customHeight="true" outlineLevel="0" collapsed="false">
      <c r="A54" s="602" t="n">
        <v>5306</v>
      </c>
      <c r="B54" s="450" t="s">
        <v>19358</v>
      </c>
      <c r="C54" s="450" t="n">
        <v>2002</v>
      </c>
      <c r="D54" s="451" t="n">
        <v>37441</v>
      </c>
      <c r="E54" s="450" t="s">
        <v>19359</v>
      </c>
      <c r="F54" s="450" t="s">
        <v>19360</v>
      </c>
      <c r="G54" s="450" t="s">
        <v>144</v>
      </c>
      <c r="H54" s="450" t="s">
        <v>6480</v>
      </c>
      <c r="I54" s="451" t="n">
        <v>38939</v>
      </c>
      <c r="J54" s="452" t="n">
        <v>8</v>
      </c>
      <c r="K54" s="633" t="s">
        <v>47</v>
      </c>
      <c r="L54" s="452" t="s">
        <v>61</v>
      </c>
      <c r="M54" s="455" t="n">
        <f aca="false">I54-D54</f>
        <v>1498</v>
      </c>
      <c r="N54" s="4"/>
      <c r="O54" s="282" t="s">
        <v>74</v>
      </c>
      <c r="P54" s="282" t="n">
        <f aca="false">COUNTIF($J$2:$J$476,"8")</f>
        <v>13</v>
      </c>
      <c r="Q54" s="282"/>
      <c r="R54" s="282"/>
      <c r="S54" s="316" t="n">
        <f aca="false">(P54/P59)</f>
        <v>0.119266055045872</v>
      </c>
      <c r="T54" s="153"/>
    </row>
    <row r="55" customFormat="false" ht="12.75" hidden="false" customHeight="true" outlineLevel="0" collapsed="false">
      <c r="A55" s="594" t="n">
        <v>5406</v>
      </c>
      <c r="B55" s="458" t="s">
        <v>19361</v>
      </c>
      <c r="C55" s="458" t="n">
        <v>2002</v>
      </c>
      <c r="D55" s="459" t="n">
        <v>37441</v>
      </c>
      <c r="E55" s="458" t="s">
        <v>19362</v>
      </c>
      <c r="F55" s="458" t="s">
        <v>19360</v>
      </c>
      <c r="G55" s="458" t="s">
        <v>144</v>
      </c>
      <c r="H55" s="458" t="s">
        <v>6480</v>
      </c>
      <c r="I55" s="459" t="n">
        <v>38939</v>
      </c>
      <c r="J55" s="460" t="n">
        <v>8</v>
      </c>
      <c r="K55" s="633" t="s">
        <v>47</v>
      </c>
      <c r="L55" s="458" t="s">
        <v>61</v>
      </c>
      <c r="M55" s="463" t="n">
        <f aca="false">I55-D55</f>
        <v>1498</v>
      </c>
      <c r="N55" s="4"/>
      <c r="O55" s="283" t="s">
        <v>76</v>
      </c>
      <c r="P55" s="283" t="n">
        <f aca="false">COUNTIF($J$2:$J$476,"9")</f>
        <v>5</v>
      </c>
      <c r="Q55" s="283"/>
      <c r="R55" s="283"/>
      <c r="S55" s="315" t="n">
        <f aca="false">(P55/P59)</f>
        <v>0.0458715596330275</v>
      </c>
      <c r="T55" s="153"/>
    </row>
    <row r="56" customFormat="false" ht="12.75" hidden="false" customHeight="true" outlineLevel="0" collapsed="false">
      <c r="A56" s="602" t="n">
        <v>5506</v>
      </c>
      <c r="B56" s="450" t="s">
        <v>19363</v>
      </c>
      <c r="C56" s="450" t="n">
        <v>2002</v>
      </c>
      <c r="D56" s="451" t="n">
        <v>37441</v>
      </c>
      <c r="E56" s="450" t="s">
        <v>19364</v>
      </c>
      <c r="F56" s="450" t="s">
        <v>19360</v>
      </c>
      <c r="G56" s="450" t="s">
        <v>144</v>
      </c>
      <c r="H56" s="450" t="s">
        <v>6480</v>
      </c>
      <c r="I56" s="451" t="n">
        <v>38939</v>
      </c>
      <c r="J56" s="452" t="n">
        <v>8</v>
      </c>
      <c r="K56" s="633" t="s">
        <v>47</v>
      </c>
      <c r="L56" s="452" t="s">
        <v>61</v>
      </c>
      <c r="M56" s="455" t="n">
        <f aca="false">I56-D56</f>
        <v>1498</v>
      </c>
      <c r="N56" s="4"/>
      <c r="O56" s="282" t="s">
        <v>78</v>
      </c>
      <c r="P56" s="282" t="n">
        <f aca="false">COUNTIF($J$2:$J$476,"10")</f>
        <v>8</v>
      </c>
      <c r="Q56" s="282"/>
      <c r="R56" s="282"/>
      <c r="S56" s="316" t="n">
        <f aca="false">(P56/P59)</f>
        <v>0.073394495412844</v>
      </c>
      <c r="T56" s="153"/>
    </row>
    <row r="57" customFormat="false" ht="12.75" hidden="false" customHeight="true" outlineLevel="0" collapsed="false">
      <c r="A57" s="594" t="n">
        <v>5606</v>
      </c>
      <c r="B57" s="458" t="s">
        <v>19365</v>
      </c>
      <c r="C57" s="458" t="n">
        <v>2004</v>
      </c>
      <c r="D57" s="459" t="n">
        <v>38275</v>
      </c>
      <c r="E57" s="458" t="s">
        <v>19366</v>
      </c>
      <c r="F57" s="458" t="s">
        <v>15113</v>
      </c>
      <c r="G57" s="458" t="s">
        <v>144</v>
      </c>
      <c r="H57" s="458" t="s">
        <v>10110</v>
      </c>
      <c r="I57" s="459" t="n">
        <v>38943</v>
      </c>
      <c r="J57" s="460" t="n">
        <v>8</v>
      </c>
      <c r="K57" s="633" t="s">
        <v>47</v>
      </c>
      <c r="L57" s="458" t="s">
        <v>60</v>
      </c>
      <c r="M57" s="463" t="n">
        <f aca="false">I57-D57</f>
        <v>668</v>
      </c>
      <c r="N57" s="4"/>
      <c r="O57" s="283" t="s">
        <v>80</v>
      </c>
      <c r="P57" s="283" t="n">
        <f aca="false">COUNTIF($J$2:$J$476,"11")</f>
        <v>11</v>
      </c>
      <c r="Q57" s="283"/>
      <c r="R57" s="283"/>
      <c r="S57" s="315" t="n">
        <f aca="false">(P57/P59)</f>
        <v>0.100917431192661</v>
      </c>
      <c r="T57" s="153"/>
    </row>
    <row r="58" customFormat="false" ht="12.75" hidden="false" customHeight="true" outlineLevel="0" collapsed="false">
      <c r="A58" s="602" t="n">
        <v>5706</v>
      </c>
      <c r="B58" s="450" t="s">
        <v>19367</v>
      </c>
      <c r="C58" s="450" t="n">
        <v>2002</v>
      </c>
      <c r="D58" s="451" t="n">
        <v>37512</v>
      </c>
      <c r="E58" s="450" t="s">
        <v>19368</v>
      </c>
      <c r="F58" s="450" t="s">
        <v>19342</v>
      </c>
      <c r="G58" s="450" t="s">
        <v>1174</v>
      </c>
      <c r="H58" s="450" t="s">
        <v>12073</v>
      </c>
      <c r="I58" s="451" t="n">
        <v>38943</v>
      </c>
      <c r="J58" s="452" t="n">
        <v>8</v>
      </c>
      <c r="K58" s="633" t="s">
        <v>47</v>
      </c>
      <c r="L58" s="452" t="s">
        <v>60</v>
      </c>
      <c r="M58" s="455" t="n">
        <f aca="false">I58-D58</f>
        <v>1431</v>
      </c>
      <c r="N58" s="4"/>
      <c r="O58" s="336" t="s">
        <v>82</v>
      </c>
      <c r="P58" s="282" t="n">
        <f aca="false">COUNTIF($J$2:$J$476,"12")</f>
        <v>27</v>
      </c>
      <c r="Q58" s="282"/>
      <c r="R58" s="282"/>
      <c r="S58" s="470" t="n">
        <f aca="false">(P58/P59)</f>
        <v>0.247706422018349</v>
      </c>
      <c r="T58" s="153"/>
    </row>
    <row r="59" customFormat="false" ht="12.75" hidden="false" customHeight="true" outlineLevel="0" collapsed="false">
      <c r="A59" s="594" t="n">
        <v>5806</v>
      </c>
      <c r="B59" s="458" t="s">
        <v>19369</v>
      </c>
      <c r="C59" s="458" t="n">
        <v>2004</v>
      </c>
      <c r="D59" s="459" t="n">
        <v>37995</v>
      </c>
      <c r="E59" s="458" t="s">
        <v>19370</v>
      </c>
      <c r="F59" s="458" t="s">
        <v>14177</v>
      </c>
      <c r="G59" s="458" t="s">
        <v>144</v>
      </c>
      <c r="H59" s="458" t="s">
        <v>2421</v>
      </c>
      <c r="I59" s="459" t="n">
        <v>38954</v>
      </c>
      <c r="J59" s="460" t="n">
        <v>8</v>
      </c>
      <c r="K59" s="631" t="s">
        <v>42</v>
      </c>
      <c r="L59" s="458" t="s">
        <v>60</v>
      </c>
      <c r="M59" s="463" t="n">
        <f aca="false">I59-D59</f>
        <v>959</v>
      </c>
      <c r="N59" s="4"/>
      <c r="O59" s="323" t="s">
        <v>54</v>
      </c>
      <c r="P59" s="418" t="n">
        <f aca="false">SUM(P47:R58)</f>
        <v>109</v>
      </c>
      <c r="Q59" s="418"/>
      <c r="R59" s="418"/>
      <c r="S59" s="325" t="n">
        <f aca="false">SUM(S47:S58)</f>
        <v>1</v>
      </c>
      <c r="T59" s="153"/>
    </row>
    <row r="60" customFormat="false" ht="12.75" hidden="false" customHeight="true" outlineLevel="0" collapsed="false">
      <c r="A60" s="602" t="n">
        <v>5906</v>
      </c>
      <c r="B60" s="450" t="s">
        <v>19371</v>
      </c>
      <c r="C60" s="450" t="n">
        <v>2004</v>
      </c>
      <c r="D60" s="451" t="n">
        <v>37995</v>
      </c>
      <c r="E60" s="450" t="s">
        <v>19372</v>
      </c>
      <c r="F60" s="450" t="s">
        <v>14177</v>
      </c>
      <c r="G60" s="450" t="s">
        <v>1474</v>
      </c>
      <c r="H60" s="450" t="s">
        <v>2421</v>
      </c>
      <c r="I60" s="451" t="n">
        <v>38965</v>
      </c>
      <c r="J60" s="452" t="n">
        <v>9</v>
      </c>
      <c r="K60" s="631" t="s">
        <v>42</v>
      </c>
      <c r="L60" s="452" t="s">
        <v>60</v>
      </c>
      <c r="M60" s="455" t="n">
        <f aca="false">I60-D60</f>
        <v>970</v>
      </c>
      <c r="N60" s="4"/>
      <c r="O60" s="153"/>
      <c r="P60" s="153"/>
      <c r="Q60" s="153"/>
      <c r="R60" s="153"/>
      <c r="S60" s="153"/>
      <c r="T60" s="153"/>
    </row>
    <row r="61" customFormat="false" ht="13.5" hidden="false" customHeight="true" outlineLevel="0" collapsed="false">
      <c r="A61" s="594" t="n">
        <v>6006</v>
      </c>
      <c r="B61" s="458" t="s">
        <v>19373</v>
      </c>
      <c r="C61" s="458" t="n">
        <v>2005</v>
      </c>
      <c r="D61" s="459" t="n">
        <v>38603</v>
      </c>
      <c r="E61" s="458" t="s">
        <v>19374</v>
      </c>
      <c r="F61" s="458" t="s">
        <v>12477</v>
      </c>
      <c r="G61" s="458" t="s">
        <v>144</v>
      </c>
      <c r="H61" s="458" t="s">
        <v>134</v>
      </c>
      <c r="I61" s="459" t="n">
        <v>38968</v>
      </c>
      <c r="J61" s="460" t="n">
        <v>9</v>
      </c>
      <c r="K61" s="633" t="s">
        <v>47</v>
      </c>
      <c r="L61" s="458" t="s">
        <v>60</v>
      </c>
      <c r="M61" s="463" t="n">
        <f aca="false">I61-D61</f>
        <v>365</v>
      </c>
      <c r="N61" s="4"/>
      <c r="O61" s="339" t="s">
        <v>335</v>
      </c>
      <c r="P61" s="339"/>
      <c r="Q61" s="339"/>
      <c r="R61" s="339"/>
      <c r="S61" s="339"/>
      <c r="T61" s="339"/>
    </row>
    <row r="62" customFormat="false" ht="12.75" hidden="false" customHeight="true" outlineLevel="0" collapsed="false">
      <c r="A62" s="602" t="n">
        <v>6106</v>
      </c>
      <c r="B62" s="450" t="s">
        <v>19375</v>
      </c>
      <c r="C62" s="450" t="n">
        <v>2004</v>
      </c>
      <c r="D62" s="451" t="n">
        <v>38061</v>
      </c>
      <c r="E62" s="450" t="s">
        <v>19376</v>
      </c>
      <c r="F62" s="450" t="s">
        <v>705</v>
      </c>
      <c r="G62" s="450" t="s">
        <v>144</v>
      </c>
      <c r="H62" s="450" t="s">
        <v>2654</v>
      </c>
      <c r="I62" s="451" t="n">
        <v>38974</v>
      </c>
      <c r="J62" s="452" t="n">
        <v>9</v>
      </c>
      <c r="K62" s="633" t="s">
        <v>47</v>
      </c>
      <c r="L62" s="452" t="s">
        <v>60</v>
      </c>
      <c r="M62" s="455" t="n">
        <f aca="false">I62-D62</f>
        <v>913</v>
      </c>
      <c r="N62" s="4"/>
      <c r="O62" s="339"/>
      <c r="P62" s="339"/>
      <c r="Q62" s="339"/>
      <c r="R62" s="339"/>
      <c r="S62" s="339"/>
      <c r="T62" s="339"/>
    </row>
    <row r="63" customFormat="false" ht="12.75" hidden="false" customHeight="true" outlineLevel="0" collapsed="false">
      <c r="A63" s="594" t="n">
        <v>6206</v>
      </c>
      <c r="B63" s="458" t="s">
        <v>19377</v>
      </c>
      <c r="C63" s="458" t="n">
        <v>2001</v>
      </c>
      <c r="D63" s="459" t="n">
        <v>37167</v>
      </c>
      <c r="E63" s="458" t="s">
        <v>19378</v>
      </c>
      <c r="F63" s="458" t="s">
        <v>18451</v>
      </c>
      <c r="G63" s="458" t="s">
        <v>1474</v>
      </c>
      <c r="H63" s="458" t="s">
        <v>19343</v>
      </c>
      <c r="I63" s="459" t="n">
        <v>38979</v>
      </c>
      <c r="J63" s="460" t="n">
        <v>9</v>
      </c>
      <c r="K63" s="633" t="s">
        <v>47</v>
      </c>
      <c r="L63" s="458" t="s">
        <v>60</v>
      </c>
      <c r="M63" s="463" t="n">
        <f aca="false">I63-D63</f>
        <v>1812</v>
      </c>
      <c r="N63" s="4"/>
      <c r="O63" s="340" t="s">
        <v>38</v>
      </c>
      <c r="P63" s="340"/>
      <c r="Q63" s="340"/>
      <c r="R63" s="340"/>
      <c r="S63" s="341" t="s">
        <v>343</v>
      </c>
      <c r="T63" s="342" t="s">
        <v>41</v>
      </c>
    </row>
    <row r="64" customFormat="false" ht="12.75" hidden="false" customHeight="true" outlineLevel="0" collapsed="false">
      <c r="A64" s="602" t="n">
        <v>6306</v>
      </c>
      <c r="B64" s="450" t="s">
        <v>19379</v>
      </c>
      <c r="C64" s="450" t="n">
        <v>1999</v>
      </c>
      <c r="D64" s="451" t="n">
        <v>36237</v>
      </c>
      <c r="E64" s="450" t="s">
        <v>19380</v>
      </c>
      <c r="F64" s="450" t="s">
        <v>10617</v>
      </c>
      <c r="G64" s="450" t="s">
        <v>144</v>
      </c>
      <c r="H64" s="450" t="s">
        <v>3339</v>
      </c>
      <c r="I64" s="451" t="n">
        <v>38989</v>
      </c>
      <c r="J64" s="452" t="n">
        <v>9</v>
      </c>
      <c r="K64" s="632" t="s">
        <v>50</v>
      </c>
      <c r="L64" s="452" t="s">
        <v>58</v>
      </c>
      <c r="M64" s="455" t="n">
        <f aca="false">I64-D64</f>
        <v>2752</v>
      </c>
      <c r="N64" s="4"/>
      <c r="O64" s="471" t="s">
        <v>42</v>
      </c>
      <c r="P64" s="471"/>
      <c r="Q64" s="471"/>
      <c r="R64" s="471"/>
      <c r="S64" s="471" t="n">
        <f aca="false">COUNTIF($K$1:$K$494,"I - Extremamente tóxico")</f>
        <v>32</v>
      </c>
      <c r="T64" s="472" t="n">
        <f aca="false">(S64/S76)</f>
        <v>0.293577981651376</v>
      </c>
    </row>
    <row r="65" customFormat="false" ht="12.75" hidden="false" customHeight="true" outlineLevel="0" collapsed="false">
      <c r="A65" s="594" t="n">
        <v>6406</v>
      </c>
      <c r="B65" s="594" t="s">
        <v>10996</v>
      </c>
      <c r="C65" s="594" t="s">
        <v>10996</v>
      </c>
      <c r="D65" s="595" t="s">
        <v>10996</v>
      </c>
      <c r="E65" s="594" t="s">
        <v>10996</v>
      </c>
      <c r="F65" s="594" t="s">
        <v>10996</v>
      </c>
      <c r="G65" s="594" t="s">
        <v>10996</v>
      </c>
      <c r="H65" s="594" t="s">
        <v>10996</v>
      </c>
      <c r="I65" s="595" t="s">
        <v>10996</v>
      </c>
      <c r="J65" s="283" t="s">
        <v>10996</v>
      </c>
      <c r="K65" s="283" t="s">
        <v>10996</v>
      </c>
      <c r="L65" s="594" t="s">
        <v>10996</v>
      </c>
      <c r="M65" s="594" t="s">
        <v>10996</v>
      </c>
      <c r="N65" s="4"/>
      <c r="O65" s="345" t="s">
        <v>43</v>
      </c>
      <c r="P65" s="345"/>
      <c r="Q65" s="345"/>
      <c r="R65" s="345"/>
      <c r="S65" s="345" t="n">
        <f aca="false">COUNTIF($K$2:$K$476,"Categoria 1 - Produto Extremamente Tóxico")</f>
        <v>0</v>
      </c>
      <c r="T65" s="473" t="n">
        <f aca="false">(S65/S76)</f>
        <v>0</v>
      </c>
    </row>
    <row r="66" customFormat="false" ht="12.75" hidden="false" customHeight="true" outlineLevel="0" collapsed="false">
      <c r="A66" s="602" t="n">
        <v>6506</v>
      </c>
      <c r="B66" s="450" t="s">
        <v>19381</v>
      </c>
      <c r="C66" s="450" t="n">
        <v>2005</v>
      </c>
      <c r="D66" s="451" t="n">
        <v>38663</v>
      </c>
      <c r="E66" s="450" t="s">
        <v>19382</v>
      </c>
      <c r="F66" s="450" t="s">
        <v>19383</v>
      </c>
      <c r="G66" s="450" t="s">
        <v>125</v>
      </c>
      <c r="H66" s="450" t="s">
        <v>391</v>
      </c>
      <c r="I66" s="451" t="n">
        <v>38999</v>
      </c>
      <c r="J66" s="452" t="n">
        <v>10</v>
      </c>
      <c r="K66" s="632" t="s">
        <v>50</v>
      </c>
      <c r="L66" s="452" t="s">
        <v>61</v>
      </c>
      <c r="M66" s="455" t="n">
        <f aca="false">I66-D66</f>
        <v>336</v>
      </c>
      <c r="N66" s="4"/>
      <c r="O66" s="345" t="s">
        <v>44</v>
      </c>
      <c r="P66" s="345"/>
      <c r="Q66" s="345"/>
      <c r="R66" s="345"/>
      <c r="S66" s="345" t="n">
        <f aca="false">COUNTIF($K$2:$K$476,"Categoria 2 - Produto Altamente Tóxico")</f>
        <v>0</v>
      </c>
      <c r="T66" s="473" t="n">
        <f aca="false">(S66/S76)</f>
        <v>0</v>
      </c>
    </row>
    <row r="67" customFormat="false" ht="12.75" hidden="false" customHeight="true" outlineLevel="0" collapsed="false">
      <c r="A67" s="594" t="n">
        <v>6606</v>
      </c>
      <c r="B67" s="458" t="s">
        <v>19384</v>
      </c>
      <c r="C67" s="458" t="n">
        <v>2004</v>
      </c>
      <c r="D67" s="459" t="n">
        <v>38071</v>
      </c>
      <c r="E67" s="458" t="s">
        <v>19385</v>
      </c>
      <c r="F67" s="458" t="s">
        <v>10000</v>
      </c>
      <c r="G67" s="458" t="s">
        <v>144</v>
      </c>
      <c r="H67" s="458" t="s">
        <v>3339</v>
      </c>
      <c r="I67" s="459" t="n">
        <v>38999</v>
      </c>
      <c r="J67" s="460" t="n">
        <v>10</v>
      </c>
      <c r="K67" s="631" t="s">
        <v>42</v>
      </c>
      <c r="L67" s="458" t="s">
        <v>58</v>
      </c>
      <c r="M67" s="463" t="n">
        <f aca="false">I67-D67</f>
        <v>928</v>
      </c>
      <c r="N67" s="4"/>
      <c r="O67" s="349" t="s">
        <v>45</v>
      </c>
      <c r="P67" s="349"/>
      <c r="Q67" s="349"/>
      <c r="R67" s="349"/>
      <c r="S67" s="349" t="n">
        <f aca="false">COUNTIF($K$2:$K$476,"II - Altamente tóxico")</f>
        <v>21</v>
      </c>
      <c r="T67" s="474" t="n">
        <f aca="false">(S67/S76)</f>
        <v>0.192660550458716</v>
      </c>
    </row>
    <row r="68" customFormat="false" ht="12.75" hidden="false" customHeight="true" outlineLevel="0" collapsed="false">
      <c r="A68" s="602" t="n">
        <v>6706</v>
      </c>
      <c r="B68" s="450" t="s">
        <v>19386</v>
      </c>
      <c r="C68" s="450" t="n">
        <v>2002</v>
      </c>
      <c r="D68" s="451" t="n">
        <v>37620</v>
      </c>
      <c r="E68" s="450" t="s">
        <v>19387</v>
      </c>
      <c r="F68" s="450" t="s">
        <v>19388</v>
      </c>
      <c r="G68" s="450" t="s">
        <v>144</v>
      </c>
      <c r="H68" s="450" t="s">
        <v>10110</v>
      </c>
      <c r="I68" s="451" t="n">
        <v>39000</v>
      </c>
      <c r="J68" s="452" t="n">
        <v>10</v>
      </c>
      <c r="K68" s="631" t="s">
        <v>42</v>
      </c>
      <c r="L68" s="452" t="s">
        <v>58</v>
      </c>
      <c r="M68" s="455" t="n">
        <f aca="false">I68-D68</f>
        <v>1380</v>
      </c>
      <c r="N68" s="4"/>
      <c r="O68" s="349" t="s">
        <v>46</v>
      </c>
      <c r="P68" s="349"/>
      <c r="Q68" s="349"/>
      <c r="R68" s="349"/>
      <c r="S68" s="349" t="n">
        <f aca="false">COUNTIF($K$2:$K$476,"Categoria 3 - Produto Moderadamente Tóxico")</f>
        <v>0</v>
      </c>
      <c r="T68" s="474" t="n">
        <f aca="false">(S68/S76)</f>
        <v>0</v>
      </c>
    </row>
    <row r="69" customFormat="false" ht="12.75" hidden="false" customHeight="true" outlineLevel="0" collapsed="false">
      <c r="A69" s="594" t="n">
        <v>6806</v>
      </c>
      <c r="B69" s="458" t="s">
        <v>19389</v>
      </c>
      <c r="C69" s="458" t="n">
        <v>2005</v>
      </c>
      <c r="D69" s="459" t="n">
        <v>38514</v>
      </c>
      <c r="E69" s="458" t="s">
        <v>19390</v>
      </c>
      <c r="F69" s="458" t="s">
        <v>19391</v>
      </c>
      <c r="G69" s="458" t="s">
        <v>125</v>
      </c>
      <c r="H69" s="458" t="s">
        <v>391</v>
      </c>
      <c r="I69" s="459" t="n">
        <v>39006</v>
      </c>
      <c r="J69" s="460" t="n">
        <v>10</v>
      </c>
      <c r="K69" s="632" t="s">
        <v>50</v>
      </c>
      <c r="L69" s="458" t="s">
        <v>61</v>
      </c>
      <c r="M69" s="463" t="n">
        <f aca="false">I69-D69</f>
        <v>492</v>
      </c>
      <c r="N69" s="4"/>
      <c r="O69" s="351" t="s">
        <v>47</v>
      </c>
      <c r="P69" s="351"/>
      <c r="Q69" s="351"/>
      <c r="R69" s="351"/>
      <c r="S69" s="351" t="n">
        <f aca="false">COUNTIF($K$2:$K$476,"III - Medianamente tóxico")</f>
        <v>43</v>
      </c>
      <c r="T69" s="475" t="n">
        <f aca="false">(S69/S76)</f>
        <v>0.394495412844037</v>
      </c>
    </row>
    <row r="70" customFormat="false" ht="12.75" hidden="false" customHeight="true" outlineLevel="0" collapsed="false">
      <c r="A70" s="602" t="n">
        <v>6906</v>
      </c>
      <c r="B70" s="450" t="s">
        <v>19392</v>
      </c>
      <c r="C70" s="450" t="n">
        <v>2005</v>
      </c>
      <c r="D70" s="451" t="n">
        <v>38566</v>
      </c>
      <c r="E70" s="450" t="s">
        <v>19393</v>
      </c>
      <c r="F70" s="450" t="s">
        <v>1609</v>
      </c>
      <c r="G70" s="450" t="s">
        <v>1174</v>
      </c>
      <c r="H70" s="450" t="s">
        <v>1059</v>
      </c>
      <c r="I70" s="451" t="n">
        <v>39008</v>
      </c>
      <c r="J70" s="452" t="n">
        <v>10</v>
      </c>
      <c r="K70" s="634" t="s">
        <v>45</v>
      </c>
      <c r="L70" s="452" t="s">
        <v>57</v>
      </c>
      <c r="M70" s="455" t="n">
        <f aca="false">I70-D70</f>
        <v>442</v>
      </c>
      <c r="N70" s="4"/>
      <c r="O70" s="351" t="s">
        <v>48</v>
      </c>
      <c r="P70" s="351"/>
      <c r="Q70" s="351"/>
      <c r="R70" s="351"/>
      <c r="S70" s="351" t="n">
        <f aca="false">COUNTIF($K$2:$K$476,"Categoria 4 - Produto Pouco Tóxico")</f>
        <v>0</v>
      </c>
      <c r="T70" s="475" t="n">
        <f aca="false">(S70/S76)</f>
        <v>0</v>
      </c>
    </row>
    <row r="71" customFormat="false" ht="12.75" hidden="false" customHeight="true" outlineLevel="0" collapsed="false">
      <c r="A71" s="594" t="n">
        <v>7006</v>
      </c>
      <c r="B71" s="458" t="s">
        <v>19394</v>
      </c>
      <c r="C71" s="458" t="n">
        <v>2004</v>
      </c>
      <c r="D71" s="459" t="n">
        <v>38127</v>
      </c>
      <c r="E71" s="458" t="s">
        <v>19395</v>
      </c>
      <c r="F71" s="458" t="s">
        <v>2193</v>
      </c>
      <c r="G71" s="458" t="s">
        <v>1188</v>
      </c>
      <c r="H71" s="458" t="s">
        <v>10110</v>
      </c>
      <c r="I71" s="459" t="n">
        <v>39008</v>
      </c>
      <c r="J71" s="460" t="n">
        <v>10</v>
      </c>
      <c r="K71" s="631" t="s">
        <v>42</v>
      </c>
      <c r="L71" s="458" t="s">
        <v>60</v>
      </c>
      <c r="M71" s="463" t="n">
        <f aca="false">I71-D71</f>
        <v>881</v>
      </c>
      <c r="N71" s="4"/>
      <c r="O71" s="351" t="s">
        <v>49</v>
      </c>
      <c r="P71" s="351"/>
      <c r="Q71" s="351"/>
      <c r="R71" s="351"/>
      <c r="S71" s="351" t="n">
        <f aca="false">COUNTIF($K$2:$K$476,"Categoria 5 - Produto Improvável de Causar Dano Agudo")</f>
        <v>0</v>
      </c>
      <c r="T71" s="475" t="n">
        <f aca="false">(S71/S76)</f>
        <v>0</v>
      </c>
    </row>
    <row r="72" customFormat="false" ht="12.75" hidden="false" customHeight="true" outlineLevel="0" collapsed="false">
      <c r="A72" s="602" t="n">
        <v>7106</v>
      </c>
      <c r="B72" s="450" t="s">
        <v>19396</v>
      </c>
      <c r="C72" s="450" t="n">
        <v>2005</v>
      </c>
      <c r="D72" s="451" t="n">
        <v>38475</v>
      </c>
      <c r="E72" s="450" t="s">
        <v>19397</v>
      </c>
      <c r="F72" s="450" t="s">
        <v>1357</v>
      </c>
      <c r="G72" s="450" t="s">
        <v>1174</v>
      </c>
      <c r="H72" s="450" t="s">
        <v>13006</v>
      </c>
      <c r="I72" s="451" t="n">
        <v>39008</v>
      </c>
      <c r="J72" s="452" t="n">
        <v>10</v>
      </c>
      <c r="K72" s="631" t="s">
        <v>42</v>
      </c>
      <c r="L72" s="452" t="s">
        <v>60</v>
      </c>
      <c r="M72" s="455" t="n">
        <f aca="false">I72-D72</f>
        <v>533</v>
      </c>
      <c r="N72" s="4"/>
      <c r="O72" s="353" t="s">
        <v>50</v>
      </c>
      <c r="P72" s="353"/>
      <c r="Q72" s="353"/>
      <c r="R72" s="353"/>
      <c r="S72" s="353" t="n">
        <f aca="false">COUNTIF($K$2:$K$476,"IV - Pouco tóxico")</f>
        <v>13</v>
      </c>
      <c r="T72" s="476" t="n">
        <f aca="false">(S72/S76)</f>
        <v>0.119266055045872</v>
      </c>
    </row>
    <row r="73" customFormat="false" ht="12.75" hidden="false" customHeight="true" outlineLevel="0" collapsed="false">
      <c r="A73" s="594" t="n">
        <v>7206</v>
      </c>
      <c r="B73" s="458" t="s">
        <v>19398</v>
      </c>
      <c r="C73" s="458" t="n">
        <v>2004</v>
      </c>
      <c r="D73" s="459" t="n">
        <v>38146</v>
      </c>
      <c r="E73" s="458" t="s">
        <v>19399</v>
      </c>
      <c r="F73" s="458" t="s">
        <v>19400</v>
      </c>
      <c r="G73" s="458" t="s">
        <v>115</v>
      </c>
      <c r="H73" s="458" t="s">
        <v>10110</v>
      </c>
      <c r="I73" s="459" t="n">
        <v>39020</v>
      </c>
      <c r="J73" s="460" t="n">
        <v>10</v>
      </c>
      <c r="K73" s="631" t="s">
        <v>42</v>
      </c>
      <c r="L73" s="458" t="s">
        <v>58</v>
      </c>
      <c r="M73" s="463" t="n">
        <f aca="false">I73-D73</f>
        <v>874</v>
      </c>
      <c r="N73" s="4"/>
      <c r="O73" s="353" t="s">
        <v>51</v>
      </c>
      <c r="P73" s="353"/>
      <c r="Q73" s="353"/>
      <c r="R73" s="353"/>
      <c r="S73" s="353" t="n">
        <f aca="false">COUNTIF($K$2:$K$476,"Não classificado - Produto não classificado")</f>
        <v>0</v>
      </c>
      <c r="T73" s="476" t="n">
        <f aca="false">(S73/S76)</f>
        <v>0</v>
      </c>
    </row>
    <row r="74" customFormat="false" ht="12.75" hidden="false" customHeight="true" outlineLevel="0" collapsed="false">
      <c r="A74" s="602" t="n">
        <v>7306</v>
      </c>
      <c r="B74" s="450" t="s">
        <v>19401</v>
      </c>
      <c r="C74" s="450" t="n">
        <v>2004</v>
      </c>
      <c r="D74" s="451" t="n">
        <v>38330</v>
      </c>
      <c r="E74" s="450" t="s">
        <v>19402</v>
      </c>
      <c r="F74" s="450" t="s">
        <v>211</v>
      </c>
      <c r="G74" s="450" t="s">
        <v>144</v>
      </c>
      <c r="H74" s="450" t="s">
        <v>1059</v>
      </c>
      <c r="I74" s="451" t="n">
        <v>39022</v>
      </c>
      <c r="J74" s="452" t="n">
        <v>11</v>
      </c>
      <c r="K74" s="631" t="s">
        <v>42</v>
      </c>
      <c r="L74" s="452" t="s">
        <v>58</v>
      </c>
      <c r="M74" s="455" t="n">
        <f aca="false">I74-D74</f>
        <v>692</v>
      </c>
      <c r="N74" s="4"/>
      <c r="O74" s="353" t="s">
        <v>2407</v>
      </c>
      <c r="P74" s="353"/>
      <c r="Q74" s="353"/>
      <c r="R74" s="353"/>
      <c r="S74" s="353" t="n">
        <f aca="false">COUNTIF($K$2:$K$476,"Não determinada devido à natureza do produto (Inimigos naturais)")</f>
        <v>0</v>
      </c>
      <c r="T74" s="476" t="n">
        <f aca="false">(S74/S76)</f>
        <v>0</v>
      </c>
    </row>
    <row r="75" customFormat="false" ht="12.75" hidden="false" customHeight="true" outlineLevel="0" collapsed="false">
      <c r="A75" s="594" t="n">
        <v>7406</v>
      </c>
      <c r="B75" s="458" t="s">
        <v>19403</v>
      </c>
      <c r="C75" s="458" t="n">
        <v>2005</v>
      </c>
      <c r="D75" s="459" t="n">
        <v>38552</v>
      </c>
      <c r="E75" s="458" t="s">
        <v>19404</v>
      </c>
      <c r="F75" s="458" t="s">
        <v>211</v>
      </c>
      <c r="G75" s="458" t="s">
        <v>144</v>
      </c>
      <c r="H75" s="458" t="s">
        <v>1059</v>
      </c>
      <c r="I75" s="459" t="n">
        <v>39022</v>
      </c>
      <c r="J75" s="460" t="n">
        <v>11</v>
      </c>
      <c r="K75" s="631" t="s">
        <v>42</v>
      </c>
      <c r="L75" s="458" t="s">
        <v>58</v>
      </c>
      <c r="M75" s="463" t="n">
        <f aca="false">I75-D75</f>
        <v>470</v>
      </c>
      <c r="N75" s="4"/>
      <c r="O75" s="478" t="s">
        <v>53</v>
      </c>
      <c r="P75" s="478"/>
      <c r="Q75" s="478"/>
      <c r="R75" s="478"/>
      <c r="S75" s="478" t="n">
        <f aca="false">COUNTIF($K$2:$K$476,"O perfil toxicológico foi considerado equivalente ao produto técnico de referência")</f>
        <v>0</v>
      </c>
      <c r="T75" s="479" t="n">
        <f aca="false">(S75/S76)</f>
        <v>0</v>
      </c>
    </row>
    <row r="76" customFormat="false" ht="12.75" hidden="false" customHeight="true" outlineLevel="0" collapsed="false">
      <c r="A76" s="602" t="n">
        <v>7506</v>
      </c>
      <c r="B76" s="450" t="s">
        <v>19405</v>
      </c>
      <c r="C76" s="450" t="n">
        <v>2004</v>
      </c>
      <c r="D76" s="451" t="n">
        <v>38110</v>
      </c>
      <c r="E76" s="450" t="s">
        <v>19406</v>
      </c>
      <c r="F76" s="450" t="s">
        <v>509</v>
      </c>
      <c r="G76" s="450" t="s">
        <v>1474</v>
      </c>
      <c r="H76" s="450" t="s">
        <v>373</v>
      </c>
      <c r="I76" s="451" t="n">
        <v>39024</v>
      </c>
      <c r="J76" s="452" t="n">
        <v>11</v>
      </c>
      <c r="K76" s="634" t="s">
        <v>45</v>
      </c>
      <c r="L76" s="452" t="s">
        <v>58</v>
      </c>
      <c r="M76" s="455" t="n">
        <f aca="false">I76-D76</f>
        <v>914</v>
      </c>
      <c r="N76" s="4"/>
      <c r="O76" s="419" t="s">
        <v>54</v>
      </c>
      <c r="P76" s="419"/>
      <c r="Q76" s="419"/>
      <c r="R76" s="419"/>
      <c r="S76" s="363" t="n">
        <f aca="false">SUM(S64:S75)</f>
        <v>109</v>
      </c>
      <c r="T76" s="364" t="n">
        <f aca="false">(S76/S76)</f>
        <v>1</v>
      </c>
    </row>
    <row r="77" customFormat="false" ht="12.75" hidden="false" customHeight="true" outlineLevel="0" collapsed="false">
      <c r="A77" s="594" t="n">
        <v>7606</v>
      </c>
      <c r="B77" s="458" t="s">
        <v>19407</v>
      </c>
      <c r="C77" s="458" t="n">
        <v>2004</v>
      </c>
      <c r="D77" s="459" t="n">
        <v>38173</v>
      </c>
      <c r="E77" s="458" t="s">
        <v>19408</v>
      </c>
      <c r="F77" s="458" t="s">
        <v>346</v>
      </c>
      <c r="G77" s="458" t="s">
        <v>1474</v>
      </c>
      <c r="H77" s="458" t="s">
        <v>373</v>
      </c>
      <c r="I77" s="459" t="n">
        <v>39024</v>
      </c>
      <c r="J77" s="460" t="n">
        <v>11</v>
      </c>
      <c r="K77" s="633" t="s">
        <v>47</v>
      </c>
      <c r="L77" s="458" t="s">
        <v>58</v>
      </c>
      <c r="M77" s="463" t="n">
        <f aca="false">I77-D77</f>
        <v>851</v>
      </c>
      <c r="N77" s="4"/>
      <c r="O77" s="153"/>
      <c r="P77" s="153"/>
      <c r="Q77" s="153"/>
      <c r="R77" s="153"/>
      <c r="S77" s="153"/>
      <c r="T77" s="153"/>
    </row>
    <row r="78" customFormat="false" ht="13.5" hidden="false" customHeight="true" outlineLevel="0" collapsed="false">
      <c r="A78" s="602" t="n">
        <v>7706</v>
      </c>
      <c r="B78" s="450" t="s">
        <v>19409</v>
      </c>
      <c r="C78" s="450" t="n">
        <v>2002</v>
      </c>
      <c r="D78" s="451" t="n">
        <v>37442</v>
      </c>
      <c r="E78" s="450" t="s">
        <v>19410</v>
      </c>
      <c r="F78" s="450" t="s">
        <v>1890</v>
      </c>
      <c r="G78" s="450" t="s">
        <v>144</v>
      </c>
      <c r="H78" s="450" t="s">
        <v>373</v>
      </c>
      <c r="I78" s="451" t="n">
        <v>39028</v>
      </c>
      <c r="J78" s="452" t="n">
        <v>11</v>
      </c>
      <c r="K78" s="634" t="s">
        <v>45</v>
      </c>
      <c r="L78" s="452" t="s">
        <v>58</v>
      </c>
      <c r="M78" s="455" t="n">
        <f aca="false">I78-D78</f>
        <v>1586</v>
      </c>
      <c r="N78" s="4"/>
      <c r="O78" s="339" t="s">
        <v>102</v>
      </c>
      <c r="P78" s="339"/>
      <c r="Q78" s="339"/>
      <c r="R78" s="339"/>
      <c r="S78" s="339"/>
      <c r="T78" s="339"/>
    </row>
    <row r="79" customFormat="false" ht="12.75" hidden="false" customHeight="true" outlineLevel="0" collapsed="false">
      <c r="A79" s="594" t="n">
        <v>7806</v>
      </c>
      <c r="B79" s="458" t="s">
        <v>19411</v>
      </c>
      <c r="C79" s="458" t="n">
        <v>2004</v>
      </c>
      <c r="D79" s="459" t="n">
        <v>38286</v>
      </c>
      <c r="E79" s="458" t="s">
        <v>19412</v>
      </c>
      <c r="F79" s="458" t="s">
        <v>1890</v>
      </c>
      <c r="G79" s="458" t="s">
        <v>144</v>
      </c>
      <c r="H79" s="458" t="s">
        <v>373</v>
      </c>
      <c r="I79" s="459" t="n">
        <v>39029</v>
      </c>
      <c r="J79" s="460" t="n">
        <v>11</v>
      </c>
      <c r="K79" s="634" t="s">
        <v>45</v>
      </c>
      <c r="L79" s="458" t="s">
        <v>58</v>
      </c>
      <c r="M79" s="463" t="n">
        <f aca="false">I79-D79</f>
        <v>743</v>
      </c>
      <c r="N79" s="4"/>
      <c r="O79" s="339"/>
      <c r="P79" s="339"/>
      <c r="Q79" s="339"/>
      <c r="R79" s="339"/>
      <c r="S79" s="339"/>
      <c r="T79" s="339"/>
    </row>
    <row r="80" customFormat="false" ht="12.75" hidden="false" customHeight="true" outlineLevel="0" collapsed="false">
      <c r="A80" s="602" t="n">
        <v>7906</v>
      </c>
      <c r="B80" s="450" t="s">
        <v>19413</v>
      </c>
      <c r="C80" s="450" t="n">
        <v>2004</v>
      </c>
      <c r="D80" s="451" t="n">
        <v>38286</v>
      </c>
      <c r="E80" s="450" t="s">
        <v>19414</v>
      </c>
      <c r="F80" s="450" t="s">
        <v>1890</v>
      </c>
      <c r="G80" s="450" t="s">
        <v>144</v>
      </c>
      <c r="H80" s="450" t="s">
        <v>373</v>
      </c>
      <c r="I80" s="451" t="n">
        <v>39029</v>
      </c>
      <c r="J80" s="452" t="n">
        <v>11</v>
      </c>
      <c r="K80" s="634" t="s">
        <v>45</v>
      </c>
      <c r="L80" s="452" t="s">
        <v>58</v>
      </c>
      <c r="M80" s="455" t="n">
        <f aca="false">I80-D80</f>
        <v>743</v>
      </c>
      <c r="N80" s="4"/>
      <c r="O80" s="340" t="s">
        <v>38</v>
      </c>
      <c r="P80" s="340"/>
      <c r="Q80" s="340"/>
      <c r="R80" s="340"/>
      <c r="S80" s="374" t="s">
        <v>343</v>
      </c>
      <c r="T80" s="375" t="s">
        <v>41</v>
      </c>
    </row>
    <row r="81" customFormat="false" ht="13.5" hidden="false" customHeight="true" outlineLevel="0" collapsed="false">
      <c r="A81" s="594" t="n">
        <v>8006</v>
      </c>
      <c r="B81" s="458" t="s">
        <v>19415</v>
      </c>
      <c r="C81" s="458" t="n">
        <v>2001</v>
      </c>
      <c r="D81" s="459" t="n">
        <v>37246</v>
      </c>
      <c r="E81" s="458" t="s">
        <v>19416</v>
      </c>
      <c r="F81" s="458" t="s">
        <v>19289</v>
      </c>
      <c r="G81" s="458" t="s">
        <v>115</v>
      </c>
      <c r="H81" s="458" t="s">
        <v>2283</v>
      </c>
      <c r="I81" s="459" t="n">
        <v>39037</v>
      </c>
      <c r="J81" s="460" t="n">
        <v>11</v>
      </c>
      <c r="K81" s="633" t="s">
        <v>47</v>
      </c>
      <c r="L81" s="458" t="s">
        <v>60</v>
      </c>
      <c r="M81" s="463" t="n">
        <f aca="false">I81-D81</f>
        <v>1791</v>
      </c>
      <c r="N81" s="4"/>
      <c r="O81" s="480" t="s">
        <v>57</v>
      </c>
      <c r="P81" s="480"/>
      <c r="Q81" s="480"/>
      <c r="R81" s="480"/>
      <c r="S81" s="536" t="n">
        <f aca="false">COUNTIF($L$2:$L$476,"I - Produto altamente perigoso ao meio ambiente")</f>
        <v>3</v>
      </c>
      <c r="T81" s="377" t="n">
        <f aca="false">(S81/S85)</f>
        <v>0.0275229357798165</v>
      </c>
    </row>
    <row r="82" customFormat="false" ht="13.5" hidden="false" customHeight="true" outlineLevel="0" collapsed="false">
      <c r="A82" s="602" t="n">
        <v>8106</v>
      </c>
      <c r="B82" s="450" t="s">
        <v>19417</v>
      </c>
      <c r="C82" s="450" t="n">
        <v>2001</v>
      </c>
      <c r="D82" s="451" t="n">
        <v>37235</v>
      </c>
      <c r="E82" s="450" t="s">
        <v>19418</v>
      </c>
      <c r="F82" s="450" t="s">
        <v>19306</v>
      </c>
      <c r="G82" s="450" t="s">
        <v>144</v>
      </c>
      <c r="H82" s="450" t="s">
        <v>19419</v>
      </c>
      <c r="I82" s="451" t="n">
        <v>39038</v>
      </c>
      <c r="J82" s="452" t="n">
        <v>11</v>
      </c>
      <c r="K82" s="631" t="s">
        <v>42</v>
      </c>
      <c r="L82" s="452" t="s">
        <v>60</v>
      </c>
      <c r="M82" s="455" t="n">
        <f aca="false">I82-D82</f>
        <v>1803</v>
      </c>
      <c r="N82" s="4"/>
      <c r="O82" s="378" t="s">
        <v>58</v>
      </c>
      <c r="P82" s="378"/>
      <c r="Q82" s="378"/>
      <c r="R82" s="378"/>
      <c r="S82" s="537" t="n">
        <f aca="false">COUNTIF($L$2:$L$476,"II - Produto muito perigoso ao meio ambiente")</f>
        <v>49</v>
      </c>
      <c r="T82" s="379" t="n">
        <f aca="false">(S82/S85)</f>
        <v>0.44954128440367</v>
      </c>
    </row>
    <row r="83" customFormat="false" ht="13.5" hidden="false" customHeight="true" outlineLevel="0" collapsed="false">
      <c r="A83" s="594" t="n">
        <v>8206</v>
      </c>
      <c r="B83" s="458" t="s">
        <v>19420</v>
      </c>
      <c r="C83" s="458" t="n">
        <v>2004</v>
      </c>
      <c r="D83" s="459" t="n">
        <v>38289</v>
      </c>
      <c r="E83" s="458" t="s">
        <v>19421</v>
      </c>
      <c r="F83" s="458" t="s">
        <v>8232</v>
      </c>
      <c r="G83" s="458" t="s">
        <v>144</v>
      </c>
      <c r="H83" s="458" t="s">
        <v>14391</v>
      </c>
      <c r="I83" s="459" t="n">
        <v>39038</v>
      </c>
      <c r="J83" s="460" t="n">
        <v>11</v>
      </c>
      <c r="K83" s="633" t="s">
        <v>47</v>
      </c>
      <c r="L83" s="458" t="s">
        <v>60</v>
      </c>
      <c r="M83" s="463" t="n">
        <f aca="false">I83-D83</f>
        <v>749</v>
      </c>
      <c r="N83" s="4"/>
      <c r="O83" s="380" t="s">
        <v>60</v>
      </c>
      <c r="P83" s="380"/>
      <c r="Q83" s="380"/>
      <c r="R83" s="380"/>
      <c r="S83" s="536" t="n">
        <f aca="false">COUNTIF($L$2:$L$476,"III - Produto perigoso ao meio ambiente")</f>
        <v>45</v>
      </c>
      <c r="T83" s="377" t="n">
        <f aca="false">(S83/S85)</f>
        <v>0.412844036697248</v>
      </c>
    </row>
    <row r="84" customFormat="false" ht="14.25" hidden="false" customHeight="true" outlineLevel="0" collapsed="false">
      <c r="A84" s="602" t="n">
        <v>8306</v>
      </c>
      <c r="B84" s="450" t="s">
        <v>19422</v>
      </c>
      <c r="C84" s="450" t="n">
        <v>2003</v>
      </c>
      <c r="D84" s="451" t="n">
        <v>37971</v>
      </c>
      <c r="E84" s="450" t="s">
        <v>19423</v>
      </c>
      <c r="F84" s="450" t="s">
        <v>18451</v>
      </c>
      <c r="G84" s="450" t="s">
        <v>144</v>
      </c>
      <c r="H84" s="450" t="s">
        <v>4431</v>
      </c>
      <c r="I84" s="451" t="n">
        <v>39044</v>
      </c>
      <c r="J84" s="452" t="n">
        <v>11</v>
      </c>
      <c r="K84" s="632" t="s">
        <v>50</v>
      </c>
      <c r="L84" s="452" t="s">
        <v>60</v>
      </c>
      <c r="M84" s="455" t="n">
        <f aca="false">I84-D84</f>
        <v>1073</v>
      </c>
      <c r="N84" s="4"/>
      <c r="O84" s="378" t="s">
        <v>61</v>
      </c>
      <c r="P84" s="378"/>
      <c r="Q84" s="378"/>
      <c r="R84" s="378"/>
      <c r="S84" s="537" t="n">
        <f aca="false">COUNTIF($L$2:$L$476,"IV - Produto pouco perigoso ao meio ambiente")</f>
        <v>12</v>
      </c>
      <c r="T84" s="379" t="n">
        <f aca="false">(S84/S85)</f>
        <v>0.110091743119266</v>
      </c>
    </row>
    <row r="85" customFormat="false" ht="12.75" hidden="false" customHeight="true" outlineLevel="0" collapsed="false">
      <c r="A85" s="594" t="n">
        <v>8406</v>
      </c>
      <c r="B85" s="458" t="s">
        <v>19424</v>
      </c>
      <c r="C85" s="458" t="n">
        <v>2005</v>
      </c>
      <c r="D85" s="459" t="n">
        <v>38478</v>
      </c>
      <c r="E85" s="458" t="s">
        <v>19425</v>
      </c>
      <c r="F85" s="458" t="s">
        <v>1527</v>
      </c>
      <c r="G85" s="458" t="s">
        <v>144</v>
      </c>
      <c r="H85" s="458" t="s">
        <v>1059</v>
      </c>
      <c r="I85" s="459" t="n">
        <v>39055</v>
      </c>
      <c r="J85" s="460" t="n">
        <v>12</v>
      </c>
      <c r="K85" s="631" t="s">
        <v>42</v>
      </c>
      <c r="L85" s="458" t="s">
        <v>58</v>
      </c>
      <c r="M85" s="463" t="n">
        <f aca="false">I85-D85</f>
        <v>577</v>
      </c>
      <c r="N85" s="4"/>
      <c r="O85" s="340" t="s">
        <v>54</v>
      </c>
      <c r="P85" s="340"/>
      <c r="Q85" s="340"/>
      <c r="R85" s="340"/>
      <c r="S85" s="363" t="n">
        <f aca="false">SUM(S81:S84)</f>
        <v>109</v>
      </c>
      <c r="T85" s="364" t="n">
        <f aca="false">(S85/S85)</f>
        <v>1</v>
      </c>
    </row>
    <row r="86" customFormat="false" ht="12.75" hidden="false" customHeight="true" outlineLevel="0" collapsed="false">
      <c r="A86" s="602" t="n">
        <v>8506</v>
      </c>
      <c r="B86" s="450" t="s">
        <v>19426</v>
      </c>
      <c r="C86" s="450" t="n">
        <v>2005</v>
      </c>
      <c r="D86" s="451" t="n">
        <v>38709</v>
      </c>
      <c r="E86" s="450" t="s">
        <v>19427</v>
      </c>
      <c r="F86" s="450" t="s">
        <v>699</v>
      </c>
      <c r="G86" s="450" t="s">
        <v>144</v>
      </c>
      <c r="H86" s="450" t="s">
        <v>6755</v>
      </c>
      <c r="I86" s="451" t="n">
        <v>39055</v>
      </c>
      <c r="J86" s="452" t="n">
        <v>12</v>
      </c>
      <c r="K86" s="633" t="s">
        <v>47</v>
      </c>
      <c r="L86" s="452" t="s">
        <v>60</v>
      </c>
      <c r="M86" s="455" t="n">
        <f aca="false">I86-D86</f>
        <v>346</v>
      </c>
      <c r="N86" s="4"/>
      <c r="O86" s="153"/>
      <c r="P86" s="153"/>
      <c r="Q86" s="153"/>
      <c r="R86" s="153"/>
      <c r="S86" s="153"/>
      <c r="T86" s="153"/>
    </row>
    <row r="87" customFormat="false" ht="13.5" hidden="false" customHeight="true" outlineLevel="0" collapsed="false">
      <c r="A87" s="594" t="n">
        <v>8606</v>
      </c>
      <c r="B87" s="458" t="s">
        <v>19428</v>
      </c>
      <c r="C87" s="458" t="n">
        <v>2003</v>
      </c>
      <c r="D87" s="459" t="n">
        <v>37978</v>
      </c>
      <c r="E87" s="458" t="s">
        <v>19429</v>
      </c>
      <c r="F87" s="458" t="s">
        <v>18393</v>
      </c>
      <c r="G87" s="458" t="s">
        <v>144</v>
      </c>
      <c r="H87" s="458" t="s">
        <v>17712</v>
      </c>
      <c r="I87" s="459" t="n">
        <v>39057</v>
      </c>
      <c r="J87" s="460" t="n">
        <v>12</v>
      </c>
      <c r="K87" s="632" t="s">
        <v>50</v>
      </c>
      <c r="L87" s="458" t="s">
        <v>61</v>
      </c>
      <c r="M87" s="463" t="n">
        <f aca="false">I87-D87</f>
        <v>1079</v>
      </c>
      <c r="N87" s="4"/>
      <c r="O87" s="421" t="s">
        <v>425</v>
      </c>
      <c r="P87" s="421"/>
      <c r="Q87" s="421"/>
      <c r="R87" s="421"/>
      <c r="S87" s="153"/>
      <c r="T87" s="153"/>
    </row>
    <row r="88" customFormat="false" ht="15" hidden="false" customHeight="true" outlineLevel="0" collapsed="false">
      <c r="A88" s="602" t="n">
        <v>8706</v>
      </c>
      <c r="B88" s="450" t="s">
        <v>19430</v>
      </c>
      <c r="C88" s="450" t="n">
        <v>2001</v>
      </c>
      <c r="D88" s="451" t="n">
        <v>37235</v>
      </c>
      <c r="E88" s="450" t="s">
        <v>19431</v>
      </c>
      <c r="F88" s="450" t="s">
        <v>19306</v>
      </c>
      <c r="G88" s="450" t="s">
        <v>1474</v>
      </c>
      <c r="H88" s="450" t="s">
        <v>19419</v>
      </c>
      <c r="I88" s="451" t="n">
        <v>39063</v>
      </c>
      <c r="J88" s="452" t="n">
        <v>12</v>
      </c>
      <c r="K88" s="631" t="s">
        <v>42</v>
      </c>
      <c r="L88" s="452" t="s">
        <v>58</v>
      </c>
      <c r="M88" s="455" t="n">
        <f aca="false">I88-D88</f>
        <v>1828</v>
      </c>
      <c r="N88" s="4"/>
      <c r="O88" s="421"/>
      <c r="P88" s="421"/>
      <c r="Q88" s="421"/>
      <c r="R88" s="421"/>
      <c r="S88" s="153"/>
      <c r="T88" s="153"/>
    </row>
    <row r="89" customFormat="false" ht="12.75" hidden="false" customHeight="true" outlineLevel="0" collapsed="false">
      <c r="A89" s="594" t="n">
        <v>8806</v>
      </c>
      <c r="B89" s="458" t="s">
        <v>19432</v>
      </c>
      <c r="C89" s="458" t="n">
        <v>2004</v>
      </c>
      <c r="D89" s="459" t="n">
        <v>38210</v>
      </c>
      <c r="E89" s="458" t="s">
        <v>19433</v>
      </c>
      <c r="F89" s="458" t="s">
        <v>19434</v>
      </c>
      <c r="G89" s="458" t="s">
        <v>144</v>
      </c>
      <c r="H89" s="458" t="s">
        <v>1791</v>
      </c>
      <c r="I89" s="459" t="n">
        <v>39071</v>
      </c>
      <c r="J89" s="460" t="n">
        <v>12</v>
      </c>
      <c r="K89" s="633" t="s">
        <v>47</v>
      </c>
      <c r="L89" s="458" t="s">
        <v>58</v>
      </c>
      <c r="M89" s="463" t="n">
        <f aca="false">I89-D89</f>
        <v>861</v>
      </c>
      <c r="N89" s="4"/>
      <c r="O89" s="390" t="s">
        <v>69</v>
      </c>
      <c r="P89" s="422" t="s">
        <v>433</v>
      </c>
      <c r="Q89" s="422"/>
      <c r="R89" s="422"/>
      <c r="S89" s="153"/>
      <c r="T89" s="153"/>
    </row>
    <row r="90" customFormat="false" ht="15" hidden="false" customHeight="true" outlineLevel="0" collapsed="false">
      <c r="A90" s="602" t="n">
        <v>8906</v>
      </c>
      <c r="B90" s="450" t="s">
        <v>19435</v>
      </c>
      <c r="C90" s="450" t="n">
        <v>2003</v>
      </c>
      <c r="D90" s="451" t="n">
        <v>37985</v>
      </c>
      <c r="E90" s="450" t="s">
        <v>19436</v>
      </c>
      <c r="F90" s="450" t="s">
        <v>5814</v>
      </c>
      <c r="G90" s="450" t="s">
        <v>1174</v>
      </c>
      <c r="H90" s="450" t="s">
        <v>15247</v>
      </c>
      <c r="I90" s="451" t="n">
        <v>39071</v>
      </c>
      <c r="J90" s="452" t="n">
        <v>12</v>
      </c>
      <c r="K90" s="633" t="s">
        <v>47</v>
      </c>
      <c r="L90" s="452" t="s">
        <v>58</v>
      </c>
      <c r="M90" s="455" t="n">
        <f aca="false">I90-D90</f>
        <v>1086</v>
      </c>
      <c r="N90" s="4"/>
      <c r="O90" s="394" t="s">
        <v>1474</v>
      </c>
      <c r="P90" s="481" t="n">
        <f aca="false">AVERAGEIF(G2:G476,"PT",M2:M476)</f>
        <v>1288.66666666667</v>
      </c>
      <c r="Q90" s="481"/>
      <c r="R90" s="481"/>
      <c r="S90" s="153"/>
      <c r="T90" s="153"/>
    </row>
    <row r="91" customFormat="false" ht="15" hidden="false" customHeight="true" outlineLevel="0" collapsed="false">
      <c r="A91" s="594" t="n">
        <v>9006</v>
      </c>
      <c r="B91" s="458" t="s">
        <v>19437</v>
      </c>
      <c r="C91" s="458" t="n">
        <v>2004</v>
      </c>
      <c r="D91" s="459" t="n">
        <v>38195</v>
      </c>
      <c r="E91" s="458" t="s">
        <v>19438</v>
      </c>
      <c r="F91" s="458" t="s">
        <v>238</v>
      </c>
      <c r="G91" s="458" t="s">
        <v>1474</v>
      </c>
      <c r="H91" s="458" t="s">
        <v>119</v>
      </c>
      <c r="I91" s="459" t="n">
        <v>39071</v>
      </c>
      <c r="J91" s="460" t="n">
        <v>12</v>
      </c>
      <c r="K91" s="631" t="s">
        <v>42</v>
      </c>
      <c r="L91" s="458" t="s">
        <v>58</v>
      </c>
      <c r="M91" s="463" t="n">
        <f aca="false">I91-D91</f>
        <v>876</v>
      </c>
      <c r="N91" s="4"/>
      <c r="O91" s="396" t="s">
        <v>1188</v>
      </c>
      <c r="P91" s="482" t="n">
        <f aca="false">AVERAGEIF(G2:G477,"PTN",M2:M477)</f>
        <v>1082.2</v>
      </c>
      <c r="Q91" s="482"/>
      <c r="R91" s="482"/>
      <c r="S91" s="153"/>
      <c r="T91" s="153"/>
    </row>
    <row r="92" customFormat="false" ht="15" hidden="false" customHeight="true" outlineLevel="0" collapsed="false">
      <c r="A92" s="602" t="n">
        <v>9106</v>
      </c>
      <c r="B92" s="450" t="s">
        <v>19439</v>
      </c>
      <c r="C92" s="450" t="n">
        <v>2004</v>
      </c>
      <c r="D92" s="451" t="n">
        <v>38114</v>
      </c>
      <c r="E92" s="450" t="s">
        <v>19440</v>
      </c>
      <c r="F92" s="450" t="s">
        <v>699</v>
      </c>
      <c r="G92" s="450" t="s">
        <v>144</v>
      </c>
      <c r="H92" s="450" t="s">
        <v>285</v>
      </c>
      <c r="I92" s="451" t="n">
        <v>39071</v>
      </c>
      <c r="J92" s="452" t="n">
        <v>12</v>
      </c>
      <c r="K92" s="634" t="s">
        <v>45</v>
      </c>
      <c r="L92" s="452" t="s">
        <v>60</v>
      </c>
      <c r="M92" s="455" t="n">
        <f aca="false">I92-D92</f>
        <v>957</v>
      </c>
      <c r="N92" s="4"/>
      <c r="O92" s="394" t="s">
        <v>1174</v>
      </c>
      <c r="P92" s="481" t="n">
        <f aca="false">AVERAGEIF(G2:G476,"PTE",M2:M476)</f>
        <v>826.333333333333</v>
      </c>
      <c r="Q92" s="481"/>
      <c r="R92" s="481"/>
      <c r="S92" s="153"/>
      <c r="T92" s="153"/>
    </row>
    <row r="93" customFormat="false" ht="15" hidden="false" customHeight="true" outlineLevel="0" collapsed="false">
      <c r="A93" s="594" t="n">
        <v>9206</v>
      </c>
      <c r="B93" s="458" t="s">
        <v>19441</v>
      </c>
      <c r="C93" s="458" t="n">
        <v>2002</v>
      </c>
      <c r="D93" s="459" t="n">
        <v>37442</v>
      </c>
      <c r="E93" s="458" t="s">
        <v>19442</v>
      </c>
      <c r="F93" s="458" t="s">
        <v>449</v>
      </c>
      <c r="G93" s="458" t="s">
        <v>1174</v>
      </c>
      <c r="H93" s="458" t="s">
        <v>18397</v>
      </c>
      <c r="I93" s="459" t="n">
        <v>39071</v>
      </c>
      <c r="J93" s="460" t="n">
        <v>12</v>
      </c>
      <c r="K93" s="634" t="s">
        <v>45</v>
      </c>
      <c r="L93" s="458" t="s">
        <v>58</v>
      </c>
      <c r="M93" s="463" t="n">
        <f aca="false">I93-D93</f>
        <v>1629</v>
      </c>
      <c r="N93" s="4"/>
      <c r="O93" s="396" t="s">
        <v>8</v>
      </c>
      <c r="P93" s="482" t="n">
        <f aca="false">AVERAGEIF(G2:G476,"Pré-Mistura",M2:M476)</f>
        <v>985</v>
      </c>
      <c r="Q93" s="482"/>
      <c r="R93" s="482"/>
      <c r="S93" s="153"/>
      <c r="T93" s="153"/>
    </row>
    <row r="94" customFormat="false" ht="15" hidden="false" customHeight="true" outlineLevel="0" collapsed="false">
      <c r="A94" s="602" t="n">
        <v>9306</v>
      </c>
      <c r="B94" s="450" t="s">
        <v>19443</v>
      </c>
      <c r="C94" s="450" t="n">
        <v>2004</v>
      </c>
      <c r="D94" s="451" t="n">
        <v>38145</v>
      </c>
      <c r="E94" s="450" t="s">
        <v>19444</v>
      </c>
      <c r="F94" s="450" t="s">
        <v>699</v>
      </c>
      <c r="G94" s="450" t="s">
        <v>144</v>
      </c>
      <c r="H94" s="450" t="s">
        <v>285</v>
      </c>
      <c r="I94" s="451" t="n">
        <v>39071</v>
      </c>
      <c r="J94" s="452" t="n">
        <v>12</v>
      </c>
      <c r="K94" s="634" t="s">
        <v>45</v>
      </c>
      <c r="L94" s="452" t="s">
        <v>60</v>
      </c>
      <c r="M94" s="455" t="n">
        <f aca="false">I94-D94</f>
        <v>926</v>
      </c>
      <c r="N94" s="4"/>
      <c r="O94" s="394" t="s">
        <v>144</v>
      </c>
      <c r="P94" s="481" t="n">
        <f aca="false">AVERAGEIF(G2:G476,"PF",M2:M476)</f>
        <v>1454.16071428571</v>
      </c>
      <c r="Q94" s="481"/>
      <c r="R94" s="481"/>
      <c r="S94" s="153"/>
      <c r="T94" s="153"/>
    </row>
    <row r="95" customFormat="false" ht="15" hidden="false" customHeight="true" outlineLevel="0" collapsed="false">
      <c r="A95" s="594" t="n">
        <v>9406</v>
      </c>
      <c r="B95" s="458" t="s">
        <v>19445</v>
      </c>
      <c r="C95" s="458" t="n">
        <v>2006</v>
      </c>
      <c r="D95" s="459" t="n">
        <v>38789</v>
      </c>
      <c r="E95" s="458" t="s">
        <v>19446</v>
      </c>
      <c r="F95" s="458" t="s">
        <v>19447</v>
      </c>
      <c r="G95" s="458" t="s">
        <v>125</v>
      </c>
      <c r="H95" s="458" t="s">
        <v>391</v>
      </c>
      <c r="I95" s="459" t="n">
        <v>39071</v>
      </c>
      <c r="J95" s="460" t="n">
        <v>12</v>
      </c>
      <c r="K95" s="632" t="s">
        <v>50</v>
      </c>
      <c r="L95" s="458" t="s">
        <v>61</v>
      </c>
      <c r="M95" s="463" t="n">
        <f aca="false">I95-D95</f>
        <v>282</v>
      </c>
      <c r="N95" s="4"/>
      <c r="O95" s="396" t="s">
        <v>115</v>
      </c>
      <c r="P95" s="482" t="n">
        <f aca="false">AVERAGEIF(G2:G476,"PFN",M2:M476)</f>
        <v>1022.28571428571</v>
      </c>
      <c r="Q95" s="482"/>
      <c r="R95" s="482"/>
      <c r="S95" s="153"/>
      <c r="T95" s="153"/>
    </row>
    <row r="96" customFormat="false" ht="15" hidden="false" customHeight="true" outlineLevel="0" collapsed="false">
      <c r="A96" s="602" t="n">
        <v>9506</v>
      </c>
      <c r="B96" s="450" t="s">
        <v>19448</v>
      </c>
      <c r="C96" s="450" t="n">
        <v>2006</v>
      </c>
      <c r="D96" s="451" t="n">
        <v>38797</v>
      </c>
      <c r="E96" s="450" t="s">
        <v>19449</v>
      </c>
      <c r="F96" s="450" t="s">
        <v>19326</v>
      </c>
      <c r="G96" s="450" t="s">
        <v>125</v>
      </c>
      <c r="H96" s="450" t="s">
        <v>391</v>
      </c>
      <c r="I96" s="451" t="n">
        <v>39071</v>
      </c>
      <c r="J96" s="452" t="n">
        <v>12</v>
      </c>
      <c r="K96" s="632" t="s">
        <v>50</v>
      </c>
      <c r="L96" s="452" t="s">
        <v>61</v>
      </c>
      <c r="M96" s="455" t="n">
        <f aca="false">I96-D96</f>
        <v>274</v>
      </c>
      <c r="N96" s="4"/>
      <c r="O96" s="394" t="s">
        <v>441</v>
      </c>
      <c r="P96" s="481" t="e">
        <f aca="false">AVERAGEIF(G2:G476,"PF/PTE",M2:M476)</f>
        <v>#DIV/0!</v>
      </c>
      <c r="Q96" s="481"/>
      <c r="R96" s="481"/>
      <c r="S96" s="153"/>
      <c r="T96" s="153"/>
    </row>
    <row r="97" customFormat="false" ht="12.75" hidden="false" customHeight="true" outlineLevel="0" collapsed="false">
      <c r="A97" s="594" t="n">
        <v>9606</v>
      </c>
      <c r="B97" s="458" t="s">
        <v>19450</v>
      </c>
      <c r="C97" s="458" t="n">
        <v>2006</v>
      </c>
      <c r="D97" s="459" t="n">
        <v>38789</v>
      </c>
      <c r="E97" s="458" t="s">
        <v>19451</v>
      </c>
      <c r="F97" s="458" t="s">
        <v>19452</v>
      </c>
      <c r="G97" s="458" t="s">
        <v>125</v>
      </c>
      <c r="H97" s="458" t="s">
        <v>391</v>
      </c>
      <c r="I97" s="459" t="n">
        <v>39071</v>
      </c>
      <c r="J97" s="460" t="n">
        <v>12</v>
      </c>
      <c r="K97" s="632" t="s">
        <v>50</v>
      </c>
      <c r="L97" s="458" t="s">
        <v>61</v>
      </c>
      <c r="M97" s="463" t="n">
        <f aca="false">I97-D97</f>
        <v>282</v>
      </c>
      <c r="N97" s="4"/>
      <c r="O97" s="396" t="s">
        <v>125</v>
      </c>
      <c r="P97" s="482" t="n">
        <f aca="false">AVERAGEIF(G2:G476,"Bio",M2:M476)</f>
        <v>549.857142857143</v>
      </c>
      <c r="Q97" s="482"/>
      <c r="R97" s="482"/>
    </row>
    <row r="98" customFormat="false" ht="12.75" hidden="false" customHeight="true" outlineLevel="0" collapsed="false">
      <c r="A98" s="602" t="n">
        <v>9706</v>
      </c>
      <c r="B98" s="450" t="s">
        <v>19453</v>
      </c>
      <c r="C98" s="450" t="n">
        <v>1999</v>
      </c>
      <c r="D98" s="451" t="n">
        <v>36441</v>
      </c>
      <c r="E98" s="450" t="s">
        <v>19454</v>
      </c>
      <c r="F98" s="450" t="s">
        <v>19455</v>
      </c>
      <c r="G98" s="450" t="s">
        <v>144</v>
      </c>
      <c r="H98" s="450" t="s">
        <v>6633</v>
      </c>
      <c r="I98" s="451" t="n">
        <v>39072</v>
      </c>
      <c r="J98" s="452" t="n">
        <v>12</v>
      </c>
      <c r="K98" s="631" t="s">
        <v>42</v>
      </c>
      <c r="L98" s="452" t="s">
        <v>58</v>
      </c>
      <c r="M98" s="455" t="n">
        <f aca="false">I98-D98</f>
        <v>2631</v>
      </c>
      <c r="N98" s="4"/>
      <c r="O98" s="394" t="s">
        <v>130</v>
      </c>
      <c r="P98" s="481" t="e">
        <f aca="false">AVERAGEIF(G2:G476,"Bio/Org",M2:M476)</f>
        <v>#DIV/0!</v>
      </c>
      <c r="Q98" s="481"/>
      <c r="R98" s="481"/>
    </row>
    <row r="99" customFormat="false" ht="12.75" hidden="false" customHeight="true" outlineLevel="0" collapsed="false">
      <c r="A99" s="594" t="n">
        <v>9806</v>
      </c>
      <c r="B99" s="458" t="s">
        <v>19456</v>
      </c>
      <c r="C99" s="458" t="n">
        <v>2004</v>
      </c>
      <c r="D99" s="459" t="n">
        <v>38294</v>
      </c>
      <c r="E99" s="458" t="s">
        <v>19457</v>
      </c>
      <c r="F99" s="458" t="s">
        <v>19458</v>
      </c>
      <c r="G99" s="458" t="s">
        <v>1174</v>
      </c>
      <c r="H99" s="458" t="s">
        <v>19459</v>
      </c>
      <c r="I99" s="459" t="n">
        <v>39072</v>
      </c>
      <c r="J99" s="460" t="n">
        <v>12</v>
      </c>
      <c r="K99" s="631" t="s">
        <v>42</v>
      </c>
      <c r="L99" s="458" t="s">
        <v>60</v>
      </c>
      <c r="M99" s="463" t="n">
        <f aca="false">I99-D99</f>
        <v>778</v>
      </c>
      <c r="N99" s="4"/>
      <c r="O99" s="398" t="s">
        <v>86</v>
      </c>
      <c r="P99" s="399" t="n">
        <f aca="false">AVERAGE(M2:M494)</f>
        <v>1233.25688073394</v>
      </c>
      <c r="Q99" s="399"/>
      <c r="R99" s="399"/>
    </row>
    <row r="100" customFormat="false" ht="12.75" hidden="false" customHeight="true" outlineLevel="0" collapsed="false">
      <c r="A100" s="602" t="n">
        <v>9906</v>
      </c>
      <c r="B100" s="450" t="s">
        <v>19460</v>
      </c>
      <c r="C100" s="450" t="n">
        <v>2001</v>
      </c>
      <c r="D100" s="451" t="n">
        <v>36916</v>
      </c>
      <c r="E100" s="450" t="s">
        <v>19461</v>
      </c>
      <c r="F100" s="450" t="s">
        <v>19462</v>
      </c>
      <c r="G100" s="450" t="s">
        <v>144</v>
      </c>
      <c r="H100" s="450" t="s">
        <v>119</v>
      </c>
      <c r="I100" s="451" t="n">
        <v>39072</v>
      </c>
      <c r="J100" s="452" t="n">
        <v>12</v>
      </c>
      <c r="K100" s="631" t="s">
        <v>42</v>
      </c>
      <c r="L100" s="452" t="s">
        <v>58</v>
      </c>
      <c r="M100" s="455" t="n">
        <f aca="false">I100-D100</f>
        <v>2156</v>
      </c>
      <c r="N100" s="4"/>
      <c r="O100" s="4"/>
      <c r="P100" s="4"/>
      <c r="Q100" s="4"/>
      <c r="R100" s="4"/>
    </row>
    <row r="101" customFormat="false" ht="12.75" hidden="false" customHeight="true" outlineLevel="0" collapsed="false">
      <c r="A101" s="594" t="n">
        <v>10006</v>
      </c>
      <c r="B101" s="458" t="s">
        <v>19463</v>
      </c>
      <c r="C101" s="458" t="n">
        <v>2004</v>
      </c>
      <c r="D101" s="459" t="n">
        <v>38341</v>
      </c>
      <c r="E101" s="458" t="s">
        <v>19464</v>
      </c>
      <c r="F101" s="458" t="s">
        <v>6078</v>
      </c>
      <c r="G101" s="458" t="s">
        <v>144</v>
      </c>
      <c r="H101" s="458" t="s">
        <v>3339</v>
      </c>
      <c r="I101" s="459" t="n">
        <v>39072</v>
      </c>
      <c r="J101" s="460" t="n">
        <v>12</v>
      </c>
      <c r="K101" s="631" t="s">
        <v>42</v>
      </c>
      <c r="L101" s="458" t="s">
        <v>58</v>
      </c>
      <c r="M101" s="463" t="n">
        <f aca="false">I101-D101</f>
        <v>731</v>
      </c>
      <c r="N101" s="4"/>
      <c r="O101" s="4"/>
      <c r="P101" s="4"/>
      <c r="Q101" s="4"/>
      <c r="R101" s="4"/>
    </row>
    <row r="102" customFormat="false" ht="12.75" hidden="false" customHeight="true" outlineLevel="0" collapsed="false">
      <c r="A102" s="602" t="n">
        <v>10106</v>
      </c>
      <c r="B102" s="450" t="s">
        <v>19465</v>
      </c>
      <c r="C102" s="450" t="n">
        <v>2003</v>
      </c>
      <c r="D102" s="451" t="n">
        <v>37940</v>
      </c>
      <c r="E102" s="450" t="s">
        <v>19466</v>
      </c>
      <c r="F102" s="450" t="s">
        <v>777</v>
      </c>
      <c r="G102" s="450" t="s">
        <v>1188</v>
      </c>
      <c r="H102" s="450" t="s">
        <v>134</v>
      </c>
      <c r="I102" s="451" t="n">
        <v>39072</v>
      </c>
      <c r="J102" s="452" t="n">
        <v>12</v>
      </c>
      <c r="K102" s="633" t="s">
        <v>47</v>
      </c>
      <c r="L102" s="452" t="s">
        <v>60</v>
      </c>
      <c r="M102" s="455" t="n">
        <f aca="false">I102-D102</f>
        <v>1132</v>
      </c>
      <c r="N102" s="4"/>
      <c r="O102" s="4"/>
      <c r="P102" s="4"/>
      <c r="Q102" s="4"/>
      <c r="R102" s="4"/>
    </row>
    <row r="103" customFormat="false" ht="12.75" hidden="false" customHeight="true" outlineLevel="0" collapsed="false">
      <c r="A103" s="594" t="n">
        <v>10206</v>
      </c>
      <c r="B103" s="458" t="s">
        <v>19467</v>
      </c>
      <c r="C103" s="458" t="n">
        <v>2005</v>
      </c>
      <c r="D103" s="459" t="n">
        <v>38478</v>
      </c>
      <c r="E103" s="458" t="s">
        <v>19468</v>
      </c>
      <c r="F103" s="458" t="s">
        <v>2003</v>
      </c>
      <c r="G103" s="458" t="s">
        <v>1174</v>
      </c>
      <c r="H103" s="458" t="s">
        <v>15992</v>
      </c>
      <c r="I103" s="459" t="n">
        <v>39073</v>
      </c>
      <c r="J103" s="460" t="n">
        <v>12</v>
      </c>
      <c r="K103" s="631" t="s">
        <v>42</v>
      </c>
      <c r="L103" s="458" t="s">
        <v>58</v>
      </c>
      <c r="M103" s="463" t="n">
        <f aca="false">I103-D103</f>
        <v>595</v>
      </c>
      <c r="N103" s="4"/>
      <c r="O103" s="4"/>
      <c r="P103" s="4"/>
      <c r="Q103" s="4"/>
      <c r="R103" s="4"/>
    </row>
    <row r="104" customFormat="false" ht="12.75" hidden="false" customHeight="true" outlineLevel="0" collapsed="false">
      <c r="A104" s="602" t="n">
        <v>10306</v>
      </c>
      <c r="B104" s="450" t="s">
        <v>19469</v>
      </c>
      <c r="C104" s="450" t="n">
        <v>2004</v>
      </c>
      <c r="D104" s="451" t="n">
        <v>38310</v>
      </c>
      <c r="E104" s="450" t="s">
        <v>19470</v>
      </c>
      <c r="F104" s="450" t="s">
        <v>1890</v>
      </c>
      <c r="G104" s="450" t="s">
        <v>144</v>
      </c>
      <c r="H104" s="450" t="s">
        <v>373</v>
      </c>
      <c r="I104" s="451" t="n">
        <v>39073</v>
      </c>
      <c r="J104" s="452" t="n">
        <v>12</v>
      </c>
      <c r="K104" s="634" t="s">
        <v>45</v>
      </c>
      <c r="L104" s="452" t="s">
        <v>58</v>
      </c>
      <c r="M104" s="455" t="n">
        <f aca="false">I104-D104</f>
        <v>763</v>
      </c>
      <c r="N104" s="4"/>
      <c r="O104" s="4"/>
      <c r="P104" s="4"/>
      <c r="Q104" s="4"/>
      <c r="R104" s="4"/>
    </row>
    <row r="105" customFormat="false" ht="12.75" hidden="false" customHeight="true" outlineLevel="0" collapsed="false">
      <c r="A105" s="594" t="n">
        <v>10406</v>
      </c>
      <c r="B105" s="458" t="s">
        <v>19471</v>
      </c>
      <c r="C105" s="458" t="n">
        <v>2003</v>
      </c>
      <c r="D105" s="459" t="n">
        <v>37971</v>
      </c>
      <c r="E105" s="458" t="s">
        <v>19472</v>
      </c>
      <c r="F105" s="458" t="s">
        <v>699</v>
      </c>
      <c r="G105" s="458" t="s">
        <v>144</v>
      </c>
      <c r="H105" s="458" t="s">
        <v>4431</v>
      </c>
      <c r="I105" s="459" t="n">
        <v>39077</v>
      </c>
      <c r="J105" s="460" t="n">
        <v>12</v>
      </c>
      <c r="K105" s="633" t="s">
        <v>47</v>
      </c>
      <c r="L105" s="458" t="s">
        <v>60</v>
      </c>
      <c r="M105" s="463" t="n">
        <f aca="false">I105-D105</f>
        <v>1106</v>
      </c>
      <c r="N105" s="4"/>
      <c r="O105" s="4"/>
      <c r="P105" s="4"/>
      <c r="Q105" s="4"/>
      <c r="R105" s="4"/>
    </row>
    <row r="106" customFormat="false" ht="12.75" hidden="false" customHeight="true" outlineLevel="0" collapsed="false">
      <c r="A106" s="602" t="n">
        <v>10506</v>
      </c>
      <c r="B106" s="450" t="s">
        <v>19473</v>
      </c>
      <c r="C106" s="450" t="n">
        <v>2001</v>
      </c>
      <c r="D106" s="451" t="n">
        <v>37167</v>
      </c>
      <c r="E106" s="450" t="s">
        <v>19474</v>
      </c>
      <c r="F106" s="450" t="s">
        <v>780</v>
      </c>
      <c r="G106" s="450" t="s">
        <v>1174</v>
      </c>
      <c r="H106" s="450" t="s">
        <v>4431</v>
      </c>
      <c r="I106" s="451" t="n">
        <v>39077</v>
      </c>
      <c r="J106" s="452" t="n">
        <v>12</v>
      </c>
      <c r="K106" s="632" t="s">
        <v>50</v>
      </c>
      <c r="L106" s="452" t="s">
        <v>60</v>
      </c>
      <c r="M106" s="455" t="n">
        <f aca="false">I106-D106</f>
        <v>1910</v>
      </c>
      <c r="N106" s="4"/>
      <c r="O106" s="4"/>
      <c r="P106" s="4"/>
      <c r="Q106" s="4"/>
      <c r="R106" s="4"/>
    </row>
    <row r="107" customFormat="false" ht="12.75" hidden="false" customHeight="true" outlineLevel="0" collapsed="false">
      <c r="A107" s="594" t="n">
        <v>10606</v>
      </c>
      <c r="B107" s="458" t="s">
        <v>19475</v>
      </c>
      <c r="C107" s="458" t="n">
        <v>1999</v>
      </c>
      <c r="D107" s="459" t="n">
        <v>36525</v>
      </c>
      <c r="E107" s="458" t="s">
        <v>19476</v>
      </c>
      <c r="F107" s="458" t="s">
        <v>8232</v>
      </c>
      <c r="G107" s="458" t="s">
        <v>144</v>
      </c>
      <c r="H107" s="458" t="s">
        <v>16610</v>
      </c>
      <c r="I107" s="459" t="n">
        <v>39077</v>
      </c>
      <c r="J107" s="460" t="n">
        <v>12</v>
      </c>
      <c r="K107" s="633" t="s">
        <v>47</v>
      </c>
      <c r="L107" s="458" t="s">
        <v>58</v>
      </c>
      <c r="M107" s="463" t="n">
        <f aca="false">I107-D107</f>
        <v>2552</v>
      </c>
      <c r="N107" s="4"/>
      <c r="O107" s="4"/>
      <c r="P107" s="4"/>
      <c r="Q107" s="4"/>
      <c r="R107" s="4"/>
    </row>
    <row r="108" customFormat="false" ht="15" hidden="false" customHeight="true" outlineLevel="0" collapsed="false">
      <c r="A108" s="602" t="n">
        <v>10706</v>
      </c>
      <c r="B108" s="450" t="s">
        <v>19477</v>
      </c>
      <c r="C108" s="450" t="n">
        <v>2004</v>
      </c>
      <c r="D108" s="451" t="n">
        <v>38310</v>
      </c>
      <c r="E108" s="450" t="s">
        <v>19478</v>
      </c>
      <c r="F108" s="450" t="s">
        <v>1890</v>
      </c>
      <c r="G108" s="450" t="s">
        <v>144</v>
      </c>
      <c r="H108" s="450" t="s">
        <v>373</v>
      </c>
      <c r="I108" s="451" t="n">
        <v>39078</v>
      </c>
      <c r="J108" s="452" t="n">
        <v>12</v>
      </c>
      <c r="K108" s="634" t="s">
        <v>45</v>
      </c>
      <c r="L108" s="452" t="s">
        <v>58</v>
      </c>
      <c r="M108" s="455" t="n">
        <f aca="false">I108-D108</f>
        <v>768</v>
      </c>
      <c r="N108" s="4"/>
      <c r="O108" s="4"/>
      <c r="P108" s="4"/>
      <c r="Q108" s="4"/>
      <c r="R108" s="4"/>
    </row>
    <row r="109" customFormat="false" ht="15" hidden="false" customHeight="true" outlineLevel="0" collapsed="false">
      <c r="A109" s="594" t="n">
        <v>10806</v>
      </c>
      <c r="B109" s="458" t="s">
        <v>19479</v>
      </c>
      <c r="C109" s="458" t="n">
        <v>2005</v>
      </c>
      <c r="D109" s="459" t="n">
        <v>38447</v>
      </c>
      <c r="E109" s="458" t="s">
        <v>19480</v>
      </c>
      <c r="F109" s="458" t="s">
        <v>19481</v>
      </c>
      <c r="G109" s="458" t="s">
        <v>115</v>
      </c>
      <c r="H109" s="458" t="s">
        <v>134</v>
      </c>
      <c r="I109" s="459" t="n">
        <v>39079</v>
      </c>
      <c r="J109" s="460" t="n">
        <v>12</v>
      </c>
      <c r="K109" s="633" t="s">
        <v>47</v>
      </c>
      <c r="L109" s="458" t="s">
        <v>58</v>
      </c>
      <c r="M109" s="463" t="n">
        <f aca="false">I109-D109</f>
        <v>632</v>
      </c>
      <c r="N109" s="4"/>
      <c r="O109" s="4"/>
      <c r="P109" s="4"/>
      <c r="Q109" s="4"/>
      <c r="R109" s="4"/>
    </row>
    <row r="110" customFormat="false" ht="15" hidden="false" customHeight="true" outlineLevel="0" collapsed="false">
      <c r="A110" s="602" t="n">
        <v>10906</v>
      </c>
      <c r="B110" s="450" t="s">
        <v>19482</v>
      </c>
      <c r="C110" s="450" t="n">
        <v>2000</v>
      </c>
      <c r="D110" s="451" t="n">
        <v>36714</v>
      </c>
      <c r="E110" s="450" t="s">
        <v>19483</v>
      </c>
      <c r="F110" s="450" t="s">
        <v>8232</v>
      </c>
      <c r="G110" s="450" t="s">
        <v>144</v>
      </c>
      <c r="H110" s="450" t="s">
        <v>16610</v>
      </c>
      <c r="I110" s="451" t="n">
        <v>39080</v>
      </c>
      <c r="J110" s="452" t="n">
        <v>12</v>
      </c>
      <c r="K110" s="633" t="s">
        <v>47</v>
      </c>
      <c r="L110" s="452" t="s">
        <v>58</v>
      </c>
      <c r="M110" s="455" t="n">
        <f aca="false">I110-D110</f>
        <v>2366</v>
      </c>
      <c r="N110" s="4"/>
      <c r="O110" s="4"/>
      <c r="P110" s="4"/>
      <c r="Q110" s="4"/>
      <c r="R110" s="4"/>
    </row>
    <row r="111" customFormat="false" ht="15" hidden="false" customHeight="true" outlineLevel="0" collapsed="false">
      <c r="A111" s="594" t="n">
        <v>11006</v>
      </c>
      <c r="B111" s="458" t="s">
        <v>19484</v>
      </c>
      <c r="C111" s="458" t="n">
        <v>2001</v>
      </c>
      <c r="D111" s="459" t="n">
        <v>37111</v>
      </c>
      <c r="E111" s="458" t="s">
        <v>19485</v>
      </c>
      <c r="F111" s="458" t="s">
        <v>699</v>
      </c>
      <c r="G111" s="458" t="s">
        <v>144</v>
      </c>
      <c r="H111" s="458" t="s">
        <v>693</v>
      </c>
      <c r="I111" s="459" t="n">
        <v>39080</v>
      </c>
      <c r="J111" s="460" t="n">
        <v>12</v>
      </c>
      <c r="K111" s="631" t="s">
        <v>42</v>
      </c>
      <c r="L111" s="458" t="s">
        <v>60</v>
      </c>
      <c r="M111" s="463" t="n">
        <f aca="false">I111-D111</f>
        <v>1969</v>
      </c>
      <c r="N111" s="4"/>
      <c r="O111" s="4"/>
      <c r="P111" s="4"/>
      <c r="Q111" s="4"/>
      <c r="R111" s="4"/>
    </row>
  </sheetData>
  <autoFilter ref="A1:M111"/>
  <mergeCells count="76">
    <mergeCell ref="O2:P2"/>
    <mergeCell ref="O14:S15"/>
    <mergeCell ref="O16:S16"/>
    <mergeCell ref="O17:S17"/>
    <mergeCell ref="O18:S18"/>
    <mergeCell ref="O19:S19"/>
    <mergeCell ref="O20:S20"/>
    <mergeCell ref="O21:S21"/>
    <mergeCell ref="O22:S22"/>
    <mergeCell ref="O23:S23"/>
    <mergeCell ref="O24:S24"/>
    <mergeCell ref="O26:S27"/>
    <mergeCell ref="P28:R28"/>
    <mergeCell ref="P29:R29"/>
    <mergeCell ref="P30:R30"/>
    <mergeCell ref="P31:R31"/>
    <mergeCell ref="P32:R32"/>
    <mergeCell ref="P33:R33"/>
    <mergeCell ref="P34:R34"/>
    <mergeCell ref="P35:R35"/>
    <mergeCell ref="P36:R36"/>
    <mergeCell ref="P37:R37"/>
    <mergeCell ref="P38:R38"/>
    <mergeCell ref="P39:R39"/>
    <mergeCell ref="P40:R40"/>
    <mergeCell ref="P41:R41"/>
    <mergeCell ref="P42:R42"/>
    <mergeCell ref="O44:S45"/>
    <mergeCell ref="P46:R46"/>
    <mergeCell ref="P47:R47"/>
    <mergeCell ref="P48:R48"/>
    <mergeCell ref="P49:R49"/>
    <mergeCell ref="P50:R50"/>
    <mergeCell ref="P51:R51"/>
    <mergeCell ref="P52:R52"/>
    <mergeCell ref="P53:R53"/>
    <mergeCell ref="P54:R54"/>
    <mergeCell ref="P55:R55"/>
    <mergeCell ref="P56:R56"/>
    <mergeCell ref="P57:R57"/>
    <mergeCell ref="P58:R58"/>
    <mergeCell ref="P59:R59"/>
    <mergeCell ref="O61:T62"/>
    <mergeCell ref="O63:R63"/>
    <mergeCell ref="O64:R64"/>
    <mergeCell ref="O65:R65"/>
    <mergeCell ref="O66:R66"/>
    <mergeCell ref="O67:R67"/>
    <mergeCell ref="O68:R68"/>
    <mergeCell ref="O69:R69"/>
    <mergeCell ref="O70:R70"/>
    <mergeCell ref="O71:R71"/>
    <mergeCell ref="O72:R72"/>
    <mergeCell ref="O73:R73"/>
    <mergeCell ref="O74:R74"/>
    <mergeCell ref="O75:R75"/>
    <mergeCell ref="O76:R76"/>
    <mergeCell ref="O78:T79"/>
    <mergeCell ref="O80:R80"/>
    <mergeCell ref="O81:R81"/>
    <mergeCell ref="O82:R82"/>
    <mergeCell ref="O83:R83"/>
    <mergeCell ref="O84:R84"/>
    <mergeCell ref="O85:R85"/>
    <mergeCell ref="O87:R88"/>
    <mergeCell ref="P89:R89"/>
    <mergeCell ref="P90:R90"/>
    <mergeCell ref="P91:R91"/>
    <mergeCell ref="P92:R92"/>
    <mergeCell ref="P93:R93"/>
    <mergeCell ref="P94:R94"/>
    <mergeCell ref="P95:R95"/>
    <mergeCell ref="P96:R96"/>
    <mergeCell ref="P97:R97"/>
    <mergeCell ref="P98:R98"/>
    <mergeCell ref="P99:R99"/>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B1" activeCellId="0" sqref="B1"/>
    </sheetView>
  </sheetViews>
  <sheetFormatPr defaultColWidth="14.2890625" defaultRowHeight="12.75" customHeight="false" zeroHeight="false" outlineLevelRow="0" outlineLevelCol="0"/>
  <cols>
    <col collapsed="false" customWidth="true" hidden="false" outlineLevel="0" max="1" min="1" style="0" width="12.85"/>
    <col collapsed="false" customWidth="true" hidden="false" outlineLevel="0" max="2" min="2" style="0" width="28.58"/>
    <col collapsed="false" customWidth="true" hidden="false" outlineLevel="0" max="3" min="3" style="0" width="19.43"/>
    <col collapsed="false" customWidth="true" hidden="false" outlineLevel="0" max="4" min="4" style="0" width="26.14"/>
    <col collapsed="false" customWidth="true" hidden="false" outlineLevel="0" max="5" min="5" style="0" width="40.57"/>
    <col collapsed="false" customWidth="true" hidden="false" outlineLevel="0" max="6" min="6" style="0" width="71.43"/>
    <col collapsed="false" customWidth="true" hidden="false" outlineLevel="0" max="7" min="7" style="0" width="15.42"/>
    <col collapsed="false" customWidth="true" hidden="false" outlineLevel="0" max="8" min="8" style="0" width="31.29"/>
    <col collapsed="false" customWidth="true" hidden="false" outlineLevel="0" max="9" min="9" style="0" width="33.29"/>
    <col collapsed="false" customWidth="true" hidden="false" outlineLevel="0" max="10" min="10" style="0" width="34.85"/>
    <col collapsed="false" customWidth="true" hidden="false" outlineLevel="0" max="11" min="11" style="0" width="57.14"/>
    <col collapsed="false" customWidth="true" hidden="false" outlineLevel="0" max="12" min="12" style="0" width="76.14"/>
    <col collapsed="false" customWidth="true" hidden="false" outlineLevel="0" max="13" min="13" style="0" width="53.43"/>
    <col collapsed="false" customWidth="true" hidden="false" outlineLevel="0" max="14" min="14" style="0" width="9.14"/>
    <col collapsed="false" customWidth="true" hidden="false" outlineLevel="0" max="15" min="15" style="0" width="27.14"/>
    <col collapsed="false" customWidth="true" hidden="false" outlineLevel="0" max="16" min="16" style="0" width="9.85"/>
    <col collapsed="false" customWidth="true" hidden="false" outlineLevel="0" max="17" min="17" style="0" width="3.42"/>
    <col collapsed="false" customWidth="true" hidden="false" outlineLevel="0" max="18" min="18" style="0" width="39"/>
    <col collapsed="false" customWidth="true" hidden="false" outlineLevel="0" max="19" min="19" style="0" width="62.85"/>
    <col collapsed="false" customWidth="true" hidden="false" outlineLevel="0" max="20" min="20" style="0" width="13.71"/>
    <col collapsed="false" customWidth="true" hidden="false" outlineLevel="0" max="26" min="21" style="0" width="8.71"/>
  </cols>
  <sheetData>
    <row r="1" customFormat="false" ht="12.75" hidden="false" customHeight="true" outlineLevel="0" collapsed="false">
      <c r="A1" s="585" t="s">
        <v>92</v>
      </c>
      <c r="B1" s="585" t="s">
        <v>93</v>
      </c>
      <c r="C1" s="585" t="s">
        <v>89</v>
      </c>
      <c r="D1" s="584" t="s">
        <v>94</v>
      </c>
      <c r="E1" s="585" t="s">
        <v>95</v>
      </c>
      <c r="F1" s="585" t="s">
        <v>96</v>
      </c>
      <c r="G1" s="585" t="s">
        <v>97</v>
      </c>
      <c r="H1" s="585" t="s">
        <v>98</v>
      </c>
      <c r="I1" s="584" t="s">
        <v>99</v>
      </c>
      <c r="J1" s="585" t="s">
        <v>62</v>
      </c>
      <c r="K1" s="586" t="s">
        <v>101</v>
      </c>
      <c r="L1" s="586" t="s">
        <v>102</v>
      </c>
      <c r="M1" s="279" t="s">
        <v>103</v>
      </c>
      <c r="N1" s="4"/>
      <c r="O1" s="4"/>
      <c r="P1" s="4"/>
      <c r="Q1" s="4"/>
      <c r="R1" s="4"/>
      <c r="S1" s="4"/>
    </row>
    <row r="2" customFormat="false" ht="12.75" hidden="false" customHeight="true" outlineLevel="0" collapsed="false">
      <c r="A2" s="602" t="n">
        <v>105</v>
      </c>
      <c r="B2" s="450" t="s">
        <v>19486</v>
      </c>
      <c r="C2" s="450" t="n">
        <v>1999</v>
      </c>
      <c r="D2" s="453" t="n">
        <v>36525</v>
      </c>
      <c r="E2" s="450" t="s">
        <v>19487</v>
      </c>
      <c r="F2" s="450" t="s">
        <v>1693</v>
      </c>
      <c r="G2" s="450" t="s">
        <v>1474</v>
      </c>
      <c r="H2" s="450" t="s">
        <v>16610</v>
      </c>
      <c r="I2" s="453" t="n">
        <v>38366</v>
      </c>
      <c r="J2" s="452" t="n">
        <v>1</v>
      </c>
      <c r="K2" s="633" t="s">
        <v>47</v>
      </c>
      <c r="L2" s="452" t="s">
        <v>58</v>
      </c>
      <c r="M2" s="455" t="n">
        <f aca="false">I2-D2</f>
        <v>1841</v>
      </c>
      <c r="N2" s="4"/>
      <c r="O2" s="280" t="s">
        <v>19488</v>
      </c>
      <c r="P2" s="280"/>
      <c r="Q2" s="146"/>
      <c r="R2" s="146"/>
      <c r="S2" s="146"/>
    </row>
    <row r="3" customFormat="false" ht="12.75" hidden="false" customHeight="true" outlineLevel="0" collapsed="false">
      <c r="A3" s="594" t="n">
        <v>205</v>
      </c>
      <c r="B3" s="458" t="s">
        <v>19489</v>
      </c>
      <c r="C3" s="458" t="n">
        <v>2004</v>
      </c>
      <c r="D3" s="459" t="n">
        <v>38190</v>
      </c>
      <c r="E3" s="458" t="s">
        <v>19490</v>
      </c>
      <c r="F3" s="458" t="s">
        <v>19491</v>
      </c>
      <c r="G3" s="458" t="s">
        <v>144</v>
      </c>
      <c r="H3" s="458" t="s">
        <v>134</v>
      </c>
      <c r="I3" s="459" t="n">
        <v>38392</v>
      </c>
      <c r="J3" s="460" t="n">
        <v>2</v>
      </c>
      <c r="K3" s="633" t="s">
        <v>47</v>
      </c>
      <c r="L3" s="458" t="s">
        <v>58</v>
      </c>
      <c r="M3" s="463" t="n">
        <f aca="false">I3-D3</f>
        <v>202</v>
      </c>
      <c r="N3" s="4"/>
      <c r="O3" s="281" t="s">
        <v>1182</v>
      </c>
      <c r="P3" s="281" t="n">
        <f aca="false">COUNTIF($G$2:$G$477,"PT")</f>
        <v>23</v>
      </c>
      <c r="Q3" s="146"/>
      <c r="R3" s="146"/>
      <c r="S3" s="146"/>
    </row>
    <row r="4" customFormat="false" ht="12.75" hidden="false" customHeight="true" outlineLevel="0" collapsed="false">
      <c r="A4" s="602" t="n">
        <v>305</v>
      </c>
      <c r="B4" s="450" t="s">
        <v>19492</v>
      </c>
      <c r="C4" s="450" t="n">
        <v>2004</v>
      </c>
      <c r="D4" s="453" t="n">
        <v>38201</v>
      </c>
      <c r="E4" s="450" t="s">
        <v>19493</v>
      </c>
      <c r="F4" s="450" t="s">
        <v>823</v>
      </c>
      <c r="G4" s="450" t="s">
        <v>8</v>
      </c>
      <c r="H4" s="450" t="s">
        <v>119</v>
      </c>
      <c r="I4" s="453" t="n">
        <v>38397</v>
      </c>
      <c r="J4" s="452" t="n">
        <v>2</v>
      </c>
      <c r="K4" s="631" t="s">
        <v>42</v>
      </c>
      <c r="L4" s="452" t="s">
        <v>58</v>
      </c>
      <c r="M4" s="455" t="n">
        <f aca="false">I4-D4</f>
        <v>196</v>
      </c>
      <c r="N4" s="4"/>
      <c r="O4" s="282" t="s">
        <v>1188</v>
      </c>
      <c r="P4" s="282" t="n">
        <f aca="false">COUNTIF($G$2:$G$477,"PTN")</f>
        <v>5</v>
      </c>
      <c r="Q4" s="153"/>
      <c r="R4" s="153"/>
      <c r="S4" s="153"/>
    </row>
    <row r="5" customFormat="false" ht="12.75" hidden="false" customHeight="true" outlineLevel="0" collapsed="false">
      <c r="A5" s="594" t="n">
        <v>405</v>
      </c>
      <c r="B5" s="458" t="s">
        <v>19494</v>
      </c>
      <c r="C5" s="458" t="n">
        <v>2000</v>
      </c>
      <c r="D5" s="459" t="n">
        <v>36650</v>
      </c>
      <c r="E5" s="458" t="s">
        <v>19495</v>
      </c>
      <c r="F5" s="458" t="s">
        <v>10637</v>
      </c>
      <c r="G5" s="458" t="s">
        <v>144</v>
      </c>
      <c r="H5" s="458" t="s">
        <v>2421</v>
      </c>
      <c r="I5" s="459" t="n">
        <v>38394</v>
      </c>
      <c r="J5" s="460" t="n">
        <v>2</v>
      </c>
      <c r="K5" s="633" t="s">
        <v>47</v>
      </c>
      <c r="L5" s="458" t="s">
        <v>58</v>
      </c>
      <c r="M5" s="463" t="n">
        <f aca="false">I5-D5</f>
        <v>1744</v>
      </c>
      <c r="N5" s="4"/>
      <c r="O5" s="283" t="s">
        <v>1192</v>
      </c>
      <c r="P5" s="283" t="n">
        <f aca="false">COUNTIF($G$2:$G$477,"PTE")</f>
        <v>0</v>
      </c>
      <c r="Q5" s="153"/>
      <c r="R5" s="153"/>
      <c r="S5" s="153"/>
    </row>
    <row r="6" customFormat="false" ht="12.75" hidden="false" customHeight="true" outlineLevel="0" collapsed="false">
      <c r="A6" s="602" t="n">
        <v>505</v>
      </c>
      <c r="B6" s="450" t="s">
        <v>19496</v>
      </c>
      <c r="C6" s="450" t="n">
        <v>2001</v>
      </c>
      <c r="D6" s="453" t="n">
        <v>36963</v>
      </c>
      <c r="E6" s="450" t="s">
        <v>19497</v>
      </c>
      <c r="F6" s="450" t="s">
        <v>19498</v>
      </c>
      <c r="G6" s="450" t="s">
        <v>115</v>
      </c>
      <c r="H6" s="450" t="s">
        <v>19116</v>
      </c>
      <c r="I6" s="453" t="n">
        <v>38394</v>
      </c>
      <c r="J6" s="452" t="n">
        <v>2</v>
      </c>
      <c r="K6" s="631" t="s">
        <v>42</v>
      </c>
      <c r="L6" s="452" t="s">
        <v>58</v>
      </c>
      <c r="M6" s="455" t="n">
        <f aca="false">I6-D6</f>
        <v>1431</v>
      </c>
      <c r="N6" s="4"/>
      <c r="O6" s="282" t="s">
        <v>8</v>
      </c>
      <c r="P6" s="282" t="n">
        <f aca="false">COUNTIF($G$2:$G$477,"Pré-Mistura")</f>
        <v>1</v>
      </c>
      <c r="Q6" s="153"/>
      <c r="R6" s="153"/>
      <c r="S6" s="153"/>
    </row>
    <row r="7" customFormat="false" ht="12.75" hidden="false" customHeight="true" outlineLevel="0" collapsed="false">
      <c r="A7" s="594" t="n">
        <v>605</v>
      </c>
      <c r="B7" s="458" t="s">
        <v>19499</v>
      </c>
      <c r="C7" s="458" t="n">
        <v>2003</v>
      </c>
      <c r="D7" s="459" t="n">
        <v>37900</v>
      </c>
      <c r="E7" s="458" t="s">
        <v>19500</v>
      </c>
      <c r="F7" s="458" t="s">
        <v>7420</v>
      </c>
      <c r="G7" s="458" t="s">
        <v>144</v>
      </c>
      <c r="H7" s="458" t="s">
        <v>19501</v>
      </c>
      <c r="I7" s="459" t="n">
        <v>38425</v>
      </c>
      <c r="J7" s="460" t="n">
        <v>3</v>
      </c>
      <c r="K7" s="632" t="s">
        <v>50</v>
      </c>
      <c r="L7" s="458" t="s">
        <v>60</v>
      </c>
      <c r="M7" s="463" t="n">
        <f aca="false">I7-D7</f>
        <v>525</v>
      </c>
      <c r="N7" s="4"/>
      <c r="O7" s="283" t="s">
        <v>110</v>
      </c>
      <c r="P7" s="283" t="n">
        <f aca="false">COUNTIF($G$2:$G$477,"PF")</f>
        <v>45</v>
      </c>
      <c r="Q7" s="153"/>
      <c r="R7" s="153"/>
      <c r="S7" s="153"/>
    </row>
    <row r="8" customFormat="false" ht="12.75" hidden="false" customHeight="true" outlineLevel="0" collapsed="false">
      <c r="A8" s="602" t="n">
        <v>705</v>
      </c>
      <c r="B8" s="450" t="s">
        <v>19502</v>
      </c>
      <c r="C8" s="450" t="n">
        <v>2002</v>
      </c>
      <c r="D8" s="453" t="n">
        <v>37441</v>
      </c>
      <c r="E8" s="450" t="s">
        <v>19503</v>
      </c>
      <c r="F8" s="450" t="s">
        <v>19504</v>
      </c>
      <c r="G8" s="450" t="s">
        <v>125</v>
      </c>
      <c r="H8" s="450" t="s">
        <v>18594</v>
      </c>
      <c r="I8" s="453" t="n">
        <v>38426</v>
      </c>
      <c r="J8" s="452" t="n">
        <v>3</v>
      </c>
      <c r="K8" s="633" t="s">
        <v>47</v>
      </c>
      <c r="L8" s="452" t="s">
        <v>61</v>
      </c>
      <c r="M8" s="455" t="n">
        <f aca="false">I8-D8</f>
        <v>985</v>
      </c>
      <c r="N8" s="4"/>
      <c r="O8" s="282" t="s">
        <v>115</v>
      </c>
      <c r="P8" s="282" t="n">
        <f aca="false">COUNTIF($G$2:$G$477,"PFN")</f>
        <v>5</v>
      </c>
      <c r="Q8" s="153"/>
      <c r="R8" s="153"/>
      <c r="S8" s="153"/>
    </row>
    <row r="9" customFormat="false" ht="12.75" hidden="false" customHeight="true" outlineLevel="0" collapsed="false">
      <c r="A9" s="594" t="n">
        <v>805</v>
      </c>
      <c r="B9" s="458" t="s">
        <v>19505</v>
      </c>
      <c r="C9" s="458" t="n">
        <v>2002</v>
      </c>
      <c r="D9" s="461" t="n">
        <v>37441</v>
      </c>
      <c r="E9" s="458" t="s">
        <v>19506</v>
      </c>
      <c r="F9" s="458" t="s">
        <v>19504</v>
      </c>
      <c r="G9" s="458" t="s">
        <v>125</v>
      </c>
      <c r="H9" s="458" t="s">
        <v>18594</v>
      </c>
      <c r="I9" s="461" t="n">
        <v>38426</v>
      </c>
      <c r="J9" s="460" t="n">
        <v>3</v>
      </c>
      <c r="K9" s="633" t="s">
        <v>47</v>
      </c>
      <c r="L9" s="458" t="s">
        <v>61</v>
      </c>
      <c r="M9" s="463" t="n">
        <f aca="false">I9-D9</f>
        <v>985</v>
      </c>
      <c r="N9" s="4"/>
      <c r="O9" s="283" t="s">
        <v>120</v>
      </c>
      <c r="P9" s="283" t="n">
        <f aca="false">COUNTIF($G$2:$G$477,"PF/PTE")</f>
        <v>0</v>
      </c>
      <c r="Q9" s="153"/>
      <c r="R9" s="153"/>
      <c r="S9" s="153"/>
    </row>
    <row r="10" customFormat="false" ht="12.75" hidden="false" customHeight="true" outlineLevel="0" collapsed="false">
      <c r="A10" s="602" t="n">
        <v>905</v>
      </c>
      <c r="B10" s="450" t="s">
        <v>19507</v>
      </c>
      <c r="C10" s="450" t="n">
        <v>2002</v>
      </c>
      <c r="D10" s="453" t="n">
        <v>37441</v>
      </c>
      <c r="E10" s="450" t="s">
        <v>19508</v>
      </c>
      <c r="F10" s="450" t="s">
        <v>19504</v>
      </c>
      <c r="G10" s="450" t="s">
        <v>125</v>
      </c>
      <c r="H10" s="450" t="s">
        <v>18594</v>
      </c>
      <c r="I10" s="453" t="n">
        <v>38426</v>
      </c>
      <c r="J10" s="452" t="n">
        <v>3</v>
      </c>
      <c r="K10" s="633" t="s">
        <v>47</v>
      </c>
      <c r="L10" s="452" t="s">
        <v>61</v>
      </c>
      <c r="M10" s="455" t="n">
        <f aca="false">I10-D10</f>
        <v>985</v>
      </c>
      <c r="N10" s="4"/>
      <c r="O10" s="282" t="s">
        <v>125</v>
      </c>
      <c r="P10" s="282" t="n">
        <f aca="false">COUNTIF($G$2:$G$477,"Bio")</f>
        <v>10</v>
      </c>
      <c r="Q10" s="153"/>
      <c r="R10" s="153"/>
      <c r="S10" s="153"/>
    </row>
    <row r="11" customFormat="false" ht="12.75" hidden="false" customHeight="true" outlineLevel="0" collapsed="false">
      <c r="A11" s="594" t="n">
        <v>1005</v>
      </c>
      <c r="B11" s="458" t="s">
        <v>19509</v>
      </c>
      <c r="C11" s="458" t="n">
        <v>2001</v>
      </c>
      <c r="D11" s="461" t="n">
        <v>37133</v>
      </c>
      <c r="E11" s="458" t="s">
        <v>19510</v>
      </c>
      <c r="F11" s="458" t="s">
        <v>19511</v>
      </c>
      <c r="G11" s="458" t="s">
        <v>125</v>
      </c>
      <c r="H11" s="458" t="s">
        <v>391</v>
      </c>
      <c r="I11" s="461" t="n">
        <v>38428</v>
      </c>
      <c r="J11" s="460" t="n">
        <v>3</v>
      </c>
      <c r="K11" s="632" t="s">
        <v>50</v>
      </c>
      <c r="L11" s="458" t="s">
        <v>61</v>
      </c>
      <c r="M11" s="463" t="n">
        <f aca="false">I11-D11</f>
        <v>1295</v>
      </c>
      <c r="N11" s="4"/>
      <c r="O11" s="284" t="s">
        <v>130</v>
      </c>
      <c r="P11" s="284" t="n">
        <f aca="false">COUNTIF($G$2:$G$477,"Bio/Org")</f>
        <v>0</v>
      </c>
      <c r="Q11" s="153"/>
      <c r="R11" s="153"/>
      <c r="S11" s="153"/>
    </row>
    <row r="12" customFormat="false" ht="12.75" hidden="false" customHeight="true" outlineLevel="0" collapsed="false">
      <c r="A12" s="602" t="n">
        <v>1105</v>
      </c>
      <c r="B12" s="450" t="s">
        <v>19512</v>
      </c>
      <c r="C12" s="450" t="n">
        <v>2002</v>
      </c>
      <c r="D12" s="453" t="n">
        <v>37518</v>
      </c>
      <c r="E12" s="450" t="s">
        <v>19513</v>
      </c>
      <c r="F12" s="450" t="s">
        <v>8232</v>
      </c>
      <c r="G12" s="450" t="s">
        <v>1474</v>
      </c>
      <c r="H12" s="450" t="s">
        <v>134</v>
      </c>
      <c r="I12" s="453" t="n">
        <v>38429</v>
      </c>
      <c r="J12" s="452" t="n">
        <v>3</v>
      </c>
      <c r="K12" s="633" t="s">
        <v>47</v>
      </c>
      <c r="L12" s="452" t="s">
        <v>60</v>
      </c>
      <c r="M12" s="455" t="n">
        <f aca="false">I12-D12</f>
        <v>911</v>
      </c>
      <c r="N12" s="4"/>
      <c r="O12" s="285" t="s">
        <v>140</v>
      </c>
      <c r="P12" s="286" t="n">
        <f aca="false">SUM(P3:P11)</f>
        <v>89</v>
      </c>
      <c r="Q12" s="153"/>
      <c r="R12" s="153"/>
      <c r="S12" s="153"/>
    </row>
    <row r="13" customFormat="false" ht="12.75" hidden="false" customHeight="true" outlineLevel="0" collapsed="false">
      <c r="A13" s="594" t="n">
        <v>1205</v>
      </c>
      <c r="B13" s="458" t="s">
        <v>19514</v>
      </c>
      <c r="C13" s="458" t="n">
        <v>2001</v>
      </c>
      <c r="D13" s="459" t="n">
        <v>37181</v>
      </c>
      <c r="E13" s="458" t="s">
        <v>19515</v>
      </c>
      <c r="F13" s="458" t="s">
        <v>17822</v>
      </c>
      <c r="G13" s="458" t="s">
        <v>144</v>
      </c>
      <c r="H13" s="458" t="s">
        <v>3339</v>
      </c>
      <c r="I13" s="459" t="n">
        <v>38435</v>
      </c>
      <c r="J13" s="460" t="n">
        <v>3</v>
      </c>
      <c r="K13" s="634" t="s">
        <v>45</v>
      </c>
      <c r="L13" s="458" t="s">
        <v>60</v>
      </c>
      <c r="M13" s="463" t="n">
        <f aca="false">I13-D13</f>
        <v>1254</v>
      </c>
      <c r="N13" s="4"/>
      <c r="O13" s="153"/>
      <c r="P13" s="153"/>
      <c r="Q13" s="153"/>
      <c r="R13" s="287"/>
      <c r="S13" s="287"/>
    </row>
    <row r="14" customFormat="false" ht="13.5" hidden="false" customHeight="true" outlineLevel="0" collapsed="false">
      <c r="A14" s="602" t="n">
        <v>1305</v>
      </c>
      <c r="B14" s="450" t="s">
        <v>19516</v>
      </c>
      <c r="C14" s="450" t="n">
        <v>2003</v>
      </c>
      <c r="D14" s="451" t="n">
        <v>37875</v>
      </c>
      <c r="E14" s="450" t="s">
        <v>19517</v>
      </c>
      <c r="F14" s="450" t="s">
        <v>823</v>
      </c>
      <c r="G14" s="450" t="s">
        <v>144</v>
      </c>
      <c r="H14" s="450" t="s">
        <v>119</v>
      </c>
      <c r="I14" s="451" t="n">
        <v>38435</v>
      </c>
      <c r="J14" s="452" t="n">
        <v>3</v>
      </c>
      <c r="K14" s="632" t="s">
        <v>50</v>
      </c>
      <c r="L14" s="452" t="s">
        <v>58</v>
      </c>
      <c r="M14" s="455" t="n">
        <f aca="false">I14-D14</f>
        <v>560</v>
      </c>
      <c r="N14" s="4"/>
      <c r="O14" s="411" t="s">
        <v>151</v>
      </c>
      <c r="P14" s="411"/>
      <c r="Q14" s="411"/>
      <c r="R14" s="411"/>
      <c r="S14" s="411"/>
    </row>
    <row r="15" customFormat="false" ht="14.25" hidden="false" customHeight="true" outlineLevel="0" collapsed="false">
      <c r="A15" s="594" t="n">
        <v>1405</v>
      </c>
      <c r="B15" s="458" t="s">
        <v>19518</v>
      </c>
      <c r="C15" s="458" t="n">
        <v>2003</v>
      </c>
      <c r="D15" s="459" t="n">
        <v>37900</v>
      </c>
      <c r="E15" s="458" t="s">
        <v>19519</v>
      </c>
      <c r="F15" s="458" t="s">
        <v>488</v>
      </c>
      <c r="G15" s="458" t="s">
        <v>144</v>
      </c>
      <c r="H15" s="458" t="s">
        <v>134</v>
      </c>
      <c r="I15" s="459" t="n">
        <v>38439</v>
      </c>
      <c r="J15" s="460" t="n">
        <v>3</v>
      </c>
      <c r="K15" s="633" t="s">
        <v>47</v>
      </c>
      <c r="L15" s="458" t="s">
        <v>60</v>
      </c>
      <c r="M15" s="463" t="n">
        <f aca="false">I15-D15</f>
        <v>539</v>
      </c>
      <c r="N15" s="4"/>
      <c r="O15" s="411"/>
      <c r="P15" s="411"/>
      <c r="Q15" s="411"/>
      <c r="R15" s="411"/>
      <c r="S15" s="411"/>
    </row>
    <row r="16" customFormat="false" ht="12.75" hidden="false" customHeight="true" outlineLevel="0" collapsed="false">
      <c r="A16" s="602" t="n">
        <v>1505</v>
      </c>
      <c r="B16" s="450" t="s">
        <v>19520</v>
      </c>
      <c r="C16" s="450" t="n">
        <v>2003</v>
      </c>
      <c r="D16" s="451" t="n">
        <v>37900</v>
      </c>
      <c r="E16" s="450" t="s">
        <v>19521</v>
      </c>
      <c r="F16" s="450" t="s">
        <v>488</v>
      </c>
      <c r="G16" s="450" t="s">
        <v>144</v>
      </c>
      <c r="H16" s="450" t="s">
        <v>134</v>
      </c>
      <c r="I16" s="451" t="n">
        <v>38439</v>
      </c>
      <c r="J16" s="452" t="n">
        <v>3</v>
      </c>
      <c r="K16" s="631" t="s">
        <v>42</v>
      </c>
      <c r="L16" s="452" t="s">
        <v>60</v>
      </c>
      <c r="M16" s="455" t="n">
        <f aca="false">I16-D16</f>
        <v>539</v>
      </c>
      <c r="N16" s="4"/>
      <c r="O16" s="412" t="s">
        <v>2194</v>
      </c>
      <c r="P16" s="412"/>
      <c r="Q16" s="412"/>
      <c r="R16" s="412"/>
      <c r="S16" s="412"/>
    </row>
    <row r="17" customFormat="false" ht="12.75" hidden="false" customHeight="true" outlineLevel="0" collapsed="false">
      <c r="A17" s="594" t="n">
        <v>1605</v>
      </c>
      <c r="B17" s="458" t="s">
        <v>19522</v>
      </c>
      <c r="C17" s="458" t="n">
        <v>2003</v>
      </c>
      <c r="D17" s="459" t="n">
        <v>37900</v>
      </c>
      <c r="E17" s="458" t="s">
        <v>19523</v>
      </c>
      <c r="F17" s="458" t="s">
        <v>488</v>
      </c>
      <c r="G17" s="458" t="s">
        <v>144</v>
      </c>
      <c r="H17" s="458" t="s">
        <v>134</v>
      </c>
      <c r="I17" s="459" t="n">
        <v>38439</v>
      </c>
      <c r="J17" s="460" t="n">
        <v>3</v>
      </c>
      <c r="K17" s="631" t="s">
        <v>42</v>
      </c>
      <c r="L17" s="458" t="s">
        <v>60</v>
      </c>
      <c r="M17" s="463" t="n">
        <f aca="false">I17-D17</f>
        <v>539</v>
      </c>
      <c r="N17" s="4"/>
      <c r="O17" s="413" t="s">
        <v>2198</v>
      </c>
      <c r="P17" s="413"/>
      <c r="Q17" s="413"/>
      <c r="R17" s="413"/>
      <c r="S17" s="413"/>
    </row>
    <row r="18" customFormat="false" ht="12.75" hidden="false" customHeight="true" outlineLevel="0" collapsed="false">
      <c r="A18" s="602" t="n">
        <v>1705</v>
      </c>
      <c r="B18" s="450" t="s">
        <v>19524</v>
      </c>
      <c r="C18" s="450" t="n">
        <v>1998</v>
      </c>
      <c r="D18" s="451" t="n">
        <v>36110</v>
      </c>
      <c r="E18" s="450" t="s">
        <v>19525</v>
      </c>
      <c r="F18" s="450" t="s">
        <v>19526</v>
      </c>
      <c r="G18" s="450" t="s">
        <v>144</v>
      </c>
      <c r="H18" s="450" t="s">
        <v>134</v>
      </c>
      <c r="I18" s="451" t="n">
        <v>38446</v>
      </c>
      <c r="J18" s="452" t="n">
        <v>4</v>
      </c>
      <c r="K18" s="631" t="s">
        <v>42</v>
      </c>
      <c r="L18" s="452" t="s">
        <v>60</v>
      </c>
      <c r="M18" s="455" t="n">
        <f aca="false">I18-D18</f>
        <v>2336</v>
      </c>
      <c r="N18" s="4"/>
      <c r="O18" s="414" t="s">
        <v>2203</v>
      </c>
      <c r="P18" s="414"/>
      <c r="Q18" s="414"/>
      <c r="R18" s="414"/>
      <c r="S18" s="414"/>
    </row>
    <row r="19" customFormat="false" ht="12.75" hidden="false" customHeight="true" outlineLevel="0" collapsed="false">
      <c r="A19" s="594" t="n">
        <v>1805</v>
      </c>
      <c r="B19" s="458" t="s">
        <v>19527</v>
      </c>
      <c r="C19" s="458" t="n">
        <v>1998</v>
      </c>
      <c r="D19" s="459" t="n">
        <v>36110</v>
      </c>
      <c r="E19" s="458" t="s">
        <v>19528</v>
      </c>
      <c r="F19" s="458" t="s">
        <v>19526</v>
      </c>
      <c r="G19" s="458" t="s">
        <v>144</v>
      </c>
      <c r="H19" s="458" t="s">
        <v>134</v>
      </c>
      <c r="I19" s="459" t="n">
        <v>38446</v>
      </c>
      <c r="J19" s="460" t="n">
        <v>4</v>
      </c>
      <c r="K19" s="634" t="s">
        <v>45</v>
      </c>
      <c r="L19" s="458" t="s">
        <v>60</v>
      </c>
      <c r="M19" s="463" t="n">
        <f aca="false">I19-D19</f>
        <v>2336</v>
      </c>
      <c r="N19" s="4"/>
      <c r="O19" s="413" t="s">
        <v>2207</v>
      </c>
      <c r="P19" s="413"/>
      <c r="Q19" s="413"/>
      <c r="R19" s="413"/>
      <c r="S19" s="413"/>
    </row>
    <row r="20" customFormat="false" ht="12.75" hidden="false" customHeight="true" outlineLevel="0" collapsed="false">
      <c r="A20" s="602" t="n">
        <v>1905</v>
      </c>
      <c r="B20" s="602" t="s">
        <v>10996</v>
      </c>
      <c r="C20" s="602" t="s">
        <v>10996</v>
      </c>
      <c r="D20" s="650" t="s">
        <v>10996</v>
      </c>
      <c r="E20" s="602" t="s">
        <v>10996</v>
      </c>
      <c r="F20" s="602" t="s">
        <v>10996</v>
      </c>
      <c r="G20" s="602" t="s">
        <v>10996</v>
      </c>
      <c r="H20" s="602" t="s">
        <v>10996</v>
      </c>
      <c r="I20" s="650" t="s">
        <v>10996</v>
      </c>
      <c r="J20" s="282" t="s">
        <v>10996</v>
      </c>
      <c r="K20" s="602" t="s">
        <v>10996</v>
      </c>
      <c r="L20" s="282" t="s">
        <v>10996</v>
      </c>
      <c r="M20" s="282" t="s">
        <v>10996</v>
      </c>
      <c r="N20" s="4"/>
      <c r="O20" s="414" t="s">
        <v>2211</v>
      </c>
      <c r="P20" s="414"/>
      <c r="Q20" s="414"/>
      <c r="R20" s="414"/>
      <c r="S20" s="414"/>
    </row>
    <row r="21" customFormat="false" ht="12.75" hidden="false" customHeight="true" outlineLevel="0" collapsed="false">
      <c r="A21" s="594" t="n">
        <v>2005</v>
      </c>
      <c r="B21" s="458" t="s">
        <v>19135</v>
      </c>
      <c r="C21" s="458" t="n">
        <v>2004</v>
      </c>
      <c r="D21" s="459" t="n">
        <v>38089</v>
      </c>
      <c r="E21" s="458" t="s">
        <v>19529</v>
      </c>
      <c r="F21" s="458" t="s">
        <v>113</v>
      </c>
      <c r="G21" s="458" t="s">
        <v>144</v>
      </c>
      <c r="H21" s="458" t="s">
        <v>14391</v>
      </c>
      <c r="I21" s="459" t="n">
        <v>38455</v>
      </c>
      <c r="J21" s="460" t="n">
        <v>4</v>
      </c>
      <c r="K21" s="634" t="s">
        <v>45</v>
      </c>
      <c r="L21" s="458" t="s">
        <v>58</v>
      </c>
      <c r="M21" s="463" t="n">
        <f aca="false">I21-D21</f>
        <v>366</v>
      </c>
      <c r="N21" s="4"/>
      <c r="O21" s="413" t="s">
        <v>2215</v>
      </c>
      <c r="P21" s="413"/>
      <c r="Q21" s="413"/>
      <c r="R21" s="413"/>
      <c r="S21" s="413"/>
    </row>
    <row r="22" customFormat="false" ht="12.75" hidden="false" customHeight="true" outlineLevel="0" collapsed="false">
      <c r="A22" s="602" t="n">
        <v>2105</v>
      </c>
      <c r="B22" s="450" t="s">
        <v>19530</v>
      </c>
      <c r="C22" s="450" t="n">
        <v>2004</v>
      </c>
      <c r="D22" s="451" t="n">
        <v>38089</v>
      </c>
      <c r="E22" s="450" t="s">
        <v>19531</v>
      </c>
      <c r="F22" s="450" t="s">
        <v>113</v>
      </c>
      <c r="G22" s="450" t="s">
        <v>144</v>
      </c>
      <c r="H22" s="450" t="s">
        <v>14391</v>
      </c>
      <c r="I22" s="451" t="n">
        <v>38455</v>
      </c>
      <c r="J22" s="452" t="n">
        <v>4</v>
      </c>
      <c r="K22" s="634" t="s">
        <v>45</v>
      </c>
      <c r="L22" s="452" t="s">
        <v>58</v>
      </c>
      <c r="M22" s="455" t="n">
        <f aca="false">I22-D22</f>
        <v>366</v>
      </c>
      <c r="N22" s="4"/>
      <c r="O22" s="414" t="s">
        <v>2220</v>
      </c>
      <c r="P22" s="414"/>
      <c r="Q22" s="414"/>
      <c r="R22" s="414"/>
      <c r="S22" s="414"/>
    </row>
    <row r="23" customFormat="false" ht="12.75" hidden="false" customHeight="true" outlineLevel="0" collapsed="false">
      <c r="A23" s="594" t="n">
        <v>2205</v>
      </c>
      <c r="B23" s="458" t="s">
        <v>19532</v>
      </c>
      <c r="C23" s="458" t="n">
        <v>2004</v>
      </c>
      <c r="D23" s="459" t="n">
        <v>38089</v>
      </c>
      <c r="E23" s="458" t="s">
        <v>19533</v>
      </c>
      <c r="F23" s="458" t="s">
        <v>113</v>
      </c>
      <c r="G23" s="458" t="s">
        <v>144</v>
      </c>
      <c r="H23" s="458" t="s">
        <v>14391</v>
      </c>
      <c r="I23" s="459" t="n">
        <v>38455</v>
      </c>
      <c r="J23" s="460" t="n">
        <v>4</v>
      </c>
      <c r="K23" s="634" t="s">
        <v>45</v>
      </c>
      <c r="L23" s="458" t="s">
        <v>58</v>
      </c>
      <c r="M23" s="463" t="n">
        <f aca="false">I23-D23</f>
        <v>366</v>
      </c>
      <c r="N23" s="4"/>
      <c r="O23" s="413" t="s">
        <v>18107</v>
      </c>
      <c r="P23" s="413"/>
      <c r="Q23" s="413"/>
      <c r="R23" s="413"/>
      <c r="S23" s="413"/>
    </row>
    <row r="24" customFormat="false" ht="12.75" hidden="false" customHeight="true" outlineLevel="0" collapsed="false">
      <c r="A24" s="602" t="n">
        <v>2305</v>
      </c>
      <c r="B24" s="450" t="s">
        <v>19534</v>
      </c>
      <c r="C24" s="450" t="n">
        <v>2001</v>
      </c>
      <c r="D24" s="453" t="n">
        <v>37238</v>
      </c>
      <c r="E24" s="450" t="s">
        <v>19535</v>
      </c>
      <c r="F24" s="450" t="s">
        <v>4270</v>
      </c>
      <c r="G24" s="450" t="s">
        <v>1474</v>
      </c>
      <c r="H24" s="450" t="s">
        <v>2654</v>
      </c>
      <c r="I24" s="453" t="n">
        <v>38456</v>
      </c>
      <c r="J24" s="452" t="n">
        <v>4</v>
      </c>
      <c r="K24" s="631" t="s">
        <v>42</v>
      </c>
      <c r="L24" s="452" t="s">
        <v>60</v>
      </c>
      <c r="M24" s="455" t="n">
        <f aca="false">I24-D24</f>
        <v>1218</v>
      </c>
      <c r="N24" s="4"/>
      <c r="O24" s="415" t="s">
        <v>2229</v>
      </c>
      <c r="P24" s="415"/>
      <c r="Q24" s="415"/>
      <c r="R24" s="415"/>
      <c r="S24" s="415"/>
    </row>
    <row r="25" customFormat="false" ht="12.75" hidden="false" customHeight="true" outlineLevel="0" collapsed="false">
      <c r="A25" s="594" t="n">
        <v>2405</v>
      </c>
      <c r="B25" s="458" t="s">
        <v>19536</v>
      </c>
      <c r="C25" s="458" t="n">
        <v>1999</v>
      </c>
      <c r="D25" s="459" t="n">
        <v>36441</v>
      </c>
      <c r="E25" s="458" t="s">
        <v>19537</v>
      </c>
      <c r="F25" s="458" t="s">
        <v>19538</v>
      </c>
      <c r="G25" s="458" t="s">
        <v>144</v>
      </c>
      <c r="H25" s="458" t="s">
        <v>19116</v>
      </c>
      <c r="I25" s="459" t="n">
        <v>38461</v>
      </c>
      <c r="J25" s="460" t="n">
        <v>4</v>
      </c>
      <c r="K25" s="631" t="s">
        <v>42</v>
      </c>
      <c r="L25" s="458" t="s">
        <v>58</v>
      </c>
      <c r="M25" s="463" t="n">
        <f aca="false">I25-D25</f>
        <v>2020</v>
      </c>
      <c r="N25" s="4"/>
      <c r="O25" s="153"/>
      <c r="P25" s="153"/>
      <c r="Q25" s="153"/>
      <c r="R25" s="153"/>
      <c r="S25" s="153"/>
    </row>
    <row r="26" customFormat="false" ht="13.5" hidden="false" customHeight="true" outlineLevel="0" collapsed="false">
      <c r="A26" s="602" t="n">
        <v>2505</v>
      </c>
      <c r="B26" s="450" t="s">
        <v>19539</v>
      </c>
      <c r="C26" s="450" t="n">
        <v>2001</v>
      </c>
      <c r="D26" s="451" t="n">
        <v>37246</v>
      </c>
      <c r="E26" s="450" t="s">
        <v>19540</v>
      </c>
      <c r="F26" s="450" t="s">
        <v>408</v>
      </c>
      <c r="G26" s="450" t="s">
        <v>144</v>
      </c>
      <c r="H26" s="450" t="s">
        <v>19116</v>
      </c>
      <c r="I26" s="451" t="n">
        <v>38467</v>
      </c>
      <c r="J26" s="452" t="n">
        <v>4</v>
      </c>
      <c r="K26" s="633" t="s">
        <v>47</v>
      </c>
      <c r="L26" s="452" t="s">
        <v>60</v>
      </c>
      <c r="M26" s="455" t="n">
        <f aca="false">I26-D26</f>
        <v>1221</v>
      </c>
      <c r="N26" s="4"/>
      <c r="O26" s="326" t="s">
        <v>185</v>
      </c>
      <c r="P26" s="326"/>
      <c r="Q26" s="326"/>
      <c r="R26" s="326"/>
      <c r="S26" s="326"/>
    </row>
    <row r="27" customFormat="false" ht="13.5" hidden="false" customHeight="true" outlineLevel="0" collapsed="false">
      <c r="A27" s="594" t="n">
        <v>2605</v>
      </c>
      <c r="B27" s="458" t="s">
        <v>19541</v>
      </c>
      <c r="C27" s="458" t="n">
        <v>1998</v>
      </c>
      <c r="D27" s="459" t="n">
        <v>36482</v>
      </c>
      <c r="E27" s="458" t="s">
        <v>19542</v>
      </c>
      <c r="F27" s="458" t="s">
        <v>19543</v>
      </c>
      <c r="G27" s="458" t="s">
        <v>144</v>
      </c>
      <c r="H27" s="458" t="s">
        <v>1791</v>
      </c>
      <c r="I27" s="459" t="n">
        <v>38483</v>
      </c>
      <c r="J27" s="460" t="n">
        <v>5</v>
      </c>
      <c r="K27" s="634" t="s">
        <v>45</v>
      </c>
      <c r="L27" s="458" t="s">
        <v>58</v>
      </c>
      <c r="M27" s="463" t="n">
        <f aca="false">I27-D27</f>
        <v>2001</v>
      </c>
      <c r="N27" s="4"/>
      <c r="O27" s="326"/>
      <c r="P27" s="326"/>
      <c r="Q27" s="326"/>
      <c r="R27" s="326"/>
      <c r="S27" s="326"/>
    </row>
    <row r="28" customFormat="false" ht="12.75" hidden="false" customHeight="true" outlineLevel="0" collapsed="false">
      <c r="A28" s="602" t="n">
        <v>2705</v>
      </c>
      <c r="B28" s="450" t="s">
        <v>19544</v>
      </c>
      <c r="C28" s="450" t="n">
        <v>2003</v>
      </c>
      <c r="D28" s="453" t="n">
        <v>37669</v>
      </c>
      <c r="E28" s="450" t="s">
        <v>19545</v>
      </c>
      <c r="F28" s="450" t="s">
        <v>19546</v>
      </c>
      <c r="G28" s="450" t="s">
        <v>1474</v>
      </c>
      <c r="H28" s="450" t="s">
        <v>119</v>
      </c>
      <c r="I28" s="453" t="n">
        <v>38484</v>
      </c>
      <c r="J28" s="452" t="n">
        <v>5</v>
      </c>
      <c r="K28" s="633" t="s">
        <v>47</v>
      </c>
      <c r="L28" s="452" t="s">
        <v>60</v>
      </c>
      <c r="M28" s="455" t="n">
        <f aca="false">I28-D28</f>
        <v>815</v>
      </c>
      <c r="N28" s="4"/>
      <c r="O28" s="309" t="s">
        <v>39</v>
      </c>
      <c r="P28" s="416" t="s">
        <v>40</v>
      </c>
      <c r="Q28" s="416"/>
      <c r="R28" s="416"/>
      <c r="S28" s="313" t="s">
        <v>41</v>
      </c>
    </row>
    <row r="29" customFormat="false" ht="12.75" hidden="false" customHeight="true" outlineLevel="0" collapsed="false">
      <c r="A29" s="594" t="n">
        <v>2805</v>
      </c>
      <c r="B29" s="458" t="s">
        <v>19547</v>
      </c>
      <c r="C29" s="458" t="n">
        <v>2003</v>
      </c>
      <c r="D29" s="461" t="n">
        <v>37756</v>
      </c>
      <c r="E29" s="458" t="s">
        <v>19548</v>
      </c>
      <c r="F29" s="458" t="s">
        <v>4956</v>
      </c>
      <c r="G29" s="458" t="s">
        <v>1474</v>
      </c>
      <c r="H29" s="458" t="s">
        <v>119</v>
      </c>
      <c r="I29" s="461" t="n">
        <v>38484</v>
      </c>
      <c r="J29" s="460" t="n">
        <v>5</v>
      </c>
      <c r="K29" s="633" t="s">
        <v>47</v>
      </c>
      <c r="L29" s="458" t="s">
        <v>58</v>
      </c>
      <c r="M29" s="463" t="n">
        <f aca="false">I29-D29</f>
        <v>728</v>
      </c>
      <c r="N29" s="4"/>
      <c r="O29" s="283" t="n">
        <v>1993</v>
      </c>
      <c r="P29" s="283" t="n">
        <f aca="false">COUNTIF($C$2:$C$504,"1993")</f>
        <v>0</v>
      </c>
      <c r="Q29" s="283"/>
      <c r="R29" s="283"/>
      <c r="S29" s="315" t="n">
        <f aca="false">P29/P42</f>
        <v>0</v>
      </c>
    </row>
    <row r="30" customFormat="false" ht="12.75" hidden="false" customHeight="true" outlineLevel="0" collapsed="false">
      <c r="A30" s="602" t="n">
        <v>2905</v>
      </c>
      <c r="B30" s="450" t="s">
        <v>19549</v>
      </c>
      <c r="C30" s="450" t="n">
        <v>2002</v>
      </c>
      <c r="D30" s="453" t="n">
        <v>37410</v>
      </c>
      <c r="E30" s="450" t="s">
        <v>19550</v>
      </c>
      <c r="F30" s="450" t="s">
        <v>7411</v>
      </c>
      <c r="G30" s="450" t="s">
        <v>1474</v>
      </c>
      <c r="H30" s="450" t="s">
        <v>19059</v>
      </c>
      <c r="I30" s="453" t="n">
        <v>38484</v>
      </c>
      <c r="J30" s="452" t="n">
        <v>5</v>
      </c>
      <c r="K30" s="634" t="s">
        <v>45</v>
      </c>
      <c r="L30" s="452" t="s">
        <v>60</v>
      </c>
      <c r="M30" s="455" t="n">
        <f aca="false">I30-D30</f>
        <v>1074</v>
      </c>
      <c r="N30" s="4"/>
      <c r="O30" s="282" t="n">
        <v>1994</v>
      </c>
      <c r="P30" s="282" t="n">
        <f aca="false">COUNTIF($C$2:$C$504,"1994")</f>
        <v>1</v>
      </c>
      <c r="Q30" s="282"/>
      <c r="R30" s="282"/>
      <c r="S30" s="316" t="n">
        <f aca="false">P30/P42</f>
        <v>0.0112359550561798</v>
      </c>
    </row>
    <row r="31" customFormat="false" ht="12.75" hidden="false" customHeight="true" outlineLevel="0" collapsed="false">
      <c r="A31" s="594" t="n">
        <v>3005</v>
      </c>
      <c r="B31" s="458" t="s">
        <v>19551</v>
      </c>
      <c r="C31" s="458" t="n">
        <v>2003</v>
      </c>
      <c r="D31" s="461" t="n">
        <v>37659</v>
      </c>
      <c r="E31" s="458" t="s">
        <v>19552</v>
      </c>
      <c r="F31" s="458" t="s">
        <v>3138</v>
      </c>
      <c r="G31" s="458" t="s">
        <v>1188</v>
      </c>
      <c r="H31" s="458" t="s">
        <v>19553</v>
      </c>
      <c r="I31" s="461" t="n">
        <v>38490</v>
      </c>
      <c r="J31" s="460" t="n">
        <v>5</v>
      </c>
      <c r="K31" s="633" t="s">
        <v>47</v>
      </c>
      <c r="L31" s="458" t="s">
        <v>60</v>
      </c>
      <c r="M31" s="463" t="n">
        <f aca="false">I31-D31</f>
        <v>831</v>
      </c>
      <c r="N31" s="4"/>
      <c r="O31" s="283" t="n">
        <v>1995</v>
      </c>
      <c r="P31" s="283" t="n">
        <f aca="false">COUNTIF($C$2:$C$504,"1995")</f>
        <v>1</v>
      </c>
      <c r="Q31" s="283"/>
      <c r="R31" s="283"/>
      <c r="S31" s="315" t="n">
        <f aca="false">P31/P42</f>
        <v>0.0112359550561798</v>
      </c>
    </row>
    <row r="32" customFormat="false" ht="12.75" hidden="false" customHeight="true" outlineLevel="0" collapsed="false">
      <c r="A32" s="602" t="n">
        <v>3105</v>
      </c>
      <c r="B32" s="450" t="s">
        <v>19554</v>
      </c>
      <c r="C32" s="450" t="n">
        <v>2002</v>
      </c>
      <c r="D32" s="451" t="n">
        <v>37610</v>
      </c>
      <c r="E32" s="450" t="s">
        <v>19555</v>
      </c>
      <c r="F32" s="450" t="s">
        <v>1243</v>
      </c>
      <c r="G32" s="450" t="s">
        <v>144</v>
      </c>
      <c r="H32" s="450" t="s">
        <v>119</v>
      </c>
      <c r="I32" s="451" t="n">
        <v>38492</v>
      </c>
      <c r="J32" s="452" t="n">
        <v>5</v>
      </c>
      <c r="K32" s="633" t="s">
        <v>47</v>
      </c>
      <c r="L32" s="452" t="s">
        <v>60</v>
      </c>
      <c r="M32" s="455" t="n">
        <f aca="false">I32-D32</f>
        <v>882</v>
      </c>
      <c r="N32" s="4"/>
      <c r="O32" s="282" t="n">
        <v>1996</v>
      </c>
      <c r="P32" s="282" t="n">
        <f aca="false">COUNTIF($C$2:$C$504,"1996")</f>
        <v>1</v>
      </c>
      <c r="Q32" s="282"/>
      <c r="R32" s="282"/>
      <c r="S32" s="316" t="n">
        <f aca="false">P32/P42</f>
        <v>0.0112359550561798</v>
      </c>
    </row>
    <row r="33" customFormat="false" ht="12.75" hidden="false" customHeight="true" outlineLevel="0" collapsed="false">
      <c r="A33" s="594" t="n">
        <v>3205</v>
      </c>
      <c r="B33" s="458" t="s">
        <v>19556</v>
      </c>
      <c r="C33" s="458" t="n">
        <v>2003</v>
      </c>
      <c r="D33" s="459" t="n">
        <v>37979</v>
      </c>
      <c r="E33" s="458" t="s">
        <v>19557</v>
      </c>
      <c r="F33" s="458" t="s">
        <v>4381</v>
      </c>
      <c r="G33" s="458" t="s">
        <v>144</v>
      </c>
      <c r="H33" s="458" t="s">
        <v>10110</v>
      </c>
      <c r="I33" s="459" t="n">
        <v>38503</v>
      </c>
      <c r="J33" s="460" t="n">
        <v>5</v>
      </c>
      <c r="K33" s="631" t="s">
        <v>42</v>
      </c>
      <c r="L33" s="458" t="s">
        <v>58</v>
      </c>
      <c r="M33" s="463" t="n">
        <f aca="false">I33-D33</f>
        <v>524</v>
      </c>
      <c r="N33" s="4"/>
      <c r="O33" s="283" t="n">
        <v>1997</v>
      </c>
      <c r="P33" s="283" t="n">
        <f aca="false">COUNTIF($C$2:$C$504,"1997")</f>
        <v>0</v>
      </c>
      <c r="Q33" s="283"/>
      <c r="R33" s="283"/>
      <c r="S33" s="315" t="n">
        <f aca="false">P33/P42</f>
        <v>0</v>
      </c>
    </row>
    <row r="34" customFormat="false" ht="12.75" hidden="false" customHeight="true" outlineLevel="0" collapsed="false">
      <c r="A34" s="602" t="n">
        <v>3305</v>
      </c>
      <c r="B34" s="450" t="s">
        <v>19558</v>
      </c>
      <c r="C34" s="450" t="n">
        <v>1994</v>
      </c>
      <c r="D34" s="451" t="n">
        <v>34352</v>
      </c>
      <c r="E34" s="450" t="s">
        <v>19559</v>
      </c>
      <c r="F34" s="450" t="s">
        <v>1347</v>
      </c>
      <c r="G34" s="450" t="s">
        <v>144</v>
      </c>
      <c r="H34" s="450" t="s">
        <v>13028</v>
      </c>
      <c r="I34" s="451" t="n">
        <v>38503</v>
      </c>
      <c r="J34" s="452" t="n">
        <v>5</v>
      </c>
      <c r="K34" s="634" t="s">
        <v>45</v>
      </c>
      <c r="L34" s="452" t="s">
        <v>58</v>
      </c>
      <c r="M34" s="455" t="n">
        <f aca="false">I34-D34</f>
        <v>4151</v>
      </c>
      <c r="N34" s="4"/>
      <c r="O34" s="282" t="n">
        <v>1998</v>
      </c>
      <c r="P34" s="282" t="n">
        <f aca="false">COUNTIF($C$2:$C$504,"1998")</f>
        <v>3</v>
      </c>
      <c r="Q34" s="282"/>
      <c r="R34" s="282"/>
      <c r="S34" s="316" t="n">
        <f aca="false">P34/P42</f>
        <v>0.0337078651685393</v>
      </c>
    </row>
    <row r="35" customFormat="false" ht="12.75" hidden="false" customHeight="true" outlineLevel="0" collapsed="false">
      <c r="A35" s="594" t="n">
        <v>3405</v>
      </c>
      <c r="B35" s="458" t="s">
        <v>19560</v>
      </c>
      <c r="C35" s="458" t="n">
        <v>2001</v>
      </c>
      <c r="D35" s="461" t="n">
        <v>37208</v>
      </c>
      <c r="E35" s="458" t="s">
        <v>19561</v>
      </c>
      <c r="F35" s="458" t="s">
        <v>19562</v>
      </c>
      <c r="G35" s="458" t="s">
        <v>125</v>
      </c>
      <c r="H35" s="458" t="s">
        <v>19093</v>
      </c>
      <c r="I35" s="461" t="n">
        <v>38519</v>
      </c>
      <c r="J35" s="460" t="n">
        <v>6</v>
      </c>
      <c r="K35" s="632" t="s">
        <v>50</v>
      </c>
      <c r="L35" s="458" t="s">
        <v>61</v>
      </c>
      <c r="M35" s="463" t="n">
        <f aca="false">I35-D35</f>
        <v>1311</v>
      </c>
      <c r="N35" s="4"/>
      <c r="O35" s="283" t="n">
        <v>1999</v>
      </c>
      <c r="P35" s="283" t="n">
        <f aca="false">COUNTIF($C$2:$C$504,"1999")</f>
        <v>2</v>
      </c>
      <c r="Q35" s="283"/>
      <c r="R35" s="283"/>
      <c r="S35" s="315" t="n">
        <f aca="false">P35/P42</f>
        <v>0.0224719101123596</v>
      </c>
    </row>
    <row r="36" customFormat="false" ht="12.75" hidden="false" customHeight="true" outlineLevel="0" collapsed="false">
      <c r="A36" s="602" t="n">
        <v>3505</v>
      </c>
      <c r="B36" s="450" t="s">
        <v>19563</v>
      </c>
      <c r="C36" s="450" t="n">
        <v>2002</v>
      </c>
      <c r="D36" s="453" t="n">
        <v>37529</v>
      </c>
      <c r="E36" s="450" t="s">
        <v>19564</v>
      </c>
      <c r="F36" s="450" t="s">
        <v>333</v>
      </c>
      <c r="G36" s="450" t="s">
        <v>1474</v>
      </c>
      <c r="H36" s="450" t="s">
        <v>134</v>
      </c>
      <c r="I36" s="453" t="n">
        <v>38519</v>
      </c>
      <c r="J36" s="452" t="n">
        <v>6</v>
      </c>
      <c r="K36" s="633" t="s">
        <v>47</v>
      </c>
      <c r="L36" s="452" t="s">
        <v>60</v>
      </c>
      <c r="M36" s="455" t="n">
        <f aca="false">I36-D36</f>
        <v>990</v>
      </c>
      <c r="N36" s="4"/>
      <c r="O36" s="282" t="n">
        <v>2000</v>
      </c>
      <c r="P36" s="282" t="n">
        <f aca="false">COUNTIF($C$2:$C$504,"2000")</f>
        <v>9</v>
      </c>
      <c r="Q36" s="282"/>
      <c r="R36" s="282"/>
      <c r="S36" s="316" t="n">
        <f aca="false">P36/P42</f>
        <v>0.101123595505618</v>
      </c>
    </row>
    <row r="37" customFormat="false" ht="15" hidden="false" customHeight="true" outlineLevel="0" collapsed="false">
      <c r="A37" s="594" t="n">
        <v>3605</v>
      </c>
      <c r="B37" s="458" t="s">
        <v>19565</v>
      </c>
      <c r="C37" s="458" t="n">
        <v>2002</v>
      </c>
      <c r="D37" s="459" t="n">
        <v>37376</v>
      </c>
      <c r="E37" s="458" t="s">
        <v>19566</v>
      </c>
      <c r="F37" s="458" t="s">
        <v>19256</v>
      </c>
      <c r="G37" s="458" t="s">
        <v>144</v>
      </c>
      <c r="H37" s="458" t="s">
        <v>134</v>
      </c>
      <c r="I37" s="459" t="n">
        <v>38525</v>
      </c>
      <c r="J37" s="460" t="n">
        <v>6</v>
      </c>
      <c r="K37" s="633" t="s">
        <v>47</v>
      </c>
      <c r="L37" s="458" t="s">
        <v>60</v>
      </c>
      <c r="M37" s="463" t="n">
        <f aca="false">I37-D37</f>
        <v>1149</v>
      </c>
      <c r="N37" s="4"/>
      <c r="O37" s="283" t="n">
        <v>2001</v>
      </c>
      <c r="P37" s="283" t="n">
        <f aca="false">COUNTIF($C$2:$C$504,"2001")</f>
        <v>14</v>
      </c>
      <c r="Q37" s="283"/>
      <c r="R37" s="283"/>
      <c r="S37" s="315" t="n">
        <f aca="false">P37/P42</f>
        <v>0.157303370786517</v>
      </c>
    </row>
    <row r="38" customFormat="false" ht="12.75" hidden="false" customHeight="true" outlineLevel="0" collapsed="false">
      <c r="A38" s="602" t="n">
        <v>3705</v>
      </c>
      <c r="B38" s="450" t="s">
        <v>19567</v>
      </c>
      <c r="C38" s="450" t="n">
        <v>2000</v>
      </c>
      <c r="D38" s="451" t="n">
        <v>36769</v>
      </c>
      <c r="E38" s="450" t="s">
        <v>19568</v>
      </c>
      <c r="F38" s="450" t="s">
        <v>18498</v>
      </c>
      <c r="G38" s="450" t="s">
        <v>144</v>
      </c>
      <c r="H38" s="450" t="s">
        <v>1936</v>
      </c>
      <c r="I38" s="451" t="n">
        <v>38525</v>
      </c>
      <c r="J38" s="452" t="n">
        <v>6</v>
      </c>
      <c r="K38" s="633" t="s">
        <v>47</v>
      </c>
      <c r="L38" s="452" t="s">
        <v>60</v>
      </c>
      <c r="M38" s="455" t="n">
        <f aca="false">I38-D38</f>
        <v>1756</v>
      </c>
      <c r="N38" s="4"/>
      <c r="O38" s="282" t="n">
        <v>2002</v>
      </c>
      <c r="P38" s="282" t="n">
        <f aca="false">COUNTIF($C$2:$C$504,"2002")</f>
        <v>14</v>
      </c>
      <c r="Q38" s="282"/>
      <c r="R38" s="282"/>
      <c r="S38" s="316" t="n">
        <f aca="false">P38/P42</f>
        <v>0.157303370786517</v>
      </c>
    </row>
    <row r="39" customFormat="false" ht="12.75" hidden="false" customHeight="true" outlineLevel="0" collapsed="false">
      <c r="A39" s="594" t="n">
        <v>3805</v>
      </c>
      <c r="B39" s="458" t="s">
        <v>19569</v>
      </c>
      <c r="C39" s="458" t="n">
        <v>2003</v>
      </c>
      <c r="D39" s="461" t="n">
        <v>37722</v>
      </c>
      <c r="E39" s="458" t="s">
        <v>19570</v>
      </c>
      <c r="F39" s="458" t="s">
        <v>17195</v>
      </c>
      <c r="G39" s="458" t="s">
        <v>1474</v>
      </c>
      <c r="H39" s="458" t="s">
        <v>119</v>
      </c>
      <c r="I39" s="461" t="n">
        <v>38537</v>
      </c>
      <c r="J39" s="460" t="n">
        <v>7</v>
      </c>
      <c r="K39" s="633" t="s">
        <v>47</v>
      </c>
      <c r="L39" s="458" t="s">
        <v>58</v>
      </c>
      <c r="M39" s="463" t="n">
        <f aca="false">I39-D39</f>
        <v>815</v>
      </c>
      <c r="N39" s="4"/>
      <c r="O39" s="283" t="n">
        <v>2003</v>
      </c>
      <c r="P39" s="283" t="n">
        <f aca="false">COUNTIF($C$2:$C$504,"2003")</f>
        <v>25</v>
      </c>
      <c r="Q39" s="283"/>
      <c r="R39" s="283"/>
      <c r="S39" s="315" t="n">
        <f aca="false">P39/P42</f>
        <v>0.280898876404494</v>
      </c>
    </row>
    <row r="40" customFormat="false" ht="12.75" hidden="false" customHeight="true" outlineLevel="0" collapsed="false">
      <c r="A40" s="602" t="n">
        <v>3905</v>
      </c>
      <c r="B40" s="450" t="s">
        <v>19571</v>
      </c>
      <c r="C40" s="450" t="n">
        <v>2002</v>
      </c>
      <c r="D40" s="453" t="n">
        <v>37608</v>
      </c>
      <c r="E40" s="450" t="s">
        <v>19572</v>
      </c>
      <c r="F40" s="450" t="s">
        <v>19573</v>
      </c>
      <c r="G40" s="450" t="s">
        <v>1474</v>
      </c>
      <c r="H40" s="450" t="s">
        <v>134</v>
      </c>
      <c r="I40" s="453" t="n">
        <v>38537</v>
      </c>
      <c r="J40" s="452" t="n">
        <v>7</v>
      </c>
      <c r="K40" s="634" t="s">
        <v>45</v>
      </c>
      <c r="L40" s="452" t="s">
        <v>58</v>
      </c>
      <c r="M40" s="455" t="n">
        <f aca="false">I40-D40</f>
        <v>929</v>
      </c>
      <c r="N40" s="4"/>
      <c r="O40" s="282" t="n">
        <v>2004</v>
      </c>
      <c r="P40" s="282" t="n">
        <f aca="false">COUNTIF($C$2:$C$504,"2004")</f>
        <v>19</v>
      </c>
      <c r="Q40" s="282"/>
      <c r="R40" s="282"/>
      <c r="S40" s="316" t="n">
        <f aca="false">P40/P42</f>
        <v>0.213483146067416</v>
      </c>
    </row>
    <row r="41" customFormat="false" ht="12.75" hidden="false" customHeight="true" outlineLevel="0" collapsed="false">
      <c r="A41" s="594" t="n">
        <v>4005</v>
      </c>
      <c r="B41" s="458" t="s">
        <v>19574</v>
      </c>
      <c r="C41" s="458" t="n">
        <v>2003</v>
      </c>
      <c r="D41" s="461" t="n">
        <v>37739</v>
      </c>
      <c r="E41" s="458" t="s">
        <v>19575</v>
      </c>
      <c r="F41" s="458" t="s">
        <v>19576</v>
      </c>
      <c r="G41" s="458" t="s">
        <v>1474</v>
      </c>
      <c r="H41" s="458" t="s">
        <v>1791</v>
      </c>
      <c r="I41" s="461" t="n">
        <v>38539</v>
      </c>
      <c r="J41" s="460" t="n">
        <v>7</v>
      </c>
      <c r="K41" s="633" t="s">
        <v>47</v>
      </c>
      <c r="L41" s="458" t="s">
        <v>60</v>
      </c>
      <c r="M41" s="463" t="n">
        <f aca="false">I41-D41</f>
        <v>800</v>
      </c>
      <c r="N41" s="4"/>
      <c r="O41" s="283" t="n">
        <v>2005</v>
      </c>
      <c r="P41" s="283" t="n">
        <f aca="false">COUNTIF($C$2:$C$504,"2005")</f>
        <v>0</v>
      </c>
      <c r="Q41" s="283"/>
      <c r="R41" s="283"/>
      <c r="S41" s="315" t="n">
        <f aca="false">P41/P42</f>
        <v>0</v>
      </c>
    </row>
    <row r="42" customFormat="false" ht="12.75" hidden="false" customHeight="true" outlineLevel="0" collapsed="false">
      <c r="A42" s="602" t="n">
        <v>4105</v>
      </c>
      <c r="B42" s="450" t="s">
        <v>19577</v>
      </c>
      <c r="C42" s="450" t="n">
        <v>2002</v>
      </c>
      <c r="D42" s="453" t="n">
        <v>37487</v>
      </c>
      <c r="E42" s="450" t="s">
        <v>19578</v>
      </c>
      <c r="F42" s="450" t="s">
        <v>7739</v>
      </c>
      <c r="G42" s="450" t="s">
        <v>1474</v>
      </c>
      <c r="H42" s="450" t="s">
        <v>134</v>
      </c>
      <c r="I42" s="453" t="n">
        <v>38544</v>
      </c>
      <c r="J42" s="452" t="n">
        <v>7</v>
      </c>
      <c r="K42" s="634" t="s">
        <v>45</v>
      </c>
      <c r="L42" s="452" t="s">
        <v>60</v>
      </c>
      <c r="M42" s="455" t="n">
        <f aca="false">I42-D42</f>
        <v>1057</v>
      </c>
      <c r="N42" s="4"/>
      <c r="O42" s="323" t="s">
        <v>56</v>
      </c>
      <c r="P42" s="418" t="n">
        <f aca="false">SUM(P29:R41)</f>
        <v>89</v>
      </c>
      <c r="Q42" s="418"/>
      <c r="R42" s="418"/>
      <c r="S42" s="325" t="n">
        <f aca="false">SUM(S29:S41)</f>
        <v>1</v>
      </c>
    </row>
    <row r="43" customFormat="false" ht="15" hidden="false" customHeight="true" outlineLevel="0" collapsed="false">
      <c r="A43" s="594" t="n">
        <v>4205</v>
      </c>
      <c r="B43" s="458" t="s">
        <v>19579</v>
      </c>
      <c r="C43" s="458" t="n">
        <v>2004</v>
      </c>
      <c r="D43" s="461" t="n">
        <v>38019</v>
      </c>
      <c r="E43" s="458" t="s">
        <v>19580</v>
      </c>
      <c r="F43" s="458" t="s">
        <v>19562</v>
      </c>
      <c r="G43" s="458" t="s">
        <v>125</v>
      </c>
      <c r="H43" s="458" t="s">
        <v>391</v>
      </c>
      <c r="I43" s="461" t="n">
        <v>38551</v>
      </c>
      <c r="J43" s="460" t="n">
        <v>7</v>
      </c>
      <c r="K43" s="632" t="s">
        <v>50</v>
      </c>
      <c r="L43" s="458" t="s">
        <v>61</v>
      </c>
      <c r="M43" s="463" t="n">
        <f aca="false">I43-D43</f>
        <v>532</v>
      </c>
      <c r="N43" s="4"/>
      <c r="O43" s="153"/>
      <c r="P43" s="153"/>
      <c r="Q43" s="153"/>
      <c r="R43" s="153"/>
      <c r="S43" s="153"/>
    </row>
    <row r="44" customFormat="false" ht="15" hidden="false" customHeight="true" outlineLevel="0" collapsed="false">
      <c r="A44" s="602" t="n">
        <v>4305</v>
      </c>
      <c r="B44" s="450" t="s">
        <v>19581</v>
      </c>
      <c r="C44" s="450" t="n">
        <v>2000</v>
      </c>
      <c r="D44" s="453" t="n">
        <v>36882</v>
      </c>
      <c r="E44" s="450" t="s">
        <v>19582</v>
      </c>
      <c r="F44" s="450" t="s">
        <v>19576</v>
      </c>
      <c r="G44" s="450" t="s">
        <v>1474</v>
      </c>
      <c r="H44" s="450" t="s">
        <v>18397</v>
      </c>
      <c r="I44" s="453" t="n">
        <v>38562</v>
      </c>
      <c r="J44" s="452" t="n">
        <v>7</v>
      </c>
      <c r="K44" s="633" t="s">
        <v>47</v>
      </c>
      <c r="L44" s="452" t="s">
        <v>60</v>
      </c>
      <c r="M44" s="455" t="n">
        <f aca="false">I44-D44</f>
        <v>1680</v>
      </c>
      <c r="N44" s="4"/>
      <c r="O44" s="326" t="s">
        <v>272</v>
      </c>
      <c r="P44" s="326"/>
      <c r="Q44" s="326"/>
      <c r="R44" s="326"/>
      <c r="S44" s="326"/>
    </row>
    <row r="45" customFormat="false" ht="13.5" hidden="false" customHeight="true" outlineLevel="0" collapsed="false">
      <c r="A45" s="594" t="n">
        <v>4405</v>
      </c>
      <c r="B45" s="458" t="s">
        <v>19583</v>
      </c>
      <c r="C45" s="458" t="n">
        <v>2002</v>
      </c>
      <c r="D45" s="461" t="n">
        <v>37621</v>
      </c>
      <c r="E45" s="458" t="s">
        <v>19584</v>
      </c>
      <c r="F45" s="458" t="s">
        <v>19585</v>
      </c>
      <c r="G45" s="458" t="s">
        <v>1188</v>
      </c>
      <c r="H45" s="458" t="s">
        <v>373</v>
      </c>
      <c r="I45" s="461" t="n">
        <v>38562</v>
      </c>
      <c r="J45" s="460" t="n">
        <v>7</v>
      </c>
      <c r="K45" s="633" t="s">
        <v>47</v>
      </c>
      <c r="L45" s="458" t="s">
        <v>60</v>
      </c>
      <c r="M45" s="463" t="n">
        <f aca="false">I45-D45</f>
        <v>941</v>
      </c>
      <c r="N45" s="4"/>
      <c r="O45" s="326"/>
      <c r="P45" s="326"/>
      <c r="Q45" s="326"/>
      <c r="R45" s="326"/>
      <c r="S45" s="326"/>
    </row>
    <row r="46" customFormat="false" ht="12.75" hidden="false" customHeight="true" outlineLevel="0" collapsed="false">
      <c r="A46" s="602" t="n">
        <v>4505</v>
      </c>
      <c r="B46" s="450" t="s">
        <v>19586</v>
      </c>
      <c r="C46" s="450" t="n">
        <v>2002</v>
      </c>
      <c r="D46" s="453" t="n">
        <v>37621</v>
      </c>
      <c r="E46" s="450" t="s">
        <v>19587</v>
      </c>
      <c r="F46" s="450" t="s">
        <v>19585</v>
      </c>
      <c r="G46" s="450" t="s">
        <v>1188</v>
      </c>
      <c r="H46" s="450" t="s">
        <v>19553</v>
      </c>
      <c r="I46" s="453" t="n">
        <v>38562</v>
      </c>
      <c r="J46" s="452" t="n">
        <v>7</v>
      </c>
      <c r="K46" s="633" t="s">
        <v>47</v>
      </c>
      <c r="L46" s="452" t="s">
        <v>60</v>
      </c>
      <c r="M46" s="455" t="n">
        <f aca="false">I46-D46</f>
        <v>941</v>
      </c>
      <c r="N46" s="4"/>
      <c r="O46" s="309" t="s">
        <v>100</v>
      </c>
      <c r="P46" s="416" t="s">
        <v>40</v>
      </c>
      <c r="Q46" s="416"/>
      <c r="R46" s="416"/>
      <c r="S46" s="313" t="s">
        <v>41</v>
      </c>
    </row>
    <row r="47" customFormat="false" ht="12.75" hidden="false" customHeight="true" outlineLevel="0" collapsed="false">
      <c r="A47" s="594" t="n">
        <v>4605</v>
      </c>
      <c r="B47" s="458" t="s">
        <v>19588</v>
      </c>
      <c r="C47" s="458" t="n">
        <v>2004</v>
      </c>
      <c r="D47" s="459" t="n">
        <v>38174</v>
      </c>
      <c r="E47" s="458" t="s">
        <v>19589</v>
      </c>
      <c r="F47" s="458" t="s">
        <v>18365</v>
      </c>
      <c r="G47" s="458" t="s">
        <v>144</v>
      </c>
      <c r="H47" s="458" t="s">
        <v>19590</v>
      </c>
      <c r="I47" s="459" t="n">
        <v>38562</v>
      </c>
      <c r="J47" s="460" t="n">
        <v>7</v>
      </c>
      <c r="K47" s="633" t="s">
        <v>47</v>
      </c>
      <c r="L47" s="458" t="s">
        <v>60</v>
      </c>
      <c r="M47" s="463" t="n">
        <f aca="false">I47-D47</f>
        <v>388</v>
      </c>
      <c r="N47" s="4"/>
      <c r="O47" s="314" t="s">
        <v>63</v>
      </c>
      <c r="P47" s="314" t="n">
        <f aca="false">COUNTIF($J$2:$J$477,"1")</f>
        <v>1</v>
      </c>
      <c r="Q47" s="314"/>
      <c r="R47" s="314"/>
      <c r="S47" s="469" t="n">
        <f aca="false">(P47/P59)</f>
        <v>0.0112359550561798</v>
      </c>
    </row>
    <row r="48" customFormat="false" ht="12.75" hidden="false" customHeight="true" outlineLevel="0" collapsed="false">
      <c r="A48" s="602" t="n">
        <v>4705</v>
      </c>
      <c r="B48" s="450" t="s">
        <v>19591</v>
      </c>
      <c r="C48" s="450" t="n">
        <v>2004</v>
      </c>
      <c r="D48" s="451" t="n">
        <v>38170</v>
      </c>
      <c r="E48" s="450" t="s">
        <v>19592</v>
      </c>
      <c r="F48" s="450" t="s">
        <v>1693</v>
      </c>
      <c r="G48" s="450" t="s">
        <v>144</v>
      </c>
      <c r="H48" s="450" t="s">
        <v>16610</v>
      </c>
      <c r="I48" s="451" t="n">
        <v>38569</v>
      </c>
      <c r="J48" s="452" t="n">
        <v>8</v>
      </c>
      <c r="K48" s="634" t="s">
        <v>45</v>
      </c>
      <c r="L48" s="452" t="s">
        <v>58</v>
      </c>
      <c r="M48" s="455" t="n">
        <f aca="false">I48-D48</f>
        <v>399</v>
      </c>
      <c r="N48" s="4"/>
      <c r="O48" s="282" t="s">
        <v>64</v>
      </c>
      <c r="P48" s="282" t="n">
        <f aca="false">COUNTIF($J$2:$J$477,"2")</f>
        <v>4</v>
      </c>
      <c r="Q48" s="282"/>
      <c r="R48" s="282"/>
      <c r="S48" s="316" t="n">
        <f aca="false">(P48/P59)</f>
        <v>0.0449438202247191</v>
      </c>
    </row>
    <row r="49" customFormat="false" ht="12.75" hidden="false" customHeight="true" outlineLevel="0" collapsed="false">
      <c r="A49" s="594" t="n">
        <v>4805</v>
      </c>
      <c r="B49" s="458" t="s">
        <v>19593</v>
      </c>
      <c r="C49" s="458" t="n">
        <v>2003</v>
      </c>
      <c r="D49" s="459" t="n">
        <v>37893</v>
      </c>
      <c r="E49" s="458" t="s">
        <v>19594</v>
      </c>
      <c r="F49" s="458" t="s">
        <v>8232</v>
      </c>
      <c r="G49" s="458" t="s">
        <v>144</v>
      </c>
      <c r="H49" s="458" t="s">
        <v>184</v>
      </c>
      <c r="I49" s="459" t="n">
        <v>38569</v>
      </c>
      <c r="J49" s="460" t="n">
        <v>8</v>
      </c>
      <c r="K49" s="633" t="s">
        <v>47</v>
      </c>
      <c r="L49" s="458" t="s">
        <v>60</v>
      </c>
      <c r="M49" s="463" t="n">
        <f aca="false">I49-D49</f>
        <v>676</v>
      </c>
      <c r="N49" s="4"/>
      <c r="O49" s="283" t="s">
        <v>66</v>
      </c>
      <c r="P49" s="283" t="n">
        <f aca="false">COUNTIF($J$2:$J$477,"3")</f>
        <v>11</v>
      </c>
      <c r="Q49" s="283"/>
      <c r="R49" s="283"/>
      <c r="S49" s="315" t="n">
        <f aca="false">(P49/P59)</f>
        <v>0.123595505617978</v>
      </c>
      <c r="T49" s="153"/>
    </row>
    <row r="50" customFormat="false" ht="12.75" hidden="false" customHeight="true" outlineLevel="0" collapsed="false">
      <c r="A50" s="602" t="n">
        <v>4905</v>
      </c>
      <c r="B50" s="450" t="s">
        <v>19595</v>
      </c>
      <c r="C50" s="450" t="n">
        <v>2004</v>
      </c>
      <c r="D50" s="451" t="n">
        <v>38349</v>
      </c>
      <c r="E50" s="450" t="s">
        <v>19596</v>
      </c>
      <c r="F50" s="450" t="s">
        <v>19597</v>
      </c>
      <c r="G50" s="450" t="s">
        <v>144</v>
      </c>
      <c r="H50" s="450" t="s">
        <v>1109</v>
      </c>
      <c r="I50" s="451" t="n">
        <v>38569</v>
      </c>
      <c r="J50" s="452" t="n">
        <v>8</v>
      </c>
      <c r="K50" s="633" t="s">
        <v>47</v>
      </c>
      <c r="L50" s="452" t="s">
        <v>60</v>
      </c>
      <c r="M50" s="455" t="n">
        <f aca="false">I50-D50</f>
        <v>220</v>
      </c>
      <c r="N50" s="4"/>
      <c r="O50" s="282" t="s">
        <v>67</v>
      </c>
      <c r="P50" s="282" t="n">
        <f aca="false">COUNTIF($J$2:$J$477,"4")</f>
        <v>8</v>
      </c>
      <c r="Q50" s="282"/>
      <c r="R50" s="282"/>
      <c r="S50" s="316" t="n">
        <f aca="false">(P50/P59)</f>
        <v>0.0898876404494382</v>
      </c>
      <c r="T50" s="153"/>
    </row>
    <row r="51" customFormat="false" ht="12.75" hidden="false" customHeight="true" outlineLevel="0" collapsed="false">
      <c r="A51" s="594" t="n">
        <v>5005</v>
      </c>
      <c r="B51" s="458" t="s">
        <v>19598</v>
      </c>
      <c r="C51" s="458" t="n">
        <v>2004</v>
      </c>
      <c r="D51" s="459" t="n">
        <v>38349</v>
      </c>
      <c r="E51" s="458" t="s">
        <v>19599</v>
      </c>
      <c r="F51" s="458" t="s">
        <v>19597</v>
      </c>
      <c r="G51" s="458" t="s">
        <v>144</v>
      </c>
      <c r="H51" s="458" t="s">
        <v>14391</v>
      </c>
      <c r="I51" s="459" t="n">
        <v>38569</v>
      </c>
      <c r="J51" s="460" t="n">
        <v>8</v>
      </c>
      <c r="K51" s="633" t="s">
        <v>47</v>
      </c>
      <c r="L51" s="458" t="s">
        <v>60</v>
      </c>
      <c r="M51" s="463" t="n">
        <f aca="false">I51-D51</f>
        <v>220</v>
      </c>
      <c r="N51" s="4"/>
      <c r="O51" s="283" t="s">
        <v>68</v>
      </c>
      <c r="P51" s="283" t="n">
        <f aca="false">COUNTIF($J$2:$J$477,"5")</f>
        <v>8</v>
      </c>
      <c r="Q51" s="283"/>
      <c r="R51" s="283"/>
      <c r="S51" s="315" t="n">
        <f aca="false">(P51/P59)</f>
        <v>0.0898876404494382</v>
      </c>
      <c r="T51" s="153"/>
    </row>
    <row r="52" customFormat="false" ht="12.75" hidden="false" customHeight="true" outlineLevel="0" collapsed="false">
      <c r="A52" s="602" t="n">
        <v>5105</v>
      </c>
      <c r="B52" s="450" t="s">
        <v>19600</v>
      </c>
      <c r="C52" s="450" t="n">
        <v>2003</v>
      </c>
      <c r="D52" s="453" t="n">
        <v>37659</v>
      </c>
      <c r="E52" s="450" t="s">
        <v>19601</v>
      </c>
      <c r="F52" s="450" t="s">
        <v>3138</v>
      </c>
      <c r="G52" s="450" t="s">
        <v>115</v>
      </c>
      <c r="H52" s="450" t="s">
        <v>19553</v>
      </c>
      <c r="I52" s="453" t="n">
        <v>38572</v>
      </c>
      <c r="J52" s="452" t="n">
        <v>8</v>
      </c>
      <c r="K52" s="633" t="s">
        <v>47</v>
      </c>
      <c r="L52" s="452" t="s">
        <v>60</v>
      </c>
      <c r="M52" s="455" t="n">
        <f aca="false">I52-D52</f>
        <v>913</v>
      </c>
      <c r="N52" s="4"/>
      <c r="O52" s="282" t="s">
        <v>70</v>
      </c>
      <c r="P52" s="282" t="n">
        <f aca="false">COUNTIF($J$2:$J$477,"6")</f>
        <v>4</v>
      </c>
      <c r="Q52" s="282"/>
      <c r="R52" s="282"/>
      <c r="S52" s="316" t="n">
        <f aca="false">(P52/P59)</f>
        <v>0.0449438202247191</v>
      </c>
      <c r="T52" s="153"/>
    </row>
    <row r="53" customFormat="false" ht="12.75" hidden="false" customHeight="true" outlineLevel="0" collapsed="false">
      <c r="A53" s="594" t="n">
        <v>5205</v>
      </c>
      <c r="B53" s="458" t="s">
        <v>19602</v>
      </c>
      <c r="C53" s="458" t="n">
        <v>2003</v>
      </c>
      <c r="D53" s="459" t="n">
        <v>37809</v>
      </c>
      <c r="E53" s="458" t="s">
        <v>19603</v>
      </c>
      <c r="F53" s="458" t="s">
        <v>1156</v>
      </c>
      <c r="G53" s="458" t="s">
        <v>144</v>
      </c>
      <c r="H53" s="458" t="s">
        <v>134</v>
      </c>
      <c r="I53" s="459" t="n">
        <v>38573</v>
      </c>
      <c r="J53" s="460" t="n">
        <v>8</v>
      </c>
      <c r="K53" s="633" t="s">
        <v>47</v>
      </c>
      <c r="L53" s="458" t="s">
        <v>60</v>
      </c>
      <c r="M53" s="463" t="n">
        <f aca="false">I53-D53</f>
        <v>764</v>
      </c>
      <c r="N53" s="4"/>
      <c r="O53" s="283" t="s">
        <v>72</v>
      </c>
      <c r="P53" s="283" t="n">
        <f aca="false">COUNTIF($J$2:$J$477,"7")</f>
        <v>9</v>
      </c>
      <c r="Q53" s="283"/>
      <c r="R53" s="283"/>
      <c r="S53" s="315" t="n">
        <f aca="false">(P53/P59)</f>
        <v>0.101123595505618</v>
      </c>
      <c r="T53" s="153"/>
    </row>
    <row r="54" customFormat="false" ht="12.75" hidden="false" customHeight="true" outlineLevel="0" collapsed="false">
      <c r="A54" s="602" t="n">
        <v>5305</v>
      </c>
      <c r="B54" s="450" t="s">
        <v>19604</v>
      </c>
      <c r="C54" s="450" t="n">
        <v>2000</v>
      </c>
      <c r="D54" s="451" t="n">
        <v>36886</v>
      </c>
      <c r="E54" s="450" t="s">
        <v>19605</v>
      </c>
      <c r="F54" s="450" t="s">
        <v>19576</v>
      </c>
      <c r="G54" s="450" t="s">
        <v>144</v>
      </c>
      <c r="H54" s="450" t="s">
        <v>18397</v>
      </c>
      <c r="I54" s="451" t="n">
        <v>38573</v>
      </c>
      <c r="J54" s="452" t="n">
        <v>8</v>
      </c>
      <c r="K54" s="633" t="s">
        <v>47</v>
      </c>
      <c r="L54" s="452" t="s">
        <v>60</v>
      </c>
      <c r="M54" s="455" t="n">
        <f aca="false">I54-D54</f>
        <v>1687</v>
      </c>
      <c r="N54" s="4"/>
      <c r="O54" s="282" t="s">
        <v>74</v>
      </c>
      <c r="P54" s="282" t="n">
        <f aca="false">COUNTIF($J$2:$J$477,"8")</f>
        <v>9</v>
      </c>
      <c r="Q54" s="282"/>
      <c r="R54" s="282"/>
      <c r="S54" s="316" t="n">
        <f aca="false">(P54/P59)</f>
        <v>0.101123595505618</v>
      </c>
      <c r="T54" s="153"/>
    </row>
    <row r="55" customFormat="false" ht="12.75" hidden="false" customHeight="true" outlineLevel="0" collapsed="false">
      <c r="A55" s="594" t="n">
        <v>5405</v>
      </c>
      <c r="B55" s="458" t="s">
        <v>19606</v>
      </c>
      <c r="C55" s="458" t="n">
        <v>2001</v>
      </c>
      <c r="D55" s="461" t="n">
        <v>37174</v>
      </c>
      <c r="E55" s="458" t="s">
        <v>19607</v>
      </c>
      <c r="F55" s="458" t="s">
        <v>699</v>
      </c>
      <c r="G55" s="458" t="s">
        <v>1474</v>
      </c>
      <c r="H55" s="458" t="s">
        <v>19343</v>
      </c>
      <c r="I55" s="461" t="n">
        <v>38574</v>
      </c>
      <c r="J55" s="460" t="n">
        <v>8</v>
      </c>
      <c r="K55" s="631" t="s">
        <v>42</v>
      </c>
      <c r="L55" s="458" t="s">
        <v>60</v>
      </c>
      <c r="M55" s="463" t="n">
        <f aca="false">I55-D55</f>
        <v>1400</v>
      </c>
      <c r="N55" s="4"/>
      <c r="O55" s="283" t="s">
        <v>76</v>
      </c>
      <c r="P55" s="283" t="n">
        <f aca="false">COUNTIF($J$2:$J$477,"9")</f>
        <v>8</v>
      </c>
      <c r="Q55" s="283"/>
      <c r="R55" s="283"/>
      <c r="S55" s="315" t="n">
        <f aca="false">(P55/P59)</f>
        <v>0.0898876404494382</v>
      </c>
      <c r="T55" s="153"/>
    </row>
    <row r="56" customFormat="false" ht="12.75" hidden="false" customHeight="true" outlineLevel="0" collapsed="false">
      <c r="A56" s="602" t="n">
        <v>5505</v>
      </c>
      <c r="B56" s="450" t="s">
        <v>19608</v>
      </c>
      <c r="C56" s="450" t="n">
        <v>2003</v>
      </c>
      <c r="D56" s="453" t="n">
        <v>37644</v>
      </c>
      <c r="E56" s="450" t="s">
        <v>19609</v>
      </c>
      <c r="F56" s="450" t="s">
        <v>19610</v>
      </c>
      <c r="G56" s="450" t="s">
        <v>1474</v>
      </c>
      <c r="H56" s="450" t="s">
        <v>1791</v>
      </c>
      <c r="I56" s="453" t="n">
        <v>38576</v>
      </c>
      <c r="J56" s="452" t="n">
        <v>8</v>
      </c>
      <c r="K56" s="631" t="s">
        <v>42</v>
      </c>
      <c r="L56" s="452" t="s">
        <v>58</v>
      </c>
      <c r="M56" s="455" t="n">
        <f aca="false">I56-D56</f>
        <v>932</v>
      </c>
      <c r="N56" s="4"/>
      <c r="O56" s="282" t="s">
        <v>78</v>
      </c>
      <c r="P56" s="282" t="n">
        <f aca="false">COUNTIF($J$2:$J$477,"10")</f>
        <v>5</v>
      </c>
      <c r="Q56" s="282"/>
      <c r="R56" s="282"/>
      <c r="S56" s="316" t="n">
        <f aca="false">(P56/P59)</f>
        <v>0.0561797752808989</v>
      </c>
      <c r="T56" s="153"/>
    </row>
    <row r="57" customFormat="false" ht="12.75" hidden="false" customHeight="true" outlineLevel="0" collapsed="false">
      <c r="A57" s="594" t="n">
        <v>5605</v>
      </c>
      <c r="B57" s="458" t="s">
        <v>19611</v>
      </c>
      <c r="C57" s="458" t="n">
        <v>2000</v>
      </c>
      <c r="D57" s="459" t="n">
        <v>36847</v>
      </c>
      <c r="E57" s="458" t="s">
        <v>19612</v>
      </c>
      <c r="F57" s="458" t="s">
        <v>699</v>
      </c>
      <c r="G57" s="458" t="s">
        <v>144</v>
      </c>
      <c r="H57" s="458" t="s">
        <v>19613</v>
      </c>
      <c r="I57" s="459" t="n">
        <v>38596</v>
      </c>
      <c r="J57" s="460" t="n">
        <v>9</v>
      </c>
      <c r="K57" s="632" t="s">
        <v>50</v>
      </c>
      <c r="L57" s="458" t="s">
        <v>60</v>
      </c>
      <c r="M57" s="463" t="n">
        <f aca="false">I57-D57</f>
        <v>1749</v>
      </c>
      <c r="N57" s="4"/>
      <c r="O57" s="283" t="s">
        <v>80</v>
      </c>
      <c r="P57" s="283" t="n">
        <f aca="false">COUNTIF($J$2:$J$477,"11")</f>
        <v>5</v>
      </c>
      <c r="Q57" s="283"/>
      <c r="R57" s="283"/>
      <c r="S57" s="315" t="n">
        <f aca="false">(P57/P59)</f>
        <v>0.0561797752808989</v>
      </c>
      <c r="T57" s="153"/>
    </row>
    <row r="58" customFormat="false" ht="12.75" hidden="false" customHeight="true" outlineLevel="0" collapsed="false">
      <c r="A58" s="602" t="n">
        <v>5705</v>
      </c>
      <c r="B58" s="450" t="s">
        <v>19614</v>
      </c>
      <c r="C58" s="450" t="n">
        <v>2002</v>
      </c>
      <c r="D58" s="453" t="n">
        <v>37621</v>
      </c>
      <c r="E58" s="450" t="s">
        <v>19615</v>
      </c>
      <c r="F58" s="450" t="s">
        <v>19585</v>
      </c>
      <c r="G58" s="450" t="s">
        <v>115</v>
      </c>
      <c r="H58" s="450" t="s">
        <v>373</v>
      </c>
      <c r="I58" s="453" t="n">
        <v>38600</v>
      </c>
      <c r="J58" s="452" t="n">
        <v>9</v>
      </c>
      <c r="K58" s="633" t="s">
        <v>47</v>
      </c>
      <c r="L58" s="452" t="s">
        <v>60</v>
      </c>
      <c r="M58" s="455" t="n">
        <f aca="false">I58-D58</f>
        <v>979</v>
      </c>
      <c r="N58" s="4"/>
      <c r="O58" s="336" t="s">
        <v>82</v>
      </c>
      <c r="P58" s="282" t="n">
        <f aca="false">COUNTIF($J$2:$J$477,"12")</f>
        <v>17</v>
      </c>
      <c r="Q58" s="282"/>
      <c r="R58" s="282"/>
      <c r="S58" s="470" t="n">
        <f aca="false">(P58/P59)</f>
        <v>0.191011235955056</v>
      </c>
      <c r="T58" s="153"/>
    </row>
    <row r="59" customFormat="false" ht="12.75" hidden="false" customHeight="true" outlineLevel="0" collapsed="false">
      <c r="A59" s="594" t="n">
        <v>5805</v>
      </c>
      <c r="B59" s="458" t="s">
        <v>19616</v>
      </c>
      <c r="C59" s="458" t="n">
        <v>2002</v>
      </c>
      <c r="D59" s="461" t="n">
        <v>37621</v>
      </c>
      <c r="E59" s="458" t="s">
        <v>19617</v>
      </c>
      <c r="F59" s="458" t="s">
        <v>19585</v>
      </c>
      <c r="G59" s="458" t="s">
        <v>115</v>
      </c>
      <c r="H59" s="458" t="s">
        <v>19553</v>
      </c>
      <c r="I59" s="461" t="n">
        <v>38600</v>
      </c>
      <c r="J59" s="460" t="n">
        <v>9</v>
      </c>
      <c r="K59" s="633" t="s">
        <v>47</v>
      </c>
      <c r="L59" s="458" t="s">
        <v>60</v>
      </c>
      <c r="M59" s="463" t="n">
        <f aca="false">I59-D59</f>
        <v>979</v>
      </c>
      <c r="N59" s="4"/>
      <c r="O59" s="323" t="s">
        <v>54</v>
      </c>
      <c r="P59" s="418" t="n">
        <f aca="false">SUM(P47:R58)</f>
        <v>89</v>
      </c>
      <c r="Q59" s="418"/>
      <c r="R59" s="418"/>
      <c r="S59" s="325" t="n">
        <f aca="false">SUM(S47:S58)</f>
        <v>1</v>
      </c>
      <c r="T59" s="153"/>
    </row>
    <row r="60" customFormat="false" ht="12.75" hidden="false" customHeight="true" outlineLevel="0" collapsed="false">
      <c r="A60" s="602" t="n">
        <v>5905</v>
      </c>
      <c r="B60" s="450" t="s">
        <v>19618</v>
      </c>
      <c r="C60" s="450" t="n">
        <v>2004</v>
      </c>
      <c r="D60" s="451" t="n">
        <v>38023</v>
      </c>
      <c r="E60" s="450" t="s">
        <v>19619</v>
      </c>
      <c r="F60" s="450" t="s">
        <v>346</v>
      </c>
      <c r="G60" s="450" t="s">
        <v>144</v>
      </c>
      <c r="H60" s="450" t="s">
        <v>373</v>
      </c>
      <c r="I60" s="451" t="n">
        <v>38601</v>
      </c>
      <c r="J60" s="452" t="n">
        <v>9</v>
      </c>
      <c r="K60" s="632" t="s">
        <v>50</v>
      </c>
      <c r="L60" s="452" t="s">
        <v>60</v>
      </c>
      <c r="M60" s="455" t="n">
        <f aca="false">I60-D60</f>
        <v>578</v>
      </c>
      <c r="N60" s="4"/>
      <c r="O60" s="153"/>
      <c r="P60" s="153"/>
      <c r="Q60" s="153"/>
      <c r="R60" s="153"/>
      <c r="S60" s="153"/>
      <c r="T60" s="153"/>
    </row>
    <row r="61" customFormat="false" ht="13.5" hidden="false" customHeight="true" outlineLevel="0" collapsed="false">
      <c r="A61" s="594" t="n">
        <v>6005</v>
      </c>
      <c r="B61" s="458" t="s">
        <v>19620</v>
      </c>
      <c r="C61" s="458" t="n">
        <v>2001</v>
      </c>
      <c r="D61" s="459" t="n">
        <v>37167</v>
      </c>
      <c r="E61" s="458" t="s">
        <v>19621</v>
      </c>
      <c r="F61" s="458" t="s">
        <v>19622</v>
      </c>
      <c r="G61" s="458" t="s">
        <v>144</v>
      </c>
      <c r="H61" s="458" t="s">
        <v>14391</v>
      </c>
      <c r="I61" s="459" t="n">
        <v>38611</v>
      </c>
      <c r="J61" s="460" t="n">
        <v>9</v>
      </c>
      <c r="K61" s="631" t="s">
        <v>42</v>
      </c>
      <c r="L61" s="458" t="s">
        <v>58</v>
      </c>
      <c r="M61" s="463" t="n">
        <f aca="false">I61-D61</f>
        <v>1444</v>
      </c>
      <c r="N61" s="4"/>
      <c r="O61" s="339" t="s">
        <v>335</v>
      </c>
      <c r="P61" s="339"/>
      <c r="Q61" s="339"/>
      <c r="R61" s="339"/>
      <c r="S61" s="339"/>
      <c r="T61" s="339"/>
    </row>
    <row r="62" customFormat="false" ht="12.75" hidden="false" customHeight="true" outlineLevel="0" collapsed="false">
      <c r="A62" s="602" t="n">
        <v>6105</v>
      </c>
      <c r="B62" s="450" t="s">
        <v>19623</v>
      </c>
      <c r="C62" s="450" t="n">
        <v>2003</v>
      </c>
      <c r="D62" s="451" t="n">
        <v>37978</v>
      </c>
      <c r="E62" s="450" t="s">
        <v>19624</v>
      </c>
      <c r="F62" s="450" t="s">
        <v>19625</v>
      </c>
      <c r="G62" s="450" t="s">
        <v>144</v>
      </c>
      <c r="H62" s="450" t="s">
        <v>119</v>
      </c>
      <c r="I62" s="451" t="n">
        <v>38611</v>
      </c>
      <c r="J62" s="452" t="n">
        <v>9</v>
      </c>
      <c r="K62" s="633" t="s">
        <v>47</v>
      </c>
      <c r="L62" s="452" t="s">
        <v>57</v>
      </c>
      <c r="M62" s="455" t="n">
        <f aca="false">I62-D62</f>
        <v>633</v>
      </c>
      <c r="N62" s="4"/>
      <c r="O62" s="339"/>
      <c r="P62" s="339"/>
      <c r="Q62" s="339"/>
      <c r="R62" s="339"/>
      <c r="S62" s="339"/>
      <c r="T62" s="339"/>
    </row>
    <row r="63" customFormat="false" ht="12.75" hidden="false" customHeight="true" outlineLevel="0" collapsed="false">
      <c r="A63" s="594" t="n">
        <v>6205</v>
      </c>
      <c r="B63" s="458" t="s">
        <v>19626</v>
      </c>
      <c r="C63" s="458" t="n">
        <v>2003</v>
      </c>
      <c r="D63" s="461" t="n">
        <v>37751</v>
      </c>
      <c r="E63" s="458" t="s">
        <v>19627</v>
      </c>
      <c r="F63" s="458" t="s">
        <v>699</v>
      </c>
      <c r="G63" s="458" t="s">
        <v>1474</v>
      </c>
      <c r="H63" s="458" t="s">
        <v>6755</v>
      </c>
      <c r="I63" s="461" t="n">
        <v>38617</v>
      </c>
      <c r="J63" s="460" t="n">
        <v>9</v>
      </c>
      <c r="K63" s="634" t="s">
        <v>45</v>
      </c>
      <c r="L63" s="458" t="s">
        <v>60</v>
      </c>
      <c r="M63" s="463" t="n">
        <f aca="false">I63-D63</f>
        <v>866</v>
      </c>
      <c r="N63" s="4"/>
      <c r="O63" s="340" t="s">
        <v>38</v>
      </c>
      <c r="P63" s="340"/>
      <c r="Q63" s="340"/>
      <c r="R63" s="340"/>
      <c r="S63" s="341" t="s">
        <v>343</v>
      </c>
      <c r="T63" s="342" t="s">
        <v>41</v>
      </c>
    </row>
    <row r="64" customFormat="false" ht="12.75" hidden="false" customHeight="true" outlineLevel="0" collapsed="false">
      <c r="A64" s="602" t="n">
        <v>6305</v>
      </c>
      <c r="B64" s="450" t="s">
        <v>19628</v>
      </c>
      <c r="C64" s="450" t="n">
        <v>2003</v>
      </c>
      <c r="D64" s="453" t="n">
        <v>37939</v>
      </c>
      <c r="E64" s="450" t="s">
        <v>19629</v>
      </c>
      <c r="F64" s="450" t="s">
        <v>3924</v>
      </c>
      <c r="G64" s="450" t="s">
        <v>1474</v>
      </c>
      <c r="H64" s="450" t="s">
        <v>373</v>
      </c>
      <c r="I64" s="453" t="n">
        <v>38622</v>
      </c>
      <c r="J64" s="452" t="n">
        <v>9</v>
      </c>
      <c r="K64" s="634" t="s">
        <v>45</v>
      </c>
      <c r="L64" s="452" t="s">
        <v>58</v>
      </c>
      <c r="M64" s="455" t="n">
        <f aca="false">I64-D64</f>
        <v>683</v>
      </c>
      <c r="N64" s="4"/>
      <c r="O64" s="471" t="s">
        <v>42</v>
      </c>
      <c r="P64" s="471"/>
      <c r="Q64" s="471"/>
      <c r="R64" s="471"/>
      <c r="S64" s="471" t="n">
        <f aca="false">COUNTIF($K$1:$K$495,"I - Extremamente tóxico")</f>
        <v>16</v>
      </c>
      <c r="T64" s="472" t="n">
        <f aca="false">(S64/S76)</f>
        <v>0.179775280898876</v>
      </c>
    </row>
    <row r="65" customFormat="false" ht="12.75" hidden="false" customHeight="true" outlineLevel="0" collapsed="false">
      <c r="A65" s="594" t="n">
        <v>6405</v>
      </c>
      <c r="B65" s="458" t="s">
        <v>19630</v>
      </c>
      <c r="C65" s="458" t="n">
        <v>2003</v>
      </c>
      <c r="D65" s="459" t="n">
        <v>37707</v>
      </c>
      <c r="E65" s="458" t="s">
        <v>19631</v>
      </c>
      <c r="F65" s="458" t="s">
        <v>408</v>
      </c>
      <c r="G65" s="458" t="s">
        <v>144</v>
      </c>
      <c r="H65" s="458" t="s">
        <v>2283</v>
      </c>
      <c r="I65" s="459" t="n">
        <v>38632</v>
      </c>
      <c r="J65" s="460" t="n">
        <v>10</v>
      </c>
      <c r="K65" s="633" t="s">
        <v>47</v>
      </c>
      <c r="L65" s="458" t="s">
        <v>60</v>
      </c>
      <c r="M65" s="463" t="n">
        <f aca="false">I65-D65</f>
        <v>925</v>
      </c>
      <c r="N65" s="4"/>
      <c r="O65" s="345" t="s">
        <v>43</v>
      </c>
      <c r="P65" s="345"/>
      <c r="Q65" s="345"/>
      <c r="R65" s="345"/>
      <c r="S65" s="345" t="n">
        <f aca="false">COUNTIF($K$2:$K$477,"Categoria 1 - Produto Extremamente Tóxico")</f>
        <v>0</v>
      </c>
      <c r="T65" s="473" t="n">
        <f aca="false">(S65/S76)</f>
        <v>0</v>
      </c>
    </row>
    <row r="66" customFormat="false" ht="12.75" hidden="false" customHeight="true" outlineLevel="0" collapsed="false">
      <c r="A66" s="602" t="n">
        <v>6505</v>
      </c>
      <c r="B66" s="450" t="s">
        <v>19632</v>
      </c>
      <c r="C66" s="450" t="n">
        <v>2000</v>
      </c>
      <c r="D66" s="453" t="n">
        <v>36763</v>
      </c>
      <c r="E66" s="450" t="s">
        <v>19633</v>
      </c>
      <c r="F66" s="450" t="s">
        <v>19634</v>
      </c>
      <c r="G66" s="450" t="s">
        <v>1474</v>
      </c>
      <c r="H66" s="450" t="s">
        <v>1791</v>
      </c>
      <c r="I66" s="453" t="n">
        <v>38635</v>
      </c>
      <c r="J66" s="452" t="n">
        <v>10</v>
      </c>
      <c r="K66" s="633" t="s">
        <v>47</v>
      </c>
      <c r="L66" s="452" t="s">
        <v>58</v>
      </c>
      <c r="M66" s="455" t="n">
        <f aca="false">I66-D66</f>
        <v>1872</v>
      </c>
      <c r="N66" s="4"/>
      <c r="O66" s="345" t="s">
        <v>44</v>
      </c>
      <c r="P66" s="345"/>
      <c r="Q66" s="345"/>
      <c r="R66" s="345"/>
      <c r="S66" s="345" t="n">
        <f aca="false">COUNTIF($K$2:$K$477,"Categoria 2 - Produto Altamente Tóxico")</f>
        <v>0</v>
      </c>
      <c r="T66" s="473" t="n">
        <f aca="false">(S66/S76)</f>
        <v>0</v>
      </c>
    </row>
    <row r="67" customFormat="false" ht="12.75" hidden="false" customHeight="true" outlineLevel="0" collapsed="false">
      <c r="A67" s="594" t="n">
        <v>6605</v>
      </c>
      <c r="B67" s="458" t="s">
        <v>19635</v>
      </c>
      <c r="C67" s="458" t="n">
        <v>2004</v>
      </c>
      <c r="D67" s="461" t="n">
        <v>38314</v>
      </c>
      <c r="E67" s="458" t="s">
        <v>19636</v>
      </c>
      <c r="F67" s="458" t="s">
        <v>6303</v>
      </c>
      <c r="G67" s="458" t="s">
        <v>125</v>
      </c>
      <c r="H67" s="458" t="s">
        <v>18838</v>
      </c>
      <c r="I67" s="461" t="n">
        <v>38635</v>
      </c>
      <c r="J67" s="460" t="n">
        <v>10</v>
      </c>
      <c r="K67" s="634" t="s">
        <v>45</v>
      </c>
      <c r="L67" s="458" t="s">
        <v>61</v>
      </c>
      <c r="M67" s="463" t="n">
        <f aca="false">I67-D67</f>
        <v>321</v>
      </c>
      <c r="N67" s="4"/>
      <c r="O67" s="349" t="s">
        <v>45</v>
      </c>
      <c r="P67" s="349"/>
      <c r="Q67" s="349"/>
      <c r="R67" s="349"/>
      <c r="S67" s="349" t="n">
        <f aca="false">COUNTIF($K$2:$K$477,"II - Altamente tóxico")</f>
        <v>22</v>
      </c>
      <c r="T67" s="474" t="n">
        <f aca="false">(S67/S76)</f>
        <v>0.247191011235955</v>
      </c>
    </row>
    <row r="68" customFormat="false" ht="12.75" hidden="false" customHeight="true" outlineLevel="0" collapsed="false">
      <c r="A68" s="602" t="n">
        <v>6705</v>
      </c>
      <c r="B68" s="450" t="s">
        <v>19637</v>
      </c>
      <c r="C68" s="450" t="n">
        <v>2001</v>
      </c>
      <c r="D68" s="451" t="n">
        <v>37182</v>
      </c>
      <c r="E68" s="450" t="s">
        <v>19638</v>
      </c>
      <c r="F68" s="450" t="s">
        <v>1080</v>
      </c>
      <c r="G68" s="450" t="s">
        <v>144</v>
      </c>
      <c r="H68" s="450" t="s">
        <v>134</v>
      </c>
      <c r="I68" s="451" t="n">
        <v>38636</v>
      </c>
      <c r="J68" s="452" t="n">
        <v>10</v>
      </c>
      <c r="K68" s="634" t="s">
        <v>45</v>
      </c>
      <c r="L68" s="452" t="s">
        <v>60</v>
      </c>
      <c r="M68" s="455" t="n">
        <f aca="false">I68-D68</f>
        <v>1454</v>
      </c>
      <c r="N68" s="4"/>
      <c r="O68" s="349" t="s">
        <v>46</v>
      </c>
      <c r="P68" s="349"/>
      <c r="Q68" s="349"/>
      <c r="R68" s="349"/>
      <c r="S68" s="349" t="n">
        <f aca="false">COUNTIF($K$2:$K$477,"Categoria 3 - Produto Moderadamente Tóxico")</f>
        <v>0</v>
      </c>
      <c r="T68" s="474" t="n">
        <f aca="false">(S68/S76)</f>
        <v>0</v>
      </c>
    </row>
    <row r="69" customFormat="false" ht="12.75" hidden="false" customHeight="true" outlineLevel="0" collapsed="false">
      <c r="A69" s="594" t="n">
        <v>6805</v>
      </c>
      <c r="B69" s="458" t="s">
        <v>19639</v>
      </c>
      <c r="C69" s="458" t="n">
        <v>2003</v>
      </c>
      <c r="D69" s="461" t="n">
        <v>37874</v>
      </c>
      <c r="E69" s="458" t="s">
        <v>19640</v>
      </c>
      <c r="F69" s="458" t="s">
        <v>19641</v>
      </c>
      <c r="G69" s="458" t="s">
        <v>125</v>
      </c>
      <c r="H69" s="458" t="s">
        <v>391</v>
      </c>
      <c r="I69" s="461" t="n">
        <v>38646</v>
      </c>
      <c r="J69" s="460" t="n">
        <v>10</v>
      </c>
      <c r="K69" s="632" t="s">
        <v>50</v>
      </c>
      <c r="L69" s="458" t="s">
        <v>61</v>
      </c>
      <c r="M69" s="463" t="n">
        <f aca="false">I69-D69</f>
        <v>772</v>
      </c>
      <c r="N69" s="4"/>
      <c r="O69" s="351" t="s">
        <v>47</v>
      </c>
      <c r="P69" s="351"/>
      <c r="Q69" s="351"/>
      <c r="R69" s="351"/>
      <c r="S69" s="351" t="n">
        <f aca="false">COUNTIF($K$2:$K$477,"III - Medianamente tóxico")</f>
        <v>39</v>
      </c>
      <c r="T69" s="475" t="n">
        <f aca="false">(S69/S76)</f>
        <v>0.438202247191011</v>
      </c>
    </row>
    <row r="70" customFormat="false" ht="12.75" hidden="false" customHeight="true" outlineLevel="0" collapsed="false">
      <c r="A70" s="602" t="n">
        <v>6905</v>
      </c>
      <c r="B70" s="450" t="s">
        <v>19642</v>
      </c>
      <c r="C70" s="450" t="n">
        <v>2004</v>
      </c>
      <c r="D70" s="451" t="n">
        <v>38085</v>
      </c>
      <c r="E70" s="450" t="s">
        <v>19643</v>
      </c>
      <c r="F70" s="450" t="s">
        <v>18365</v>
      </c>
      <c r="G70" s="450" t="s">
        <v>144</v>
      </c>
      <c r="H70" s="450" t="s">
        <v>18366</v>
      </c>
      <c r="I70" s="451" t="n">
        <v>38665</v>
      </c>
      <c r="J70" s="452" t="n">
        <v>11</v>
      </c>
      <c r="K70" s="632" t="s">
        <v>50</v>
      </c>
      <c r="L70" s="452" t="s">
        <v>60</v>
      </c>
      <c r="M70" s="455" t="n">
        <f aca="false">I70-D70</f>
        <v>580</v>
      </c>
      <c r="N70" s="4"/>
      <c r="O70" s="351" t="s">
        <v>48</v>
      </c>
      <c r="P70" s="351"/>
      <c r="Q70" s="351"/>
      <c r="R70" s="351"/>
      <c r="S70" s="351" t="n">
        <f aca="false">COUNTIF($K$2:$K$477,"Categoria 4 - Produto Pouco Tóxico")</f>
        <v>0</v>
      </c>
      <c r="T70" s="475" t="n">
        <f aca="false">(S70/S76)</f>
        <v>0</v>
      </c>
    </row>
    <row r="71" customFormat="false" ht="12.75" hidden="false" customHeight="true" outlineLevel="0" collapsed="false">
      <c r="A71" s="594" t="n">
        <v>7005</v>
      </c>
      <c r="B71" s="458" t="s">
        <v>19644</v>
      </c>
      <c r="C71" s="458" t="n">
        <v>2004</v>
      </c>
      <c r="D71" s="459" t="n">
        <v>38085</v>
      </c>
      <c r="E71" s="458" t="s">
        <v>19645</v>
      </c>
      <c r="F71" s="458" t="s">
        <v>18393</v>
      </c>
      <c r="G71" s="458" t="s">
        <v>144</v>
      </c>
      <c r="H71" s="458" t="s">
        <v>18366</v>
      </c>
      <c r="I71" s="459" t="n">
        <v>38677</v>
      </c>
      <c r="J71" s="460" t="n">
        <v>11</v>
      </c>
      <c r="K71" s="632" t="s">
        <v>50</v>
      </c>
      <c r="L71" s="458" t="s">
        <v>61</v>
      </c>
      <c r="M71" s="463" t="n">
        <f aca="false">I71-D71</f>
        <v>592</v>
      </c>
      <c r="N71" s="4"/>
      <c r="O71" s="351" t="s">
        <v>49</v>
      </c>
      <c r="P71" s="351"/>
      <c r="Q71" s="351"/>
      <c r="R71" s="351"/>
      <c r="S71" s="351" t="n">
        <f aca="false">COUNTIF($K$2:$K$477,"Categoria 5 - Produto Improvável de Causar Dano Agudo")</f>
        <v>0</v>
      </c>
      <c r="T71" s="475" t="n">
        <f aca="false">(S71/S76)</f>
        <v>0</v>
      </c>
    </row>
    <row r="72" customFormat="false" ht="12.75" hidden="false" customHeight="true" outlineLevel="0" collapsed="false">
      <c r="A72" s="602" t="n">
        <v>7105</v>
      </c>
      <c r="B72" s="450" t="s">
        <v>19646</v>
      </c>
      <c r="C72" s="450" t="n">
        <v>2004</v>
      </c>
      <c r="D72" s="451" t="n">
        <v>38085</v>
      </c>
      <c r="E72" s="450" t="s">
        <v>19647</v>
      </c>
      <c r="F72" s="450" t="s">
        <v>18393</v>
      </c>
      <c r="G72" s="450" t="s">
        <v>144</v>
      </c>
      <c r="H72" s="450" t="s">
        <v>18366</v>
      </c>
      <c r="I72" s="451" t="n">
        <v>38677</v>
      </c>
      <c r="J72" s="452" t="n">
        <v>11</v>
      </c>
      <c r="K72" s="634" t="s">
        <v>45</v>
      </c>
      <c r="L72" s="452" t="s">
        <v>61</v>
      </c>
      <c r="M72" s="455" t="n">
        <f aca="false">I72-D72</f>
        <v>592</v>
      </c>
      <c r="N72" s="4"/>
      <c r="O72" s="353" t="s">
        <v>50</v>
      </c>
      <c r="P72" s="353"/>
      <c r="Q72" s="353"/>
      <c r="R72" s="353"/>
      <c r="S72" s="353" t="n">
        <f aca="false">COUNTIF($K$2:$K$477,"IV - Pouco tóxico")</f>
        <v>12</v>
      </c>
      <c r="T72" s="476" t="n">
        <f aca="false">(S72/S76)</f>
        <v>0.134831460674157</v>
      </c>
    </row>
    <row r="73" customFormat="false" ht="12.75" hidden="false" customHeight="true" outlineLevel="0" collapsed="false">
      <c r="A73" s="594" t="n">
        <v>7205</v>
      </c>
      <c r="B73" s="458" t="s">
        <v>19648</v>
      </c>
      <c r="C73" s="458" t="n">
        <v>1995</v>
      </c>
      <c r="D73" s="459" t="n">
        <v>35054</v>
      </c>
      <c r="E73" s="458" t="s">
        <v>19649</v>
      </c>
      <c r="F73" s="458" t="s">
        <v>19650</v>
      </c>
      <c r="G73" s="458" t="s">
        <v>144</v>
      </c>
      <c r="H73" s="458" t="s">
        <v>18974</v>
      </c>
      <c r="I73" s="459" t="n">
        <v>38677</v>
      </c>
      <c r="J73" s="460" t="n">
        <v>11</v>
      </c>
      <c r="K73" s="633" t="s">
        <v>47</v>
      </c>
      <c r="L73" s="458" t="s">
        <v>58</v>
      </c>
      <c r="M73" s="463" t="n">
        <f aca="false">I73-D73</f>
        <v>3623</v>
      </c>
      <c r="N73" s="4"/>
      <c r="O73" s="353" t="s">
        <v>51</v>
      </c>
      <c r="P73" s="353"/>
      <c r="Q73" s="353"/>
      <c r="R73" s="353"/>
      <c r="S73" s="353" t="n">
        <f aca="false">COUNTIF($K$2:$K$477,"Não classificado - Produto não classificado")</f>
        <v>0</v>
      </c>
      <c r="T73" s="476" t="n">
        <f aca="false">(S73/S76)</f>
        <v>0</v>
      </c>
    </row>
    <row r="74" customFormat="false" ht="12.75" hidden="false" customHeight="true" outlineLevel="0" collapsed="false">
      <c r="A74" s="602" t="n">
        <v>7305</v>
      </c>
      <c r="B74" s="450" t="s">
        <v>19651</v>
      </c>
      <c r="C74" s="450" t="n">
        <v>2000</v>
      </c>
      <c r="D74" s="453" t="n">
        <v>36850</v>
      </c>
      <c r="E74" s="450" t="s">
        <v>19652</v>
      </c>
      <c r="F74" s="450" t="s">
        <v>699</v>
      </c>
      <c r="G74" s="450" t="s">
        <v>1474</v>
      </c>
      <c r="H74" s="450" t="s">
        <v>16610</v>
      </c>
      <c r="I74" s="453" t="n">
        <v>38686</v>
      </c>
      <c r="J74" s="452" t="n">
        <v>11</v>
      </c>
      <c r="K74" s="631" t="s">
        <v>42</v>
      </c>
      <c r="L74" s="452" t="s">
        <v>60</v>
      </c>
      <c r="M74" s="455" t="n">
        <f aca="false">I74-D74</f>
        <v>1836</v>
      </c>
      <c r="N74" s="4"/>
      <c r="O74" s="353" t="s">
        <v>2407</v>
      </c>
      <c r="P74" s="353"/>
      <c r="Q74" s="353"/>
      <c r="R74" s="353"/>
      <c r="S74" s="353" t="n">
        <f aca="false">COUNTIF($K$2:$K$477,"Não determinada devido à natureza do produto (Inimigos naturais)")</f>
        <v>0</v>
      </c>
      <c r="T74" s="476" t="n">
        <f aca="false">(S74/S76)</f>
        <v>0</v>
      </c>
    </row>
    <row r="75" customFormat="false" ht="12.75" hidden="false" customHeight="true" outlineLevel="0" collapsed="false">
      <c r="A75" s="594" t="n">
        <v>7405</v>
      </c>
      <c r="B75" s="458" t="s">
        <v>19653</v>
      </c>
      <c r="C75" s="458" t="n">
        <v>2001</v>
      </c>
      <c r="D75" s="459" t="n">
        <v>37162</v>
      </c>
      <c r="E75" s="458" t="s">
        <v>19654</v>
      </c>
      <c r="F75" s="458" t="s">
        <v>17195</v>
      </c>
      <c r="G75" s="458" t="s">
        <v>144</v>
      </c>
      <c r="H75" s="458" t="s">
        <v>119</v>
      </c>
      <c r="I75" s="459" t="n">
        <v>38687</v>
      </c>
      <c r="J75" s="460" t="n">
        <v>12</v>
      </c>
      <c r="K75" s="633" t="s">
        <v>47</v>
      </c>
      <c r="L75" s="458" t="s">
        <v>58</v>
      </c>
      <c r="M75" s="463" t="n">
        <f aca="false">I75-D75</f>
        <v>1525</v>
      </c>
      <c r="N75" s="4"/>
      <c r="O75" s="478" t="s">
        <v>53</v>
      </c>
      <c r="P75" s="478"/>
      <c r="Q75" s="478"/>
      <c r="R75" s="478"/>
      <c r="S75" s="478" t="n">
        <f aca="false">COUNTIF($K$2:$K$477,"O perfil toxicológico foi considerado equivalente ao produto técnico de referência")</f>
        <v>0</v>
      </c>
      <c r="T75" s="479" t="n">
        <f aca="false">(S75/S76)</f>
        <v>0</v>
      </c>
    </row>
    <row r="76" customFormat="false" ht="15" hidden="false" customHeight="true" outlineLevel="0" collapsed="false">
      <c r="A76" s="602" t="n">
        <v>7505</v>
      </c>
      <c r="B76" s="450" t="s">
        <v>19655</v>
      </c>
      <c r="C76" s="450" t="n">
        <v>2003</v>
      </c>
      <c r="D76" s="451" t="n">
        <v>37971</v>
      </c>
      <c r="E76" s="450" t="s">
        <v>19656</v>
      </c>
      <c r="F76" s="450" t="s">
        <v>8232</v>
      </c>
      <c r="G76" s="450" t="s">
        <v>144</v>
      </c>
      <c r="H76" s="450" t="s">
        <v>19343</v>
      </c>
      <c r="I76" s="451" t="n">
        <v>38693</v>
      </c>
      <c r="J76" s="452" t="n">
        <v>12</v>
      </c>
      <c r="K76" s="633" t="s">
        <v>47</v>
      </c>
      <c r="L76" s="452" t="s">
        <v>60</v>
      </c>
      <c r="M76" s="455" t="n">
        <f aca="false">I76-D76</f>
        <v>722</v>
      </c>
      <c r="N76" s="4"/>
      <c r="O76" s="419" t="s">
        <v>54</v>
      </c>
      <c r="P76" s="419"/>
      <c r="Q76" s="419"/>
      <c r="R76" s="419"/>
      <c r="S76" s="363" t="n">
        <f aca="false">SUM(S64:S75)</f>
        <v>89</v>
      </c>
      <c r="T76" s="364" t="n">
        <f aca="false">(S76/S76)</f>
        <v>1</v>
      </c>
    </row>
    <row r="77" customFormat="false" ht="12.75" hidden="false" customHeight="true" outlineLevel="0" collapsed="false">
      <c r="A77" s="594" t="n">
        <v>7605</v>
      </c>
      <c r="B77" s="458" t="s">
        <v>19657</v>
      </c>
      <c r="C77" s="458" t="n">
        <v>1996</v>
      </c>
      <c r="D77" s="459" t="n">
        <v>35166</v>
      </c>
      <c r="E77" s="458" t="s">
        <v>19658</v>
      </c>
      <c r="F77" s="458" t="s">
        <v>19659</v>
      </c>
      <c r="G77" s="458" t="s">
        <v>144</v>
      </c>
      <c r="H77" s="458" t="s">
        <v>18974</v>
      </c>
      <c r="I77" s="459" t="n">
        <v>38694</v>
      </c>
      <c r="J77" s="460" t="n">
        <v>12</v>
      </c>
      <c r="K77" s="633" t="s">
        <v>47</v>
      </c>
      <c r="L77" s="458" t="s">
        <v>60</v>
      </c>
      <c r="M77" s="463" t="n">
        <f aca="false">I77-D77</f>
        <v>3528</v>
      </c>
      <c r="N77" s="4"/>
      <c r="O77" s="153"/>
      <c r="P77" s="153"/>
      <c r="Q77" s="153"/>
      <c r="R77" s="153"/>
      <c r="S77" s="153"/>
      <c r="T77" s="153"/>
    </row>
    <row r="78" customFormat="false" ht="13.5" hidden="false" customHeight="true" outlineLevel="0" collapsed="false">
      <c r="A78" s="602" t="n">
        <v>7705</v>
      </c>
      <c r="B78" s="450" t="s">
        <v>19660</v>
      </c>
      <c r="C78" s="450" t="n">
        <v>2001</v>
      </c>
      <c r="D78" s="453" t="n">
        <v>37139</v>
      </c>
      <c r="E78" s="450" t="s">
        <v>19661</v>
      </c>
      <c r="F78" s="450" t="s">
        <v>2224</v>
      </c>
      <c r="G78" s="450" t="s">
        <v>1474</v>
      </c>
      <c r="H78" s="450" t="s">
        <v>134</v>
      </c>
      <c r="I78" s="453" t="n">
        <v>38695</v>
      </c>
      <c r="J78" s="452" t="n">
        <v>12</v>
      </c>
      <c r="K78" s="631" t="s">
        <v>42</v>
      </c>
      <c r="L78" s="452" t="s">
        <v>58</v>
      </c>
      <c r="M78" s="455" t="n">
        <f aca="false">I78-D78</f>
        <v>1556</v>
      </c>
      <c r="N78" s="4"/>
      <c r="O78" s="339" t="s">
        <v>102</v>
      </c>
      <c r="P78" s="339"/>
      <c r="Q78" s="339"/>
      <c r="R78" s="339"/>
      <c r="S78" s="339"/>
      <c r="T78" s="339"/>
    </row>
    <row r="79" customFormat="false" ht="12.75" hidden="false" customHeight="true" outlineLevel="0" collapsed="false">
      <c r="A79" s="594" t="n">
        <v>7805</v>
      </c>
      <c r="B79" s="458" t="s">
        <v>19662</v>
      </c>
      <c r="C79" s="458" t="n">
        <v>2004</v>
      </c>
      <c r="D79" s="461" t="n">
        <v>38022</v>
      </c>
      <c r="E79" s="458" t="s">
        <v>19663</v>
      </c>
      <c r="F79" s="458" t="s">
        <v>15092</v>
      </c>
      <c r="G79" s="458" t="s">
        <v>1474</v>
      </c>
      <c r="H79" s="458" t="s">
        <v>2654</v>
      </c>
      <c r="I79" s="461" t="n">
        <v>38700</v>
      </c>
      <c r="J79" s="460" t="n">
        <v>12</v>
      </c>
      <c r="K79" s="631" t="s">
        <v>42</v>
      </c>
      <c r="L79" s="458" t="s">
        <v>58</v>
      </c>
      <c r="M79" s="463" t="n">
        <f aca="false">I79-D79</f>
        <v>678</v>
      </c>
      <c r="N79" s="4"/>
      <c r="O79" s="339"/>
      <c r="P79" s="339"/>
      <c r="Q79" s="339"/>
      <c r="R79" s="339"/>
      <c r="S79" s="339"/>
      <c r="T79" s="339"/>
    </row>
    <row r="80" customFormat="false" ht="12.75" hidden="false" customHeight="true" outlineLevel="0" collapsed="false">
      <c r="A80" s="602" t="n">
        <v>7905</v>
      </c>
      <c r="B80" s="450" t="s">
        <v>19664</v>
      </c>
      <c r="C80" s="450" t="n">
        <v>2004</v>
      </c>
      <c r="D80" s="453" t="n">
        <v>38201</v>
      </c>
      <c r="E80" s="450" t="s">
        <v>19665</v>
      </c>
      <c r="F80" s="450" t="s">
        <v>1316</v>
      </c>
      <c r="G80" s="450" t="s">
        <v>1188</v>
      </c>
      <c r="H80" s="450" t="s">
        <v>119</v>
      </c>
      <c r="I80" s="453" t="n">
        <v>38702</v>
      </c>
      <c r="J80" s="452" t="n">
        <v>12</v>
      </c>
      <c r="K80" s="634" t="s">
        <v>45</v>
      </c>
      <c r="L80" s="452" t="s">
        <v>58</v>
      </c>
      <c r="M80" s="455" t="n">
        <f aca="false">I80-D80</f>
        <v>501</v>
      </c>
      <c r="N80" s="4"/>
      <c r="O80" s="340" t="s">
        <v>38</v>
      </c>
      <c r="P80" s="340"/>
      <c r="Q80" s="340"/>
      <c r="R80" s="340"/>
      <c r="S80" s="374" t="s">
        <v>343</v>
      </c>
      <c r="T80" s="375" t="s">
        <v>41</v>
      </c>
    </row>
    <row r="81" customFormat="false" ht="13.5" hidden="false" customHeight="true" outlineLevel="0" collapsed="false">
      <c r="A81" s="594" t="n">
        <v>8005</v>
      </c>
      <c r="B81" s="458" t="s">
        <v>19666</v>
      </c>
      <c r="C81" s="458" t="n">
        <v>2004</v>
      </c>
      <c r="D81" s="459" t="n">
        <v>38002</v>
      </c>
      <c r="E81" s="458" t="s">
        <v>19667</v>
      </c>
      <c r="F81" s="458" t="s">
        <v>4270</v>
      </c>
      <c r="G81" s="458" t="s">
        <v>144</v>
      </c>
      <c r="H81" s="458" t="s">
        <v>2654</v>
      </c>
      <c r="I81" s="459" t="n">
        <v>38702</v>
      </c>
      <c r="J81" s="460" t="n">
        <v>12</v>
      </c>
      <c r="K81" s="631" t="s">
        <v>42</v>
      </c>
      <c r="L81" s="458" t="s">
        <v>60</v>
      </c>
      <c r="M81" s="463" t="n">
        <f aca="false">I81-D81</f>
        <v>700</v>
      </c>
      <c r="N81" s="4"/>
      <c r="O81" s="480" t="s">
        <v>57</v>
      </c>
      <c r="P81" s="480"/>
      <c r="Q81" s="480"/>
      <c r="R81" s="480"/>
      <c r="S81" s="536" t="n">
        <f aca="false">COUNTIF($L$2:$L$477,"I - Produto altamente perigoso ao meio ambiente")</f>
        <v>1</v>
      </c>
      <c r="T81" s="377" t="n">
        <f aca="false">(S81/S85)</f>
        <v>0.0112359550561798</v>
      </c>
    </row>
    <row r="82" customFormat="false" ht="13.5" hidden="false" customHeight="true" outlineLevel="0" collapsed="false">
      <c r="A82" s="602" t="n">
        <v>8105</v>
      </c>
      <c r="B82" s="450" t="s">
        <v>19668</v>
      </c>
      <c r="C82" s="450" t="n">
        <v>2001</v>
      </c>
      <c r="D82" s="453" t="n">
        <v>37244</v>
      </c>
      <c r="E82" s="450" t="s">
        <v>19669</v>
      </c>
      <c r="F82" s="450" t="s">
        <v>19670</v>
      </c>
      <c r="G82" s="450" t="s">
        <v>125</v>
      </c>
      <c r="H82" s="450" t="s">
        <v>19093</v>
      </c>
      <c r="I82" s="453" t="n">
        <v>38705</v>
      </c>
      <c r="J82" s="452" t="n">
        <v>12</v>
      </c>
      <c r="K82" s="632" t="s">
        <v>50</v>
      </c>
      <c r="L82" s="452" t="s">
        <v>61</v>
      </c>
      <c r="M82" s="455" t="n">
        <f aca="false">I82-D82</f>
        <v>1461</v>
      </c>
      <c r="N82" s="4"/>
      <c r="O82" s="378" t="s">
        <v>58</v>
      </c>
      <c r="P82" s="378"/>
      <c r="Q82" s="378"/>
      <c r="R82" s="378"/>
      <c r="S82" s="537" t="n">
        <f aca="false">COUNTIF($L$2:$L$477,"II - Produto muito perigoso ao meio ambiente")</f>
        <v>28</v>
      </c>
      <c r="T82" s="379" t="n">
        <f aca="false">(S82/S85)</f>
        <v>0.314606741573034</v>
      </c>
    </row>
    <row r="83" customFormat="false" ht="13.5" hidden="false" customHeight="true" outlineLevel="0" collapsed="false">
      <c r="A83" s="594" t="n">
        <v>8205</v>
      </c>
      <c r="B83" s="458" t="s">
        <v>19671</v>
      </c>
      <c r="C83" s="458" t="n">
        <v>2003</v>
      </c>
      <c r="D83" s="461" t="n">
        <v>37741</v>
      </c>
      <c r="E83" s="458" t="s">
        <v>19672</v>
      </c>
      <c r="F83" s="458" t="s">
        <v>3175</v>
      </c>
      <c r="G83" s="458" t="s">
        <v>115</v>
      </c>
      <c r="H83" s="458" t="s">
        <v>10110</v>
      </c>
      <c r="I83" s="461" t="n">
        <v>38705</v>
      </c>
      <c r="J83" s="460" t="n">
        <v>12</v>
      </c>
      <c r="K83" s="634" t="s">
        <v>45</v>
      </c>
      <c r="L83" s="458" t="s">
        <v>60</v>
      </c>
      <c r="M83" s="463" t="n">
        <f aca="false">I83-D83</f>
        <v>964</v>
      </c>
      <c r="N83" s="4"/>
      <c r="O83" s="380" t="s">
        <v>60</v>
      </c>
      <c r="P83" s="380"/>
      <c r="Q83" s="380"/>
      <c r="R83" s="380"/>
      <c r="S83" s="536" t="n">
        <f aca="false">COUNTIF($L$2:$L$477,"III - Produto perigoso ao meio ambiente")</f>
        <v>48</v>
      </c>
      <c r="T83" s="377" t="n">
        <f aca="false">(S83/S85)</f>
        <v>0.539325842696629</v>
      </c>
    </row>
    <row r="84" customFormat="false" ht="14.25" hidden="false" customHeight="true" outlineLevel="0" collapsed="false">
      <c r="A84" s="602" t="n">
        <v>8305</v>
      </c>
      <c r="B84" s="450" t="s">
        <v>19673</v>
      </c>
      <c r="C84" s="450" t="n">
        <v>2003</v>
      </c>
      <c r="D84" s="453" t="n">
        <v>37741</v>
      </c>
      <c r="E84" s="450" t="s">
        <v>19674</v>
      </c>
      <c r="F84" s="450" t="s">
        <v>3175</v>
      </c>
      <c r="G84" s="450" t="s">
        <v>1188</v>
      </c>
      <c r="H84" s="450" t="s">
        <v>10110</v>
      </c>
      <c r="I84" s="453" t="n">
        <v>38705</v>
      </c>
      <c r="J84" s="452" t="n">
        <v>12</v>
      </c>
      <c r="K84" s="634" t="s">
        <v>47</v>
      </c>
      <c r="L84" s="452" t="s">
        <v>60</v>
      </c>
      <c r="M84" s="455" t="n">
        <f aca="false">I84-D84</f>
        <v>964</v>
      </c>
      <c r="N84" s="4"/>
      <c r="O84" s="378" t="s">
        <v>61</v>
      </c>
      <c r="P84" s="378"/>
      <c r="Q84" s="378"/>
      <c r="R84" s="378"/>
      <c r="S84" s="537" t="n">
        <f aca="false">COUNTIF($L$2:$L$477,"IV - Produto pouco perigoso ao meio ambiente")</f>
        <v>12</v>
      </c>
      <c r="T84" s="379" t="n">
        <f aca="false">(S84/S85)</f>
        <v>0.134831460674157</v>
      </c>
    </row>
    <row r="85" customFormat="false" ht="14.25" hidden="false" customHeight="true" outlineLevel="0" collapsed="false">
      <c r="A85" s="594" t="n">
        <v>8403</v>
      </c>
      <c r="B85" s="594" t="s">
        <v>10996</v>
      </c>
      <c r="C85" s="594" t="s">
        <v>10996</v>
      </c>
      <c r="D85" s="594" t="s">
        <v>10996</v>
      </c>
      <c r="E85" s="594" t="s">
        <v>10996</v>
      </c>
      <c r="F85" s="594" t="s">
        <v>10996</v>
      </c>
      <c r="G85" s="594" t="s">
        <v>10996</v>
      </c>
      <c r="H85" s="594" t="s">
        <v>10996</v>
      </c>
      <c r="I85" s="594" t="s">
        <v>10996</v>
      </c>
      <c r="J85" s="594" t="s">
        <v>10996</v>
      </c>
      <c r="K85" s="594" t="s">
        <v>10996</v>
      </c>
      <c r="L85" s="594" t="s">
        <v>10996</v>
      </c>
      <c r="M85" s="594" t="s">
        <v>10996</v>
      </c>
      <c r="N85" s="4"/>
      <c r="O85" s="340" t="s">
        <v>54</v>
      </c>
      <c r="P85" s="340"/>
      <c r="Q85" s="340"/>
      <c r="R85" s="340"/>
      <c r="S85" s="363" t="n">
        <f aca="false">SUM(S81:S84)</f>
        <v>89</v>
      </c>
      <c r="T85" s="364" t="n">
        <f aca="false">(S85/S85)</f>
        <v>1</v>
      </c>
    </row>
    <row r="86" customFormat="false" ht="12.75" hidden="false" customHeight="true" outlineLevel="0" collapsed="false">
      <c r="A86" s="602" t="n">
        <v>8505</v>
      </c>
      <c r="B86" s="450" t="s">
        <v>19675</v>
      </c>
      <c r="C86" s="450" t="n">
        <v>2000</v>
      </c>
      <c r="D86" s="451" t="n">
        <v>36818</v>
      </c>
      <c r="E86" s="450" t="s">
        <v>19676</v>
      </c>
      <c r="F86" s="450" t="s">
        <v>19677</v>
      </c>
      <c r="G86" s="450" t="s">
        <v>144</v>
      </c>
      <c r="H86" s="450" t="s">
        <v>134</v>
      </c>
      <c r="I86" s="451" t="n">
        <v>38706</v>
      </c>
      <c r="J86" s="452" t="n">
        <v>12</v>
      </c>
      <c r="K86" s="634" t="s">
        <v>45</v>
      </c>
      <c r="L86" s="452" t="s">
        <v>60</v>
      </c>
      <c r="M86" s="455" t="n">
        <f aca="false">I86-D86</f>
        <v>1888</v>
      </c>
      <c r="N86" s="4"/>
    </row>
    <row r="87" customFormat="false" ht="12.75" hidden="false" customHeight="true" outlineLevel="0" collapsed="false">
      <c r="A87" s="594" t="n">
        <v>8605</v>
      </c>
      <c r="B87" s="458" t="s">
        <v>19678</v>
      </c>
      <c r="C87" s="458" t="n">
        <v>2003</v>
      </c>
      <c r="D87" s="461" t="n">
        <v>37735</v>
      </c>
      <c r="E87" s="458" t="s">
        <v>19679</v>
      </c>
      <c r="F87" s="458" t="s">
        <v>5814</v>
      </c>
      <c r="G87" s="458" t="s">
        <v>1474</v>
      </c>
      <c r="H87" s="458" t="s">
        <v>119</v>
      </c>
      <c r="I87" s="461" t="n">
        <v>38706</v>
      </c>
      <c r="J87" s="460" t="n">
        <v>12</v>
      </c>
      <c r="K87" s="634" t="s">
        <v>45</v>
      </c>
      <c r="L87" s="458" t="s">
        <v>58</v>
      </c>
      <c r="M87" s="463" t="n">
        <f aca="false">I87-D87</f>
        <v>971</v>
      </c>
      <c r="N87" s="4"/>
      <c r="O87" s="153"/>
      <c r="P87" s="153"/>
      <c r="Q87" s="153"/>
      <c r="R87" s="153"/>
      <c r="S87" s="153"/>
      <c r="T87" s="153"/>
    </row>
    <row r="88" customFormat="false" ht="13.5" hidden="false" customHeight="true" outlineLevel="0" collapsed="false">
      <c r="A88" s="602" t="n">
        <v>8705</v>
      </c>
      <c r="B88" s="450" t="s">
        <v>19680</v>
      </c>
      <c r="C88" s="450" t="n">
        <v>2004</v>
      </c>
      <c r="D88" s="453" t="n">
        <v>38217</v>
      </c>
      <c r="E88" s="450" t="s">
        <v>19681</v>
      </c>
      <c r="F88" s="450" t="s">
        <v>12477</v>
      </c>
      <c r="G88" s="450" t="s">
        <v>1474</v>
      </c>
      <c r="H88" s="450" t="s">
        <v>134</v>
      </c>
      <c r="I88" s="453" t="n">
        <v>38706</v>
      </c>
      <c r="J88" s="452" t="n">
        <v>12</v>
      </c>
      <c r="K88" s="634" t="s">
        <v>45</v>
      </c>
      <c r="L88" s="452" t="s">
        <v>58</v>
      </c>
      <c r="M88" s="455" t="n">
        <f aca="false">I88-D88</f>
        <v>489</v>
      </c>
      <c r="N88" s="4"/>
      <c r="O88" s="421" t="s">
        <v>425</v>
      </c>
      <c r="P88" s="421"/>
      <c r="Q88" s="421"/>
      <c r="R88" s="421"/>
      <c r="S88" s="153"/>
      <c r="T88" s="153"/>
    </row>
    <row r="89" customFormat="false" ht="12.75" hidden="false" customHeight="true" outlineLevel="0" collapsed="false">
      <c r="A89" s="594" t="n">
        <v>8805</v>
      </c>
      <c r="B89" s="458" t="s">
        <v>19682</v>
      </c>
      <c r="C89" s="458" t="n">
        <v>2000</v>
      </c>
      <c r="D89" s="461" t="n">
        <v>36600</v>
      </c>
      <c r="E89" s="458" t="s">
        <v>19683</v>
      </c>
      <c r="F89" s="458" t="s">
        <v>19684</v>
      </c>
      <c r="G89" s="458" t="s">
        <v>125</v>
      </c>
      <c r="H89" s="458" t="s">
        <v>391</v>
      </c>
      <c r="I89" s="461" t="n">
        <v>38706</v>
      </c>
      <c r="J89" s="460" t="n">
        <v>12</v>
      </c>
      <c r="K89" s="634" t="s">
        <v>50</v>
      </c>
      <c r="L89" s="458" t="s">
        <v>61</v>
      </c>
      <c r="M89" s="463" t="n">
        <f aca="false">I89-D89</f>
        <v>2106</v>
      </c>
      <c r="N89" s="4"/>
      <c r="O89" s="421"/>
      <c r="P89" s="421"/>
      <c r="Q89" s="421"/>
      <c r="R89" s="421"/>
      <c r="S89" s="153"/>
      <c r="T89" s="153"/>
    </row>
    <row r="90" customFormat="false" ht="12.75" hidden="false" customHeight="true" outlineLevel="0" collapsed="false">
      <c r="A90" s="602" t="n">
        <v>8905</v>
      </c>
      <c r="B90" s="450" t="s">
        <v>19685</v>
      </c>
      <c r="C90" s="450" t="n">
        <v>2003</v>
      </c>
      <c r="D90" s="453" t="n">
        <v>37923</v>
      </c>
      <c r="E90" s="450" t="s">
        <v>19686</v>
      </c>
      <c r="F90" s="450" t="s">
        <v>488</v>
      </c>
      <c r="G90" s="450" t="s">
        <v>1474</v>
      </c>
      <c r="H90" s="450" t="s">
        <v>134</v>
      </c>
      <c r="I90" s="453" t="n">
        <v>38708</v>
      </c>
      <c r="J90" s="452" t="n">
        <v>12</v>
      </c>
      <c r="K90" s="634" t="s">
        <v>42</v>
      </c>
      <c r="L90" s="452" t="s">
        <v>60</v>
      </c>
      <c r="M90" s="594" t="n">
        <f aca="false">I90-D90</f>
        <v>785</v>
      </c>
      <c r="N90" s="4"/>
      <c r="O90" s="651" t="s">
        <v>69</v>
      </c>
      <c r="P90" s="652" t="s">
        <v>433</v>
      </c>
      <c r="Q90" s="652"/>
      <c r="R90" s="652"/>
      <c r="S90" s="4"/>
      <c r="T90" s="4"/>
    </row>
    <row r="91" customFormat="false" ht="12.75" hidden="false" customHeight="true" outlineLevel="0" collapsed="false">
      <c r="A91" s="594" t="n">
        <v>9005</v>
      </c>
      <c r="B91" s="458" t="s">
        <v>19687</v>
      </c>
      <c r="C91" s="458" t="n">
        <v>2001</v>
      </c>
      <c r="D91" s="459" t="n">
        <v>37039</v>
      </c>
      <c r="E91" s="458" t="s">
        <v>19688</v>
      </c>
      <c r="F91" s="458" t="s">
        <v>15074</v>
      </c>
      <c r="G91" s="458" t="s">
        <v>144</v>
      </c>
      <c r="H91" s="458" t="s">
        <v>15992</v>
      </c>
      <c r="I91" s="459" t="n">
        <v>38713</v>
      </c>
      <c r="J91" s="460" t="n">
        <v>12</v>
      </c>
      <c r="K91" s="634" t="s">
        <v>47</v>
      </c>
      <c r="L91" s="458" t="s">
        <v>60</v>
      </c>
      <c r="M91" s="463" t="n">
        <f aca="false">I91-D91</f>
        <v>1674</v>
      </c>
      <c r="N91" s="4"/>
      <c r="O91" s="394" t="s">
        <v>1474</v>
      </c>
      <c r="P91" s="481" t="n">
        <f aca="false">AVERAGEIF(G2:G477,"PT",M2:M477)</f>
        <v>1083.73913043478</v>
      </c>
      <c r="Q91" s="481"/>
      <c r="R91" s="481"/>
      <c r="S91" s="153"/>
      <c r="T91" s="153"/>
    </row>
    <row r="92" customFormat="false" ht="12.75" hidden="false" customHeight="true" outlineLevel="0" collapsed="false">
      <c r="A92" s="602" t="n">
        <v>9105</v>
      </c>
      <c r="B92" s="450" t="s">
        <v>19689</v>
      </c>
      <c r="C92" s="450" t="n">
        <v>2001</v>
      </c>
      <c r="D92" s="451" t="n">
        <v>37097</v>
      </c>
      <c r="E92" s="450" t="s">
        <v>19690</v>
      </c>
      <c r="F92" s="450" t="s">
        <v>19677</v>
      </c>
      <c r="G92" s="450" t="s">
        <v>144</v>
      </c>
      <c r="H92" s="450" t="s">
        <v>134</v>
      </c>
      <c r="I92" s="451" t="n">
        <v>38714</v>
      </c>
      <c r="J92" s="452" t="n">
        <v>12</v>
      </c>
      <c r="K92" s="634" t="s">
        <v>45</v>
      </c>
      <c r="L92" s="452" t="s">
        <v>60</v>
      </c>
      <c r="M92" s="455" t="n">
        <f aca="false">I92-D92</f>
        <v>1617</v>
      </c>
      <c r="N92" s="4"/>
      <c r="O92" s="396" t="s">
        <v>1188</v>
      </c>
      <c r="P92" s="482" t="n">
        <f aca="false">AVERAGEIF(G2:G478,"PTN",M2:M478)</f>
        <v>835.6</v>
      </c>
      <c r="Q92" s="482"/>
      <c r="R92" s="482"/>
      <c r="S92" s="153"/>
      <c r="T92" s="153"/>
    </row>
    <row r="93" customFormat="false" ht="12.75" hidden="false" customHeight="true" outlineLevel="0" collapsed="false">
      <c r="A93" s="636"/>
      <c r="B93" s="636"/>
      <c r="C93" s="636"/>
      <c r="D93" s="636"/>
      <c r="E93" s="4"/>
      <c r="F93" s="4"/>
      <c r="G93" s="4"/>
      <c r="H93" s="4"/>
      <c r="I93" s="4"/>
      <c r="J93" s="4"/>
      <c r="K93" s="4"/>
      <c r="L93" s="4"/>
      <c r="M93" s="653"/>
      <c r="N93" s="4"/>
      <c r="O93" s="394" t="s">
        <v>1174</v>
      </c>
      <c r="P93" s="481" t="e">
        <f aca="false">AVERAGEIF(G2:G92,"PTE",M2:M92)</f>
        <v>#DIV/0!</v>
      </c>
      <c r="Q93" s="481"/>
      <c r="R93" s="481"/>
      <c r="S93" s="153"/>
      <c r="T93" s="153"/>
    </row>
    <row r="94" customFormat="false" ht="12.75" hidden="false" customHeight="true" outlineLevel="0" collapsed="false">
      <c r="A94" s="636"/>
      <c r="B94" s="636"/>
      <c r="C94" s="636"/>
      <c r="D94" s="638"/>
      <c r="E94" s="4"/>
      <c r="F94" s="4"/>
      <c r="G94" s="4"/>
      <c r="H94" s="4"/>
      <c r="I94" s="638"/>
      <c r="J94" s="4"/>
      <c r="K94" s="4"/>
      <c r="L94" s="4"/>
      <c r="M94" s="653"/>
      <c r="N94" s="4"/>
      <c r="O94" s="396" t="s">
        <v>8</v>
      </c>
      <c r="P94" s="482" t="n">
        <f aca="false">AVERAGEIF(G2:G477,"Pré-Mistura",M2:M477)</f>
        <v>196</v>
      </c>
      <c r="Q94" s="482"/>
      <c r="R94" s="482"/>
      <c r="S94" s="153"/>
      <c r="T94" s="153"/>
    </row>
    <row r="95" customFormat="false" ht="12.75" hidden="false" customHeight="true" outlineLevel="0" collapsed="false">
      <c r="A95" s="636"/>
      <c r="B95" s="636"/>
      <c r="C95" s="636"/>
      <c r="D95" s="638"/>
      <c r="E95" s="4"/>
      <c r="F95" s="4"/>
      <c r="G95" s="4"/>
      <c r="H95" s="4"/>
      <c r="I95" s="638"/>
      <c r="J95" s="4"/>
      <c r="K95" s="4"/>
      <c r="L95" s="4"/>
      <c r="M95" s="653"/>
      <c r="N95" s="4"/>
      <c r="O95" s="394" t="s">
        <v>144</v>
      </c>
      <c r="P95" s="481" t="n">
        <f aca="false">AVERAGEIF(G2:G477,"PF",M2:M477)</f>
        <v>1190.08888888889</v>
      </c>
      <c r="Q95" s="481"/>
      <c r="R95" s="481"/>
      <c r="S95" s="153"/>
      <c r="T95" s="153"/>
    </row>
    <row r="96" customFormat="false" ht="12.75" hidden="false" customHeight="true" outlineLevel="0" collapsed="false">
      <c r="A96" s="636"/>
      <c r="B96" s="636"/>
      <c r="C96" s="636"/>
      <c r="D96" s="638"/>
      <c r="E96" s="4"/>
      <c r="F96" s="4"/>
      <c r="G96" s="4"/>
      <c r="H96" s="4"/>
      <c r="I96" s="638"/>
      <c r="J96" s="4"/>
      <c r="K96" s="4"/>
      <c r="L96" s="4"/>
      <c r="M96" s="653"/>
      <c r="N96" s="4"/>
      <c r="O96" s="396" t="s">
        <v>115</v>
      </c>
      <c r="P96" s="482" t="n">
        <f aca="false">AVERAGEIF(G2:G477,"PFN",M2:M477)</f>
        <v>1053.2</v>
      </c>
      <c r="Q96" s="482"/>
      <c r="R96" s="482"/>
      <c r="S96" s="153"/>
      <c r="T96" s="153"/>
    </row>
    <row r="97" customFormat="false" ht="12.75" hidden="false" customHeight="true" outlineLevel="0" collapsed="false">
      <c r="O97" s="394" t="s">
        <v>441</v>
      </c>
      <c r="P97" s="481" t="e">
        <f aca="false">AVERAGEIF(G2:G477,"PF/PTE",M2:M477)</f>
        <v>#DIV/0!</v>
      </c>
      <c r="Q97" s="481"/>
      <c r="R97" s="481"/>
    </row>
    <row r="98" customFormat="false" ht="12.75" hidden="false" customHeight="true" outlineLevel="0" collapsed="false">
      <c r="O98" s="396" t="s">
        <v>125</v>
      </c>
      <c r="P98" s="482" t="n">
        <f aca="false">AVERAGEIF(G2:G477,"Bio",M2:M477)</f>
        <v>1075.3</v>
      </c>
      <c r="Q98" s="482"/>
      <c r="R98" s="482"/>
    </row>
    <row r="99" customFormat="false" ht="12.75" hidden="false" customHeight="true" outlineLevel="0" collapsed="false">
      <c r="O99" s="394" t="s">
        <v>130</v>
      </c>
      <c r="P99" s="481" t="e">
        <f aca="false">AVERAGEIF(G2:G92,"Bio/Org",M2:M92)</f>
        <v>#DIV/0!</v>
      </c>
      <c r="Q99" s="481"/>
      <c r="R99" s="481"/>
    </row>
    <row r="100" customFormat="false" ht="12.75" hidden="false" customHeight="true" outlineLevel="0" collapsed="false">
      <c r="O100" s="398" t="s">
        <v>86</v>
      </c>
      <c r="P100" s="399" t="n">
        <f aca="false">AVERAGE(M2:M495)</f>
        <v>1110.93258426966</v>
      </c>
      <c r="Q100" s="399"/>
      <c r="R100" s="399"/>
    </row>
  </sheetData>
  <autoFilter ref="A1:M93"/>
  <mergeCells count="76">
    <mergeCell ref="O2:P2"/>
    <mergeCell ref="O14:S15"/>
    <mergeCell ref="O16:S16"/>
    <mergeCell ref="O17:S17"/>
    <mergeCell ref="O18:S18"/>
    <mergeCell ref="O19:S19"/>
    <mergeCell ref="O20:S20"/>
    <mergeCell ref="O21:S21"/>
    <mergeCell ref="O22:S22"/>
    <mergeCell ref="O23:S23"/>
    <mergeCell ref="O24:S24"/>
    <mergeCell ref="O26:S27"/>
    <mergeCell ref="P28:R28"/>
    <mergeCell ref="P29:R29"/>
    <mergeCell ref="P30:R30"/>
    <mergeCell ref="P31:R31"/>
    <mergeCell ref="P32:R32"/>
    <mergeCell ref="P33:R33"/>
    <mergeCell ref="P34:R34"/>
    <mergeCell ref="P35:R35"/>
    <mergeCell ref="P36:R36"/>
    <mergeCell ref="P37:R37"/>
    <mergeCell ref="P38:R38"/>
    <mergeCell ref="P39:R39"/>
    <mergeCell ref="P40:R40"/>
    <mergeCell ref="P41:R41"/>
    <mergeCell ref="P42:R42"/>
    <mergeCell ref="O44:S45"/>
    <mergeCell ref="P46:R46"/>
    <mergeCell ref="P47:R47"/>
    <mergeCell ref="P48:R48"/>
    <mergeCell ref="P49:R49"/>
    <mergeCell ref="P50:R50"/>
    <mergeCell ref="P51:R51"/>
    <mergeCell ref="P52:R52"/>
    <mergeCell ref="P53:R53"/>
    <mergeCell ref="P54:R54"/>
    <mergeCell ref="P55:R55"/>
    <mergeCell ref="P56:R56"/>
    <mergeCell ref="P57:R57"/>
    <mergeCell ref="P58:R58"/>
    <mergeCell ref="P59:R59"/>
    <mergeCell ref="O61:T62"/>
    <mergeCell ref="O63:R63"/>
    <mergeCell ref="O64:R64"/>
    <mergeCell ref="O65:R65"/>
    <mergeCell ref="O66:R66"/>
    <mergeCell ref="O67:R67"/>
    <mergeCell ref="O68:R68"/>
    <mergeCell ref="O69:R69"/>
    <mergeCell ref="O70:R70"/>
    <mergeCell ref="O71:R71"/>
    <mergeCell ref="O72:R72"/>
    <mergeCell ref="O73:R73"/>
    <mergeCell ref="O74:R74"/>
    <mergeCell ref="O75:R75"/>
    <mergeCell ref="O76:R76"/>
    <mergeCell ref="O78:T79"/>
    <mergeCell ref="O80:R80"/>
    <mergeCell ref="O81:R81"/>
    <mergeCell ref="O82:R82"/>
    <mergeCell ref="O83:R83"/>
    <mergeCell ref="O84:R84"/>
    <mergeCell ref="O85:R85"/>
    <mergeCell ref="O88:R89"/>
    <mergeCell ref="P90:R90"/>
    <mergeCell ref="P91:R91"/>
    <mergeCell ref="P92:R92"/>
    <mergeCell ref="P93:R93"/>
    <mergeCell ref="P94:R94"/>
    <mergeCell ref="P95:R95"/>
    <mergeCell ref="P96:R96"/>
    <mergeCell ref="P97:R97"/>
    <mergeCell ref="P98:R98"/>
    <mergeCell ref="P99:R99"/>
    <mergeCell ref="P100:R100"/>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9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B1" activeCellId="0" sqref="B1"/>
    </sheetView>
  </sheetViews>
  <sheetFormatPr defaultColWidth="14.2890625" defaultRowHeight="12.75" customHeight="false" zeroHeight="false" outlineLevelRow="0" outlineLevelCol="0"/>
  <cols>
    <col collapsed="false" customWidth="true" hidden="false" outlineLevel="0" max="1" min="1" style="0" width="17.42"/>
    <col collapsed="false" customWidth="true" hidden="false" outlineLevel="0" max="2" min="2" style="0" width="28.58"/>
    <col collapsed="false" customWidth="true" hidden="false" outlineLevel="0" max="3" min="3" style="0" width="19.43"/>
    <col collapsed="false" customWidth="true" hidden="false" outlineLevel="0" max="4" min="4" style="0" width="26.14"/>
    <col collapsed="false" customWidth="true" hidden="false" outlineLevel="0" max="5" min="5" style="0" width="40.57"/>
    <col collapsed="false" customWidth="true" hidden="false" outlineLevel="0" max="6" min="6" style="0" width="71.43"/>
    <col collapsed="false" customWidth="true" hidden="false" outlineLevel="0" max="7" min="7" style="0" width="15.42"/>
    <col collapsed="false" customWidth="true" hidden="false" outlineLevel="0" max="8" min="8" style="0" width="31.29"/>
    <col collapsed="false" customWidth="true" hidden="false" outlineLevel="0" max="9" min="9" style="0" width="33.29"/>
    <col collapsed="false" customWidth="true" hidden="false" outlineLevel="0" max="10" min="10" style="0" width="34.85"/>
    <col collapsed="false" customWidth="true" hidden="false" outlineLevel="0" max="11" min="11" style="0" width="57.14"/>
    <col collapsed="false" customWidth="true" hidden="false" outlineLevel="0" max="12" min="12" style="0" width="76.14"/>
    <col collapsed="false" customWidth="true" hidden="false" outlineLevel="0" max="13" min="13" style="0" width="53.43"/>
    <col collapsed="false" customWidth="true" hidden="false" outlineLevel="0" max="14" min="14" style="0" width="9.14"/>
    <col collapsed="false" customWidth="true" hidden="false" outlineLevel="0" max="15" min="15" style="0" width="27.14"/>
    <col collapsed="false" customWidth="true" hidden="false" outlineLevel="0" max="16" min="16" style="0" width="9.85"/>
    <col collapsed="false" customWidth="true" hidden="false" outlineLevel="0" max="17" min="17" style="0" width="3.42"/>
    <col collapsed="false" customWidth="true" hidden="false" outlineLevel="0" max="18" min="18" style="0" width="39"/>
    <col collapsed="false" customWidth="true" hidden="false" outlineLevel="0" max="19" min="19" style="0" width="62.85"/>
    <col collapsed="false" customWidth="true" hidden="false" outlineLevel="0" max="20" min="20" style="0" width="13.71"/>
    <col collapsed="false" customWidth="true" hidden="false" outlineLevel="0" max="26" min="21" style="0" width="8.71"/>
  </cols>
  <sheetData>
    <row r="1" customFormat="false" ht="12.75" hidden="false" customHeight="true" outlineLevel="0" collapsed="false">
      <c r="A1" s="585" t="s">
        <v>92</v>
      </c>
      <c r="B1" s="585" t="s">
        <v>93</v>
      </c>
      <c r="C1" s="585" t="s">
        <v>89</v>
      </c>
      <c r="D1" s="584" t="s">
        <v>94</v>
      </c>
      <c r="E1" s="585" t="s">
        <v>95</v>
      </c>
      <c r="F1" s="585" t="s">
        <v>96</v>
      </c>
      <c r="G1" s="585" t="s">
        <v>97</v>
      </c>
      <c r="H1" s="585" t="s">
        <v>98</v>
      </c>
      <c r="I1" s="584" t="s">
        <v>99</v>
      </c>
      <c r="J1" s="585" t="s">
        <v>62</v>
      </c>
      <c r="K1" s="586" t="s">
        <v>101</v>
      </c>
      <c r="L1" s="586" t="s">
        <v>102</v>
      </c>
      <c r="M1" s="279" t="s">
        <v>103</v>
      </c>
      <c r="N1" s="4"/>
      <c r="O1" s="4"/>
      <c r="P1" s="4"/>
      <c r="Q1" s="4"/>
      <c r="R1" s="4"/>
      <c r="S1" s="4"/>
    </row>
    <row r="2" customFormat="false" ht="12.75" hidden="false" customHeight="true" outlineLevel="0" collapsed="false">
      <c r="A2" s="602" t="n">
        <v>104</v>
      </c>
      <c r="B2" s="450" t="s">
        <v>19691</v>
      </c>
      <c r="C2" s="450" t="n">
        <v>2000</v>
      </c>
      <c r="D2" s="451" t="n">
        <v>36874</v>
      </c>
      <c r="E2" s="450" t="s">
        <v>19692</v>
      </c>
      <c r="F2" s="450" t="s">
        <v>19693</v>
      </c>
      <c r="G2" s="450" t="s">
        <v>115</v>
      </c>
      <c r="H2" s="450" t="s">
        <v>134</v>
      </c>
      <c r="I2" s="451" t="n">
        <v>37995</v>
      </c>
      <c r="J2" s="452" t="n">
        <v>1</v>
      </c>
      <c r="K2" s="634" t="s">
        <v>45</v>
      </c>
      <c r="L2" s="452" t="s">
        <v>60</v>
      </c>
      <c r="M2" s="455" t="n">
        <f aca="false">I2-D2</f>
        <v>1121</v>
      </c>
      <c r="N2" s="4"/>
      <c r="O2" s="280" t="s">
        <v>19488</v>
      </c>
      <c r="P2" s="280"/>
      <c r="Q2" s="146"/>
      <c r="R2" s="146"/>
      <c r="S2" s="146"/>
    </row>
    <row r="3" customFormat="false" ht="12.75" hidden="false" customHeight="true" outlineLevel="0" collapsed="false">
      <c r="A3" s="594" t="n">
        <v>204</v>
      </c>
      <c r="B3" s="458" t="s">
        <v>19694</v>
      </c>
      <c r="C3" s="458" t="n">
        <v>2003</v>
      </c>
      <c r="D3" s="459" t="n">
        <v>37900</v>
      </c>
      <c r="E3" s="458" t="s">
        <v>19695</v>
      </c>
      <c r="F3" s="458" t="s">
        <v>699</v>
      </c>
      <c r="G3" s="458" t="s">
        <v>144</v>
      </c>
      <c r="H3" s="458" t="s">
        <v>13028</v>
      </c>
      <c r="I3" s="459" t="n">
        <v>38000</v>
      </c>
      <c r="J3" s="460" t="n">
        <v>1</v>
      </c>
      <c r="K3" s="633" t="s">
        <v>47</v>
      </c>
      <c r="L3" s="458" t="s">
        <v>60</v>
      </c>
      <c r="M3" s="463" t="n">
        <f aca="false">I3-D3</f>
        <v>100</v>
      </c>
      <c r="N3" s="4"/>
      <c r="O3" s="281" t="s">
        <v>1182</v>
      </c>
      <c r="P3" s="281" t="n">
        <f aca="false">COUNTIF($G$2:$G$476,"PT")</f>
        <v>21</v>
      </c>
      <c r="Q3" s="146"/>
      <c r="R3" s="146"/>
      <c r="S3" s="146"/>
    </row>
    <row r="4" customFormat="false" ht="12.75" hidden="false" customHeight="true" outlineLevel="0" collapsed="false">
      <c r="A4" s="602" t="n">
        <v>304</v>
      </c>
      <c r="B4" s="450" t="s">
        <v>19696</v>
      </c>
      <c r="C4" s="450" t="n">
        <v>2001</v>
      </c>
      <c r="D4" s="451" t="n">
        <v>37071</v>
      </c>
      <c r="E4" s="450" t="s">
        <v>19697</v>
      </c>
      <c r="F4" s="450" t="s">
        <v>1262</v>
      </c>
      <c r="G4" s="450" t="s">
        <v>1474</v>
      </c>
      <c r="H4" s="450" t="s">
        <v>18974</v>
      </c>
      <c r="I4" s="451" t="n">
        <v>38015</v>
      </c>
      <c r="J4" s="452" t="n">
        <v>1</v>
      </c>
      <c r="K4" s="633" t="s">
        <v>47</v>
      </c>
      <c r="L4" s="452" t="s">
        <v>60</v>
      </c>
      <c r="M4" s="455" t="n">
        <f aca="false">I4-D4</f>
        <v>944</v>
      </c>
      <c r="N4" s="4"/>
      <c r="O4" s="282" t="s">
        <v>1188</v>
      </c>
      <c r="P4" s="282" t="n">
        <f aca="false">COUNTIF($G$2:$G$476,"PTN")</f>
        <v>4</v>
      </c>
      <c r="Q4" s="153"/>
      <c r="R4" s="153"/>
      <c r="S4" s="153"/>
    </row>
    <row r="5" customFormat="false" ht="12.75" hidden="false" customHeight="true" outlineLevel="0" collapsed="false">
      <c r="A5" s="594" t="n">
        <v>404</v>
      </c>
      <c r="B5" s="458" t="s">
        <v>19698</v>
      </c>
      <c r="C5" s="458" t="n">
        <v>2001</v>
      </c>
      <c r="D5" s="459" t="n">
        <v>37133</v>
      </c>
      <c r="E5" s="458" t="s">
        <v>19699</v>
      </c>
      <c r="F5" s="458" t="s">
        <v>19700</v>
      </c>
      <c r="G5" s="458" t="s">
        <v>144</v>
      </c>
      <c r="H5" s="458" t="s">
        <v>134</v>
      </c>
      <c r="I5" s="459" t="n">
        <v>38015</v>
      </c>
      <c r="J5" s="460" t="n">
        <v>1</v>
      </c>
      <c r="K5" s="634" t="s">
        <v>45</v>
      </c>
      <c r="L5" s="458" t="s">
        <v>60</v>
      </c>
      <c r="M5" s="463" t="n">
        <f aca="false">I5-D5</f>
        <v>882</v>
      </c>
      <c r="N5" s="4"/>
      <c r="O5" s="283" t="s">
        <v>1192</v>
      </c>
      <c r="P5" s="283" t="n">
        <f aca="false">COUNTIF($G$2:$G$476,"PTE")</f>
        <v>0</v>
      </c>
      <c r="Q5" s="153"/>
      <c r="R5" s="153"/>
      <c r="S5" s="153"/>
    </row>
    <row r="6" customFormat="false" ht="12.75" hidden="false" customHeight="true" outlineLevel="0" collapsed="false">
      <c r="A6" s="602" t="n">
        <v>504</v>
      </c>
      <c r="B6" s="450" t="s">
        <v>19701</v>
      </c>
      <c r="C6" s="450" t="n">
        <v>2001</v>
      </c>
      <c r="D6" s="451" t="n">
        <v>37144</v>
      </c>
      <c r="E6" s="450" t="s">
        <v>19702</v>
      </c>
      <c r="F6" s="450" t="s">
        <v>19703</v>
      </c>
      <c r="G6" s="450" t="s">
        <v>1474</v>
      </c>
      <c r="H6" s="450" t="s">
        <v>10110</v>
      </c>
      <c r="I6" s="451" t="n">
        <v>38015</v>
      </c>
      <c r="J6" s="452" t="n">
        <v>1</v>
      </c>
      <c r="K6" s="634" t="s">
        <v>45</v>
      </c>
      <c r="L6" s="452" t="s">
        <v>60</v>
      </c>
      <c r="M6" s="455" t="n">
        <f aca="false">I6-D6</f>
        <v>871</v>
      </c>
      <c r="N6" s="4"/>
      <c r="O6" s="282" t="s">
        <v>8</v>
      </c>
      <c r="P6" s="282" t="n">
        <f aca="false">COUNTIF($G$2:$G$476,"Pré-Mistura")</f>
        <v>1</v>
      </c>
      <c r="Q6" s="153"/>
      <c r="R6" s="153"/>
      <c r="S6" s="153"/>
    </row>
    <row r="7" customFormat="false" ht="12.75" hidden="false" customHeight="true" outlineLevel="0" collapsed="false">
      <c r="A7" s="594" t="n">
        <v>604</v>
      </c>
      <c r="B7" s="458" t="s">
        <v>19704</v>
      </c>
      <c r="C7" s="458" t="n">
        <v>2001</v>
      </c>
      <c r="D7" s="459" t="n">
        <v>37246</v>
      </c>
      <c r="E7" s="458" t="s">
        <v>19705</v>
      </c>
      <c r="F7" s="458" t="s">
        <v>19706</v>
      </c>
      <c r="G7" s="458" t="s">
        <v>115</v>
      </c>
      <c r="H7" s="458" t="s">
        <v>1109</v>
      </c>
      <c r="I7" s="459" t="n">
        <v>38016</v>
      </c>
      <c r="J7" s="460" t="n">
        <v>1</v>
      </c>
      <c r="K7" s="633" t="s">
        <v>47</v>
      </c>
      <c r="L7" s="458" t="s">
        <v>58</v>
      </c>
      <c r="M7" s="463" t="n">
        <f aca="false">I7-D7</f>
        <v>770</v>
      </c>
      <c r="N7" s="4"/>
      <c r="O7" s="283" t="s">
        <v>110</v>
      </c>
      <c r="P7" s="283" t="n">
        <f aca="false">COUNTIF($G$2:$G$476,"PF")</f>
        <v>45</v>
      </c>
      <c r="Q7" s="153"/>
      <c r="R7" s="153"/>
      <c r="S7" s="153"/>
    </row>
    <row r="8" customFormat="false" ht="12.75" hidden="false" customHeight="true" outlineLevel="0" collapsed="false">
      <c r="A8" s="602" t="n">
        <v>704</v>
      </c>
      <c r="B8" s="450" t="s">
        <v>19707</v>
      </c>
      <c r="C8" s="450" t="n">
        <v>2001</v>
      </c>
      <c r="D8" s="451" t="n">
        <v>37060</v>
      </c>
      <c r="E8" s="450" t="s">
        <v>19708</v>
      </c>
      <c r="F8" s="450" t="s">
        <v>10808</v>
      </c>
      <c r="G8" s="450" t="s">
        <v>125</v>
      </c>
      <c r="H8" s="450" t="s">
        <v>14544</v>
      </c>
      <c r="I8" s="451" t="n">
        <v>38016</v>
      </c>
      <c r="J8" s="452" t="n">
        <v>1</v>
      </c>
      <c r="K8" s="632" t="s">
        <v>50</v>
      </c>
      <c r="L8" s="452" t="s">
        <v>61</v>
      </c>
      <c r="M8" s="455" t="n">
        <f aca="false">I8-D8</f>
        <v>956</v>
      </c>
      <c r="N8" s="4"/>
      <c r="O8" s="282" t="s">
        <v>115</v>
      </c>
      <c r="P8" s="282" t="n">
        <f aca="false">COUNTIF($G$2:$G$476,"PFN")</f>
        <v>7</v>
      </c>
      <c r="Q8" s="153"/>
      <c r="R8" s="153"/>
      <c r="S8" s="153"/>
    </row>
    <row r="9" customFormat="false" ht="12.75" hidden="false" customHeight="true" outlineLevel="0" collapsed="false">
      <c r="A9" s="594" t="n">
        <v>804</v>
      </c>
      <c r="B9" s="458" t="s">
        <v>19709</v>
      </c>
      <c r="C9" s="458" t="n">
        <v>2000</v>
      </c>
      <c r="D9" s="459" t="n">
        <v>36882</v>
      </c>
      <c r="E9" s="458" t="s">
        <v>19710</v>
      </c>
      <c r="F9" s="458" t="s">
        <v>780</v>
      </c>
      <c r="G9" s="458" t="s">
        <v>1474</v>
      </c>
      <c r="H9" s="458" t="s">
        <v>18397</v>
      </c>
      <c r="I9" s="459" t="n">
        <v>38016</v>
      </c>
      <c r="J9" s="460" t="n">
        <v>1</v>
      </c>
      <c r="K9" s="633" t="s">
        <v>47</v>
      </c>
      <c r="L9" s="458" t="s">
        <v>60</v>
      </c>
      <c r="M9" s="463" t="n">
        <f aca="false">I9-D9</f>
        <v>1134</v>
      </c>
      <c r="N9" s="4"/>
      <c r="O9" s="283" t="s">
        <v>120</v>
      </c>
      <c r="P9" s="283" t="n">
        <f aca="false">COUNTIF($G$2:$G$476,"PF/PTE")</f>
        <v>0</v>
      </c>
      <c r="Q9" s="153"/>
      <c r="R9" s="153"/>
      <c r="S9" s="153"/>
    </row>
    <row r="10" customFormat="false" ht="12.75" hidden="false" customHeight="true" outlineLevel="0" collapsed="false">
      <c r="A10" s="602" t="n">
        <v>904</v>
      </c>
      <c r="B10" s="450" t="s">
        <v>19711</v>
      </c>
      <c r="C10" s="450" t="n">
        <v>2002</v>
      </c>
      <c r="D10" s="451" t="n">
        <v>37305</v>
      </c>
      <c r="E10" s="450" t="s">
        <v>19712</v>
      </c>
      <c r="F10" s="450" t="s">
        <v>12416</v>
      </c>
      <c r="G10" s="450" t="s">
        <v>144</v>
      </c>
      <c r="H10" s="450" t="s">
        <v>119</v>
      </c>
      <c r="I10" s="451" t="n">
        <v>38022</v>
      </c>
      <c r="J10" s="452" t="n">
        <v>2</v>
      </c>
      <c r="K10" s="633" t="s">
        <v>47</v>
      </c>
      <c r="L10" s="452" t="s">
        <v>61</v>
      </c>
      <c r="M10" s="455" t="n">
        <f aca="false">I10-D10</f>
        <v>717</v>
      </c>
      <c r="N10" s="4"/>
      <c r="O10" s="282" t="s">
        <v>125</v>
      </c>
      <c r="P10" s="282" t="n">
        <f aca="false">COUNTIF($G$2:$G$476,"Bio")</f>
        <v>6</v>
      </c>
      <c r="Q10" s="153"/>
      <c r="R10" s="153"/>
      <c r="S10" s="153"/>
    </row>
    <row r="11" customFormat="false" ht="12.75" hidden="false" customHeight="true" outlineLevel="0" collapsed="false">
      <c r="A11" s="594" t="n">
        <v>1004</v>
      </c>
      <c r="B11" s="458" t="s">
        <v>19713</v>
      </c>
      <c r="C11" s="458" t="n">
        <v>2002</v>
      </c>
      <c r="D11" s="459" t="n">
        <v>37438</v>
      </c>
      <c r="E11" s="458" t="s">
        <v>19714</v>
      </c>
      <c r="F11" s="458" t="s">
        <v>689</v>
      </c>
      <c r="G11" s="458" t="s">
        <v>115</v>
      </c>
      <c r="H11" s="458" t="s">
        <v>119</v>
      </c>
      <c r="I11" s="459" t="n">
        <v>38022</v>
      </c>
      <c r="J11" s="460" t="n">
        <v>2</v>
      </c>
      <c r="K11" s="633" t="s">
        <v>47</v>
      </c>
      <c r="L11" s="458" t="s">
        <v>60</v>
      </c>
      <c r="M11" s="463" t="n">
        <f aca="false">I11-D11</f>
        <v>584</v>
      </c>
      <c r="N11" s="4"/>
      <c r="O11" s="284" t="s">
        <v>130</v>
      </c>
      <c r="P11" s="284" t="n">
        <f aca="false">COUNTIF($G$2:$G$476,"Bio/Org")</f>
        <v>0</v>
      </c>
      <c r="Q11" s="153"/>
      <c r="R11" s="153"/>
      <c r="S11" s="153"/>
    </row>
    <row r="12" customFormat="false" ht="12.75" hidden="false" customHeight="true" outlineLevel="0" collapsed="false">
      <c r="A12" s="602" t="n">
        <v>1104</v>
      </c>
      <c r="B12" s="450" t="s">
        <v>19715</v>
      </c>
      <c r="C12" s="450" t="n">
        <v>2002</v>
      </c>
      <c r="D12" s="451" t="n">
        <v>37434</v>
      </c>
      <c r="E12" s="450" t="s">
        <v>19716</v>
      </c>
      <c r="F12" s="450" t="s">
        <v>689</v>
      </c>
      <c r="G12" s="450" t="s">
        <v>1188</v>
      </c>
      <c r="H12" s="450" t="s">
        <v>119</v>
      </c>
      <c r="I12" s="451" t="n">
        <v>38023</v>
      </c>
      <c r="J12" s="452" t="n">
        <v>2</v>
      </c>
      <c r="K12" s="631" t="s">
        <v>42</v>
      </c>
      <c r="L12" s="452" t="s">
        <v>60</v>
      </c>
      <c r="M12" s="455" t="n">
        <f aca="false">I12-D12</f>
        <v>589</v>
      </c>
      <c r="N12" s="4"/>
      <c r="O12" s="285" t="s">
        <v>140</v>
      </c>
      <c r="P12" s="286" t="n">
        <f aca="false">SUM(P3:P11)</f>
        <v>84</v>
      </c>
      <c r="Q12" s="153"/>
      <c r="R12" s="153"/>
      <c r="S12" s="153"/>
    </row>
    <row r="13" customFormat="false" ht="12.75" hidden="false" customHeight="true" outlineLevel="0" collapsed="false">
      <c r="A13" s="594" t="n">
        <v>1204</v>
      </c>
      <c r="B13" s="594" t="s">
        <v>10996</v>
      </c>
      <c r="C13" s="594" t="s">
        <v>10996</v>
      </c>
      <c r="D13" s="595" t="s">
        <v>10996</v>
      </c>
      <c r="E13" s="594" t="s">
        <v>10996</v>
      </c>
      <c r="F13" s="594" t="s">
        <v>10996</v>
      </c>
      <c r="G13" s="594" t="s">
        <v>10996</v>
      </c>
      <c r="H13" s="594" t="s">
        <v>10996</v>
      </c>
      <c r="I13" s="595" t="s">
        <v>10996</v>
      </c>
      <c r="J13" s="283" t="s">
        <v>10996</v>
      </c>
      <c r="K13" s="283" t="s">
        <v>10996</v>
      </c>
      <c r="L13" s="594" t="s">
        <v>10996</v>
      </c>
      <c r="M13" s="594" t="s">
        <v>10996</v>
      </c>
      <c r="N13" s="4"/>
      <c r="O13" s="153"/>
      <c r="P13" s="153"/>
      <c r="Q13" s="153"/>
      <c r="R13" s="287"/>
      <c r="S13" s="287"/>
    </row>
    <row r="14" customFormat="false" ht="13.5" hidden="false" customHeight="true" outlineLevel="0" collapsed="false">
      <c r="A14" s="602" t="n">
        <v>1304</v>
      </c>
      <c r="B14" s="450" t="s">
        <v>19717</v>
      </c>
      <c r="C14" s="450" t="n">
        <v>2000</v>
      </c>
      <c r="D14" s="451" t="n">
        <v>36762</v>
      </c>
      <c r="E14" s="450" t="s">
        <v>19718</v>
      </c>
      <c r="F14" s="450" t="s">
        <v>19719</v>
      </c>
      <c r="G14" s="450" t="s">
        <v>1188</v>
      </c>
      <c r="H14" s="450" t="s">
        <v>254</v>
      </c>
      <c r="I14" s="451" t="n">
        <v>38033</v>
      </c>
      <c r="J14" s="452" t="n">
        <v>2</v>
      </c>
      <c r="K14" s="633" t="s">
        <v>47</v>
      </c>
      <c r="L14" s="452" t="s">
        <v>58</v>
      </c>
      <c r="M14" s="455" t="n">
        <f aca="false">I14-D14</f>
        <v>1271</v>
      </c>
      <c r="N14" s="4"/>
      <c r="O14" s="411" t="s">
        <v>151</v>
      </c>
      <c r="P14" s="411"/>
      <c r="Q14" s="411"/>
      <c r="R14" s="411"/>
      <c r="S14" s="411"/>
    </row>
    <row r="15" customFormat="false" ht="14.25" hidden="false" customHeight="true" outlineLevel="0" collapsed="false">
      <c r="A15" s="594" t="n">
        <v>1404</v>
      </c>
      <c r="B15" s="458" t="s">
        <v>19720</v>
      </c>
      <c r="C15" s="458" t="n">
        <v>2001</v>
      </c>
      <c r="D15" s="459" t="n">
        <v>37174</v>
      </c>
      <c r="E15" s="458" t="s">
        <v>19721</v>
      </c>
      <c r="F15" s="458" t="s">
        <v>19722</v>
      </c>
      <c r="G15" s="458" t="s">
        <v>144</v>
      </c>
      <c r="H15" s="458" t="s">
        <v>134</v>
      </c>
      <c r="I15" s="459" t="n">
        <v>38033</v>
      </c>
      <c r="J15" s="460" t="n">
        <v>2</v>
      </c>
      <c r="K15" s="631" t="s">
        <v>42</v>
      </c>
      <c r="L15" s="458" t="s">
        <v>58</v>
      </c>
      <c r="M15" s="463" t="n">
        <f aca="false">I15-D15</f>
        <v>859</v>
      </c>
      <c r="N15" s="4"/>
      <c r="O15" s="411"/>
      <c r="P15" s="411"/>
      <c r="Q15" s="411"/>
      <c r="R15" s="411"/>
      <c r="S15" s="411"/>
    </row>
    <row r="16" customFormat="false" ht="12.75" hidden="false" customHeight="true" outlineLevel="0" collapsed="false">
      <c r="A16" s="602" t="n">
        <v>1504</v>
      </c>
      <c r="B16" s="450" t="s">
        <v>19723</v>
      </c>
      <c r="C16" s="450" t="n">
        <v>2001</v>
      </c>
      <c r="D16" s="451" t="n">
        <v>37071</v>
      </c>
      <c r="E16" s="450" t="s">
        <v>19724</v>
      </c>
      <c r="F16" s="450" t="s">
        <v>1262</v>
      </c>
      <c r="G16" s="450" t="s">
        <v>144</v>
      </c>
      <c r="H16" s="450" t="s">
        <v>19725</v>
      </c>
      <c r="I16" s="451" t="n">
        <v>38033</v>
      </c>
      <c r="J16" s="452" t="n">
        <v>2</v>
      </c>
      <c r="K16" s="633" t="s">
        <v>47</v>
      </c>
      <c r="L16" s="452" t="s">
        <v>58</v>
      </c>
      <c r="M16" s="455" t="n">
        <f aca="false">I16-D16</f>
        <v>962</v>
      </c>
      <c r="N16" s="4"/>
      <c r="O16" s="412" t="s">
        <v>2194</v>
      </c>
      <c r="P16" s="412"/>
      <c r="Q16" s="412"/>
      <c r="R16" s="412"/>
      <c r="S16" s="412"/>
    </row>
    <row r="17" customFormat="false" ht="12.75" hidden="false" customHeight="true" outlineLevel="0" collapsed="false">
      <c r="A17" s="594" t="n">
        <v>1604</v>
      </c>
      <c r="B17" s="458" t="s">
        <v>19726</v>
      </c>
      <c r="C17" s="458" t="n">
        <v>2001</v>
      </c>
      <c r="D17" s="459" t="n">
        <v>37147</v>
      </c>
      <c r="E17" s="458" t="s">
        <v>19727</v>
      </c>
      <c r="F17" s="458" t="s">
        <v>8232</v>
      </c>
      <c r="G17" s="458" t="s">
        <v>144</v>
      </c>
      <c r="H17" s="458" t="s">
        <v>2421</v>
      </c>
      <c r="I17" s="459" t="n">
        <v>38033</v>
      </c>
      <c r="J17" s="460" t="n">
        <v>2</v>
      </c>
      <c r="K17" s="633" t="s">
        <v>47</v>
      </c>
      <c r="L17" s="458" t="s">
        <v>60</v>
      </c>
      <c r="M17" s="463" t="n">
        <f aca="false">I17-D17</f>
        <v>886</v>
      </c>
      <c r="N17" s="4"/>
      <c r="O17" s="413" t="s">
        <v>2198</v>
      </c>
      <c r="P17" s="413"/>
      <c r="Q17" s="413"/>
      <c r="R17" s="413"/>
      <c r="S17" s="413"/>
    </row>
    <row r="18" customFormat="false" ht="12.75" hidden="false" customHeight="true" outlineLevel="0" collapsed="false">
      <c r="A18" s="602" t="n">
        <v>1704</v>
      </c>
      <c r="B18" s="450" t="s">
        <v>19728</v>
      </c>
      <c r="C18" s="450" t="n">
        <v>2000</v>
      </c>
      <c r="D18" s="451" t="n">
        <v>36882</v>
      </c>
      <c r="E18" s="450" t="s">
        <v>19729</v>
      </c>
      <c r="F18" s="450" t="s">
        <v>699</v>
      </c>
      <c r="G18" s="450" t="s">
        <v>144</v>
      </c>
      <c r="H18" s="450" t="s">
        <v>18397</v>
      </c>
      <c r="I18" s="451" t="n">
        <v>38057</v>
      </c>
      <c r="J18" s="452" t="n">
        <v>3</v>
      </c>
      <c r="K18" s="633" t="s">
        <v>47</v>
      </c>
      <c r="L18" s="452" t="s">
        <v>60</v>
      </c>
      <c r="M18" s="455" t="n">
        <f aca="false">I18-D18</f>
        <v>1175</v>
      </c>
      <c r="N18" s="4"/>
      <c r="O18" s="414" t="s">
        <v>2203</v>
      </c>
      <c r="P18" s="414"/>
      <c r="Q18" s="414"/>
      <c r="R18" s="414"/>
      <c r="S18" s="414"/>
    </row>
    <row r="19" customFormat="false" ht="12.75" hidden="false" customHeight="true" outlineLevel="0" collapsed="false">
      <c r="A19" s="594" t="n">
        <v>1804</v>
      </c>
      <c r="B19" s="458" t="s">
        <v>19730</v>
      </c>
      <c r="C19" s="458" t="n">
        <v>2001</v>
      </c>
      <c r="D19" s="459" t="n">
        <v>37181</v>
      </c>
      <c r="E19" s="458" t="s">
        <v>19731</v>
      </c>
      <c r="F19" s="458" t="s">
        <v>19732</v>
      </c>
      <c r="G19" s="458" t="s">
        <v>115</v>
      </c>
      <c r="H19" s="458" t="s">
        <v>1791</v>
      </c>
      <c r="I19" s="459" t="n">
        <v>38057</v>
      </c>
      <c r="J19" s="460" t="n">
        <v>3</v>
      </c>
      <c r="K19" s="633" t="s">
        <v>47</v>
      </c>
      <c r="L19" s="458" t="s">
        <v>58</v>
      </c>
      <c r="M19" s="463" t="n">
        <f aca="false">I19-D19</f>
        <v>876</v>
      </c>
      <c r="N19" s="4"/>
      <c r="O19" s="413" t="s">
        <v>2207</v>
      </c>
      <c r="P19" s="413"/>
      <c r="Q19" s="413"/>
      <c r="R19" s="413"/>
      <c r="S19" s="413"/>
    </row>
    <row r="20" customFormat="false" ht="12.75" hidden="false" customHeight="true" outlineLevel="0" collapsed="false">
      <c r="A20" s="602" t="n">
        <v>1904</v>
      </c>
      <c r="B20" s="450" t="s">
        <v>19733</v>
      </c>
      <c r="C20" s="450" t="n">
        <v>2001</v>
      </c>
      <c r="D20" s="451" t="n">
        <v>37244</v>
      </c>
      <c r="E20" s="450" t="s">
        <v>19734</v>
      </c>
      <c r="F20" s="450" t="s">
        <v>19735</v>
      </c>
      <c r="G20" s="450" t="s">
        <v>144</v>
      </c>
      <c r="H20" s="450" t="s">
        <v>119</v>
      </c>
      <c r="I20" s="451" t="n">
        <v>38058</v>
      </c>
      <c r="J20" s="452" t="n">
        <v>3</v>
      </c>
      <c r="K20" s="632" t="s">
        <v>50</v>
      </c>
      <c r="L20" s="452" t="s">
        <v>60</v>
      </c>
      <c r="M20" s="455" t="n">
        <f aca="false">I20-D20</f>
        <v>814</v>
      </c>
      <c r="N20" s="4"/>
      <c r="O20" s="414" t="s">
        <v>2211</v>
      </c>
      <c r="P20" s="414"/>
      <c r="Q20" s="414"/>
      <c r="R20" s="414"/>
      <c r="S20" s="414"/>
    </row>
    <row r="21" customFormat="false" ht="12.75" hidden="false" customHeight="true" outlineLevel="0" collapsed="false">
      <c r="A21" s="594" t="n">
        <v>2004</v>
      </c>
      <c r="B21" s="458" t="s">
        <v>19736</v>
      </c>
      <c r="C21" s="458" t="n">
        <v>2002</v>
      </c>
      <c r="D21" s="459" t="n">
        <v>37349</v>
      </c>
      <c r="E21" s="458" t="s">
        <v>19737</v>
      </c>
      <c r="F21" s="458" t="s">
        <v>446</v>
      </c>
      <c r="G21" s="458" t="s">
        <v>144</v>
      </c>
      <c r="H21" s="458" t="s">
        <v>223</v>
      </c>
      <c r="I21" s="459" t="n">
        <v>38058</v>
      </c>
      <c r="J21" s="460" t="n">
        <v>3</v>
      </c>
      <c r="K21" s="632" t="s">
        <v>50</v>
      </c>
      <c r="L21" s="458" t="s">
        <v>60</v>
      </c>
      <c r="M21" s="463" t="n">
        <f aca="false">I21-D21</f>
        <v>709</v>
      </c>
      <c r="N21" s="4"/>
      <c r="O21" s="413" t="s">
        <v>2215</v>
      </c>
      <c r="P21" s="413"/>
      <c r="Q21" s="413"/>
      <c r="R21" s="413"/>
      <c r="S21" s="413"/>
    </row>
    <row r="22" customFormat="false" ht="12.75" hidden="false" customHeight="true" outlineLevel="0" collapsed="false">
      <c r="A22" s="602" t="n">
        <v>2104</v>
      </c>
      <c r="B22" s="450" t="s">
        <v>19738</v>
      </c>
      <c r="C22" s="450" t="n">
        <v>2002</v>
      </c>
      <c r="D22" s="451" t="n">
        <v>37349</v>
      </c>
      <c r="E22" s="450" t="s">
        <v>19739</v>
      </c>
      <c r="F22" s="450" t="s">
        <v>446</v>
      </c>
      <c r="G22" s="450" t="s">
        <v>144</v>
      </c>
      <c r="H22" s="450" t="s">
        <v>223</v>
      </c>
      <c r="I22" s="451" t="n">
        <v>38058</v>
      </c>
      <c r="J22" s="452" t="n">
        <v>3</v>
      </c>
      <c r="K22" s="632" t="s">
        <v>50</v>
      </c>
      <c r="L22" s="452" t="s">
        <v>60</v>
      </c>
      <c r="M22" s="455" t="n">
        <f aca="false">I22-D22</f>
        <v>709</v>
      </c>
      <c r="N22" s="4"/>
      <c r="O22" s="414" t="s">
        <v>2220</v>
      </c>
      <c r="P22" s="414"/>
      <c r="Q22" s="414"/>
      <c r="R22" s="414"/>
      <c r="S22" s="414"/>
    </row>
    <row r="23" customFormat="false" ht="12.75" hidden="false" customHeight="true" outlineLevel="0" collapsed="false">
      <c r="A23" s="594" t="n">
        <v>2204</v>
      </c>
      <c r="B23" s="458" t="s">
        <v>19740</v>
      </c>
      <c r="C23" s="458" t="n">
        <v>2000</v>
      </c>
      <c r="D23" s="459" t="n">
        <v>36742</v>
      </c>
      <c r="E23" s="458" t="s">
        <v>19741</v>
      </c>
      <c r="F23" s="458" t="s">
        <v>17849</v>
      </c>
      <c r="G23" s="458" t="s">
        <v>1474</v>
      </c>
      <c r="H23" s="458" t="s">
        <v>12073</v>
      </c>
      <c r="I23" s="459" t="n">
        <v>38069</v>
      </c>
      <c r="J23" s="460" t="n">
        <v>3</v>
      </c>
      <c r="K23" s="632" t="s">
        <v>50</v>
      </c>
      <c r="L23" s="458" t="s">
        <v>60</v>
      </c>
      <c r="M23" s="463" t="n">
        <f aca="false">I23-D23</f>
        <v>1327</v>
      </c>
      <c r="N23" s="4"/>
      <c r="O23" s="413" t="s">
        <v>18107</v>
      </c>
      <c r="P23" s="413"/>
      <c r="Q23" s="413"/>
      <c r="R23" s="413"/>
      <c r="S23" s="413"/>
    </row>
    <row r="24" customFormat="false" ht="12.75" hidden="false" customHeight="true" outlineLevel="0" collapsed="false">
      <c r="A24" s="602" t="n">
        <v>2304</v>
      </c>
      <c r="B24" s="450" t="s">
        <v>19742</v>
      </c>
      <c r="C24" s="450" t="n">
        <v>1996</v>
      </c>
      <c r="D24" s="451" t="n">
        <v>35166</v>
      </c>
      <c r="E24" s="450" t="s">
        <v>19743</v>
      </c>
      <c r="F24" s="450" t="s">
        <v>5851</v>
      </c>
      <c r="G24" s="450" t="s">
        <v>144</v>
      </c>
      <c r="H24" s="450" t="s">
        <v>13028</v>
      </c>
      <c r="I24" s="451" t="n">
        <v>38069</v>
      </c>
      <c r="J24" s="452" t="n">
        <v>3</v>
      </c>
      <c r="K24" s="631" t="s">
        <v>42</v>
      </c>
      <c r="L24" s="452" t="s">
        <v>60</v>
      </c>
      <c r="M24" s="455" t="n">
        <f aca="false">I24-D24</f>
        <v>2903</v>
      </c>
      <c r="N24" s="4"/>
      <c r="O24" s="415" t="s">
        <v>2229</v>
      </c>
      <c r="P24" s="415"/>
      <c r="Q24" s="415"/>
      <c r="R24" s="415"/>
      <c r="S24" s="415"/>
    </row>
    <row r="25" customFormat="false" ht="12.75" hidden="false" customHeight="true" outlineLevel="0" collapsed="false">
      <c r="A25" s="594" t="n">
        <v>2404</v>
      </c>
      <c r="B25" s="458" t="s">
        <v>19744</v>
      </c>
      <c r="C25" s="458" t="n">
        <v>2001</v>
      </c>
      <c r="D25" s="459" t="n">
        <v>37253</v>
      </c>
      <c r="E25" s="458" t="s">
        <v>19745</v>
      </c>
      <c r="F25" s="458" t="s">
        <v>705</v>
      </c>
      <c r="G25" s="458" t="s">
        <v>144</v>
      </c>
      <c r="H25" s="458" t="s">
        <v>134</v>
      </c>
      <c r="I25" s="459" t="n">
        <v>38077</v>
      </c>
      <c r="J25" s="460" t="n">
        <v>3</v>
      </c>
      <c r="K25" s="634" t="s">
        <v>45</v>
      </c>
      <c r="L25" s="458" t="s">
        <v>60</v>
      </c>
      <c r="M25" s="463" t="n">
        <f aca="false">I25-D25</f>
        <v>824</v>
      </c>
      <c r="N25" s="4"/>
      <c r="O25" s="153"/>
      <c r="P25" s="153"/>
      <c r="Q25" s="153"/>
      <c r="R25" s="153"/>
      <c r="S25" s="153"/>
    </row>
    <row r="26" customFormat="false" ht="13.5" hidden="false" customHeight="true" outlineLevel="0" collapsed="false">
      <c r="A26" s="602" t="n">
        <v>2504</v>
      </c>
      <c r="B26" s="450" t="s">
        <v>19746</v>
      </c>
      <c r="C26" s="450" t="n">
        <v>1995</v>
      </c>
      <c r="D26" s="451" t="n">
        <v>34703</v>
      </c>
      <c r="E26" s="450" t="s">
        <v>19747</v>
      </c>
      <c r="F26" s="450" t="s">
        <v>19748</v>
      </c>
      <c r="G26" s="450" t="s">
        <v>1474</v>
      </c>
      <c r="H26" s="450" t="s">
        <v>18397</v>
      </c>
      <c r="I26" s="451" t="n">
        <v>38085</v>
      </c>
      <c r="J26" s="452" t="n">
        <v>4</v>
      </c>
      <c r="K26" s="632" t="s">
        <v>50</v>
      </c>
      <c r="L26" s="452" t="s">
        <v>58</v>
      </c>
      <c r="M26" s="455" t="n">
        <f aca="false">I26-D26</f>
        <v>3382</v>
      </c>
      <c r="N26" s="4"/>
      <c r="O26" s="326" t="s">
        <v>185</v>
      </c>
      <c r="P26" s="326"/>
      <c r="Q26" s="326"/>
      <c r="R26" s="326"/>
      <c r="S26" s="326"/>
    </row>
    <row r="27" customFormat="false" ht="13.5" hidden="false" customHeight="true" outlineLevel="0" collapsed="false">
      <c r="A27" s="594" t="n">
        <v>2604</v>
      </c>
      <c r="B27" s="458" t="s">
        <v>19749</v>
      </c>
      <c r="C27" s="458" t="n">
        <v>2002</v>
      </c>
      <c r="D27" s="459" t="n">
        <v>37362</v>
      </c>
      <c r="E27" s="458" t="s">
        <v>19750</v>
      </c>
      <c r="F27" s="458" t="s">
        <v>19751</v>
      </c>
      <c r="G27" s="458" t="s">
        <v>144</v>
      </c>
      <c r="H27" s="458" t="s">
        <v>134</v>
      </c>
      <c r="I27" s="459" t="n">
        <v>38092</v>
      </c>
      <c r="J27" s="460" t="n">
        <v>4</v>
      </c>
      <c r="K27" s="633" t="s">
        <v>47</v>
      </c>
      <c r="L27" s="458" t="s">
        <v>58</v>
      </c>
      <c r="M27" s="463" t="n">
        <f aca="false">I27-D27</f>
        <v>730</v>
      </c>
      <c r="N27" s="4"/>
      <c r="O27" s="326"/>
      <c r="P27" s="326"/>
      <c r="Q27" s="326"/>
      <c r="R27" s="326"/>
      <c r="S27" s="326"/>
    </row>
    <row r="28" customFormat="false" ht="12.75" hidden="false" customHeight="true" outlineLevel="0" collapsed="false">
      <c r="A28" s="602" t="n">
        <v>2704</v>
      </c>
      <c r="B28" s="450" t="s">
        <v>19752</v>
      </c>
      <c r="C28" s="450" t="n">
        <v>2001</v>
      </c>
      <c r="D28" s="451" t="n">
        <v>36955</v>
      </c>
      <c r="E28" s="450" t="s">
        <v>19753</v>
      </c>
      <c r="F28" s="450" t="s">
        <v>1097</v>
      </c>
      <c r="G28" s="450" t="s">
        <v>144</v>
      </c>
      <c r="H28" s="450" t="s">
        <v>18397</v>
      </c>
      <c r="I28" s="451" t="n">
        <v>38100</v>
      </c>
      <c r="J28" s="452" t="n">
        <v>4</v>
      </c>
      <c r="K28" s="633" t="s">
        <v>47</v>
      </c>
      <c r="L28" s="452" t="s">
        <v>58</v>
      </c>
      <c r="M28" s="455" t="n">
        <f aca="false">I28-D28</f>
        <v>1145</v>
      </c>
      <c r="N28" s="4"/>
      <c r="O28" s="309" t="s">
        <v>39</v>
      </c>
      <c r="P28" s="416" t="s">
        <v>40</v>
      </c>
      <c r="Q28" s="416"/>
      <c r="R28" s="416"/>
      <c r="S28" s="313" t="s">
        <v>41</v>
      </c>
    </row>
    <row r="29" customFormat="false" ht="12.75" hidden="false" customHeight="true" outlineLevel="0" collapsed="false">
      <c r="A29" s="594" t="n">
        <v>2804</v>
      </c>
      <c r="B29" s="458" t="s">
        <v>19754</v>
      </c>
      <c r="C29" s="458" t="n">
        <v>1996</v>
      </c>
      <c r="D29" s="459" t="n">
        <v>35166</v>
      </c>
      <c r="E29" s="458" t="s">
        <v>19755</v>
      </c>
      <c r="F29" s="458" t="s">
        <v>19756</v>
      </c>
      <c r="G29" s="458" t="s">
        <v>144</v>
      </c>
      <c r="H29" s="458" t="s">
        <v>18974</v>
      </c>
      <c r="I29" s="459" t="n">
        <v>38102</v>
      </c>
      <c r="J29" s="460" t="n">
        <v>4</v>
      </c>
      <c r="K29" s="632" t="s">
        <v>50</v>
      </c>
      <c r="L29" s="458" t="s">
        <v>60</v>
      </c>
      <c r="M29" s="463" t="n">
        <f aca="false">I29-D29</f>
        <v>2936</v>
      </c>
      <c r="N29" s="4"/>
      <c r="O29" s="283" t="n">
        <v>1992</v>
      </c>
      <c r="P29" s="283" t="n">
        <f aca="false">COUNTIF($C$2:$C$503,"1992")</f>
        <v>0</v>
      </c>
      <c r="Q29" s="283"/>
      <c r="R29" s="283"/>
      <c r="S29" s="315" t="n">
        <f aca="false">P29/P42</f>
        <v>0</v>
      </c>
    </row>
    <row r="30" customFormat="false" ht="12.75" hidden="false" customHeight="true" outlineLevel="0" collapsed="false">
      <c r="A30" s="602" t="n">
        <v>2904</v>
      </c>
      <c r="B30" s="450" t="s">
        <v>19757</v>
      </c>
      <c r="C30" s="450" t="n">
        <v>2002</v>
      </c>
      <c r="D30" s="451" t="n">
        <v>37442</v>
      </c>
      <c r="E30" s="450" t="s">
        <v>19758</v>
      </c>
      <c r="F30" s="450" t="s">
        <v>379</v>
      </c>
      <c r="G30" s="450" t="s">
        <v>1474</v>
      </c>
      <c r="H30" s="450" t="s">
        <v>18397</v>
      </c>
      <c r="I30" s="451" t="n">
        <v>38103</v>
      </c>
      <c r="J30" s="452" t="n">
        <v>4</v>
      </c>
      <c r="K30" s="633" t="s">
        <v>47</v>
      </c>
      <c r="L30" s="452" t="s">
        <v>60</v>
      </c>
      <c r="M30" s="455" t="n">
        <f aca="false">I30-D30</f>
        <v>661</v>
      </c>
      <c r="N30" s="4"/>
      <c r="O30" s="282" t="n">
        <v>1993</v>
      </c>
      <c r="P30" s="282" t="n">
        <f aca="false">COUNTIF($C$2:$C$503,"1993")</f>
        <v>0</v>
      </c>
      <c r="Q30" s="282"/>
      <c r="R30" s="282"/>
      <c r="S30" s="316" t="n">
        <f aca="false">P30/P42</f>
        <v>0</v>
      </c>
    </row>
    <row r="31" customFormat="false" ht="12.75" hidden="false" customHeight="true" outlineLevel="0" collapsed="false">
      <c r="A31" s="594" t="n">
        <v>3004</v>
      </c>
      <c r="B31" s="458" t="s">
        <v>19759</v>
      </c>
      <c r="C31" s="458" t="n">
        <v>2004</v>
      </c>
      <c r="D31" s="459" t="n">
        <v>38027</v>
      </c>
      <c r="E31" s="458" t="s">
        <v>19760</v>
      </c>
      <c r="F31" s="458" t="s">
        <v>7189</v>
      </c>
      <c r="G31" s="458" t="s">
        <v>144</v>
      </c>
      <c r="H31" s="458" t="s">
        <v>2283</v>
      </c>
      <c r="I31" s="459" t="n">
        <v>38106</v>
      </c>
      <c r="J31" s="460" t="n">
        <v>4</v>
      </c>
      <c r="K31" s="634" t="s">
        <v>45</v>
      </c>
      <c r="L31" s="458" t="s">
        <v>60</v>
      </c>
      <c r="M31" s="463" t="n">
        <f aca="false">I31-D31</f>
        <v>79</v>
      </c>
      <c r="N31" s="4"/>
      <c r="O31" s="283" t="n">
        <v>1994</v>
      </c>
      <c r="P31" s="283" t="n">
        <f aca="false">COUNTIF($C$2:$C$503,"1994")</f>
        <v>0</v>
      </c>
      <c r="Q31" s="283"/>
      <c r="R31" s="283"/>
      <c r="S31" s="315" t="n">
        <f aca="false">P31/P42</f>
        <v>0</v>
      </c>
    </row>
    <row r="32" customFormat="false" ht="12.75" hidden="false" customHeight="true" outlineLevel="0" collapsed="false">
      <c r="A32" s="602" t="n">
        <v>3104</v>
      </c>
      <c r="B32" s="450" t="s">
        <v>19761</v>
      </c>
      <c r="C32" s="450" t="n">
        <v>2000</v>
      </c>
      <c r="D32" s="451" t="n">
        <v>36866</v>
      </c>
      <c r="E32" s="450" t="s">
        <v>19762</v>
      </c>
      <c r="F32" s="450" t="s">
        <v>488</v>
      </c>
      <c r="G32" s="450" t="s">
        <v>1474</v>
      </c>
      <c r="H32" s="450" t="s">
        <v>19763</v>
      </c>
      <c r="I32" s="451" t="n">
        <v>38133</v>
      </c>
      <c r="J32" s="452" t="n">
        <v>5</v>
      </c>
      <c r="K32" s="631" t="s">
        <v>42</v>
      </c>
      <c r="L32" s="452" t="s">
        <v>60</v>
      </c>
      <c r="M32" s="455" t="n">
        <f aca="false">I32-D32</f>
        <v>1267</v>
      </c>
      <c r="N32" s="4"/>
      <c r="O32" s="282" t="n">
        <v>1995</v>
      </c>
      <c r="P32" s="282" t="n">
        <f aca="false">COUNTIF($C$2:$C$503,"1995")</f>
        <v>1</v>
      </c>
      <c r="Q32" s="282"/>
      <c r="R32" s="282"/>
      <c r="S32" s="316" t="n">
        <f aca="false">P32/P42</f>
        <v>0.0119047619047619</v>
      </c>
    </row>
    <row r="33" customFormat="false" ht="12.75" hidden="false" customHeight="true" outlineLevel="0" collapsed="false">
      <c r="A33" s="594" t="n">
        <v>3204</v>
      </c>
      <c r="B33" s="458" t="s">
        <v>19764</v>
      </c>
      <c r="C33" s="458" t="n">
        <v>2002</v>
      </c>
      <c r="D33" s="459" t="n">
        <v>37481</v>
      </c>
      <c r="E33" s="458" t="s">
        <v>19765</v>
      </c>
      <c r="F33" s="458" t="s">
        <v>1324</v>
      </c>
      <c r="G33" s="458" t="s">
        <v>115</v>
      </c>
      <c r="H33" s="458" t="s">
        <v>1791</v>
      </c>
      <c r="I33" s="459" t="n">
        <v>38133</v>
      </c>
      <c r="J33" s="460" t="n">
        <v>5</v>
      </c>
      <c r="K33" s="634" t="s">
        <v>45</v>
      </c>
      <c r="L33" s="458" t="s">
        <v>58</v>
      </c>
      <c r="M33" s="463" t="n">
        <f aca="false">I33-D33</f>
        <v>652</v>
      </c>
      <c r="N33" s="4"/>
      <c r="O33" s="283" t="n">
        <v>1996</v>
      </c>
      <c r="P33" s="283" t="n">
        <f aca="false">COUNTIF($C$2:$C$503,"1996")</f>
        <v>2</v>
      </c>
      <c r="Q33" s="283"/>
      <c r="R33" s="283"/>
      <c r="S33" s="315" t="n">
        <f aca="false">P33/P42</f>
        <v>0.0238095238095238</v>
      </c>
    </row>
    <row r="34" customFormat="false" ht="12.75" hidden="false" customHeight="true" outlineLevel="0" collapsed="false">
      <c r="A34" s="602" t="n">
        <v>3304</v>
      </c>
      <c r="B34" s="450" t="s">
        <v>19766</v>
      </c>
      <c r="C34" s="450" t="n">
        <v>2000</v>
      </c>
      <c r="D34" s="451" t="n">
        <v>36608</v>
      </c>
      <c r="E34" s="450" t="s">
        <v>19767</v>
      </c>
      <c r="F34" s="450" t="s">
        <v>19622</v>
      </c>
      <c r="G34" s="450" t="s">
        <v>1474</v>
      </c>
      <c r="H34" s="450" t="s">
        <v>19763</v>
      </c>
      <c r="I34" s="451" t="n">
        <v>38140</v>
      </c>
      <c r="J34" s="452" t="n">
        <v>6</v>
      </c>
      <c r="K34" s="631" t="s">
        <v>42</v>
      </c>
      <c r="L34" s="452" t="s">
        <v>58</v>
      </c>
      <c r="M34" s="455" t="n">
        <f aca="false">I34-D34</f>
        <v>1532</v>
      </c>
      <c r="N34" s="4"/>
      <c r="O34" s="282" t="n">
        <v>1997</v>
      </c>
      <c r="P34" s="282" t="n">
        <f aca="false">COUNTIF($C$2:$C$503,"1997")</f>
        <v>0</v>
      </c>
      <c r="Q34" s="282"/>
      <c r="R34" s="282"/>
      <c r="S34" s="316" t="n">
        <f aca="false">P34/P42</f>
        <v>0</v>
      </c>
    </row>
    <row r="35" customFormat="false" ht="12.75" hidden="false" customHeight="true" outlineLevel="0" collapsed="false">
      <c r="A35" s="594" t="n">
        <v>3404</v>
      </c>
      <c r="B35" s="458" t="s">
        <v>19768</v>
      </c>
      <c r="C35" s="458" t="n">
        <v>2002</v>
      </c>
      <c r="D35" s="459" t="n">
        <v>37330</v>
      </c>
      <c r="E35" s="458" t="s">
        <v>19769</v>
      </c>
      <c r="F35" s="458" t="s">
        <v>12416</v>
      </c>
      <c r="G35" s="458" t="s">
        <v>144</v>
      </c>
      <c r="H35" s="458" t="s">
        <v>19770</v>
      </c>
      <c r="I35" s="459" t="n">
        <v>38147</v>
      </c>
      <c r="J35" s="460" t="n">
        <v>6</v>
      </c>
      <c r="K35" s="632" t="s">
        <v>50</v>
      </c>
      <c r="L35" s="458" t="s">
        <v>61</v>
      </c>
      <c r="M35" s="463" t="n">
        <f aca="false">I35-D35</f>
        <v>817</v>
      </c>
      <c r="N35" s="4"/>
      <c r="O35" s="283" t="n">
        <v>1998</v>
      </c>
      <c r="P35" s="283" t="n">
        <f aca="false">COUNTIF($C$2:$C$503,"1998")</f>
        <v>3</v>
      </c>
      <c r="Q35" s="283"/>
      <c r="R35" s="283"/>
      <c r="S35" s="315" t="n">
        <f aca="false">P35/P42</f>
        <v>0.0357142857142857</v>
      </c>
    </row>
    <row r="36" customFormat="false" ht="12.75" hidden="false" customHeight="true" outlineLevel="0" collapsed="false">
      <c r="A36" s="602" t="n">
        <v>3504</v>
      </c>
      <c r="B36" s="450" t="s">
        <v>19771</v>
      </c>
      <c r="C36" s="450" t="n">
        <v>2002</v>
      </c>
      <c r="D36" s="451" t="n">
        <v>37351</v>
      </c>
      <c r="E36" s="450" t="s">
        <v>19772</v>
      </c>
      <c r="F36" s="450" t="s">
        <v>19773</v>
      </c>
      <c r="G36" s="450" t="s">
        <v>144</v>
      </c>
      <c r="H36" s="450" t="s">
        <v>19774</v>
      </c>
      <c r="I36" s="451" t="n">
        <v>38147</v>
      </c>
      <c r="J36" s="452" t="n">
        <v>6</v>
      </c>
      <c r="K36" s="631" t="s">
        <v>42</v>
      </c>
      <c r="L36" s="452" t="s">
        <v>61</v>
      </c>
      <c r="M36" s="455" t="n">
        <f aca="false">I36-D36</f>
        <v>796</v>
      </c>
      <c r="N36" s="4"/>
      <c r="O36" s="282" t="n">
        <v>1999</v>
      </c>
      <c r="P36" s="282" t="n">
        <f aca="false">COUNTIF($C$2:$C$503,"1999")</f>
        <v>4</v>
      </c>
      <c r="Q36" s="282"/>
      <c r="R36" s="282"/>
      <c r="S36" s="316" t="n">
        <f aca="false">P36/P42</f>
        <v>0.0476190476190476</v>
      </c>
    </row>
    <row r="37" customFormat="false" ht="15" hidden="false" customHeight="true" outlineLevel="0" collapsed="false">
      <c r="A37" s="594" t="n">
        <v>3604</v>
      </c>
      <c r="B37" s="458" t="s">
        <v>19775</v>
      </c>
      <c r="C37" s="458" t="n">
        <v>2003</v>
      </c>
      <c r="D37" s="459" t="n">
        <v>37873</v>
      </c>
      <c r="E37" s="458" t="s">
        <v>19776</v>
      </c>
      <c r="F37" s="458" t="s">
        <v>18365</v>
      </c>
      <c r="G37" s="458" t="s">
        <v>144</v>
      </c>
      <c r="H37" s="458" t="s">
        <v>19777</v>
      </c>
      <c r="I37" s="459" t="n">
        <v>38147</v>
      </c>
      <c r="J37" s="460" t="n">
        <v>6</v>
      </c>
      <c r="K37" s="632" t="s">
        <v>50</v>
      </c>
      <c r="L37" s="458" t="s">
        <v>60</v>
      </c>
      <c r="M37" s="463" t="n">
        <f aca="false">I37-D37</f>
        <v>274</v>
      </c>
      <c r="N37" s="4"/>
      <c r="O37" s="283" t="n">
        <v>2000</v>
      </c>
      <c r="P37" s="283" t="n">
        <f aca="false">COUNTIF($C$2:$C$503,"2000")</f>
        <v>13</v>
      </c>
      <c r="Q37" s="283"/>
      <c r="R37" s="283"/>
      <c r="S37" s="315" t="n">
        <f aca="false">P37/P42</f>
        <v>0.154761904761905</v>
      </c>
    </row>
    <row r="38" customFormat="false" ht="12.75" hidden="false" customHeight="true" outlineLevel="0" collapsed="false">
      <c r="A38" s="602" t="n">
        <v>3704</v>
      </c>
      <c r="B38" s="450" t="s">
        <v>19778</v>
      </c>
      <c r="C38" s="450" t="n">
        <v>2001</v>
      </c>
      <c r="D38" s="451" t="n">
        <v>37134</v>
      </c>
      <c r="E38" s="450" t="s">
        <v>19779</v>
      </c>
      <c r="F38" s="450" t="s">
        <v>19780</v>
      </c>
      <c r="G38" s="450" t="s">
        <v>144</v>
      </c>
      <c r="H38" s="450" t="s">
        <v>19781</v>
      </c>
      <c r="I38" s="451" t="n">
        <v>38183</v>
      </c>
      <c r="J38" s="452" t="n">
        <v>7</v>
      </c>
      <c r="K38" s="632" t="s">
        <v>50</v>
      </c>
      <c r="L38" s="452" t="s">
        <v>58</v>
      </c>
      <c r="M38" s="455" t="n">
        <f aca="false">I38-D38</f>
        <v>1049</v>
      </c>
      <c r="N38" s="4"/>
      <c r="O38" s="282" t="n">
        <v>2001</v>
      </c>
      <c r="P38" s="282" t="n">
        <f aca="false">COUNTIF($C$2:$C$503,"2001")</f>
        <v>28</v>
      </c>
      <c r="Q38" s="282"/>
      <c r="R38" s="282"/>
      <c r="S38" s="316" t="n">
        <f aca="false">P38/P42</f>
        <v>0.333333333333333</v>
      </c>
    </row>
    <row r="39" customFormat="false" ht="12.75" hidden="false" customHeight="true" outlineLevel="0" collapsed="false">
      <c r="A39" s="594" t="n">
        <v>3804</v>
      </c>
      <c r="B39" s="458" t="s">
        <v>19782</v>
      </c>
      <c r="C39" s="458" t="n">
        <v>2000</v>
      </c>
      <c r="D39" s="459" t="n">
        <v>36847</v>
      </c>
      <c r="E39" s="458" t="s">
        <v>19783</v>
      </c>
      <c r="F39" s="458" t="s">
        <v>699</v>
      </c>
      <c r="G39" s="458" t="s">
        <v>1474</v>
      </c>
      <c r="H39" s="458" t="s">
        <v>19784</v>
      </c>
      <c r="I39" s="459" t="n">
        <v>38183</v>
      </c>
      <c r="J39" s="460" t="n">
        <v>7</v>
      </c>
      <c r="K39" s="632" t="s">
        <v>50</v>
      </c>
      <c r="L39" s="458" t="s">
        <v>60</v>
      </c>
      <c r="M39" s="463" t="n">
        <f aca="false">I39-D39</f>
        <v>1336</v>
      </c>
      <c r="N39" s="4"/>
      <c r="O39" s="283" t="n">
        <v>2002</v>
      </c>
      <c r="P39" s="283" t="n">
        <f aca="false">COUNTIF($C$2:$C$503,"2002")</f>
        <v>18</v>
      </c>
      <c r="Q39" s="283"/>
      <c r="R39" s="283"/>
      <c r="S39" s="315" t="n">
        <f aca="false">P39/P42</f>
        <v>0.214285714285714</v>
      </c>
    </row>
    <row r="40" customFormat="false" ht="12.75" hidden="false" customHeight="true" outlineLevel="0" collapsed="false">
      <c r="A40" s="602" t="n">
        <v>3904</v>
      </c>
      <c r="B40" s="450" t="s">
        <v>19785</v>
      </c>
      <c r="C40" s="450" t="n">
        <v>2000</v>
      </c>
      <c r="D40" s="451" t="n">
        <v>36531</v>
      </c>
      <c r="E40" s="450" t="s">
        <v>19786</v>
      </c>
      <c r="F40" s="450" t="s">
        <v>12176</v>
      </c>
      <c r="G40" s="450" t="s">
        <v>144</v>
      </c>
      <c r="H40" s="450" t="s">
        <v>10110</v>
      </c>
      <c r="I40" s="451" t="n">
        <v>38198</v>
      </c>
      <c r="J40" s="452" t="n">
        <v>7</v>
      </c>
      <c r="K40" s="631" t="s">
        <v>42</v>
      </c>
      <c r="L40" s="452" t="s">
        <v>58</v>
      </c>
      <c r="M40" s="455" t="n">
        <f aca="false">I40-D40</f>
        <v>1667</v>
      </c>
      <c r="N40" s="4"/>
      <c r="O40" s="282" t="n">
        <v>2003</v>
      </c>
      <c r="P40" s="282" t="n">
        <f aca="false">COUNTIF($C$2:$C$503,"2003")</f>
        <v>13</v>
      </c>
      <c r="Q40" s="282"/>
      <c r="R40" s="282"/>
      <c r="S40" s="316" t="n">
        <f aca="false">P40/P42</f>
        <v>0.154761904761905</v>
      </c>
    </row>
    <row r="41" customFormat="false" ht="12.75" hidden="false" customHeight="true" outlineLevel="0" collapsed="false">
      <c r="A41" s="594" t="n">
        <v>4004</v>
      </c>
      <c r="B41" s="458" t="s">
        <v>19787</v>
      </c>
      <c r="C41" s="458" t="n">
        <v>2003</v>
      </c>
      <c r="D41" s="459" t="n">
        <v>37827</v>
      </c>
      <c r="E41" s="458" t="s">
        <v>19788</v>
      </c>
      <c r="F41" s="458" t="s">
        <v>18393</v>
      </c>
      <c r="G41" s="458" t="s">
        <v>125</v>
      </c>
      <c r="H41" s="458" t="s">
        <v>17086</v>
      </c>
      <c r="I41" s="459" t="n">
        <v>38204</v>
      </c>
      <c r="J41" s="460" t="n">
        <v>8</v>
      </c>
      <c r="K41" s="632" t="s">
        <v>50</v>
      </c>
      <c r="L41" s="458" t="s">
        <v>61</v>
      </c>
      <c r="M41" s="463" t="n">
        <f aca="false">I41-D41</f>
        <v>377</v>
      </c>
      <c r="N41" s="4"/>
      <c r="O41" s="283" t="n">
        <v>2004</v>
      </c>
      <c r="P41" s="283" t="n">
        <f aca="false">COUNTIF($C$2:$C$503,"2004")</f>
        <v>2</v>
      </c>
      <c r="Q41" s="283"/>
      <c r="R41" s="283"/>
      <c r="S41" s="315" t="n">
        <f aca="false">P41/P42</f>
        <v>0.0238095238095238</v>
      </c>
    </row>
    <row r="42" customFormat="false" ht="12.75" hidden="false" customHeight="true" outlineLevel="0" collapsed="false">
      <c r="A42" s="602" t="n">
        <v>4104</v>
      </c>
      <c r="B42" s="450" t="s">
        <v>19789</v>
      </c>
      <c r="C42" s="450" t="n">
        <v>2001</v>
      </c>
      <c r="D42" s="451" t="n">
        <v>36963</v>
      </c>
      <c r="E42" s="450" t="s">
        <v>19790</v>
      </c>
      <c r="F42" s="450" t="s">
        <v>19498</v>
      </c>
      <c r="G42" s="450" t="s">
        <v>1188</v>
      </c>
      <c r="H42" s="450" t="s">
        <v>19791</v>
      </c>
      <c r="I42" s="451" t="n">
        <v>38217</v>
      </c>
      <c r="J42" s="452" t="n">
        <v>8</v>
      </c>
      <c r="K42" s="634" t="s">
        <v>45</v>
      </c>
      <c r="L42" s="452" t="s">
        <v>58</v>
      </c>
      <c r="M42" s="455" t="n">
        <f aca="false">I42-D42</f>
        <v>1254</v>
      </c>
      <c r="N42" s="4"/>
      <c r="O42" s="323" t="s">
        <v>56</v>
      </c>
      <c r="P42" s="418" t="n">
        <f aca="false">SUM(P29:R41)</f>
        <v>84</v>
      </c>
      <c r="Q42" s="418"/>
      <c r="R42" s="418"/>
      <c r="S42" s="325" t="n">
        <f aca="false">SUM(S29:S41)</f>
        <v>1</v>
      </c>
    </row>
    <row r="43" customFormat="false" ht="15" hidden="false" customHeight="true" outlineLevel="0" collapsed="false">
      <c r="A43" s="594" t="n">
        <v>4204</v>
      </c>
      <c r="B43" s="458" t="s">
        <v>19792</v>
      </c>
      <c r="C43" s="458" t="n">
        <v>2000</v>
      </c>
      <c r="D43" s="459" t="n">
        <v>36693</v>
      </c>
      <c r="E43" s="458" t="s">
        <v>19793</v>
      </c>
      <c r="F43" s="458" t="s">
        <v>19794</v>
      </c>
      <c r="G43" s="458" t="s">
        <v>1474</v>
      </c>
      <c r="H43" s="458" t="s">
        <v>119</v>
      </c>
      <c r="I43" s="459" t="n">
        <v>38217</v>
      </c>
      <c r="J43" s="460" t="n">
        <v>8</v>
      </c>
      <c r="K43" s="633" t="s">
        <v>47</v>
      </c>
      <c r="L43" s="458" t="s">
        <v>60</v>
      </c>
      <c r="M43" s="463" t="n">
        <f aca="false">I43-D43</f>
        <v>1524</v>
      </c>
      <c r="N43" s="4"/>
      <c r="O43" s="153"/>
      <c r="P43" s="153"/>
      <c r="Q43" s="153"/>
      <c r="R43" s="153"/>
      <c r="S43" s="153"/>
    </row>
    <row r="44" customFormat="false" ht="15" hidden="false" customHeight="true" outlineLevel="0" collapsed="false">
      <c r="A44" s="602" t="n">
        <v>4304</v>
      </c>
      <c r="B44" s="450" t="s">
        <v>19795</v>
      </c>
      <c r="C44" s="450" t="n">
        <v>1999</v>
      </c>
      <c r="D44" s="451" t="n">
        <v>36509</v>
      </c>
      <c r="E44" s="450" t="s">
        <v>19796</v>
      </c>
      <c r="F44" s="450" t="s">
        <v>1262</v>
      </c>
      <c r="G44" s="450" t="s">
        <v>144</v>
      </c>
      <c r="H44" s="450" t="s">
        <v>1791</v>
      </c>
      <c r="I44" s="451" t="n">
        <v>38217</v>
      </c>
      <c r="J44" s="452" t="n">
        <v>8</v>
      </c>
      <c r="K44" s="633" t="s">
        <v>47</v>
      </c>
      <c r="L44" s="452" t="s">
        <v>58</v>
      </c>
      <c r="M44" s="455" t="n">
        <f aca="false">I44-D44</f>
        <v>1708</v>
      </c>
      <c r="N44" s="4"/>
      <c r="O44" s="326" t="s">
        <v>272</v>
      </c>
      <c r="P44" s="326"/>
      <c r="Q44" s="326"/>
      <c r="R44" s="326"/>
      <c r="S44" s="326"/>
    </row>
    <row r="45" customFormat="false" ht="13.5" hidden="false" customHeight="true" outlineLevel="0" collapsed="false">
      <c r="A45" s="594" t="n">
        <v>4404</v>
      </c>
      <c r="B45" s="458" t="s">
        <v>19797</v>
      </c>
      <c r="C45" s="458" t="n">
        <v>1999</v>
      </c>
      <c r="D45" s="459" t="n">
        <v>36509</v>
      </c>
      <c r="E45" s="458" t="s">
        <v>19798</v>
      </c>
      <c r="F45" s="458" t="s">
        <v>1262</v>
      </c>
      <c r="G45" s="458" t="s">
        <v>144</v>
      </c>
      <c r="H45" s="458" t="s">
        <v>1791</v>
      </c>
      <c r="I45" s="459" t="n">
        <v>38217</v>
      </c>
      <c r="J45" s="460" t="n">
        <v>8</v>
      </c>
      <c r="K45" s="633" t="s">
        <v>47</v>
      </c>
      <c r="L45" s="458" t="s">
        <v>58</v>
      </c>
      <c r="M45" s="463" t="n">
        <f aca="false">I45-D45</f>
        <v>1708</v>
      </c>
      <c r="N45" s="4"/>
      <c r="O45" s="326"/>
      <c r="P45" s="326"/>
      <c r="Q45" s="326"/>
      <c r="R45" s="326"/>
      <c r="S45" s="326"/>
    </row>
    <row r="46" customFormat="false" ht="12.75" hidden="false" customHeight="true" outlineLevel="0" collapsed="false">
      <c r="A46" s="602" t="n">
        <v>4504</v>
      </c>
      <c r="B46" s="450" t="s">
        <v>19799</v>
      </c>
      <c r="C46" s="450" t="n">
        <v>1998</v>
      </c>
      <c r="D46" s="451" t="n">
        <v>36124</v>
      </c>
      <c r="E46" s="450" t="s">
        <v>19800</v>
      </c>
      <c r="F46" s="450" t="s">
        <v>19576</v>
      </c>
      <c r="G46" s="450" t="s">
        <v>144</v>
      </c>
      <c r="H46" s="450" t="s">
        <v>16875</v>
      </c>
      <c r="I46" s="451" t="n">
        <v>38217</v>
      </c>
      <c r="J46" s="452" t="n">
        <v>8</v>
      </c>
      <c r="K46" s="632" t="s">
        <v>50</v>
      </c>
      <c r="L46" s="452" t="s">
        <v>60</v>
      </c>
      <c r="M46" s="455" t="n">
        <f aca="false">I46-D46</f>
        <v>2093</v>
      </c>
      <c r="N46" s="4"/>
      <c r="O46" s="309" t="s">
        <v>100</v>
      </c>
      <c r="P46" s="416" t="s">
        <v>40</v>
      </c>
      <c r="Q46" s="416"/>
      <c r="R46" s="416"/>
      <c r="S46" s="313" t="s">
        <v>41</v>
      </c>
    </row>
    <row r="47" customFormat="false" ht="12.75" hidden="false" customHeight="true" outlineLevel="0" collapsed="false">
      <c r="A47" s="594" t="n">
        <v>4604</v>
      </c>
      <c r="B47" s="458" t="s">
        <v>19801</v>
      </c>
      <c r="C47" s="458" t="n">
        <v>2001</v>
      </c>
      <c r="D47" s="459" t="n">
        <v>37148</v>
      </c>
      <c r="E47" s="458" t="s">
        <v>19802</v>
      </c>
      <c r="F47" s="458" t="s">
        <v>19803</v>
      </c>
      <c r="G47" s="458" t="s">
        <v>125</v>
      </c>
      <c r="H47" s="458" t="s">
        <v>391</v>
      </c>
      <c r="I47" s="459" t="n">
        <v>38217</v>
      </c>
      <c r="J47" s="460" t="n">
        <v>8</v>
      </c>
      <c r="K47" s="632" t="s">
        <v>50</v>
      </c>
      <c r="L47" s="458" t="s">
        <v>61</v>
      </c>
      <c r="M47" s="463" t="n">
        <f aca="false">I47-D47</f>
        <v>1069</v>
      </c>
      <c r="N47" s="4"/>
      <c r="O47" s="314" t="s">
        <v>63</v>
      </c>
      <c r="P47" s="314" t="n">
        <f aca="false">COUNTIF($J$2:$J$476,"1")</f>
        <v>8</v>
      </c>
      <c r="Q47" s="314"/>
      <c r="R47" s="314"/>
      <c r="S47" s="469" t="n">
        <f aca="false">(P47/P59)</f>
        <v>0.0952380952380952</v>
      </c>
    </row>
    <row r="48" customFormat="false" ht="12.75" hidden="false" customHeight="true" outlineLevel="0" collapsed="false">
      <c r="A48" s="602" t="n">
        <v>4704</v>
      </c>
      <c r="B48" s="450" t="s">
        <v>19804</v>
      </c>
      <c r="C48" s="450" t="n">
        <v>2000</v>
      </c>
      <c r="D48" s="451" t="n">
        <v>36882</v>
      </c>
      <c r="E48" s="450" t="s">
        <v>19805</v>
      </c>
      <c r="F48" s="450" t="s">
        <v>780</v>
      </c>
      <c r="G48" s="450" t="s">
        <v>144</v>
      </c>
      <c r="H48" s="450" t="s">
        <v>18397</v>
      </c>
      <c r="I48" s="451" t="n">
        <v>38219</v>
      </c>
      <c r="J48" s="452" t="n">
        <v>8</v>
      </c>
      <c r="K48" s="632" t="s">
        <v>50</v>
      </c>
      <c r="L48" s="452" t="s">
        <v>60</v>
      </c>
      <c r="M48" s="455" t="n">
        <f aca="false">I48-D48</f>
        <v>1337</v>
      </c>
      <c r="N48" s="4"/>
      <c r="O48" s="282" t="s">
        <v>64</v>
      </c>
      <c r="P48" s="282" t="n">
        <f aca="false">COUNTIF($J$2:$J$476,"2")</f>
        <v>7</v>
      </c>
      <c r="Q48" s="282"/>
      <c r="R48" s="282"/>
      <c r="S48" s="316" t="n">
        <f aca="false">(P48/P59)</f>
        <v>0.0833333333333333</v>
      </c>
    </row>
    <row r="49" customFormat="false" ht="12.75" hidden="false" customHeight="true" outlineLevel="0" collapsed="false">
      <c r="A49" s="594" t="n">
        <v>4804</v>
      </c>
      <c r="B49" s="458" t="s">
        <v>19806</v>
      </c>
      <c r="C49" s="458" t="n">
        <v>2003</v>
      </c>
      <c r="D49" s="459" t="n">
        <v>37875</v>
      </c>
      <c r="E49" s="458" t="s">
        <v>19807</v>
      </c>
      <c r="F49" s="458" t="s">
        <v>365</v>
      </c>
      <c r="G49" s="458" t="s">
        <v>144</v>
      </c>
      <c r="H49" s="458" t="s">
        <v>134</v>
      </c>
      <c r="I49" s="459" t="n">
        <v>38219</v>
      </c>
      <c r="J49" s="460" t="n">
        <v>8</v>
      </c>
      <c r="K49" s="634" t="s">
        <v>45</v>
      </c>
      <c r="L49" s="458" t="s">
        <v>58</v>
      </c>
      <c r="M49" s="463" t="n">
        <f aca="false">I49-D49</f>
        <v>344</v>
      </c>
      <c r="N49" s="4"/>
      <c r="O49" s="283" t="s">
        <v>66</v>
      </c>
      <c r="P49" s="283" t="n">
        <f aca="false">COUNTIF($J$2:$J$476,"3")</f>
        <v>8</v>
      </c>
      <c r="Q49" s="283"/>
      <c r="R49" s="283"/>
      <c r="S49" s="315" t="n">
        <f aca="false">(P49/P59)</f>
        <v>0.0952380952380952</v>
      </c>
      <c r="T49" s="153"/>
    </row>
    <row r="50" customFormat="false" ht="12.75" hidden="false" customHeight="true" outlineLevel="0" collapsed="false">
      <c r="A50" s="602" t="n">
        <v>4904</v>
      </c>
      <c r="B50" s="450" t="s">
        <v>19808</v>
      </c>
      <c r="C50" s="450" t="n">
        <v>1999</v>
      </c>
      <c r="D50" s="451" t="n">
        <v>36311</v>
      </c>
      <c r="E50" s="450" t="s">
        <v>19809</v>
      </c>
      <c r="F50" s="450" t="s">
        <v>9647</v>
      </c>
      <c r="G50" s="450" t="s">
        <v>144</v>
      </c>
      <c r="H50" s="450" t="s">
        <v>1109</v>
      </c>
      <c r="I50" s="451" t="n">
        <v>38225</v>
      </c>
      <c r="J50" s="452" t="n">
        <v>8</v>
      </c>
      <c r="K50" s="632" t="s">
        <v>50</v>
      </c>
      <c r="L50" s="452" t="s">
        <v>58</v>
      </c>
      <c r="M50" s="455" t="n">
        <f aca="false">I50-D50</f>
        <v>1914</v>
      </c>
      <c r="N50" s="4"/>
      <c r="O50" s="282" t="s">
        <v>67</v>
      </c>
      <c r="P50" s="282" t="n">
        <f aca="false">COUNTIF($J$2:$J$476,"4")</f>
        <v>6</v>
      </c>
      <c r="Q50" s="282"/>
      <c r="R50" s="282"/>
      <c r="S50" s="316" t="n">
        <f aca="false">(P50/P59)</f>
        <v>0.0714285714285714</v>
      </c>
      <c r="T50" s="153"/>
    </row>
    <row r="51" customFormat="false" ht="12.75" hidden="false" customHeight="true" outlineLevel="0" collapsed="false">
      <c r="A51" s="594" t="n">
        <v>5004</v>
      </c>
      <c r="B51" s="458" t="s">
        <v>19810</v>
      </c>
      <c r="C51" s="458" t="n">
        <v>2001</v>
      </c>
      <c r="D51" s="459" t="n">
        <v>37104</v>
      </c>
      <c r="E51" s="458" t="s">
        <v>19811</v>
      </c>
      <c r="F51" s="458" t="s">
        <v>19812</v>
      </c>
      <c r="G51" s="458" t="s">
        <v>1474</v>
      </c>
      <c r="H51" s="458" t="s">
        <v>14391</v>
      </c>
      <c r="I51" s="459" t="n">
        <v>38230</v>
      </c>
      <c r="J51" s="460" t="n">
        <v>8</v>
      </c>
      <c r="K51" s="631" t="s">
        <v>42</v>
      </c>
      <c r="L51" s="458" t="s">
        <v>58</v>
      </c>
      <c r="M51" s="463" t="n">
        <f aca="false">I51-D51</f>
        <v>1126</v>
      </c>
      <c r="N51" s="4"/>
      <c r="O51" s="283" t="s">
        <v>68</v>
      </c>
      <c r="P51" s="283" t="n">
        <f aca="false">COUNTIF($J$2:$J$476,"5")</f>
        <v>2</v>
      </c>
      <c r="Q51" s="283"/>
      <c r="R51" s="283"/>
      <c r="S51" s="315" t="n">
        <f aca="false">(P51/P59)</f>
        <v>0.0238095238095238</v>
      </c>
      <c r="T51" s="153"/>
    </row>
    <row r="52" customFormat="false" ht="12.75" hidden="false" customHeight="true" outlineLevel="0" collapsed="false">
      <c r="A52" s="602" t="n">
        <v>5104</v>
      </c>
      <c r="B52" s="450" t="s">
        <v>19813</v>
      </c>
      <c r="C52" s="450" t="n">
        <v>2001</v>
      </c>
      <c r="D52" s="451" t="n">
        <v>37111</v>
      </c>
      <c r="E52" s="450" t="s">
        <v>19814</v>
      </c>
      <c r="F52" s="450" t="s">
        <v>19812</v>
      </c>
      <c r="G52" s="450" t="s">
        <v>1474</v>
      </c>
      <c r="H52" s="450" t="s">
        <v>14391</v>
      </c>
      <c r="I52" s="451" t="n">
        <v>38230</v>
      </c>
      <c r="J52" s="452" t="n">
        <v>8</v>
      </c>
      <c r="K52" s="631" t="s">
        <v>42</v>
      </c>
      <c r="L52" s="452" t="s">
        <v>58</v>
      </c>
      <c r="M52" s="455" t="n">
        <f aca="false">I52-D52</f>
        <v>1119</v>
      </c>
      <c r="N52" s="4"/>
      <c r="O52" s="282" t="s">
        <v>70</v>
      </c>
      <c r="P52" s="282" t="n">
        <f aca="false">COUNTIF($J$2:$J$476,"6")</f>
        <v>4</v>
      </c>
      <c r="Q52" s="282"/>
      <c r="R52" s="282"/>
      <c r="S52" s="316" t="n">
        <f aca="false">(P52/P59)</f>
        <v>0.0476190476190476</v>
      </c>
      <c r="T52" s="153"/>
    </row>
    <row r="53" customFormat="false" ht="12.75" hidden="false" customHeight="true" outlineLevel="0" collapsed="false">
      <c r="A53" s="594" t="n">
        <v>5204</v>
      </c>
      <c r="B53" s="458" t="s">
        <v>19815</v>
      </c>
      <c r="C53" s="458" t="n">
        <v>2001</v>
      </c>
      <c r="D53" s="459" t="n">
        <v>37253</v>
      </c>
      <c r="E53" s="458" t="s">
        <v>19816</v>
      </c>
      <c r="F53" s="458" t="s">
        <v>488</v>
      </c>
      <c r="G53" s="458" t="s">
        <v>144</v>
      </c>
      <c r="H53" s="458" t="s">
        <v>254</v>
      </c>
      <c r="I53" s="459" t="n">
        <v>38251</v>
      </c>
      <c r="J53" s="460" t="n">
        <v>9</v>
      </c>
      <c r="K53" s="631" t="s">
        <v>42</v>
      </c>
      <c r="L53" s="458" t="s">
        <v>60</v>
      </c>
      <c r="M53" s="463" t="n">
        <f aca="false">I53-D53</f>
        <v>998</v>
      </c>
      <c r="N53" s="4"/>
      <c r="O53" s="283" t="s">
        <v>72</v>
      </c>
      <c r="P53" s="283" t="n">
        <f aca="false">COUNTIF($J$2:$J$476,"7")</f>
        <v>3</v>
      </c>
      <c r="Q53" s="283"/>
      <c r="R53" s="283"/>
      <c r="S53" s="315" t="n">
        <f aca="false">(P53/P59)</f>
        <v>0.0357142857142857</v>
      </c>
      <c r="T53" s="153"/>
    </row>
    <row r="54" customFormat="false" ht="12.75" hidden="false" customHeight="true" outlineLevel="0" collapsed="false">
      <c r="A54" s="602" t="n">
        <v>5304</v>
      </c>
      <c r="B54" s="450" t="s">
        <v>19817</v>
      </c>
      <c r="C54" s="450" t="n">
        <v>2003</v>
      </c>
      <c r="D54" s="451" t="n">
        <v>37882</v>
      </c>
      <c r="E54" s="450" t="s">
        <v>19818</v>
      </c>
      <c r="F54" s="450" t="s">
        <v>10822</v>
      </c>
      <c r="G54" s="450" t="s">
        <v>144</v>
      </c>
      <c r="H54" s="450" t="s">
        <v>184</v>
      </c>
      <c r="I54" s="451" t="n">
        <v>38251</v>
      </c>
      <c r="J54" s="452" t="n">
        <v>9</v>
      </c>
      <c r="K54" s="632" t="s">
        <v>50</v>
      </c>
      <c r="L54" s="452" t="s">
        <v>60</v>
      </c>
      <c r="M54" s="455" t="n">
        <f aca="false">I54-D54</f>
        <v>369</v>
      </c>
      <c r="N54" s="4"/>
      <c r="O54" s="282" t="s">
        <v>74</v>
      </c>
      <c r="P54" s="282" t="n">
        <f aca="false">COUNTIF($J$2:$J$476,"8")</f>
        <v>12</v>
      </c>
      <c r="Q54" s="282"/>
      <c r="R54" s="282"/>
      <c r="S54" s="316" t="n">
        <f aca="false">(P54/P59)</f>
        <v>0.142857142857143</v>
      </c>
      <c r="T54" s="153"/>
    </row>
    <row r="55" customFormat="false" ht="12.75" hidden="false" customHeight="true" outlineLevel="0" collapsed="false">
      <c r="A55" s="594" t="n">
        <v>5404</v>
      </c>
      <c r="B55" s="458" t="s">
        <v>19819</v>
      </c>
      <c r="C55" s="458" t="n">
        <v>2002</v>
      </c>
      <c r="D55" s="459" t="n">
        <v>37420</v>
      </c>
      <c r="E55" s="458" t="s">
        <v>19820</v>
      </c>
      <c r="F55" s="458" t="s">
        <v>4623</v>
      </c>
      <c r="G55" s="458" t="s">
        <v>144</v>
      </c>
      <c r="H55" s="458" t="s">
        <v>10110</v>
      </c>
      <c r="I55" s="459" t="n">
        <v>38251</v>
      </c>
      <c r="J55" s="460" t="n">
        <v>9</v>
      </c>
      <c r="K55" s="631" t="s">
        <v>42</v>
      </c>
      <c r="L55" s="458" t="s">
        <v>60</v>
      </c>
      <c r="M55" s="463" t="n">
        <f aca="false">I55-D55</f>
        <v>831</v>
      </c>
      <c r="N55" s="4"/>
      <c r="O55" s="283" t="s">
        <v>76</v>
      </c>
      <c r="P55" s="283" t="n">
        <f aca="false">COUNTIF($J$2:$J$476,"9")</f>
        <v>4</v>
      </c>
      <c r="Q55" s="283"/>
      <c r="R55" s="283"/>
      <c r="S55" s="315" t="n">
        <f aca="false">(P55/P59)</f>
        <v>0.0476190476190476</v>
      </c>
      <c r="T55" s="153"/>
    </row>
    <row r="56" customFormat="false" ht="12.75" hidden="false" customHeight="true" outlineLevel="0" collapsed="false">
      <c r="A56" s="602" t="n">
        <v>5504</v>
      </c>
      <c r="B56" s="450" t="s">
        <v>19821</v>
      </c>
      <c r="C56" s="450" t="n">
        <v>2001</v>
      </c>
      <c r="D56" s="451" t="n">
        <v>37104</v>
      </c>
      <c r="E56" s="450" t="s">
        <v>19822</v>
      </c>
      <c r="F56" s="450" t="s">
        <v>19812</v>
      </c>
      <c r="G56" s="450" t="s">
        <v>144</v>
      </c>
      <c r="H56" s="450" t="s">
        <v>14391</v>
      </c>
      <c r="I56" s="451" t="n">
        <v>38265</v>
      </c>
      <c r="J56" s="452" t="n">
        <v>9</v>
      </c>
      <c r="K56" s="633" t="s">
        <v>47</v>
      </c>
      <c r="L56" s="452" t="s">
        <v>58</v>
      </c>
      <c r="M56" s="455" t="n">
        <f aca="false">I56-D56</f>
        <v>1161</v>
      </c>
      <c r="N56" s="4"/>
      <c r="O56" s="282" t="s">
        <v>78</v>
      </c>
      <c r="P56" s="282" t="n">
        <f aca="false">COUNTIF($J$2:$J$476,"10")</f>
        <v>10</v>
      </c>
      <c r="Q56" s="282"/>
      <c r="R56" s="282"/>
      <c r="S56" s="316" t="n">
        <f aca="false">(P56/P59)</f>
        <v>0.119047619047619</v>
      </c>
      <c r="T56" s="153"/>
    </row>
    <row r="57" customFormat="false" ht="12.75" hidden="false" customHeight="true" outlineLevel="0" collapsed="false">
      <c r="A57" s="594" t="n">
        <v>5604</v>
      </c>
      <c r="B57" s="458" t="s">
        <v>19823</v>
      </c>
      <c r="C57" s="458" t="n">
        <v>2003</v>
      </c>
      <c r="D57" s="459" t="n">
        <v>37669</v>
      </c>
      <c r="E57" s="458" t="s">
        <v>19824</v>
      </c>
      <c r="F57" s="458" t="s">
        <v>176</v>
      </c>
      <c r="G57" s="458" t="s">
        <v>1474</v>
      </c>
      <c r="H57" s="458" t="s">
        <v>119</v>
      </c>
      <c r="I57" s="459" t="n">
        <v>38265</v>
      </c>
      <c r="J57" s="460" t="n">
        <v>10</v>
      </c>
      <c r="K57" s="633" t="s">
        <v>47</v>
      </c>
      <c r="L57" s="458" t="s">
        <v>60</v>
      </c>
      <c r="M57" s="463" t="n">
        <f aca="false">I57-D57</f>
        <v>596</v>
      </c>
      <c r="N57" s="4"/>
      <c r="O57" s="283" t="s">
        <v>80</v>
      </c>
      <c r="P57" s="283" t="n">
        <f aca="false">COUNTIF($J$2:$J$476,"11")</f>
        <v>4</v>
      </c>
      <c r="Q57" s="283"/>
      <c r="R57" s="283"/>
      <c r="S57" s="315" t="n">
        <f aca="false">(P57/P59)</f>
        <v>0.0476190476190476</v>
      </c>
      <c r="T57" s="153"/>
    </row>
    <row r="58" customFormat="false" ht="12.75" hidden="false" customHeight="true" outlineLevel="0" collapsed="false">
      <c r="A58" s="602" t="n">
        <v>5704</v>
      </c>
      <c r="B58" s="450" t="s">
        <v>19825</v>
      </c>
      <c r="C58" s="450" t="n">
        <v>2001</v>
      </c>
      <c r="D58" s="451" t="n">
        <v>37104</v>
      </c>
      <c r="E58" s="450" t="s">
        <v>19826</v>
      </c>
      <c r="F58" s="450" t="s">
        <v>19812</v>
      </c>
      <c r="G58" s="450" t="s">
        <v>144</v>
      </c>
      <c r="H58" s="450" t="s">
        <v>14391</v>
      </c>
      <c r="I58" s="451" t="n">
        <v>38265</v>
      </c>
      <c r="J58" s="452" t="n">
        <v>10</v>
      </c>
      <c r="K58" s="633" t="s">
        <v>47</v>
      </c>
      <c r="L58" s="452" t="s">
        <v>58</v>
      </c>
      <c r="M58" s="455" t="n">
        <f aca="false">I58-D58</f>
        <v>1161</v>
      </c>
      <c r="N58" s="4"/>
      <c r="O58" s="336" t="s">
        <v>82</v>
      </c>
      <c r="P58" s="282" t="n">
        <f aca="false">COUNTIF($J$2:$J$476,"12")</f>
        <v>16</v>
      </c>
      <c r="Q58" s="282"/>
      <c r="R58" s="282"/>
      <c r="S58" s="470" t="n">
        <f aca="false">(P58/P59)</f>
        <v>0.19047619047619</v>
      </c>
      <c r="T58" s="153"/>
    </row>
    <row r="59" customFormat="false" ht="12.75" hidden="false" customHeight="true" outlineLevel="0" collapsed="false">
      <c r="A59" s="594" t="n">
        <v>5804</v>
      </c>
      <c r="B59" s="458" t="s">
        <v>19827</v>
      </c>
      <c r="C59" s="458" t="n">
        <v>2001</v>
      </c>
      <c r="D59" s="459" t="n">
        <v>37167</v>
      </c>
      <c r="E59" s="458" t="s">
        <v>19828</v>
      </c>
      <c r="F59" s="458" t="s">
        <v>8232</v>
      </c>
      <c r="G59" s="458" t="s">
        <v>1474</v>
      </c>
      <c r="H59" s="458" t="s">
        <v>19343</v>
      </c>
      <c r="I59" s="459" t="n">
        <v>38271</v>
      </c>
      <c r="J59" s="460" t="n">
        <v>10</v>
      </c>
      <c r="K59" s="632" t="s">
        <v>50</v>
      </c>
      <c r="L59" s="458" t="s">
        <v>60</v>
      </c>
      <c r="M59" s="463" t="n">
        <f aca="false">I59-D59</f>
        <v>1104</v>
      </c>
      <c r="N59" s="4"/>
      <c r="O59" s="323" t="s">
        <v>54</v>
      </c>
      <c r="P59" s="418" t="n">
        <f aca="false">SUM(P47:R58)</f>
        <v>84</v>
      </c>
      <c r="Q59" s="418"/>
      <c r="R59" s="418"/>
      <c r="S59" s="325" t="n">
        <f aca="false">SUM(S47:S58)</f>
        <v>1</v>
      </c>
      <c r="T59" s="153"/>
    </row>
    <row r="60" customFormat="false" ht="12.75" hidden="false" customHeight="true" outlineLevel="0" collapsed="false">
      <c r="A60" s="602" t="n">
        <v>5904</v>
      </c>
      <c r="B60" s="450" t="s">
        <v>19829</v>
      </c>
      <c r="C60" s="450" t="n">
        <v>2001</v>
      </c>
      <c r="D60" s="451" t="n">
        <v>37111</v>
      </c>
      <c r="E60" s="450" t="s">
        <v>19830</v>
      </c>
      <c r="F60" s="450" t="s">
        <v>19812</v>
      </c>
      <c r="G60" s="450" t="s">
        <v>144</v>
      </c>
      <c r="H60" s="450" t="s">
        <v>14391</v>
      </c>
      <c r="I60" s="451" t="n">
        <v>38274</v>
      </c>
      <c r="J60" s="452" t="n">
        <v>10</v>
      </c>
      <c r="K60" s="633" t="s">
        <v>47</v>
      </c>
      <c r="L60" s="452" t="s">
        <v>58</v>
      </c>
      <c r="M60" s="455" t="n">
        <f aca="false">I60-D60</f>
        <v>1163</v>
      </c>
      <c r="N60" s="4"/>
      <c r="O60" s="153"/>
      <c r="P60" s="153"/>
      <c r="Q60" s="153"/>
      <c r="R60" s="153"/>
      <c r="S60" s="153"/>
      <c r="T60" s="153"/>
    </row>
    <row r="61" customFormat="false" ht="13.5" hidden="false" customHeight="true" outlineLevel="0" collapsed="false">
      <c r="A61" s="594" t="n">
        <v>6004</v>
      </c>
      <c r="B61" s="458" t="s">
        <v>19831</v>
      </c>
      <c r="C61" s="458" t="n">
        <v>2001</v>
      </c>
      <c r="D61" s="459" t="n">
        <v>37111</v>
      </c>
      <c r="E61" s="458" t="s">
        <v>19832</v>
      </c>
      <c r="F61" s="458" t="s">
        <v>19812</v>
      </c>
      <c r="G61" s="458" t="s">
        <v>144</v>
      </c>
      <c r="H61" s="458" t="s">
        <v>14391</v>
      </c>
      <c r="I61" s="459" t="n">
        <v>38274</v>
      </c>
      <c r="J61" s="460" t="n">
        <v>10</v>
      </c>
      <c r="K61" s="633" t="s">
        <v>47</v>
      </c>
      <c r="L61" s="458" t="s">
        <v>58</v>
      </c>
      <c r="M61" s="463" t="n">
        <f aca="false">I61-D61</f>
        <v>1163</v>
      </c>
      <c r="N61" s="4"/>
      <c r="O61" s="339" t="s">
        <v>335</v>
      </c>
      <c r="P61" s="339"/>
      <c r="Q61" s="339"/>
      <c r="R61" s="339"/>
      <c r="S61" s="339"/>
      <c r="T61" s="339"/>
    </row>
    <row r="62" customFormat="false" ht="12.75" hidden="false" customHeight="true" outlineLevel="0" collapsed="false">
      <c r="A62" s="602" t="n">
        <v>6104</v>
      </c>
      <c r="B62" s="450" t="s">
        <v>19833</v>
      </c>
      <c r="C62" s="450" t="n">
        <v>2002</v>
      </c>
      <c r="D62" s="451" t="n">
        <v>37362</v>
      </c>
      <c r="E62" s="450" t="s">
        <v>19834</v>
      </c>
      <c r="F62" s="450" t="s">
        <v>19835</v>
      </c>
      <c r="G62" s="450" t="s">
        <v>125</v>
      </c>
      <c r="H62" s="450" t="s">
        <v>6480</v>
      </c>
      <c r="I62" s="451" t="n">
        <v>38274</v>
      </c>
      <c r="J62" s="452" t="n">
        <v>10</v>
      </c>
      <c r="K62" s="634" t="s">
        <v>45</v>
      </c>
      <c r="L62" s="452" t="s">
        <v>61</v>
      </c>
      <c r="M62" s="455" t="n">
        <f aca="false">I62-D62</f>
        <v>912</v>
      </c>
      <c r="N62" s="4"/>
      <c r="O62" s="339"/>
      <c r="P62" s="339"/>
      <c r="Q62" s="339"/>
      <c r="R62" s="339"/>
      <c r="S62" s="339"/>
      <c r="T62" s="339"/>
    </row>
    <row r="63" customFormat="false" ht="12.75" hidden="false" customHeight="true" outlineLevel="0" collapsed="false">
      <c r="A63" s="594" t="n">
        <v>6204</v>
      </c>
      <c r="B63" s="458" t="s">
        <v>19836</v>
      </c>
      <c r="C63" s="458" t="n">
        <v>2001</v>
      </c>
      <c r="D63" s="459" t="n">
        <v>37190</v>
      </c>
      <c r="E63" s="458" t="s">
        <v>19837</v>
      </c>
      <c r="F63" s="458" t="s">
        <v>19838</v>
      </c>
      <c r="G63" s="458" t="s">
        <v>125</v>
      </c>
      <c r="H63" s="458" t="s">
        <v>19839</v>
      </c>
      <c r="I63" s="459" t="n">
        <v>38274</v>
      </c>
      <c r="J63" s="460" t="n">
        <v>10</v>
      </c>
      <c r="K63" s="632" t="s">
        <v>50</v>
      </c>
      <c r="L63" s="458" t="s">
        <v>61</v>
      </c>
      <c r="M63" s="463" t="n">
        <f aca="false">I63-D63</f>
        <v>1084</v>
      </c>
      <c r="N63" s="4"/>
      <c r="O63" s="340" t="s">
        <v>38</v>
      </c>
      <c r="P63" s="340"/>
      <c r="Q63" s="340"/>
      <c r="R63" s="340"/>
      <c r="S63" s="341" t="s">
        <v>343</v>
      </c>
      <c r="T63" s="342" t="s">
        <v>41</v>
      </c>
    </row>
    <row r="64" customFormat="false" ht="12.75" hidden="false" customHeight="true" outlineLevel="0" collapsed="false">
      <c r="A64" s="602" t="n">
        <v>6304</v>
      </c>
      <c r="B64" s="450" t="s">
        <v>19840</v>
      </c>
      <c r="C64" s="450" t="n">
        <v>2001</v>
      </c>
      <c r="D64" s="451" t="n">
        <v>37048</v>
      </c>
      <c r="E64" s="450" t="s">
        <v>19841</v>
      </c>
      <c r="F64" s="450" t="s">
        <v>18365</v>
      </c>
      <c r="G64" s="450" t="s">
        <v>125</v>
      </c>
      <c r="H64" s="450" t="s">
        <v>19842</v>
      </c>
      <c r="I64" s="451" t="n">
        <v>38278</v>
      </c>
      <c r="J64" s="452" t="n">
        <v>10</v>
      </c>
      <c r="K64" s="632" t="s">
        <v>50</v>
      </c>
      <c r="L64" s="452" t="s">
        <v>60</v>
      </c>
      <c r="M64" s="455" t="n">
        <f aca="false">I64-D64</f>
        <v>1230</v>
      </c>
      <c r="N64" s="4"/>
      <c r="O64" s="471" t="s">
        <v>42</v>
      </c>
      <c r="P64" s="471"/>
      <c r="Q64" s="471"/>
      <c r="R64" s="471"/>
      <c r="S64" s="471" t="n">
        <f aca="false">COUNTIF($K$1:$K$494,"I - Extremamente tóxico")</f>
        <v>14</v>
      </c>
      <c r="T64" s="472" t="n">
        <f aca="false">(S64/S76)</f>
        <v>0.166666666666667</v>
      </c>
    </row>
    <row r="65" customFormat="false" ht="12.75" hidden="false" customHeight="true" outlineLevel="0" collapsed="false">
      <c r="A65" s="594" t="n">
        <v>6404</v>
      </c>
      <c r="B65" s="458" t="s">
        <v>19843</v>
      </c>
      <c r="C65" s="458" t="n">
        <v>2003</v>
      </c>
      <c r="D65" s="459" t="n">
        <v>37900</v>
      </c>
      <c r="E65" s="458" t="s">
        <v>19844</v>
      </c>
      <c r="F65" s="458" t="s">
        <v>1827</v>
      </c>
      <c r="G65" s="458" t="s">
        <v>144</v>
      </c>
      <c r="H65" s="458" t="s">
        <v>1791</v>
      </c>
      <c r="I65" s="459" t="n">
        <v>38285</v>
      </c>
      <c r="J65" s="460" t="n">
        <v>10</v>
      </c>
      <c r="K65" s="633" t="s">
        <v>47</v>
      </c>
      <c r="L65" s="458" t="s">
        <v>60</v>
      </c>
      <c r="M65" s="463" t="n">
        <f aca="false">I65-D65</f>
        <v>385</v>
      </c>
      <c r="N65" s="4"/>
      <c r="O65" s="345" t="s">
        <v>43</v>
      </c>
      <c r="P65" s="345"/>
      <c r="Q65" s="345"/>
      <c r="R65" s="345"/>
      <c r="S65" s="345" t="n">
        <f aca="false">COUNTIF($K$2:$K$476,"Categoria 1 - Produto Extremamente Tóxico")</f>
        <v>0</v>
      </c>
      <c r="T65" s="473" t="n">
        <f aca="false">(S65/S76)</f>
        <v>0</v>
      </c>
    </row>
    <row r="66" customFormat="false" ht="12.75" hidden="false" customHeight="true" outlineLevel="0" collapsed="false">
      <c r="A66" s="602" t="n">
        <v>6504</v>
      </c>
      <c r="B66" s="450" t="s">
        <v>19845</v>
      </c>
      <c r="C66" s="450" t="n">
        <v>2004</v>
      </c>
      <c r="D66" s="451" t="n">
        <v>38168</v>
      </c>
      <c r="E66" s="450" t="s">
        <v>19846</v>
      </c>
      <c r="F66" s="450" t="s">
        <v>1277</v>
      </c>
      <c r="G66" s="450" t="s">
        <v>144</v>
      </c>
      <c r="H66" s="450" t="s">
        <v>1791</v>
      </c>
      <c r="I66" s="451" t="n">
        <v>38285</v>
      </c>
      <c r="J66" s="452" t="n">
        <v>10</v>
      </c>
      <c r="K66" s="634" t="s">
        <v>45</v>
      </c>
      <c r="L66" s="452" t="s">
        <v>58</v>
      </c>
      <c r="M66" s="455" t="n">
        <f aca="false">I66-D66</f>
        <v>117</v>
      </c>
      <c r="N66" s="4"/>
      <c r="O66" s="345" t="s">
        <v>44</v>
      </c>
      <c r="P66" s="345"/>
      <c r="Q66" s="345"/>
      <c r="R66" s="345"/>
      <c r="S66" s="345" t="n">
        <f aca="false">COUNTIF($K$2:$K$476,"Categoria 2 - Produto Altamente Tóxico")</f>
        <v>0</v>
      </c>
      <c r="T66" s="473" t="n">
        <f aca="false">(S66/S76)</f>
        <v>0</v>
      </c>
    </row>
    <row r="67" customFormat="false" ht="12.75" hidden="false" customHeight="true" outlineLevel="0" collapsed="false">
      <c r="A67" s="594" t="n">
        <v>6604</v>
      </c>
      <c r="B67" s="458" t="s">
        <v>19847</v>
      </c>
      <c r="C67" s="458" t="n">
        <v>2001</v>
      </c>
      <c r="D67" s="459" t="n">
        <v>37160</v>
      </c>
      <c r="E67" s="458" t="s">
        <v>19848</v>
      </c>
      <c r="F67" s="458" t="s">
        <v>8232</v>
      </c>
      <c r="G67" s="458" t="s">
        <v>1474</v>
      </c>
      <c r="H67" s="458" t="s">
        <v>184</v>
      </c>
      <c r="I67" s="459" t="n">
        <v>38294</v>
      </c>
      <c r="J67" s="460" t="n">
        <v>11</v>
      </c>
      <c r="K67" s="632" t="s">
        <v>50</v>
      </c>
      <c r="L67" s="458" t="s">
        <v>60</v>
      </c>
      <c r="M67" s="463" t="n">
        <f aca="false">I67-D67</f>
        <v>1134</v>
      </c>
      <c r="N67" s="4"/>
      <c r="O67" s="349" t="s">
        <v>45</v>
      </c>
      <c r="P67" s="349"/>
      <c r="Q67" s="349"/>
      <c r="R67" s="349"/>
      <c r="S67" s="349" t="n">
        <f aca="false">COUNTIF($K$2:$K$476,"II - Altamente tóxico")</f>
        <v>15</v>
      </c>
      <c r="T67" s="474" t="n">
        <f aca="false">(S67/S76)</f>
        <v>0.178571428571429</v>
      </c>
    </row>
    <row r="68" customFormat="false" ht="12.75" hidden="false" customHeight="true" outlineLevel="0" collapsed="false">
      <c r="A68" s="602" t="n">
        <v>6704</v>
      </c>
      <c r="B68" s="450" t="s">
        <v>19849</v>
      </c>
      <c r="C68" s="450" t="n">
        <v>2003</v>
      </c>
      <c r="D68" s="451" t="n">
        <v>37900</v>
      </c>
      <c r="E68" s="450" t="s">
        <v>19850</v>
      </c>
      <c r="F68" s="450" t="s">
        <v>699</v>
      </c>
      <c r="G68" s="450" t="s">
        <v>144</v>
      </c>
      <c r="H68" s="450" t="s">
        <v>285</v>
      </c>
      <c r="I68" s="451" t="n">
        <v>38294</v>
      </c>
      <c r="J68" s="452" t="n">
        <v>11</v>
      </c>
      <c r="K68" s="632" t="s">
        <v>50</v>
      </c>
      <c r="L68" s="452" t="s">
        <v>60</v>
      </c>
      <c r="M68" s="455" t="n">
        <f aca="false">I68-D68</f>
        <v>394</v>
      </c>
      <c r="N68" s="4"/>
      <c r="O68" s="349" t="s">
        <v>46</v>
      </c>
      <c r="P68" s="349"/>
      <c r="Q68" s="349"/>
      <c r="R68" s="349"/>
      <c r="S68" s="349" t="n">
        <f aca="false">COUNTIF($K$2:$K$476,"Categoria 3 - Produto Moderadamente Tóxico")</f>
        <v>0</v>
      </c>
      <c r="T68" s="474" t="n">
        <f aca="false">(S68/S76)</f>
        <v>0</v>
      </c>
    </row>
    <row r="69" customFormat="false" ht="12.75" hidden="false" customHeight="true" outlineLevel="0" collapsed="false">
      <c r="A69" s="594" t="n">
        <v>6804</v>
      </c>
      <c r="B69" s="458" t="s">
        <v>19851</v>
      </c>
      <c r="C69" s="458" t="n">
        <v>1999</v>
      </c>
      <c r="D69" s="459" t="n">
        <v>36495</v>
      </c>
      <c r="E69" s="458" t="s">
        <v>19852</v>
      </c>
      <c r="F69" s="458" t="s">
        <v>5620</v>
      </c>
      <c r="G69" s="458" t="s">
        <v>144</v>
      </c>
      <c r="H69" s="458" t="s">
        <v>18397</v>
      </c>
      <c r="I69" s="459" t="n">
        <v>38294</v>
      </c>
      <c r="J69" s="460" t="n">
        <v>11</v>
      </c>
      <c r="K69" s="633" t="s">
        <v>47</v>
      </c>
      <c r="L69" s="458" t="s">
        <v>58</v>
      </c>
      <c r="M69" s="463" t="n">
        <f aca="false">I69-D69</f>
        <v>1799</v>
      </c>
      <c r="N69" s="4"/>
      <c r="O69" s="351" t="s">
        <v>47</v>
      </c>
      <c r="P69" s="351"/>
      <c r="Q69" s="351"/>
      <c r="R69" s="351"/>
      <c r="S69" s="351" t="n">
        <f aca="false">COUNTIF($K$2:$K$476,"III - Medianamente tóxico")</f>
        <v>32</v>
      </c>
      <c r="T69" s="475" t="n">
        <f aca="false">(S69/S76)</f>
        <v>0.380952380952381</v>
      </c>
    </row>
    <row r="70" customFormat="false" ht="12.75" hidden="false" customHeight="true" outlineLevel="0" collapsed="false">
      <c r="A70" s="602" t="n">
        <v>6904</v>
      </c>
      <c r="B70" s="450" t="s">
        <v>19853</v>
      </c>
      <c r="C70" s="450" t="n">
        <v>1998</v>
      </c>
      <c r="D70" s="451" t="n">
        <v>36110</v>
      </c>
      <c r="E70" s="450" t="s">
        <v>19854</v>
      </c>
      <c r="F70" s="450" t="s">
        <v>19526</v>
      </c>
      <c r="G70" s="450" t="s">
        <v>144</v>
      </c>
      <c r="H70" s="450" t="s">
        <v>134</v>
      </c>
      <c r="I70" s="451" t="n">
        <v>38294</v>
      </c>
      <c r="J70" s="452" t="n">
        <v>11</v>
      </c>
      <c r="K70" s="634" t="s">
        <v>45</v>
      </c>
      <c r="L70" s="452" t="s">
        <v>58</v>
      </c>
      <c r="M70" s="455" t="n">
        <f aca="false">I70-D70</f>
        <v>2184</v>
      </c>
      <c r="N70" s="4"/>
      <c r="O70" s="351" t="s">
        <v>48</v>
      </c>
      <c r="P70" s="351"/>
      <c r="Q70" s="351"/>
      <c r="R70" s="351"/>
      <c r="S70" s="351" t="n">
        <f aca="false">COUNTIF($K$2:$K$476,"Categoria 4 - Produto Pouco Tóxico")</f>
        <v>0</v>
      </c>
      <c r="T70" s="475" t="n">
        <f aca="false">(S70/S76)</f>
        <v>0</v>
      </c>
    </row>
    <row r="71" customFormat="false" ht="12.75" hidden="false" customHeight="true" outlineLevel="0" collapsed="false">
      <c r="A71" s="594" t="n">
        <v>7004</v>
      </c>
      <c r="B71" s="458" t="s">
        <v>19855</v>
      </c>
      <c r="C71" s="458" t="n">
        <v>2000</v>
      </c>
      <c r="D71" s="459" t="n">
        <v>36851</v>
      </c>
      <c r="E71" s="458" t="s">
        <v>19856</v>
      </c>
      <c r="F71" s="458" t="s">
        <v>699</v>
      </c>
      <c r="G71" s="458" t="s">
        <v>144</v>
      </c>
      <c r="H71" s="458" t="s">
        <v>10110</v>
      </c>
      <c r="I71" s="459" t="n">
        <v>38324</v>
      </c>
      <c r="J71" s="460" t="n">
        <v>12</v>
      </c>
      <c r="K71" s="634" t="s">
        <v>45</v>
      </c>
      <c r="L71" s="458" t="s">
        <v>60</v>
      </c>
      <c r="M71" s="463" t="n">
        <f aca="false">I71-D71</f>
        <v>1473</v>
      </c>
      <c r="N71" s="4"/>
      <c r="O71" s="351" t="s">
        <v>49</v>
      </c>
      <c r="P71" s="351"/>
      <c r="Q71" s="351"/>
      <c r="R71" s="351"/>
      <c r="S71" s="351" t="n">
        <f aca="false">COUNTIF($K$2:$K$476,"Categoria 5 - Produto Improvável de Causar Dano Agudo")</f>
        <v>0</v>
      </c>
      <c r="T71" s="475" t="n">
        <f aca="false">(S71/S76)</f>
        <v>0</v>
      </c>
    </row>
    <row r="72" customFormat="false" ht="12.75" hidden="false" customHeight="true" outlineLevel="0" collapsed="false">
      <c r="A72" s="602" t="n">
        <v>7104</v>
      </c>
      <c r="B72" s="450" t="s">
        <v>19857</v>
      </c>
      <c r="C72" s="450" t="n">
        <v>2003</v>
      </c>
      <c r="D72" s="451" t="n">
        <v>37922</v>
      </c>
      <c r="E72" s="450" t="s">
        <v>19858</v>
      </c>
      <c r="F72" s="450" t="s">
        <v>113</v>
      </c>
      <c r="G72" s="450" t="s">
        <v>1474</v>
      </c>
      <c r="H72" s="450" t="s">
        <v>14391</v>
      </c>
      <c r="I72" s="451" t="n">
        <v>38324</v>
      </c>
      <c r="J72" s="452" t="n">
        <v>12</v>
      </c>
      <c r="K72" s="633" t="s">
        <v>47</v>
      </c>
      <c r="L72" s="452" t="s">
        <v>60</v>
      </c>
      <c r="M72" s="455" t="n">
        <f aca="false">I72-D72</f>
        <v>402</v>
      </c>
      <c r="N72" s="4"/>
      <c r="O72" s="353" t="s">
        <v>50</v>
      </c>
      <c r="P72" s="353"/>
      <c r="Q72" s="353"/>
      <c r="R72" s="353"/>
      <c r="S72" s="353" t="n">
        <f aca="false">COUNTIF($K$2:$K$476,"IV - Pouco tóxico")</f>
        <v>23</v>
      </c>
      <c r="T72" s="476" t="n">
        <f aca="false">(S72/S76)</f>
        <v>0.273809523809524</v>
      </c>
    </row>
    <row r="73" customFormat="false" ht="12.75" hidden="false" customHeight="true" outlineLevel="0" collapsed="false">
      <c r="A73" s="594" t="n">
        <v>7204</v>
      </c>
      <c r="B73" s="458" t="s">
        <v>19859</v>
      </c>
      <c r="C73" s="458" t="n">
        <v>2002</v>
      </c>
      <c r="D73" s="459" t="n">
        <v>37442</v>
      </c>
      <c r="E73" s="458" t="s">
        <v>19860</v>
      </c>
      <c r="F73" s="458" t="s">
        <v>365</v>
      </c>
      <c r="G73" s="458" t="s">
        <v>1474</v>
      </c>
      <c r="H73" s="458" t="s">
        <v>18397</v>
      </c>
      <c r="I73" s="459" t="n">
        <v>38327</v>
      </c>
      <c r="J73" s="460" t="n">
        <v>12</v>
      </c>
      <c r="K73" s="633" t="s">
        <v>47</v>
      </c>
      <c r="L73" s="458" t="s">
        <v>58</v>
      </c>
      <c r="M73" s="463" t="n">
        <f aca="false">I73-D73</f>
        <v>885</v>
      </c>
      <c r="N73" s="4"/>
      <c r="O73" s="353" t="s">
        <v>51</v>
      </c>
      <c r="P73" s="353"/>
      <c r="Q73" s="353"/>
      <c r="R73" s="353"/>
      <c r="S73" s="353" t="n">
        <f aca="false">COUNTIF($K$2:$K$476,"Não classificado - Produto não classificado")</f>
        <v>0</v>
      </c>
      <c r="T73" s="476" t="n">
        <f aca="false">(S73/S76)</f>
        <v>0</v>
      </c>
    </row>
    <row r="74" customFormat="false" ht="12.75" hidden="false" customHeight="true" outlineLevel="0" collapsed="false">
      <c r="A74" s="602" t="n">
        <v>7304</v>
      </c>
      <c r="B74" s="450" t="s">
        <v>19861</v>
      </c>
      <c r="C74" s="450" t="n">
        <v>2002</v>
      </c>
      <c r="D74" s="451" t="n">
        <v>37399</v>
      </c>
      <c r="E74" s="450" t="s">
        <v>19862</v>
      </c>
      <c r="F74" s="450" t="s">
        <v>19863</v>
      </c>
      <c r="G74" s="450" t="s">
        <v>1474</v>
      </c>
      <c r="H74" s="450" t="s">
        <v>1791</v>
      </c>
      <c r="I74" s="451" t="n">
        <v>38328</v>
      </c>
      <c r="J74" s="452" t="n">
        <v>12</v>
      </c>
      <c r="K74" s="633" t="s">
        <v>47</v>
      </c>
      <c r="L74" s="452" t="s">
        <v>60</v>
      </c>
      <c r="M74" s="455" t="n">
        <f aca="false">I74-D74</f>
        <v>929</v>
      </c>
      <c r="N74" s="4"/>
      <c r="O74" s="353" t="s">
        <v>2407</v>
      </c>
      <c r="P74" s="353"/>
      <c r="Q74" s="353"/>
      <c r="R74" s="353"/>
      <c r="S74" s="353" t="n">
        <f aca="false">COUNTIF($K$2:$K$476,"Não determinada devido à natureza do produto (Inimigos naturais)")</f>
        <v>0</v>
      </c>
      <c r="T74" s="476" t="n">
        <f aca="false">(S74/S76)</f>
        <v>0</v>
      </c>
    </row>
    <row r="75" customFormat="false" ht="12.75" hidden="false" customHeight="true" outlineLevel="0" collapsed="false">
      <c r="A75" s="594" t="n">
        <v>7404</v>
      </c>
      <c r="B75" s="458" t="s">
        <v>19864</v>
      </c>
      <c r="C75" s="458" t="n">
        <v>2003</v>
      </c>
      <c r="D75" s="459" t="n">
        <v>37693</v>
      </c>
      <c r="E75" s="458" t="s">
        <v>16998</v>
      </c>
      <c r="F75" s="458" t="s">
        <v>780</v>
      </c>
      <c r="G75" s="458" t="s">
        <v>1474</v>
      </c>
      <c r="H75" s="458" t="s">
        <v>1791</v>
      </c>
      <c r="I75" s="459" t="n">
        <v>38328</v>
      </c>
      <c r="J75" s="460" t="n">
        <v>12</v>
      </c>
      <c r="K75" s="634" t="s">
        <v>45</v>
      </c>
      <c r="L75" s="458" t="s">
        <v>60</v>
      </c>
      <c r="M75" s="463" t="n">
        <f aca="false">I75-D75</f>
        <v>635</v>
      </c>
      <c r="N75" s="4"/>
      <c r="O75" s="478" t="s">
        <v>53</v>
      </c>
      <c r="P75" s="478"/>
      <c r="Q75" s="478"/>
      <c r="R75" s="478"/>
      <c r="S75" s="478" t="n">
        <f aca="false">COUNTIF($K$2:$K$476,"O perfil toxicológico foi considerado equivalente ao produto técnico de referência")</f>
        <v>0</v>
      </c>
      <c r="T75" s="479" t="n">
        <f aca="false">(S75/S76)</f>
        <v>0</v>
      </c>
    </row>
    <row r="76" customFormat="false" ht="15" hidden="false" customHeight="true" outlineLevel="0" collapsed="false">
      <c r="A76" s="602" t="n">
        <v>7504</v>
      </c>
      <c r="B76" s="450" t="s">
        <v>19865</v>
      </c>
      <c r="C76" s="450" t="n">
        <v>2002</v>
      </c>
      <c r="D76" s="451" t="n">
        <v>37399</v>
      </c>
      <c r="E76" s="450" t="s">
        <v>19866</v>
      </c>
      <c r="F76" s="450" t="s">
        <v>19863</v>
      </c>
      <c r="G76" s="450" t="s">
        <v>8</v>
      </c>
      <c r="H76" s="450" t="s">
        <v>1791</v>
      </c>
      <c r="I76" s="451" t="n">
        <v>38329</v>
      </c>
      <c r="J76" s="452" t="n">
        <v>12</v>
      </c>
      <c r="K76" s="633" t="s">
        <v>47</v>
      </c>
      <c r="L76" s="452" t="s">
        <v>60</v>
      </c>
      <c r="M76" s="455" t="n">
        <f aca="false">I76-D76</f>
        <v>930</v>
      </c>
      <c r="N76" s="4"/>
      <c r="O76" s="419" t="s">
        <v>54</v>
      </c>
      <c r="P76" s="419"/>
      <c r="Q76" s="419"/>
      <c r="R76" s="419"/>
      <c r="S76" s="363" t="n">
        <f aca="false">SUM(S64:S75)</f>
        <v>84</v>
      </c>
      <c r="T76" s="364" t="n">
        <f aca="false">(S76/S76)</f>
        <v>1</v>
      </c>
    </row>
    <row r="77" customFormat="false" ht="12.75" hidden="false" customHeight="true" outlineLevel="0" collapsed="false">
      <c r="A77" s="594" t="n">
        <v>7604</v>
      </c>
      <c r="B77" s="458" t="s">
        <v>19867</v>
      </c>
      <c r="C77" s="458" t="n">
        <v>1998</v>
      </c>
      <c r="D77" s="459" t="n">
        <v>35950</v>
      </c>
      <c r="E77" s="458" t="s">
        <v>19868</v>
      </c>
      <c r="F77" s="458" t="s">
        <v>699</v>
      </c>
      <c r="G77" s="458" t="s">
        <v>144</v>
      </c>
      <c r="H77" s="458" t="s">
        <v>285</v>
      </c>
      <c r="I77" s="459" t="n">
        <v>38329</v>
      </c>
      <c r="J77" s="460" t="n">
        <v>12</v>
      </c>
      <c r="K77" s="634" t="s">
        <v>45</v>
      </c>
      <c r="L77" s="458" t="s">
        <v>60</v>
      </c>
      <c r="M77" s="463" t="n">
        <f aca="false">I77-D77</f>
        <v>2379</v>
      </c>
      <c r="N77" s="4"/>
      <c r="O77" s="153"/>
      <c r="P77" s="153"/>
      <c r="Q77" s="153"/>
      <c r="R77" s="153"/>
      <c r="S77" s="153"/>
      <c r="T77" s="153"/>
    </row>
    <row r="78" customFormat="false" ht="13.5" hidden="false" customHeight="true" outlineLevel="0" collapsed="false">
      <c r="A78" s="602" t="n">
        <v>7704</v>
      </c>
      <c r="B78" s="450" t="s">
        <v>19869</v>
      </c>
      <c r="C78" s="450" t="n">
        <v>2001</v>
      </c>
      <c r="D78" s="451" t="n">
        <v>37161</v>
      </c>
      <c r="E78" s="450" t="s">
        <v>19870</v>
      </c>
      <c r="F78" s="450" t="s">
        <v>3101</v>
      </c>
      <c r="G78" s="450" t="s">
        <v>1474</v>
      </c>
      <c r="H78" s="450" t="s">
        <v>3339</v>
      </c>
      <c r="I78" s="451" t="n">
        <v>38337</v>
      </c>
      <c r="J78" s="452" t="n">
        <v>12</v>
      </c>
      <c r="K78" s="633" t="s">
        <v>47</v>
      </c>
      <c r="L78" s="452" t="s">
        <v>61</v>
      </c>
      <c r="M78" s="455" t="n">
        <f aca="false">I78-D78</f>
        <v>1176</v>
      </c>
      <c r="N78" s="4"/>
      <c r="O78" s="339" t="s">
        <v>102</v>
      </c>
      <c r="P78" s="339"/>
      <c r="Q78" s="339"/>
      <c r="R78" s="339"/>
      <c r="S78" s="339"/>
      <c r="T78" s="339"/>
    </row>
    <row r="79" customFormat="false" ht="12.75" hidden="false" customHeight="true" outlineLevel="0" collapsed="false">
      <c r="A79" s="594" t="n">
        <v>7804</v>
      </c>
      <c r="B79" s="458" t="s">
        <v>19871</v>
      </c>
      <c r="C79" s="458" t="n">
        <v>2001</v>
      </c>
      <c r="D79" s="459" t="n">
        <v>37217</v>
      </c>
      <c r="E79" s="458" t="s">
        <v>19872</v>
      </c>
      <c r="F79" s="458" t="s">
        <v>19873</v>
      </c>
      <c r="G79" s="458" t="s">
        <v>1188</v>
      </c>
      <c r="H79" s="458" t="s">
        <v>19791</v>
      </c>
      <c r="I79" s="459" t="n">
        <v>38338</v>
      </c>
      <c r="J79" s="460" t="n">
        <v>12</v>
      </c>
      <c r="K79" s="633" t="s">
        <v>47</v>
      </c>
      <c r="L79" s="458" t="s">
        <v>61</v>
      </c>
      <c r="M79" s="463" t="n">
        <f aca="false">I79-D79</f>
        <v>1121</v>
      </c>
      <c r="N79" s="4"/>
      <c r="O79" s="339"/>
      <c r="P79" s="339"/>
      <c r="Q79" s="339"/>
      <c r="R79" s="339"/>
      <c r="S79" s="339"/>
      <c r="T79" s="339"/>
    </row>
    <row r="80" customFormat="false" ht="12.75" hidden="false" customHeight="true" outlineLevel="0" collapsed="false">
      <c r="A80" s="602" t="n">
        <v>7904</v>
      </c>
      <c r="B80" s="450" t="s">
        <v>19874</v>
      </c>
      <c r="C80" s="450" t="n">
        <v>2003</v>
      </c>
      <c r="D80" s="451" t="n">
        <v>37900</v>
      </c>
      <c r="E80" s="450" t="s">
        <v>19875</v>
      </c>
      <c r="F80" s="450" t="s">
        <v>1710</v>
      </c>
      <c r="G80" s="450" t="s">
        <v>144</v>
      </c>
      <c r="H80" s="450" t="s">
        <v>18974</v>
      </c>
      <c r="I80" s="451" t="n">
        <v>38338</v>
      </c>
      <c r="J80" s="452" t="n">
        <v>12</v>
      </c>
      <c r="K80" s="634" t="s">
        <v>45</v>
      </c>
      <c r="L80" s="452" t="s">
        <v>58</v>
      </c>
      <c r="M80" s="455" t="n">
        <f aca="false">I80-D80</f>
        <v>438</v>
      </c>
      <c r="N80" s="4"/>
      <c r="O80" s="340" t="s">
        <v>38</v>
      </c>
      <c r="P80" s="340"/>
      <c r="Q80" s="340"/>
      <c r="R80" s="340"/>
      <c r="S80" s="374" t="s">
        <v>343</v>
      </c>
      <c r="T80" s="375" t="s">
        <v>41</v>
      </c>
    </row>
    <row r="81" customFormat="false" ht="13.5" hidden="false" customHeight="true" outlineLevel="0" collapsed="false">
      <c r="A81" s="594" t="n">
        <v>8004</v>
      </c>
      <c r="B81" s="458" t="s">
        <v>19876</v>
      </c>
      <c r="C81" s="458" t="n">
        <v>2002</v>
      </c>
      <c r="D81" s="459" t="n">
        <v>37510</v>
      </c>
      <c r="E81" s="458" t="s">
        <v>19877</v>
      </c>
      <c r="F81" s="458" t="s">
        <v>19873</v>
      </c>
      <c r="G81" s="458" t="s">
        <v>115</v>
      </c>
      <c r="H81" s="458" t="s">
        <v>19878</v>
      </c>
      <c r="I81" s="459" t="n">
        <v>38343</v>
      </c>
      <c r="J81" s="460" t="n">
        <v>12</v>
      </c>
      <c r="K81" s="631" t="s">
        <v>42</v>
      </c>
      <c r="L81" s="458" t="s">
        <v>60</v>
      </c>
      <c r="M81" s="463" t="n">
        <f aca="false">I81-D81</f>
        <v>833</v>
      </c>
      <c r="N81" s="4"/>
      <c r="O81" s="480" t="s">
        <v>57</v>
      </c>
      <c r="P81" s="480"/>
      <c r="Q81" s="480"/>
      <c r="R81" s="480"/>
      <c r="S81" s="536" t="n">
        <f aca="false">COUNTIF($L$2:$L$476,"I - Produto altamente perigoso ao meio ambiente")</f>
        <v>0</v>
      </c>
      <c r="T81" s="377" t="n">
        <f aca="false">(S81/S85)</f>
        <v>0</v>
      </c>
    </row>
    <row r="82" customFormat="false" ht="13.5" hidden="false" customHeight="true" outlineLevel="0" collapsed="false">
      <c r="A82" s="602" t="n">
        <v>8104</v>
      </c>
      <c r="B82" s="450" t="s">
        <v>19879</v>
      </c>
      <c r="C82" s="450" t="n">
        <v>2000</v>
      </c>
      <c r="D82" s="451" t="n">
        <v>36762</v>
      </c>
      <c r="E82" s="450" t="s">
        <v>19880</v>
      </c>
      <c r="F82" s="450" t="s">
        <v>19881</v>
      </c>
      <c r="G82" s="450" t="s">
        <v>115</v>
      </c>
      <c r="H82" s="450" t="s">
        <v>254</v>
      </c>
      <c r="I82" s="451" t="n">
        <v>38343</v>
      </c>
      <c r="J82" s="452" t="n">
        <v>12</v>
      </c>
      <c r="K82" s="633" t="s">
        <v>47</v>
      </c>
      <c r="L82" s="452" t="s">
        <v>58</v>
      </c>
      <c r="M82" s="455" t="n">
        <f aca="false">I82-D82</f>
        <v>1581</v>
      </c>
      <c r="N82" s="4"/>
      <c r="O82" s="378" t="s">
        <v>58</v>
      </c>
      <c r="P82" s="378"/>
      <c r="Q82" s="378"/>
      <c r="R82" s="378"/>
      <c r="S82" s="537" t="n">
        <f aca="false">COUNTIF($L$2:$L$476,"II - Produto muito perigoso ao meio ambiente")</f>
        <v>33</v>
      </c>
      <c r="T82" s="379" t="n">
        <f aca="false">(S82/S85)</f>
        <v>0.392857142857143</v>
      </c>
    </row>
    <row r="83" customFormat="false" ht="13.5" hidden="false" customHeight="true" outlineLevel="0" collapsed="false">
      <c r="A83" s="594" t="n">
        <v>8204</v>
      </c>
      <c r="B83" s="458" t="s">
        <v>19882</v>
      </c>
      <c r="C83" s="458" t="n">
        <v>2002</v>
      </c>
      <c r="D83" s="459" t="n">
        <v>37610</v>
      </c>
      <c r="E83" s="458" t="s">
        <v>19883</v>
      </c>
      <c r="F83" s="458" t="s">
        <v>477</v>
      </c>
      <c r="G83" s="458" t="s">
        <v>144</v>
      </c>
      <c r="H83" s="458" t="s">
        <v>119</v>
      </c>
      <c r="I83" s="459" t="n">
        <v>38344</v>
      </c>
      <c r="J83" s="460" t="n">
        <v>12</v>
      </c>
      <c r="K83" s="633" t="s">
        <v>47</v>
      </c>
      <c r="L83" s="458" t="s">
        <v>58</v>
      </c>
      <c r="M83" s="463" t="n">
        <f aca="false">I83-D83</f>
        <v>734</v>
      </c>
      <c r="N83" s="4"/>
      <c r="O83" s="380" t="s">
        <v>60</v>
      </c>
      <c r="P83" s="380"/>
      <c r="Q83" s="380"/>
      <c r="R83" s="380"/>
      <c r="S83" s="536" t="n">
        <f aca="false">COUNTIF($L$2:$L$476,"III - Produto perigoso ao meio ambiente")</f>
        <v>41</v>
      </c>
      <c r="T83" s="377" t="n">
        <f aca="false">(S83/S85)</f>
        <v>0.488095238095238</v>
      </c>
    </row>
    <row r="84" customFormat="false" ht="14.25" hidden="false" customHeight="true" outlineLevel="0" collapsed="false">
      <c r="A84" s="602" t="n">
        <v>8304</v>
      </c>
      <c r="B84" s="450" t="s">
        <v>19884</v>
      </c>
      <c r="C84" s="450" t="n">
        <v>2003</v>
      </c>
      <c r="D84" s="451" t="n">
        <v>37657</v>
      </c>
      <c r="E84" s="450" t="s">
        <v>19885</v>
      </c>
      <c r="F84" s="450" t="s">
        <v>18414</v>
      </c>
      <c r="G84" s="450" t="s">
        <v>144</v>
      </c>
      <c r="H84" s="450" t="s">
        <v>134</v>
      </c>
      <c r="I84" s="451" t="n">
        <v>38344</v>
      </c>
      <c r="J84" s="452" t="n">
        <v>12</v>
      </c>
      <c r="K84" s="631" t="s">
        <v>42</v>
      </c>
      <c r="L84" s="452" t="s">
        <v>58</v>
      </c>
      <c r="M84" s="455" t="n">
        <f aca="false">I84-D84</f>
        <v>687</v>
      </c>
      <c r="N84" s="4"/>
      <c r="O84" s="378" t="s">
        <v>61</v>
      </c>
      <c r="P84" s="378"/>
      <c r="Q84" s="378"/>
      <c r="R84" s="378"/>
      <c r="S84" s="537" t="n">
        <f aca="false">COUNTIF($L$2:$L$476,"IV - Produto pouco perigoso ao meio ambiente")</f>
        <v>10</v>
      </c>
      <c r="T84" s="379" t="n">
        <f aca="false">(S84/S85)</f>
        <v>0.119047619047619</v>
      </c>
    </row>
    <row r="85" customFormat="false" ht="12.75" hidden="false" customHeight="true" outlineLevel="0" collapsed="false">
      <c r="A85" s="594" t="n">
        <v>8404</v>
      </c>
      <c r="B85" s="458" t="s">
        <v>19886</v>
      </c>
      <c r="C85" s="458" t="n">
        <v>2003</v>
      </c>
      <c r="D85" s="459" t="n">
        <v>37929</v>
      </c>
      <c r="E85" s="458" t="s">
        <v>19887</v>
      </c>
      <c r="F85" s="458" t="s">
        <v>4381</v>
      </c>
      <c r="G85" s="458" t="s">
        <v>1474</v>
      </c>
      <c r="H85" s="458" t="s">
        <v>10110</v>
      </c>
      <c r="I85" s="459" t="n">
        <v>38349</v>
      </c>
      <c r="J85" s="460" t="n">
        <v>12</v>
      </c>
      <c r="K85" s="631" t="s">
        <v>42</v>
      </c>
      <c r="L85" s="458" t="s">
        <v>58</v>
      </c>
      <c r="M85" s="463" t="n">
        <f aca="false">I85-D85</f>
        <v>420</v>
      </c>
      <c r="N85" s="4"/>
      <c r="O85" s="340" t="s">
        <v>54</v>
      </c>
      <c r="P85" s="340"/>
      <c r="Q85" s="340"/>
      <c r="R85" s="340"/>
      <c r="S85" s="363" t="n">
        <f aca="false">SUM(S81:S84)</f>
        <v>84</v>
      </c>
      <c r="T85" s="364" t="n">
        <f aca="false">(S85/S85)</f>
        <v>1</v>
      </c>
    </row>
    <row r="86" customFormat="false" ht="12.75" hidden="false" customHeight="true" outlineLevel="0" collapsed="false">
      <c r="A86" s="602" t="n">
        <v>8504</v>
      </c>
      <c r="B86" s="450" t="s">
        <v>19888</v>
      </c>
      <c r="C86" s="450" t="n">
        <v>2002</v>
      </c>
      <c r="D86" s="451" t="n">
        <v>37607</v>
      </c>
      <c r="E86" s="450" t="s">
        <v>19889</v>
      </c>
      <c r="F86" s="450" t="s">
        <v>19573</v>
      </c>
      <c r="G86" s="450" t="s">
        <v>144</v>
      </c>
      <c r="H86" s="450" t="s">
        <v>134</v>
      </c>
      <c r="I86" s="451" t="n">
        <v>38349</v>
      </c>
      <c r="J86" s="452" t="n">
        <v>12</v>
      </c>
      <c r="K86" s="632" t="s">
        <v>50</v>
      </c>
      <c r="L86" s="452" t="s">
        <v>58</v>
      </c>
      <c r="M86" s="455" t="n">
        <f aca="false">I86-D86</f>
        <v>742</v>
      </c>
      <c r="N86" s="4"/>
      <c r="O86" s="153"/>
      <c r="P86" s="153"/>
      <c r="Q86" s="153"/>
      <c r="R86" s="153"/>
      <c r="S86" s="153"/>
      <c r="T86" s="153"/>
    </row>
    <row r="87" customFormat="false" ht="13.5" hidden="false" customHeight="true" outlineLevel="0" collapsed="false">
      <c r="A87" s="636"/>
      <c r="B87" s="636"/>
      <c r="C87" s="636"/>
      <c r="D87" s="638"/>
      <c r="E87" s="636"/>
      <c r="F87" s="636"/>
      <c r="G87" s="636"/>
      <c r="H87" s="636"/>
      <c r="I87" s="638"/>
      <c r="J87" s="636"/>
      <c r="K87" s="636"/>
      <c r="L87" s="636"/>
      <c r="M87" s="636"/>
      <c r="N87" s="4"/>
      <c r="O87" s="421" t="s">
        <v>425</v>
      </c>
      <c r="P87" s="421"/>
      <c r="Q87" s="421"/>
      <c r="R87" s="421"/>
      <c r="S87" s="153"/>
      <c r="T87" s="153"/>
    </row>
    <row r="88" customFormat="false" ht="12.75" hidden="false" customHeight="true" outlineLevel="0" collapsed="false">
      <c r="A88" s="636"/>
      <c r="B88" s="636"/>
      <c r="C88" s="636"/>
      <c r="D88" s="638"/>
      <c r="E88" s="636"/>
      <c r="F88" s="636"/>
      <c r="G88" s="636"/>
      <c r="H88" s="636"/>
      <c r="I88" s="638"/>
      <c r="J88" s="636"/>
      <c r="K88" s="636"/>
      <c r="L88" s="636"/>
      <c r="M88" s="636"/>
      <c r="N88" s="4"/>
      <c r="O88" s="421"/>
      <c r="P88" s="421"/>
      <c r="Q88" s="421"/>
      <c r="R88" s="421"/>
      <c r="S88" s="153"/>
      <c r="T88" s="153"/>
    </row>
    <row r="89" customFormat="false" ht="12.75" hidden="false" customHeight="true" outlineLevel="0" collapsed="false">
      <c r="A89" s="636"/>
      <c r="B89" s="636"/>
      <c r="C89" s="636"/>
      <c r="D89" s="638"/>
      <c r="E89" s="636"/>
      <c r="F89" s="636"/>
      <c r="G89" s="636"/>
      <c r="H89" s="636"/>
      <c r="I89" s="638"/>
      <c r="J89" s="636"/>
      <c r="K89" s="636"/>
      <c r="L89" s="636"/>
      <c r="M89" s="636"/>
      <c r="N89" s="4"/>
      <c r="O89" s="390" t="s">
        <v>69</v>
      </c>
      <c r="P89" s="422" t="s">
        <v>433</v>
      </c>
      <c r="Q89" s="422"/>
      <c r="R89" s="422"/>
      <c r="S89" s="153"/>
      <c r="T89" s="153"/>
    </row>
    <row r="90" customFormat="false" ht="12.75" hidden="false" customHeight="true" outlineLevel="0" collapsed="false">
      <c r="A90" s="636"/>
      <c r="B90" s="636"/>
      <c r="C90" s="636"/>
      <c r="D90" s="638"/>
      <c r="E90" s="636"/>
      <c r="F90" s="636"/>
      <c r="G90" s="636"/>
      <c r="H90" s="636"/>
      <c r="I90" s="638"/>
      <c r="J90" s="636"/>
      <c r="K90" s="636"/>
      <c r="L90" s="636"/>
      <c r="M90" s="636"/>
      <c r="N90" s="4"/>
      <c r="O90" s="394" t="s">
        <v>1474</v>
      </c>
      <c r="P90" s="481" t="n">
        <f aca="false">AVERAGEIF(G2:G476,"PT",M2:M476)</f>
        <v>1119.2380952381</v>
      </c>
      <c r="Q90" s="481"/>
      <c r="R90" s="481"/>
      <c r="S90" s="153"/>
      <c r="T90" s="153"/>
    </row>
    <row r="91" customFormat="false" ht="12.75" hidden="false" customHeight="true" outlineLevel="0" collapsed="false">
      <c r="A91" s="636"/>
      <c r="B91" s="636"/>
      <c r="C91" s="636"/>
      <c r="D91" s="638"/>
      <c r="E91" s="636"/>
      <c r="F91" s="636"/>
      <c r="G91" s="636"/>
      <c r="H91" s="636"/>
      <c r="I91" s="638"/>
      <c r="J91" s="636"/>
      <c r="K91" s="636"/>
      <c r="L91" s="636"/>
      <c r="M91" s="636"/>
      <c r="N91" s="4"/>
      <c r="O91" s="396" t="s">
        <v>1188</v>
      </c>
      <c r="P91" s="482" t="n">
        <f aca="false">AVERAGEIF(G2:G477,"PTN",M2:M477)</f>
        <v>1058.75</v>
      </c>
      <c r="Q91" s="482"/>
      <c r="R91" s="482"/>
      <c r="S91" s="153"/>
      <c r="T91" s="153"/>
    </row>
    <row r="92" customFormat="false" ht="12.75" hidden="false" customHeight="true" outlineLevel="0" collapsed="false">
      <c r="A92" s="636"/>
      <c r="B92" s="636"/>
      <c r="C92" s="636"/>
      <c r="D92" s="638"/>
      <c r="E92" s="4"/>
      <c r="F92" s="4"/>
      <c r="G92" s="4"/>
      <c r="H92" s="4"/>
      <c r="I92" s="638"/>
      <c r="J92" s="4"/>
      <c r="K92" s="4"/>
      <c r="L92" s="4"/>
      <c r="M92" s="653"/>
      <c r="N92" s="4"/>
      <c r="O92" s="394" t="s">
        <v>1174</v>
      </c>
      <c r="P92" s="481" t="e">
        <f aca="false">AVERAGEIF(G2:G476,"PTE",M2:M476)</f>
        <v>#DIV/0!</v>
      </c>
      <c r="Q92" s="481"/>
      <c r="R92" s="481"/>
      <c r="S92" s="153"/>
      <c r="T92" s="153"/>
    </row>
    <row r="93" customFormat="false" ht="12.75" hidden="false" customHeight="true" outlineLevel="0" collapsed="false">
      <c r="A93" s="636"/>
      <c r="B93" s="636"/>
      <c r="C93" s="636"/>
      <c r="D93" s="638"/>
      <c r="E93" s="4"/>
      <c r="F93" s="4"/>
      <c r="G93" s="4"/>
      <c r="H93" s="4"/>
      <c r="I93" s="638"/>
      <c r="J93" s="4"/>
      <c r="K93" s="4"/>
      <c r="L93" s="4"/>
      <c r="M93" s="653"/>
      <c r="N93" s="4"/>
      <c r="O93" s="396" t="s">
        <v>8</v>
      </c>
      <c r="P93" s="482" t="n">
        <f aca="false">AVERAGEIF(G2:G476,"Pré-Mistura",M2:M476)</f>
        <v>930</v>
      </c>
      <c r="Q93" s="482"/>
      <c r="R93" s="482"/>
      <c r="S93" s="153"/>
      <c r="T93" s="153"/>
    </row>
    <row r="94" customFormat="false" ht="12.75" hidden="false" customHeight="true" outlineLevel="0" collapsed="false">
      <c r="A94" s="636"/>
      <c r="B94" s="636"/>
      <c r="C94" s="636"/>
      <c r="D94" s="638"/>
      <c r="E94" s="4"/>
      <c r="F94" s="4"/>
      <c r="G94" s="4"/>
      <c r="H94" s="4"/>
      <c r="I94" s="638"/>
      <c r="J94" s="4"/>
      <c r="K94" s="4"/>
      <c r="L94" s="4"/>
      <c r="M94" s="653"/>
      <c r="N94" s="4"/>
      <c r="O94" s="394" t="s">
        <v>144</v>
      </c>
      <c r="P94" s="481" t="n">
        <f aca="false">AVERAGEIF(G2:G476,"PF",M2:M476)</f>
        <v>1073.66666666667</v>
      </c>
      <c r="Q94" s="481"/>
      <c r="R94" s="481"/>
      <c r="S94" s="153"/>
      <c r="T94" s="153"/>
    </row>
    <row r="95" customFormat="false" ht="12.75" hidden="false" customHeight="true" outlineLevel="0" collapsed="false">
      <c r="A95" s="636"/>
      <c r="B95" s="636"/>
      <c r="C95" s="636"/>
      <c r="D95" s="638"/>
      <c r="E95" s="4"/>
      <c r="F95" s="4"/>
      <c r="G95" s="4"/>
      <c r="H95" s="4"/>
      <c r="I95" s="638"/>
      <c r="J95" s="4"/>
      <c r="K95" s="4"/>
      <c r="L95" s="4"/>
      <c r="M95" s="653"/>
      <c r="N95" s="4"/>
      <c r="O95" s="396" t="s">
        <v>115</v>
      </c>
      <c r="P95" s="482" t="n">
        <f aca="false">AVERAGEIF(G2:G476,"PFN",M2:M476)</f>
        <v>916.714285714286</v>
      </c>
      <c r="Q95" s="482"/>
      <c r="R95" s="482"/>
      <c r="S95" s="153"/>
      <c r="T95" s="153"/>
    </row>
    <row r="96" customFormat="false" ht="12.75" hidden="false" customHeight="true" outlineLevel="0" collapsed="false">
      <c r="A96" s="636"/>
      <c r="B96" s="636"/>
      <c r="C96" s="636"/>
      <c r="D96" s="638"/>
      <c r="E96" s="4"/>
      <c r="F96" s="4"/>
      <c r="G96" s="4"/>
      <c r="H96" s="4"/>
      <c r="I96" s="638"/>
      <c r="J96" s="4"/>
      <c r="K96" s="4"/>
      <c r="L96" s="4"/>
      <c r="M96" s="653"/>
      <c r="N96" s="4"/>
      <c r="O96" s="394" t="s">
        <v>441</v>
      </c>
      <c r="P96" s="481" t="e">
        <f aca="false">AVERAGEIF(G2:G476,"PF/PTE",M2:M476)</f>
        <v>#DIV/0!</v>
      </c>
      <c r="Q96" s="481"/>
      <c r="R96" s="481"/>
      <c r="S96" s="153"/>
      <c r="T96" s="153"/>
    </row>
    <row r="97" customFormat="false" ht="12.75" hidden="false" customHeight="true" outlineLevel="0" collapsed="false">
      <c r="O97" s="396" t="s">
        <v>125</v>
      </c>
      <c r="P97" s="482" t="n">
        <f aca="false">AVERAGEIF(G2:G476,"Bio",M2:M476)</f>
        <v>938</v>
      </c>
      <c r="Q97" s="482"/>
      <c r="R97" s="482"/>
    </row>
    <row r="98" customFormat="false" ht="12.75" hidden="false" customHeight="true" outlineLevel="0" collapsed="false">
      <c r="O98" s="394" t="s">
        <v>130</v>
      </c>
      <c r="P98" s="481" t="e">
        <f aca="false">AVERAGEIF(G2:G476,"Bio/Org",M2:M476)</f>
        <v>#DIV/0!</v>
      </c>
      <c r="Q98" s="481"/>
      <c r="R98" s="481"/>
    </row>
    <row r="99" customFormat="false" ht="12.75" hidden="false" customHeight="true" outlineLevel="0" collapsed="false">
      <c r="O99" s="398" t="s">
        <v>86</v>
      </c>
      <c r="P99" s="399" t="n">
        <f aca="false">AVERAGE(M2:M494)</f>
        <v>1059.86904761905</v>
      </c>
      <c r="Q99" s="399"/>
      <c r="R99" s="399"/>
    </row>
  </sheetData>
  <autoFilter ref="A1:M92"/>
  <mergeCells count="76">
    <mergeCell ref="O2:P2"/>
    <mergeCell ref="O14:S15"/>
    <mergeCell ref="O16:S16"/>
    <mergeCell ref="O17:S17"/>
    <mergeCell ref="O18:S18"/>
    <mergeCell ref="O19:S19"/>
    <mergeCell ref="O20:S20"/>
    <mergeCell ref="O21:S21"/>
    <mergeCell ref="O22:S22"/>
    <mergeCell ref="O23:S23"/>
    <mergeCell ref="O24:S24"/>
    <mergeCell ref="O26:S27"/>
    <mergeCell ref="P28:R28"/>
    <mergeCell ref="P29:R29"/>
    <mergeCell ref="P30:R30"/>
    <mergeCell ref="P31:R31"/>
    <mergeCell ref="P32:R32"/>
    <mergeCell ref="P33:R33"/>
    <mergeCell ref="P34:R34"/>
    <mergeCell ref="P35:R35"/>
    <mergeCell ref="P36:R36"/>
    <mergeCell ref="P37:R37"/>
    <mergeCell ref="P38:R38"/>
    <mergeCell ref="P39:R39"/>
    <mergeCell ref="P40:R40"/>
    <mergeCell ref="P41:R41"/>
    <mergeCell ref="P42:R42"/>
    <mergeCell ref="O44:S45"/>
    <mergeCell ref="P46:R46"/>
    <mergeCell ref="P47:R47"/>
    <mergeCell ref="P48:R48"/>
    <mergeCell ref="P49:R49"/>
    <mergeCell ref="P50:R50"/>
    <mergeCell ref="P51:R51"/>
    <mergeCell ref="P52:R52"/>
    <mergeCell ref="P53:R53"/>
    <mergeCell ref="P54:R54"/>
    <mergeCell ref="P55:R55"/>
    <mergeCell ref="P56:R56"/>
    <mergeCell ref="P57:R57"/>
    <mergeCell ref="P58:R58"/>
    <mergeCell ref="P59:R59"/>
    <mergeCell ref="O61:T62"/>
    <mergeCell ref="O63:R63"/>
    <mergeCell ref="O64:R64"/>
    <mergeCell ref="O65:R65"/>
    <mergeCell ref="O66:R66"/>
    <mergeCell ref="O67:R67"/>
    <mergeCell ref="O68:R68"/>
    <mergeCell ref="O69:R69"/>
    <mergeCell ref="O70:R70"/>
    <mergeCell ref="O71:R71"/>
    <mergeCell ref="O72:R72"/>
    <mergeCell ref="O73:R73"/>
    <mergeCell ref="O74:R74"/>
    <mergeCell ref="O75:R75"/>
    <mergeCell ref="O76:R76"/>
    <mergeCell ref="O78:T79"/>
    <mergeCell ref="O80:R80"/>
    <mergeCell ref="O81:R81"/>
    <mergeCell ref="O82:R82"/>
    <mergeCell ref="O83:R83"/>
    <mergeCell ref="O84:R84"/>
    <mergeCell ref="O85:R85"/>
    <mergeCell ref="O87:R88"/>
    <mergeCell ref="P89:R89"/>
    <mergeCell ref="P90:R90"/>
    <mergeCell ref="P91:R91"/>
    <mergeCell ref="P92:R92"/>
    <mergeCell ref="P93:R93"/>
    <mergeCell ref="P94:R94"/>
    <mergeCell ref="P95:R95"/>
    <mergeCell ref="P96:R96"/>
    <mergeCell ref="P97:R97"/>
    <mergeCell ref="P98:R98"/>
    <mergeCell ref="P99:R99"/>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9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B1" activeCellId="0" sqref="B1"/>
    </sheetView>
  </sheetViews>
  <sheetFormatPr defaultColWidth="14.2890625" defaultRowHeight="12.75" customHeight="false" zeroHeight="false" outlineLevelRow="0" outlineLevelCol="0"/>
  <cols>
    <col collapsed="false" customWidth="true" hidden="false" outlineLevel="0" max="2" min="2" style="0" width="28.58"/>
    <col collapsed="false" customWidth="true" hidden="false" outlineLevel="0" max="3" min="3" style="0" width="19.43"/>
    <col collapsed="false" customWidth="true" hidden="false" outlineLevel="0" max="4" min="4" style="0" width="26.14"/>
    <col collapsed="false" customWidth="true" hidden="false" outlineLevel="0" max="5" min="5" style="0" width="40.57"/>
    <col collapsed="false" customWidth="true" hidden="false" outlineLevel="0" max="6" min="6" style="0" width="71.43"/>
    <col collapsed="false" customWidth="true" hidden="false" outlineLevel="0" max="7" min="7" style="0" width="15.42"/>
    <col collapsed="false" customWidth="true" hidden="false" outlineLevel="0" max="8" min="8" style="0" width="31.29"/>
    <col collapsed="false" customWidth="true" hidden="false" outlineLevel="0" max="9" min="9" style="0" width="33.29"/>
    <col collapsed="false" customWidth="true" hidden="false" outlineLevel="0" max="10" min="10" style="0" width="34.85"/>
    <col collapsed="false" customWidth="true" hidden="false" outlineLevel="0" max="11" min="11" style="0" width="57.14"/>
    <col collapsed="false" customWidth="true" hidden="false" outlineLevel="0" max="12" min="12" style="0" width="76.14"/>
    <col collapsed="false" customWidth="true" hidden="false" outlineLevel="0" max="13" min="13" style="0" width="53.43"/>
    <col collapsed="false" customWidth="true" hidden="false" outlineLevel="0" max="14" min="14" style="0" width="9.14"/>
    <col collapsed="false" customWidth="true" hidden="false" outlineLevel="0" max="15" min="15" style="0" width="27.14"/>
    <col collapsed="false" customWidth="true" hidden="false" outlineLevel="0" max="16" min="16" style="0" width="9.85"/>
    <col collapsed="false" customWidth="true" hidden="false" outlineLevel="0" max="17" min="17" style="0" width="3.42"/>
    <col collapsed="false" customWidth="true" hidden="false" outlineLevel="0" max="18" min="18" style="0" width="39"/>
    <col collapsed="false" customWidth="true" hidden="false" outlineLevel="0" max="19" min="19" style="0" width="62.85"/>
    <col collapsed="false" customWidth="true" hidden="false" outlineLevel="0" max="20" min="20" style="0" width="13.71"/>
    <col collapsed="false" customWidth="true" hidden="false" outlineLevel="0" max="26" min="21" style="0" width="8.71"/>
  </cols>
  <sheetData>
    <row r="1" customFormat="false" ht="12.75" hidden="false" customHeight="true" outlineLevel="0" collapsed="false">
      <c r="A1" s="585" t="s">
        <v>92</v>
      </c>
      <c r="B1" s="585" t="s">
        <v>93</v>
      </c>
      <c r="C1" s="585" t="s">
        <v>89</v>
      </c>
      <c r="D1" s="585" t="s">
        <v>94</v>
      </c>
      <c r="E1" s="585" t="s">
        <v>95</v>
      </c>
      <c r="F1" s="585" t="s">
        <v>96</v>
      </c>
      <c r="G1" s="585" t="s">
        <v>97</v>
      </c>
      <c r="H1" s="585" t="s">
        <v>98</v>
      </c>
      <c r="I1" s="584" t="s">
        <v>99</v>
      </c>
      <c r="J1" s="585" t="s">
        <v>62</v>
      </c>
      <c r="K1" s="586" t="s">
        <v>101</v>
      </c>
      <c r="L1" s="586" t="s">
        <v>102</v>
      </c>
      <c r="M1" s="279" t="s">
        <v>103</v>
      </c>
      <c r="N1" s="4"/>
      <c r="O1" s="4"/>
      <c r="P1" s="4"/>
      <c r="Q1" s="4"/>
      <c r="R1" s="4"/>
      <c r="S1" s="4"/>
    </row>
    <row r="2" customFormat="false" ht="12.75" hidden="false" customHeight="true" outlineLevel="0" collapsed="false">
      <c r="A2" s="602" t="n">
        <v>103</v>
      </c>
      <c r="B2" s="450" t="s">
        <v>19890</v>
      </c>
      <c r="C2" s="450" t="n">
        <v>2001</v>
      </c>
      <c r="D2" s="451" t="n">
        <v>37060</v>
      </c>
      <c r="E2" s="450" t="s">
        <v>19891</v>
      </c>
      <c r="F2" s="450" t="s">
        <v>485</v>
      </c>
      <c r="G2" s="450" t="s">
        <v>1188</v>
      </c>
      <c r="H2" s="450" t="s">
        <v>373</v>
      </c>
      <c r="I2" s="451" t="n">
        <v>37628</v>
      </c>
      <c r="J2" s="452" t="n">
        <v>1</v>
      </c>
      <c r="K2" s="632" t="s">
        <v>50</v>
      </c>
      <c r="L2" s="452" t="s">
        <v>58</v>
      </c>
      <c r="M2" s="455" t="n">
        <f aca="false">I2-D2</f>
        <v>568</v>
      </c>
      <c r="N2" s="4"/>
      <c r="O2" s="280" t="s">
        <v>19488</v>
      </c>
      <c r="P2" s="280"/>
      <c r="Q2" s="146"/>
      <c r="R2" s="146"/>
      <c r="S2" s="146"/>
    </row>
    <row r="3" customFormat="false" ht="12.75" hidden="false" customHeight="true" outlineLevel="0" collapsed="false">
      <c r="A3" s="594" t="n">
        <v>203</v>
      </c>
      <c r="B3" s="458" t="s">
        <v>19892</v>
      </c>
      <c r="C3" s="458" t="n">
        <v>2001</v>
      </c>
      <c r="D3" s="459" t="n">
        <v>37235</v>
      </c>
      <c r="E3" s="458" t="s">
        <v>19893</v>
      </c>
      <c r="F3" s="458" t="s">
        <v>699</v>
      </c>
      <c r="G3" s="458" t="s">
        <v>144</v>
      </c>
      <c r="H3" s="458" t="s">
        <v>2654</v>
      </c>
      <c r="I3" s="459" t="n">
        <v>37803</v>
      </c>
      <c r="J3" s="460" t="n">
        <v>1</v>
      </c>
      <c r="K3" s="634" t="s">
        <v>45</v>
      </c>
      <c r="L3" s="458" t="s">
        <v>60</v>
      </c>
      <c r="M3" s="463" t="n">
        <f aca="false">I3-D3</f>
        <v>568</v>
      </c>
      <c r="N3" s="4"/>
      <c r="O3" s="281" t="s">
        <v>1182</v>
      </c>
      <c r="P3" s="281" t="n">
        <f aca="false">COUNTIF($G$2:$G$476,"PT")</f>
        <v>21</v>
      </c>
      <c r="Q3" s="146"/>
      <c r="R3" s="146"/>
      <c r="S3" s="146"/>
    </row>
    <row r="4" customFormat="false" ht="12.75" hidden="false" customHeight="true" outlineLevel="0" collapsed="false">
      <c r="A4" s="602" t="n">
        <v>303</v>
      </c>
      <c r="B4" s="450" t="s">
        <v>19894</v>
      </c>
      <c r="C4" s="450" t="n">
        <v>1999</v>
      </c>
      <c r="D4" s="451" t="n">
        <v>36525</v>
      </c>
      <c r="E4" s="450" t="s">
        <v>19895</v>
      </c>
      <c r="F4" s="450" t="s">
        <v>19896</v>
      </c>
      <c r="G4" s="450" t="s">
        <v>144</v>
      </c>
      <c r="H4" s="450" t="s">
        <v>267</v>
      </c>
      <c r="I4" s="451" t="n">
        <v>37634</v>
      </c>
      <c r="J4" s="452" t="n">
        <v>1</v>
      </c>
      <c r="K4" s="631" t="s">
        <v>42</v>
      </c>
      <c r="L4" s="452" t="s">
        <v>58</v>
      </c>
      <c r="M4" s="455" t="n">
        <f aca="false">I4-D4</f>
        <v>1109</v>
      </c>
      <c r="N4" s="4"/>
      <c r="O4" s="282" t="s">
        <v>1188</v>
      </c>
      <c r="P4" s="282" t="n">
        <f aca="false">COUNTIF($G$2:$G$476,"PTN")</f>
        <v>8</v>
      </c>
      <c r="Q4" s="153"/>
      <c r="R4" s="153"/>
      <c r="S4" s="153"/>
    </row>
    <row r="5" customFormat="false" ht="12.75" hidden="false" customHeight="true" outlineLevel="0" collapsed="false">
      <c r="A5" s="594" t="n">
        <v>403</v>
      </c>
      <c r="B5" s="458" t="s">
        <v>19897</v>
      </c>
      <c r="C5" s="458" t="n">
        <v>1995</v>
      </c>
      <c r="D5" s="459" t="n">
        <v>35047</v>
      </c>
      <c r="E5" s="458" t="s">
        <v>19898</v>
      </c>
      <c r="F5" s="458" t="s">
        <v>2003</v>
      </c>
      <c r="G5" s="458" t="s">
        <v>144</v>
      </c>
      <c r="H5" s="458" t="s">
        <v>10110</v>
      </c>
      <c r="I5" s="459" t="n">
        <v>37641</v>
      </c>
      <c r="J5" s="460" t="n">
        <v>1</v>
      </c>
      <c r="K5" s="634" t="s">
        <v>45</v>
      </c>
      <c r="L5" s="458" t="s">
        <v>60</v>
      </c>
      <c r="M5" s="463" t="n">
        <f aca="false">I5-D5</f>
        <v>2594</v>
      </c>
      <c r="N5" s="4"/>
      <c r="O5" s="283" t="s">
        <v>1192</v>
      </c>
      <c r="P5" s="283" t="n">
        <f aca="false">COUNTIF($G$2:$G$476,"PTE")</f>
        <v>0</v>
      </c>
      <c r="Q5" s="153"/>
      <c r="R5" s="153"/>
      <c r="S5" s="153"/>
    </row>
    <row r="6" customFormat="false" ht="12.75" hidden="false" customHeight="true" outlineLevel="0" collapsed="false">
      <c r="A6" s="602" t="n">
        <v>503</v>
      </c>
      <c r="B6" s="450" t="s">
        <v>19899</v>
      </c>
      <c r="C6" s="450" t="n">
        <v>2001</v>
      </c>
      <c r="D6" s="451" t="n">
        <v>37022</v>
      </c>
      <c r="E6" s="450" t="s">
        <v>19900</v>
      </c>
      <c r="F6" s="450" t="s">
        <v>705</v>
      </c>
      <c r="G6" s="450" t="s">
        <v>1474</v>
      </c>
      <c r="H6" s="450" t="s">
        <v>14391</v>
      </c>
      <c r="I6" s="451" t="n">
        <v>37641</v>
      </c>
      <c r="J6" s="452" t="n">
        <v>1</v>
      </c>
      <c r="K6" s="633" t="s">
        <v>47</v>
      </c>
      <c r="L6" s="452" t="s">
        <v>60</v>
      </c>
      <c r="M6" s="455" t="n">
        <f aca="false">I6-D6</f>
        <v>619</v>
      </c>
      <c r="N6" s="4"/>
      <c r="O6" s="282" t="s">
        <v>8</v>
      </c>
      <c r="P6" s="282" t="n">
        <f aca="false">COUNTIF($G$2:$G$476,"Pré-Mistura")</f>
        <v>0</v>
      </c>
      <c r="Q6" s="153"/>
      <c r="R6" s="153"/>
      <c r="S6" s="153"/>
    </row>
    <row r="7" customFormat="false" ht="12.75" hidden="false" customHeight="true" outlineLevel="0" collapsed="false">
      <c r="A7" s="594" t="n">
        <v>603</v>
      </c>
      <c r="B7" s="458" t="s">
        <v>19901</v>
      </c>
      <c r="C7" s="458" t="n">
        <v>2001</v>
      </c>
      <c r="D7" s="459" t="n">
        <v>37092</v>
      </c>
      <c r="E7" s="458" t="s">
        <v>19902</v>
      </c>
      <c r="F7" s="458" t="s">
        <v>798</v>
      </c>
      <c r="G7" s="458" t="s">
        <v>1188</v>
      </c>
      <c r="H7" s="458" t="s">
        <v>134</v>
      </c>
      <c r="I7" s="459" t="n">
        <v>37648</v>
      </c>
      <c r="J7" s="460" t="n">
        <v>1</v>
      </c>
      <c r="K7" s="633" t="s">
        <v>47</v>
      </c>
      <c r="L7" s="458" t="s">
        <v>60</v>
      </c>
      <c r="M7" s="463" t="n">
        <f aca="false">I7-D7</f>
        <v>556</v>
      </c>
      <c r="N7" s="4"/>
      <c r="O7" s="283" t="s">
        <v>110</v>
      </c>
      <c r="P7" s="283" t="n">
        <f aca="false">COUNTIF($G$2:$G$476,"PF")</f>
        <v>40</v>
      </c>
      <c r="Q7" s="153"/>
      <c r="R7" s="153"/>
      <c r="S7" s="153"/>
    </row>
    <row r="8" customFormat="false" ht="12.75" hidden="false" customHeight="true" outlineLevel="0" collapsed="false">
      <c r="A8" s="602" t="n">
        <v>703</v>
      </c>
      <c r="B8" s="450" t="s">
        <v>19903</v>
      </c>
      <c r="C8" s="450" t="n">
        <v>2001</v>
      </c>
      <c r="D8" s="451" t="n">
        <v>37140</v>
      </c>
      <c r="E8" s="450" t="s">
        <v>19904</v>
      </c>
      <c r="F8" s="450" t="s">
        <v>798</v>
      </c>
      <c r="G8" s="450" t="s">
        <v>115</v>
      </c>
      <c r="H8" s="450" t="s">
        <v>134</v>
      </c>
      <c r="I8" s="451" t="n">
        <v>37648</v>
      </c>
      <c r="J8" s="452" t="n">
        <v>1</v>
      </c>
      <c r="K8" s="633" t="s">
        <v>47</v>
      </c>
      <c r="L8" s="452" t="s">
        <v>60</v>
      </c>
      <c r="M8" s="455" t="n">
        <f aca="false">I8-D8</f>
        <v>508</v>
      </c>
      <c r="N8" s="4"/>
      <c r="O8" s="282" t="s">
        <v>115</v>
      </c>
      <c r="P8" s="282" t="n">
        <f aca="false">COUNTIF($G$2:$G$476,"PFN")</f>
        <v>3</v>
      </c>
      <c r="Q8" s="153"/>
      <c r="R8" s="153"/>
      <c r="S8" s="153"/>
    </row>
    <row r="9" customFormat="false" ht="12.75" hidden="false" customHeight="true" outlineLevel="0" collapsed="false">
      <c r="A9" s="594" t="n">
        <v>803</v>
      </c>
      <c r="B9" s="458" t="s">
        <v>19905</v>
      </c>
      <c r="C9" s="458" t="n">
        <v>2002</v>
      </c>
      <c r="D9" s="459" t="n">
        <v>37293</v>
      </c>
      <c r="E9" s="458" t="s">
        <v>19906</v>
      </c>
      <c r="F9" s="458" t="s">
        <v>19907</v>
      </c>
      <c r="G9" s="458" t="s">
        <v>125</v>
      </c>
      <c r="H9" s="458" t="s">
        <v>19908</v>
      </c>
      <c r="I9" s="459" t="n">
        <v>37659</v>
      </c>
      <c r="J9" s="460" t="n">
        <v>2</v>
      </c>
      <c r="K9" s="632" t="s">
        <v>50</v>
      </c>
      <c r="L9" s="458" t="s">
        <v>61</v>
      </c>
      <c r="M9" s="463" t="n">
        <f aca="false">I9-D9</f>
        <v>366</v>
      </c>
      <c r="N9" s="4"/>
      <c r="O9" s="283" t="s">
        <v>120</v>
      </c>
      <c r="P9" s="283" t="n">
        <f aca="false">COUNTIF($G$2:$G$476,"PF/PTE")</f>
        <v>0</v>
      </c>
      <c r="Q9" s="153"/>
      <c r="R9" s="153"/>
      <c r="S9" s="153"/>
    </row>
    <row r="10" customFormat="false" ht="12.75" hidden="false" customHeight="true" outlineLevel="0" collapsed="false">
      <c r="A10" s="602" t="n">
        <v>903</v>
      </c>
      <c r="B10" s="450" t="s">
        <v>19909</v>
      </c>
      <c r="C10" s="450" t="n">
        <v>2000</v>
      </c>
      <c r="D10" s="451" t="n">
        <v>36805</v>
      </c>
      <c r="E10" s="450" t="s">
        <v>19910</v>
      </c>
      <c r="F10" s="450" t="s">
        <v>19911</v>
      </c>
      <c r="G10" s="450" t="s">
        <v>144</v>
      </c>
      <c r="H10" s="450" t="s">
        <v>15992</v>
      </c>
      <c r="I10" s="451" t="n">
        <v>38024</v>
      </c>
      <c r="J10" s="452" t="n">
        <v>2</v>
      </c>
      <c r="K10" s="633" t="s">
        <v>47</v>
      </c>
      <c r="L10" s="452" t="s">
        <v>58</v>
      </c>
      <c r="M10" s="455" t="n">
        <f aca="false">I10-D10</f>
        <v>1219</v>
      </c>
      <c r="N10" s="4"/>
      <c r="O10" s="282" t="s">
        <v>125</v>
      </c>
      <c r="P10" s="282" t="n">
        <f aca="false">COUNTIF($G$2:$G$476,"Bio")</f>
        <v>5</v>
      </c>
      <c r="Q10" s="153"/>
      <c r="R10" s="153"/>
      <c r="S10" s="153"/>
    </row>
    <row r="11" customFormat="false" ht="12.75" hidden="false" customHeight="true" outlineLevel="0" collapsed="false">
      <c r="A11" s="594" t="n">
        <v>1003</v>
      </c>
      <c r="B11" s="458" t="s">
        <v>19912</v>
      </c>
      <c r="C11" s="458" t="n">
        <v>2002</v>
      </c>
      <c r="D11" s="459" t="n">
        <v>37516</v>
      </c>
      <c r="E11" s="458" t="s">
        <v>19913</v>
      </c>
      <c r="F11" s="458" t="s">
        <v>699</v>
      </c>
      <c r="G11" s="458" t="s">
        <v>144</v>
      </c>
      <c r="H11" s="458" t="s">
        <v>1059</v>
      </c>
      <c r="I11" s="459" t="n">
        <v>37673</v>
      </c>
      <c r="J11" s="460" t="n">
        <v>2</v>
      </c>
      <c r="K11" s="632" t="s">
        <v>50</v>
      </c>
      <c r="L11" s="458" t="s">
        <v>60</v>
      </c>
      <c r="M11" s="463" t="n">
        <f aca="false">I11-D11</f>
        <v>157</v>
      </c>
      <c r="N11" s="4"/>
      <c r="O11" s="284" t="s">
        <v>130</v>
      </c>
      <c r="P11" s="284" t="n">
        <f aca="false">COUNTIF($G$2:$G$476,"Bio/Org")</f>
        <v>0</v>
      </c>
      <c r="Q11" s="153"/>
      <c r="R11" s="153"/>
      <c r="S11" s="153"/>
    </row>
    <row r="12" customFormat="false" ht="12.75" hidden="false" customHeight="true" outlineLevel="0" collapsed="false">
      <c r="A12" s="602" t="n">
        <v>1103</v>
      </c>
      <c r="B12" s="450" t="s">
        <v>19914</v>
      </c>
      <c r="C12" s="450" t="n">
        <v>2001</v>
      </c>
      <c r="D12" s="451" t="n">
        <v>36923</v>
      </c>
      <c r="E12" s="450" t="s">
        <v>19915</v>
      </c>
      <c r="F12" s="450" t="s">
        <v>699</v>
      </c>
      <c r="G12" s="450" t="s">
        <v>144</v>
      </c>
      <c r="H12" s="450" t="s">
        <v>12073</v>
      </c>
      <c r="I12" s="451" t="n">
        <v>37673</v>
      </c>
      <c r="J12" s="452" t="n">
        <v>2</v>
      </c>
      <c r="K12" s="634" t="s">
        <v>45</v>
      </c>
      <c r="L12" s="452" t="s">
        <v>60</v>
      </c>
      <c r="M12" s="455" t="n">
        <f aca="false">I12-D12</f>
        <v>750</v>
      </c>
      <c r="N12" s="4"/>
      <c r="O12" s="285" t="s">
        <v>140</v>
      </c>
      <c r="P12" s="286" t="n">
        <f aca="false">SUM(P3:P11)</f>
        <v>77</v>
      </c>
      <c r="Q12" s="153"/>
      <c r="R12" s="153"/>
      <c r="S12" s="153"/>
    </row>
    <row r="13" customFormat="false" ht="12.75" hidden="false" customHeight="true" outlineLevel="0" collapsed="false">
      <c r="A13" s="594" t="n">
        <v>1203</v>
      </c>
      <c r="B13" s="458" t="s">
        <v>19916</v>
      </c>
      <c r="C13" s="458" t="n">
        <v>1998</v>
      </c>
      <c r="D13" s="459" t="n">
        <v>35888</v>
      </c>
      <c r="E13" s="458" t="s">
        <v>19917</v>
      </c>
      <c r="F13" s="458" t="s">
        <v>19918</v>
      </c>
      <c r="G13" s="458" t="s">
        <v>144</v>
      </c>
      <c r="H13" s="458" t="s">
        <v>3339</v>
      </c>
      <c r="I13" s="459" t="n">
        <v>37679</v>
      </c>
      <c r="J13" s="460" t="n">
        <v>2</v>
      </c>
      <c r="K13" s="631" t="s">
        <v>42</v>
      </c>
      <c r="L13" s="458" t="s">
        <v>60</v>
      </c>
      <c r="M13" s="463" t="n">
        <f aca="false">I13-D13</f>
        <v>1791</v>
      </c>
      <c r="N13" s="4"/>
      <c r="O13" s="153"/>
      <c r="P13" s="153"/>
      <c r="Q13" s="153"/>
      <c r="R13" s="287"/>
      <c r="S13" s="287"/>
    </row>
    <row r="14" customFormat="false" ht="13.5" hidden="false" customHeight="true" outlineLevel="0" collapsed="false">
      <c r="A14" s="602" t="n">
        <v>1303</v>
      </c>
      <c r="B14" s="450" t="s">
        <v>19919</v>
      </c>
      <c r="C14" s="450" t="n">
        <v>2000</v>
      </c>
      <c r="D14" s="451" t="n">
        <v>36886</v>
      </c>
      <c r="E14" s="450" t="s">
        <v>19920</v>
      </c>
      <c r="F14" s="450" t="s">
        <v>14469</v>
      </c>
      <c r="G14" s="450" t="s">
        <v>144</v>
      </c>
      <c r="H14" s="450" t="s">
        <v>1791</v>
      </c>
      <c r="I14" s="451" t="n">
        <v>37679</v>
      </c>
      <c r="J14" s="452" t="n">
        <v>2</v>
      </c>
      <c r="K14" s="633" t="s">
        <v>47</v>
      </c>
      <c r="L14" s="452" t="s">
        <v>58</v>
      </c>
      <c r="M14" s="455" t="n">
        <f aca="false">I14-D14</f>
        <v>793</v>
      </c>
      <c r="N14" s="4"/>
      <c r="O14" s="411" t="s">
        <v>151</v>
      </c>
      <c r="P14" s="411"/>
      <c r="Q14" s="411"/>
      <c r="R14" s="411"/>
      <c r="S14" s="411"/>
    </row>
    <row r="15" customFormat="false" ht="14.25" hidden="false" customHeight="true" outlineLevel="0" collapsed="false">
      <c r="A15" s="594" t="n">
        <v>1403</v>
      </c>
      <c r="B15" s="458" t="s">
        <v>19921</v>
      </c>
      <c r="C15" s="458" t="n">
        <v>2001</v>
      </c>
      <c r="D15" s="459" t="n">
        <v>37018</v>
      </c>
      <c r="E15" s="458" t="s">
        <v>19922</v>
      </c>
      <c r="F15" s="458" t="s">
        <v>10347</v>
      </c>
      <c r="G15" s="458" t="s">
        <v>1188</v>
      </c>
      <c r="H15" s="458" t="s">
        <v>373</v>
      </c>
      <c r="I15" s="459" t="n">
        <v>37687</v>
      </c>
      <c r="J15" s="460" t="n">
        <v>3</v>
      </c>
      <c r="K15" s="631" t="s">
        <v>42</v>
      </c>
      <c r="L15" s="458" t="s">
        <v>60</v>
      </c>
      <c r="M15" s="463" t="n">
        <f aca="false">I15-D15</f>
        <v>669</v>
      </c>
      <c r="N15" s="4"/>
      <c r="O15" s="411"/>
      <c r="P15" s="411"/>
      <c r="Q15" s="411"/>
      <c r="R15" s="411"/>
      <c r="S15" s="411"/>
    </row>
    <row r="16" customFormat="false" ht="12.75" hidden="false" customHeight="true" outlineLevel="0" collapsed="false">
      <c r="A16" s="602" t="n">
        <v>1503</v>
      </c>
      <c r="B16" s="450" t="s">
        <v>19923</v>
      </c>
      <c r="C16" s="450" t="n">
        <v>1998</v>
      </c>
      <c r="D16" s="451" t="n">
        <v>36139</v>
      </c>
      <c r="E16" s="450" t="s">
        <v>19924</v>
      </c>
      <c r="F16" s="450" t="s">
        <v>7432</v>
      </c>
      <c r="G16" s="450" t="s">
        <v>144</v>
      </c>
      <c r="H16" s="450" t="s">
        <v>2421</v>
      </c>
      <c r="I16" s="451" t="n">
        <v>37691</v>
      </c>
      <c r="J16" s="452" t="n">
        <v>3</v>
      </c>
      <c r="K16" s="631" t="s">
        <v>42</v>
      </c>
      <c r="L16" s="452" t="s">
        <v>60</v>
      </c>
      <c r="M16" s="455" t="n">
        <f aca="false">I16-D16</f>
        <v>1552</v>
      </c>
      <c r="N16" s="4"/>
      <c r="O16" s="412" t="s">
        <v>2194</v>
      </c>
      <c r="P16" s="412"/>
      <c r="Q16" s="412"/>
      <c r="R16" s="412"/>
      <c r="S16" s="412"/>
    </row>
    <row r="17" customFormat="false" ht="12.75" hidden="false" customHeight="true" outlineLevel="0" collapsed="false">
      <c r="A17" s="594" t="n">
        <v>1603</v>
      </c>
      <c r="B17" s="458" t="s">
        <v>19925</v>
      </c>
      <c r="C17" s="458" t="n">
        <v>2000</v>
      </c>
      <c r="D17" s="459" t="n">
        <v>36657</v>
      </c>
      <c r="E17" s="458" t="s">
        <v>19926</v>
      </c>
      <c r="F17" s="458" t="s">
        <v>19927</v>
      </c>
      <c r="G17" s="458" t="s">
        <v>144</v>
      </c>
      <c r="H17" s="458" t="s">
        <v>1791</v>
      </c>
      <c r="I17" s="459" t="n">
        <v>37698</v>
      </c>
      <c r="J17" s="460" t="n">
        <v>3</v>
      </c>
      <c r="K17" s="633" t="s">
        <v>47</v>
      </c>
      <c r="L17" s="458" t="s">
        <v>60</v>
      </c>
      <c r="M17" s="463" t="n">
        <f aca="false">I17-D17</f>
        <v>1041</v>
      </c>
      <c r="N17" s="4"/>
      <c r="O17" s="413" t="s">
        <v>2198</v>
      </c>
      <c r="P17" s="413"/>
      <c r="Q17" s="413"/>
      <c r="R17" s="413"/>
      <c r="S17" s="413"/>
    </row>
    <row r="18" customFormat="false" ht="12.75" hidden="false" customHeight="true" outlineLevel="0" collapsed="false">
      <c r="A18" s="602" t="n">
        <v>1703</v>
      </c>
      <c r="B18" s="450" t="s">
        <v>19928</v>
      </c>
      <c r="C18" s="450" t="n">
        <v>2001</v>
      </c>
      <c r="D18" s="451" t="n">
        <v>37111</v>
      </c>
      <c r="E18" s="450" t="s">
        <v>19929</v>
      </c>
      <c r="F18" s="450" t="s">
        <v>18554</v>
      </c>
      <c r="G18" s="450" t="s">
        <v>144</v>
      </c>
      <c r="H18" s="450" t="s">
        <v>19930</v>
      </c>
      <c r="I18" s="451" t="n">
        <v>37705</v>
      </c>
      <c r="J18" s="452" t="n">
        <v>3</v>
      </c>
      <c r="K18" s="634" t="s">
        <v>45</v>
      </c>
      <c r="L18" s="452" t="s">
        <v>58</v>
      </c>
      <c r="M18" s="455" t="n">
        <f aca="false">I18-D18</f>
        <v>594</v>
      </c>
      <c r="N18" s="4"/>
      <c r="O18" s="414" t="s">
        <v>2203</v>
      </c>
      <c r="P18" s="414"/>
      <c r="Q18" s="414"/>
      <c r="R18" s="414"/>
      <c r="S18" s="414"/>
    </row>
    <row r="19" customFormat="false" ht="12.75" hidden="false" customHeight="true" outlineLevel="0" collapsed="false">
      <c r="A19" s="594" t="n">
        <v>1803</v>
      </c>
      <c r="B19" s="458" t="s">
        <v>19931</v>
      </c>
      <c r="C19" s="458" t="n">
        <v>2001</v>
      </c>
      <c r="D19" s="459" t="n">
        <v>36923</v>
      </c>
      <c r="E19" s="458" t="s">
        <v>19932</v>
      </c>
      <c r="F19" s="458" t="s">
        <v>1097</v>
      </c>
      <c r="G19" s="458" t="s">
        <v>144</v>
      </c>
      <c r="H19" s="458" t="s">
        <v>12073</v>
      </c>
      <c r="I19" s="459" t="n">
        <v>37705</v>
      </c>
      <c r="J19" s="460" t="n">
        <v>3</v>
      </c>
      <c r="K19" s="631" t="s">
        <v>42</v>
      </c>
      <c r="L19" s="458" t="s">
        <v>60</v>
      </c>
      <c r="M19" s="463" t="n">
        <f aca="false">I19-D19</f>
        <v>782</v>
      </c>
      <c r="N19" s="4"/>
      <c r="O19" s="413" t="s">
        <v>2207</v>
      </c>
      <c r="P19" s="413"/>
      <c r="Q19" s="413"/>
      <c r="R19" s="413"/>
      <c r="S19" s="413"/>
    </row>
    <row r="20" customFormat="false" ht="12.75" hidden="false" customHeight="true" outlineLevel="0" collapsed="false">
      <c r="A20" s="602" t="n">
        <v>1903</v>
      </c>
      <c r="B20" s="450" t="s">
        <v>19933</v>
      </c>
      <c r="C20" s="450" t="n">
        <v>2001</v>
      </c>
      <c r="D20" s="451" t="n">
        <v>36923</v>
      </c>
      <c r="E20" s="450" t="s">
        <v>19934</v>
      </c>
      <c r="F20" s="450" t="s">
        <v>1097</v>
      </c>
      <c r="G20" s="450" t="s">
        <v>144</v>
      </c>
      <c r="H20" s="450" t="s">
        <v>12073</v>
      </c>
      <c r="I20" s="451" t="n">
        <v>37705</v>
      </c>
      <c r="J20" s="452" t="n">
        <v>3</v>
      </c>
      <c r="K20" s="631" t="s">
        <v>42</v>
      </c>
      <c r="L20" s="452" t="s">
        <v>60</v>
      </c>
      <c r="M20" s="455" t="n">
        <f aca="false">I20-D20</f>
        <v>782</v>
      </c>
      <c r="N20" s="4"/>
      <c r="O20" s="414" t="s">
        <v>2211</v>
      </c>
      <c r="P20" s="414"/>
      <c r="Q20" s="414"/>
      <c r="R20" s="414"/>
      <c r="S20" s="414"/>
    </row>
    <row r="21" customFormat="false" ht="12.75" hidden="false" customHeight="true" outlineLevel="0" collapsed="false">
      <c r="A21" s="594" t="n">
        <v>2003</v>
      </c>
      <c r="B21" s="458" t="s">
        <v>19935</v>
      </c>
      <c r="C21" s="458" t="n">
        <v>1998</v>
      </c>
      <c r="D21" s="459" t="n">
        <v>36132</v>
      </c>
      <c r="E21" s="458" t="s">
        <v>19936</v>
      </c>
      <c r="F21" s="458" t="s">
        <v>19937</v>
      </c>
      <c r="G21" s="458" t="s">
        <v>144</v>
      </c>
      <c r="H21" s="458" t="s">
        <v>373</v>
      </c>
      <c r="I21" s="459" t="n">
        <v>37720</v>
      </c>
      <c r="J21" s="460" t="n">
        <v>4</v>
      </c>
      <c r="K21" s="633" t="s">
        <v>47</v>
      </c>
      <c r="L21" s="458" t="s">
        <v>58</v>
      </c>
      <c r="M21" s="463" t="n">
        <f aca="false">I21-D21</f>
        <v>1588</v>
      </c>
      <c r="N21" s="4"/>
      <c r="O21" s="413" t="s">
        <v>2215</v>
      </c>
      <c r="P21" s="413"/>
      <c r="Q21" s="413"/>
      <c r="R21" s="413"/>
      <c r="S21" s="413"/>
    </row>
    <row r="22" customFormat="false" ht="12.75" hidden="false" customHeight="true" outlineLevel="0" collapsed="false">
      <c r="A22" s="602" t="n">
        <v>2103</v>
      </c>
      <c r="B22" s="450" t="s">
        <v>19938</v>
      </c>
      <c r="C22" s="450" t="n">
        <v>1999</v>
      </c>
      <c r="D22" s="451" t="n">
        <v>36272</v>
      </c>
      <c r="E22" s="450" t="s">
        <v>19939</v>
      </c>
      <c r="F22" s="450" t="s">
        <v>10662</v>
      </c>
      <c r="G22" s="450" t="s">
        <v>144</v>
      </c>
      <c r="H22" s="450" t="s">
        <v>972</v>
      </c>
      <c r="I22" s="451" t="n">
        <v>37720</v>
      </c>
      <c r="J22" s="452" t="n">
        <v>4</v>
      </c>
      <c r="K22" s="633" t="s">
        <v>47</v>
      </c>
      <c r="L22" s="452" t="s">
        <v>60</v>
      </c>
      <c r="M22" s="455" t="n">
        <f aca="false">I22-D22</f>
        <v>1448</v>
      </c>
      <c r="N22" s="4"/>
      <c r="O22" s="414" t="s">
        <v>2220</v>
      </c>
      <c r="P22" s="414"/>
      <c r="Q22" s="414"/>
      <c r="R22" s="414"/>
      <c r="S22" s="414"/>
    </row>
    <row r="23" customFormat="false" ht="12.75" hidden="false" customHeight="true" outlineLevel="0" collapsed="false">
      <c r="A23" s="594" t="n">
        <v>2203</v>
      </c>
      <c r="B23" s="458" t="s">
        <v>19940</v>
      </c>
      <c r="C23" s="458" t="n">
        <v>1999</v>
      </c>
      <c r="D23" s="459" t="n">
        <v>36272</v>
      </c>
      <c r="E23" s="458" t="s">
        <v>19941</v>
      </c>
      <c r="F23" s="458" t="s">
        <v>10662</v>
      </c>
      <c r="G23" s="458" t="s">
        <v>144</v>
      </c>
      <c r="H23" s="458" t="s">
        <v>972</v>
      </c>
      <c r="I23" s="459" t="n">
        <v>37727</v>
      </c>
      <c r="J23" s="460" t="n">
        <v>4</v>
      </c>
      <c r="K23" s="633" t="s">
        <v>47</v>
      </c>
      <c r="L23" s="458" t="s">
        <v>60</v>
      </c>
      <c r="M23" s="463" t="n">
        <f aca="false">I23-D23</f>
        <v>1455</v>
      </c>
      <c r="N23" s="4"/>
      <c r="O23" s="413" t="s">
        <v>18107</v>
      </c>
      <c r="P23" s="413"/>
      <c r="Q23" s="413"/>
      <c r="R23" s="413"/>
      <c r="S23" s="413"/>
    </row>
    <row r="24" customFormat="false" ht="12.75" hidden="false" customHeight="true" outlineLevel="0" collapsed="false">
      <c r="A24" s="602" t="n">
        <v>2303</v>
      </c>
      <c r="B24" s="450" t="s">
        <v>19942</v>
      </c>
      <c r="C24" s="450" t="n">
        <v>2001</v>
      </c>
      <c r="D24" s="451" t="n">
        <v>37035</v>
      </c>
      <c r="E24" s="450" t="s">
        <v>19943</v>
      </c>
      <c r="F24" s="450" t="s">
        <v>705</v>
      </c>
      <c r="G24" s="450" t="s">
        <v>144</v>
      </c>
      <c r="H24" s="450" t="s">
        <v>19944</v>
      </c>
      <c r="I24" s="451" t="n">
        <v>37727</v>
      </c>
      <c r="J24" s="452" t="n">
        <v>4</v>
      </c>
      <c r="K24" s="634" t="s">
        <v>45</v>
      </c>
      <c r="L24" s="452" t="s">
        <v>60</v>
      </c>
      <c r="M24" s="455" t="n">
        <f aca="false">I24-D24</f>
        <v>692</v>
      </c>
      <c r="N24" s="4"/>
      <c r="O24" s="415" t="s">
        <v>2229</v>
      </c>
      <c r="P24" s="415"/>
      <c r="Q24" s="415"/>
      <c r="R24" s="415"/>
      <c r="S24" s="415"/>
    </row>
    <row r="25" customFormat="false" ht="12.75" hidden="false" customHeight="true" outlineLevel="0" collapsed="false">
      <c r="A25" s="594" t="n">
        <v>2403</v>
      </c>
      <c r="B25" s="458" t="s">
        <v>19945</v>
      </c>
      <c r="C25" s="458" t="n">
        <v>2001</v>
      </c>
      <c r="D25" s="459" t="n">
        <v>37035</v>
      </c>
      <c r="E25" s="458" t="s">
        <v>19946</v>
      </c>
      <c r="F25" s="458" t="s">
        <v>19947</v>
      </c>
      <c r="G25" s="458" t="s">
        <v>125</v>
      </c>
      <c r="H25" s="458" t="s">
        <v>391</v>
      </c>
      <c r="I25" s="459" t="n">
        <v>37770</v>
      </c>
      <c r="J25" s="460" t="n">
        <v>5</v>
      </c>
      <c r="K25" s="632" t="s">
        <v>50</v>
      </c>
      <c r="L25" s="458" t="s">
        <v>61</v>
      </c>
      <c r="M25" s="463" t="n">
        <f aca="false">I25-D25</f>
        <v>735</v>
      </c>
      <c r="N25" s="4"/>
      <c r="O25" s="153"/>
      <c r="P25" s="153"/>
      <c r="Q25" s="153"/>
      <c r="R25" s="153"/>
      <c r="S25" s="153"/>
    </row>
    <row r="26" customFormat="false" ht="13.5" hidden="false" customHeight="true" outlineLevel="0" collapsed="false">
      <c r="A26" s="602" t="n">
        <v>2503</v>
      </c>
      <c r="B26" s="450" t="s">
        <v>19948</v>
      </c>
      <c r="C26" s="450" t="n">
        <v>2000</v>
      </c>
      <c r="D26" s="451" t="n">
        <v>36880</v>
      </c>
      <c r="E26" s="450" t="s">
        <v>19949</v>
      </c>
      <c r="F26" s="450" t="s">
        <v>5401</v>
      </c>
      <c r="G26" s="450" t="s">
        <v>1474</v>
      </c>
      <c r="H26" s="450" t="s">
        <v>192</v>
      </c>
      <c r="I26" s="451" t="n">
        <v>37770</v>
      </c>
      <c r="J26" s="452" t="n">
        <v>5</v>
      </c>
      <c r="K26" s="633" t="s">
        <v>47</v>
      </c>
      <c r="L26" s="452" t="s">
        <v>60</v>
      </c>
      <c r="M26" s="455" t="n">
        <f aca="false">I26-D26</f>
        <v>890</v>
      </c>
      <c r="N26" s="4"/>
      <c r="O26" s="326" t="s">
        <v>185</v>
      </c>
      <c r="P26" s="326"/>
      <c r="Q26" s="326"/>
      <c r="R26" s="326"/>
      <c r="S26" s="326"/>
    </row>
    <row r="27" customFormat="false" ht="13.5" hidden="false" customHeight="true" outlineLevel="0" collapsed="false">
      <c r="A27" s="594" t="n">
        <v>2603</v>
      </c>
      <c r="B27" s="458" t="s">
        <v>19950</v>
      </c>
      <c r="C27" s="458" t="n">
        <v>2000</v>
      </c>
      <c r="D27" s="459" t="n">
        <v>36847</v>
      </c>
      <c r="E27" s="458" t="s">
        <v>19951</v>
      </c>
      <c r="F27" s="458" t="s">
        <v>650</v>
      </c>
      <c r="G27" s="458" t="s">
        <v>144</v>
      </c>
      <c r="H27" s="458" t="s">
        <v>19952</v>
      </c>
      <c r="I27" s="459" t="n">
        <v>37770</v>
      </c>
      <c r="J27" s="460" t="n">
        <v>5</v>
      </c>
      <c r="K27" s="633" t="s">
        <v>47</v>
      </c>
      <c r="L27" s="458" t="s">
        <v>60</v>
      </c>
      <c r="M27" s="463" t="n">
        <f aca="false">I27-D27</f>
        <v>923</v>
      </c>
      <c r="N27" s="4"/>
      <c r="O27" s="326"/>
      <c r="P27" s="326"/>
      <c r="Q27" s="326"/>
      <c r="R27" s="326"/>
      <c r="S27" s="326"/>
    </row>
    <row r="28" customFormat="false" ht="12.75" hidden="false" customHeight="true" outlineLevel="0" collapsed="false">
      <c r="A28" s="602" t="n">
        <v>2703</v>
      </c>
      <c r="B28" s="450" t="s">
        <v>19953</v>
      </c>
      <c r="C28" s="450" t="n">
        <v>2000</v>
      </c>
      <c r="D28" s="451" t="n">
        <v>36850</v>
      </c>
      <c r="E28" s="450" t="s">
        <v>17459</v>
      </c>
      <c r="F28" s="450" t="s">
        <v>1097</v>
      </c>
      <c r="G28" s="450" t="s">
        <v>1474</v>
      </c>
      <c r="H28" s="450" t="s">
        <v>16875</v>
      </c>
      <c r="I28" s="451" t="n">
        <v>37790</v>
      </c>
      <c r="J28" s="452" t="n">
        <v>6</v>
      </c>
      <c r="K28" s="632" t="s">
        <v>50</v>
      </c>
      <c r="L28" s="452" t="s">
        <v>60</v>
      </c>
      <c r="M28" s="455" t="n">
        <f aca="false">I28-D28</f>
        <v>940</v>
      </c>
      <c r="N28" s="4"/>
      <c r="O28" s="309" t="s">
        <v>39</v>
      </c>
      <c r="P28" s="416" t="s">
        <v>40</v>
      </c>
      <c r="Q28" s="416"/>
      <c r="R28" s="416"/>
      <c r="S28" s="313" t="s">
        <v>41</v>
      </c>
    </row>
    <row r="29" customFormat="false" ht="12.75" hidden="false" customHeight="true" outlineLevel="0" collapsed="false">
      <c r="A29" s="594" t="n">
        <v>2803</v>
      </c>
      <c r="B29" s="458" t="s">
        <v>19954</v>
      </c>
      <c r="C29" s="458" t="n">
        <v>1998</v>
      </c>
      <c r="D29" s="459" t="n">
        <v>36101</v>
      </c>
      <c r="E29" s="458" t="s">
        <v>19955</v>
      </c>
      <c r="F29" s="458" t="s">
        <v>19622</v>
      </c>
      <c r="G29" s="458" t="s">
        <v>1474</v>
      </c>
      <c r="H29" s="458" t="s">
        <v>14391</v>
      </c>
      <c r="I29" s="459" t="n">
        <v>37804</v>
      </c>
      <c r="J29" s="460" t="n">
        <v>7</v>
      </c>
      <c r="K29" s="631" t="s">
        <v>42</v>
      </c>
      <c r="L29" s="458" t="s">
        <v>58</v>
      </c>
      <c r="M29" s="463" t="n">
        <f aca="false">I29-D29</f>
        <v>1703</v>
      </c>
      <c r="N29" s="4"/>
      <c r="O29" s="283" t="n">
        <v>1991</v>
      </c>
      <c r="P29" s="283" t="n">
        <f aca="false">COUNTIF($C$2:$C$503,"1991")</f>
        <v>0</v>
      </c>
      <c r="Q29" s="283"/>
      <c r="R29" s="283"/>
      <c r="S29" s="315" t="n">
        <f aca="false">P29/P42</f>
        <v>0</v>
      </c>
    </row>
    <row r="30" customFormat="false" ht="12.75" hidden="false" customHeight="true" outlineLevel="0" collapsed="false">
      <c r="A30" s="602" t="n">
        <v>2903</v>
      </c>
      <c r="B30" s="450" t="s">
        <v>19956</v>
      </c>
      <c r="C30" s="450" t="n">
        <v>2000</v>
      </c>
      <c r="D30" s="451" t="n">
        <v>36871</v>
      </c>
      <c r="E30" s="450" t="s">
        <v>19957</v>
      </c>
      <c r="F30" s="450" t="s">
        <v>5401</v>
      </c>
      <c r="G30" s="450" t="s">
        <v>144</v>
      </c>
      <c r="H30" s="450" t="s">
        <v>192</v>
      </c>
      <c r="I30" s="451" t="n">
        <v>37811</v>
      </c>
      <c r="J30" s="452" t="n">
        <v>7</v>
      </c>
      <c r="K30" s="633" t="s">
        <v>47</v>
      </c>
      <c r="L30" s="452" t="s">
        <v>60</v>
      </c>
      <c r="M30" s="455" t="n">
        <f aca="false">I30-D30</f>
        <v>940</v>
      </c>
      <c r="N30" s="4"/>
      <c r="O30" s="282" t="n">
        <v>1992</v>
      </c>
      <c r="P30" s="282" t="n">
        <f aca="false">COUNTIF($C$2:$C$503,"1992")</f>
        <v>0</v>
      </c>
      <c r="Q30" s="282"/>
      <c r="R30" s="282"/>
      <c r="S30" s="316" t="n">
        <f aca="false">P30/P42</f>
        <v>0</v>
      </c>
    </row>
    <row r="31" customFormat="false" ht="12.75" hidden="false" customHeight="true" outlineLevel="0" collapsed="false">
      <c r="A31" s="594" t="n">
        <v>3003</v>
      </c>
      <c r="B31" s="458" t="s">
        <v>19958</v>
      </c>
      <c r="C31" s="458" t="n">
        <v>2002</v>
      </c>
      <c r="D31" s="459" t="n">
        <v>37372</v>
      </c>
      <c r="E31" s="458" t="s">
        <v>19959</v>
      </c>
      <c r="F31" s="458" t="s">
        <v>3946</v>
      </c>
      <c r="G31" s="458" t="s">
        <v>125</v>
      </c>
      <c r="H31" s="458" t="s">
        <v>19960</v>
      </c>
      <c r="I31" s="459" t="n">
        <v>37811</v>
      </c>
      <c r="J31" s="460" t="n">
        <v>7</v>
      </c>
      <c r="K31" s="633" t="s">
        <v>47</v>
      </c>
      <c r="L31" s="458" t="s">
        <v>61</v>
      </c>
      <c r="M31" s="463" t="n">
        <f aca="false">I31-D31</f>
        <v>439</v>
      </c>
      <c r="N31" s="4"/>
      <c r="O31" s="283" t="n">
        <v>1993</v>
      </c>
      <c r="P31" s="283" t="n">
        <f aca="false">COUNTIF($C$2:$C$503,"1993")</f>
        <v>1</v>
      </c>
      <c r="Q31" s="283"/>
      <c r="R31" s="283"/>
      <c r="S31" s="315" t="n">
        <f aca="false">P31/P42</f>
        <v>0.012987012987013</v>
      </c>
    </row>
    <row r="32" customFormat="false" ht="12.75" hidden="false" customHeight="true" outlineLevel="0" collapsed="false">
      <c r="A32" s="602" t="n">
        <v>3103</v>
      </c>
      <c r="B32" s="450" t="s">
        <v>19961</v>
      </c>
      <c r="C32" s="450" t="n">
        <v>2000</v>
      </c>
      <c r="D32" s="451" t="n">
        <v>36707</v>
      </c>
      <c r="E32" s="450" t="s">
        <v>19962</v>
      </c>
      <c r="F32" s="450" t="s">
        <v>16764</v>
      </c>
      <c r="G32" s="450" t="s">
        <v>144</v>
      </c>
      <c r="H32" s="450" t="s">
        <v>14391</v>
      </c>
      <c r="I32" s="451" t="n">
        <v>37811</v>
      </c>
      <c r="J32" s="452" t="n">
        <v>7</v>
      </c>
      <c r="K32" s="633" t="s">
        <v>47</v>
      </c>
      <c r="L32" s="452" t="s">
        <v>60</v>
      </c>
      <c r="M32" s="455" t="n">
        <f aca="false">I32-D32</f>
        <v>1104</v>
      </c>
      <c r="N32" s="4"/>
      <c r="O32" s="282" t="n">
        <v>1994</v>
      </c>
      <c r="P32" s="282" t="n">
        <f aca="false">COUNTIF($C$2:$C$503,"1994")</f>
        <v>1</v>
      </c>
      <c r="Q32" s="282"/>
      <c r="R32" s="282"/>
      <c r="S32" s="316" t="n">
        <f aca="false">P32/P42</f>
        <v>0.012987012987013</v>
      </c>
    </row>
    <row r="33" customFormat="false" ht="12.75" hidden="false" customHeight="true" outlineLevel="0" collapsed="false">
      <c r="A33" s="594" t="n">
        <v>3203</v>
      </c>
      <c r="B33" s="458" t="s">
        <v>19963</v>
      </c>
      <c r="C33" s="458" t="n">
        <v>1998</v>
      </c>
      <c r="D33" s="459" t="n">
        <v>36130</v>
      </c>
      <c r="E33" s="458" t="s">
        <v>19964</v>
      </c>
      <c r="F33" s="458" t="s">
        <v>1693</v>
      </c>
      <c r="G33" s="458" t="s">
        <v>144</v>
      </c>
      <c r="H33" s="458" t="s">
        <v>10110</v>
      </c>
      <c r="I33" s="459" t="n">
        <v>37824</v>
      </c>
      <c r="J33" s="460" t="n">
        <v>7</v>
      </c>
      <c r="K33" s="633" t="s">
        <v>47</v>
      </c>
      <c r="L33" s="458" t="s">
        <v>60</v>
      </c>
      <c r="M33" s="463" t="n">
        <f aca="false">I33-D33</f>
        <v>1694</v>
      </c>
      <c r="N33" s="4"/>
      <c r="O33" s="283" t="n">
        <v>1995</v>
      </c>
      <c r="P33" s="283" t="n">
        <f aca="false">COUNTIF($C$2:$C$503,"1995")</f>
        <v>3</v>
      </c>
      <c r="Q33" s="283"/>
      <c r="R33" s="283"/>
      <c r="S33" s="315" t="n">
        <f aca="false">P33/P42</f>
        <v>0.038961038961039</v>
      </c>
    </row>
    <row r="34" customFormat="false" ht="12.75" hidden="false" customHeight="true" outlineLevel="0" collapsed="false">
      <c r="A34" s="602" t="n">
        <v>3303</v>
      </c>
      <c r="B34" s="450" t="s">
        <v>19965</v>
      </c>
      <c r="C34" s="450" t="n">
        <v>1994</v>
      </c>
      <c r="D34" s="451" t="n">
        <v>34680</v>
      </c>
      <c r="E34" s="450" t="s">
        <v>19966</v>
      </c>
      <c r="F34" s="450" t="s">
        <v>1387</v>
      </c>
      <c r="G34" s="450" t="s">
        <v>144</v>
      </c>
      <c r="H34" s="450" t="s">
        <v>13028</v>
      </c>
      <c r="I34" s="451" t="n">
        <v>37824</v>
      </c>
      <c r="J34" s="452" t="n">
        <v>7</v>
      </c>
      <c r="K34" s="632" t="s">
        <v>50</v>
      </c>
      <c r="L34" s="452" t="s">
        <v>60</v>
      </c>
      <c r="M34" s="455" t="n">
        <f aca="false">I34-D34</f>
        <v>3144</v>
      </c>
      <c r="N34" s="4"/>
      <c r="O34" s="282" t="n">
        <v>1996</v>
      </c>
      <c r="P34" s="282" t="n">
        <f aca="false">COUNTIF($C$2:$C$503,"1996")</f>
        <v>0</v>
      </c>
      <c r="Q34" s="282"/>
      <c r="R34" s="282"/>
      <c r="S34" s="316" t="n">
        <f aca="false">P34/P42</f>
        <v>0</v>
      </c>
    </row>
    <row r="35" customFormat="false" ht="12.75" hidden="false" customHeight="true" outlineLevel="0" collapsed="false">
      <c r="A35" s="594" t="n">
        <v>3403</v>
      </c>
      <c r="B35" s="458" t="s">
        <v>19967</v>
      </c>
      <c r="C35" s="458" t="n">
        <v>2000</v>
      </c>
      <c r="D35" s="459" t="n">
        <v>36874</v>
      </c>
      <c r="E35" s="458" t="s">
        <v>19968</v>
      </c>
      <c r="F35" s="458" t="s">
        <v>19693</v>
      </c>
      <c r="G35" s="458" t="s">
        <v>1188</v>
      </c>
      <c r="H35" s="458" t="s">
        <v>134</v>
      </c>
      <c r="I35" s="459" t="n">
        <v>37824</v>
      </c>
      <c r="J35" s="460" t="n">
        <v>7</v>
      </c>
      <c r="K35" s="633" t="s">
        <v>47</v>
      </c>
      <c r="L35" s="458" t="s">
        <v>60</v>
      </c>
      <c r="M35" s="463" t="n">
        <f aca="false">I35-D35</f>
        <v>950</v>
      </c>
      <c r="N35" s="4"/>
      <c r="O35" s="283" t="n">
        <v>1997</v>
      </c>
      <c r="P35" s="283" t="n">
        <f aca="false">COUNTIF($C$2:$C$503,"1997")</f>
        <v>0</v>
      </c>
      <c r="Q35" s="283"/>
      <c r="R35" s="283"/>
      <c r="S35" s="315" t="n">
        <f aca="false">P35/P42</f>
        <v>0</v>
      </c>
    </row>
    <row r="36" customFormat="false" ht="12.75" hidden="false" customHeight="true" outlineLevel="0" collapsed="false">
      <c r="A36" s="602" t="n">
        <v>3503</v>
      </c>
      <c r="B36" s="450" t="s">
        <v>19969</v>
      </c>
      <c r="C36" s="450" t="n">
        <v>2001</v>
      </c>
      <c r="D36" s="451" t="n">
        <v>37113</v>
      </c>
      <c r="E36" s="450" t="s">
        <v>19970</v>
      </c>
      <c r="F36" s="450" t="s">
        <v>10808</v>
      </c>
      <c r="G36" s="450" t="s">
        <v>125</v>
      </c>
      <c r="H36" s="450" t="s">
        <v>19839</v>
      </c>
      <c r="I36" s="451" t="n">
        <v>37827</v>
      </c>
      <c r="J36" s="452" t="n">
        <v>7</v>
      </c>
      <c r="K36" s="632" t="s">
        <v>50</v>
      </c>
      <c r="L36" s="452" t="s">
        <v>61</v>
      </c>
      <c r="M36" s="455" t="n">
        <f aca="false">I36-D36</f>
        <v>714</v>
      </c>
      <c r="N36" s="4"/>
      <c r="O36" s="282" t="n">
        <v>1998</v>
      </c>
      <c r="P36" s="282" t="n">
        <f aca="false">COUNTIF($C$2:$C$503,"1998")</f>
        <v>6</v>
      </c>
      <c r="Q36" s="282"/>
      <c r="R36" s="282"/>
      <c r="S36" s="316" t="n">
        <f aca="false">P36/P42</f>
        <v>0.0779220779220779</v>
      </c>
    </row>
    <row r="37" customFormat="false" ht="15" hidden="false" customHeight="true" outlineLevel="0" collapsed="false">
      <c r="A37" s="594" t="n">
        <v>3603</v>
      </c>
      <c r="B37" s="458" t="s">
        <v>19971</v>
      </c>
      <c r="C37" s="458" t="n">
        <v>1999</v>
      </c>
      <c r="D37" s="459" t="n">
        <v>36270</v>
      </c>
      <c r="E37" s="458" t="s">
        <v>19972</v>
      </c>
      <c r="F37" s="458" t="s">
        <v>699</v>
      </c>
      <c r="G37" s="458" t="s">
        <v>1474</v>
      </c>
      <c r="H37" s="458" t="s">
        <v>3339</v>
      </c>
      <c r="I37" s="459" t="n">
        <v>37831</v>
      </c>
      <c r="J37" s="460" t="n">
        <v>7</v>
      </c>
      <c r="K37" s="631" t="s">
        <v>42</v>
      </c>
      <c r="L37" s="458" t="s">
        <v>60</v>
      </c>
      <c r="M37" s="463" t="n">
        <f aca="false">I37-D37</f>
        <v>1561</v>
      </c>
      <c r="N37" s="4"/>
      <c r="O37" s="283" t="n">
        <v>1999</v>
      </c>
      <c r="P37" s="283" t="n">
        <f aca="false">COUNTIF($C$2:$C$503,"1999")</f>
        <v>6</v>
      </c>
      <c r="Q37" s="283"/>
      <c r="R37" s="283"/>
      <c r="S37" s="315" t="n">
        <f aca="false">P37/P42</f>
        <v>0.0779220779220779</v>
      </c>
    </row>
    <row r="38" customFormat="false" ht="12.75" hidden="false" customHeight="true" outlineLevel="0" collapsed="false">
      <c r="A38" s="602" t="n">
        <v>3703</v>
      </c>
      <c r="B38" s="450" t="s">
        <v>19973</v>
      </c>
      <c r="C38" s="450" t="n">
        <v>2000</v>
      </c>
      <c r="D38" s="451" t="n">
        <v>36882</v>
      </c>
      <c r="E38" s="450" t="s">
        <v>19974</v>
      </c>
      <c r="F38" s="450" t="s">
        <v>699</v>
      </c>
      <c r="G38" s="450" t="s">
        <v>1474</v>
      </c>
      <c r="H38" s="450" t="s">
        <v>18397</v>
      </c>
      <c r="I38" s="451" t="n">
        <v>37839</v>
      </c>
      <c r="J38" s="452" t="n">
        <v>8</v>
      </c>
      <c r="K38" s="631" t="s">
        <v>42</v>
      </c>
      <c r="L38" s="452" t="s">
        <v>60</v>
      </c>
      <c r="M38" s="455" t="n">
        <f aca="false">I38-D38</f>
        <v>957</v>
      </c>
      <c r="N38" s="4"/>
      <c r="O38" s="282" t="n">
        <v>2000</v>
      </c>
      <c r="P38" s="282" t="n">
        <f aca="false">COUNTIF($C$2:$C$503,"2000")</f>
        <v>19</v>
      </c>
      <c r="Q38" s="282"/>
      <c r="R38" s="282"/>
      <c r="S38" s="316" t="n">
        <f aca="false">P38/P42</f>
        <v>0.246753246753247</v>
      </c>
    </row>
    <row r="39" customFormat="false" ht="12.75" hidden="false" customHeight="true" outlineLevel="0" collapsed="false">
      <c r="A39" s="594" t="n">
        <v>3803</v>
      </c>
      <c r="B39" s="458" t="s">
        <v>19975</v>
      </c>
      <c r="C39" s="458" t="n">
        <v>2000</v>
      </c>
      <c r="D39" s="459" t="n">
        <v>36880</v>
      </c>
      <c r="E39" s="458" t="s">
        <v>19976</v>
      </c>
      <c r="F39" s="458" t="s">
        <v>19977</v>
      </c>
      <c r="G39" s="458" t="s">
        <v>1474</v>
      </c>
      <c r="H39" s="458" t="s">
        <v>192</v>
      </c>
      <c r="I39" s="459" t="n">
        <v>37839</v>
      </c>
      <c r="J39" s="460" t="n">
        <v>8</v>
      </c>
      <c r="K39" s="631" t="s">
        <v>42</v>
      </c>
      <c r="L39" s="458" t="s">
        <v>57</v>
      </c>
      <c r="M39" s="463" t="n">
        <f aca="false">I39-D39</f>
        <v>959</v>
      </c>
      <c r="N39" s="4"/>
      <c r="O39" s="283" t="n">
        <v>2001</v>
      </c>
      <c r="P39" s="283" t="n">
        <f aca="false">COUNTIF($C$2:$C$503,"2001")</f>
        <v>31</v>
      </c>
      <c r="Q39" s="283"/>
      <c r="R39" s="283"/>
      <c r="S39" s="315" t="n">
        <f aca="false">P39/P42</f>
        <v>0.402597402597403</v>
      </c>
    </row>
    <row r="40" customFormat="false" ht="12.75" hidden="false" customHeight="true" outlineLevel="0" collapsed="false">
      <c r="A40" s="602" t="n">
        <v>3903</v>
      </c>
      <c r="B40" s="450" t="s">
        <v>19978</v>
      </c>
      <c r="C40" s="450" t="n">
        <v>2001</v>
      </c>
      <c r="D40" s="451" t="n">
        <v>37028</v>
      </c>
      <c r="E40" s="450" t="s">
        <v>19979</v>
      </c>
      <c r="F40" s="450" t="s">
        <v>4270</v>
      </c>
      <c r="G40" s="450" t="s">
        <v>1474</v>
      </c>
      <c r="H40" s="450" t="s">
        <v>19980</v>
      </c>
      <c r="I40" s="451" t="n">
        <v>37839</v>
      </c>
      <c r="J40" s="452" t="n">
        <v>8</v>
      </c>
      <c r="K40" s="631" t="s">
        <v>42</v>
      </c>
      <c r="L40" s="452" t="s">
        <v>60</v>
      </c>
      <c r="M40" s="455" t="n">
        <f aca="false">I40-D40</f>
        <v>811</v>
      </c>
      <c r="N40" s="4"/>
      <c r="O40" s="282" t="n">
        <v>2002</v>
      </c>
      <c r="P40" s="282" t="n">
        <f aca="false">COUNTIF($C$2:$C$503,"2002")</f>
        <v>8</v>
      </c>
      <c r="Q40" s="282"/>
      <c r="R40" s="282"/>
      <c r="S40" s="316" t="n">
        <f aca="false">P40/P42</f>
        <v>0.103896103896104</v>
      </c>
    </row>
    <row r="41" customFormat="false" ht="12.75" hidden="false" customHeight="true" outlineLevel="0" collapsed="false">
      <c r="A41" s="594" t="n">
        <v>4003</v>
      </c>
      <c r="B41" s="458" t="s">
        <v>19981</v>
      </c>
      <c r="C41" s="458" t="n">
        <v>2001</v>
      </c>
      <c r="D41" s="459" t="n">
        <v>37161</v>
      </c>
      <c r="E41" s="458" t="s">
        <v>19982</v>
      </c>
      <c r="F41" s="458" t="s">
        <v>4270</v>
      </c>
      <c r="G41" s="458" t="s">
        <v>1474</v>
      </c>
      <c r="H41" s="458" t="s">
        <v>14391</v>
      </c>
      <c r="I41" s="459" t="n">
        <v>37839</v>
      </c>
      <c r="J41" s="460" t="n">
        <v>8</v>
      </c>
      <c r="K41" s="631" t="s">
        <v>42</v>
      </c>
      <c r="L41" s="458" t="s">
        <v>60</v>
      </c>
      <c r="M41" s="463" t="n">
        <f aca="false">I41-D41</f>
        <v>678</v>
      </c>
      <c r="N41" s="4"/>
      <c r="O41" s="283" t="n">
        <v>2003</v>
      </c>
      <c r="P41" s="283" t="n">
        <f aca="false">COUNTIF($C$2:$C$503,"2003")</f>
        <v>2</v>
      </c>
      <c r="Q41" s="283"/>
      <c r="R41" s="283"/>
      <c r="S41" s="315" t="n">
        <f aca="false">P41/P42</f>
        <v>0.025974025974026</v>
      </c>
    </row>
    <row r="42" customFormat="false" ht="12.75" hidden="false" customHeight="true" outlineLevel="0" collapsed="false">
      <c r="A42" s="602" t="n">
        <v>4103</v>
      </c>
      <c r="B42" s="450" t="s">
        <v>19983</v>
      </c>
      <c r="C42" s="450" t="n">
        <v>1995</v>
      </c>
      <c r="D42" s="451" t="n">
        <v>34702</v>
      </c>
      <c r="E42" s="450" t="s">
        <v>19984</v>
      </c>
      <c r="F42" s="450" t="s">
        <v>7420</v>
      </c>
      <c r="G42" s="450" t="s">
        <v>144</v>
      </c>
      <c r="H42" s="450" t="s">
        <v>18397</v>
      </c>
      <c r="I42" s="451" t="n">
        <v>37851</v>
      </c>
      <c r="J42" s="452" t="n">
        <v>8</v>
      </c>
      <c r="K42" s="632" t="s">
        <v>50</v>
      </c>
      <c r="L42" s="452" t="s">
        <v>60</v>
      </c>
      <c r="M42" s="455" t="n">
        <f aca="false">I42-D42</f>
        <v>3149</v>
      </c>
      <c r="N42" s="4"/>
      <c r="O42" s="323" t="s">
        <v>56</v>
      </c>
      <c r="P42" s="418" t="n">
        <f aca="false">SUM(P29:R41)</f>
        <v>77</v>
      </c>
      <c r="Q42" s="418"/>
      <c r="R42" s="418"/>
      <c r="S42" s="325" t="n">
        <f aca="false">SUM(S29:S41)</f>
        <v>1</v>
      </c>
    </row>
    <row r="43" customFormat="false" ht="15" hidden="false" customHeight="true" outlineLevel="0" collapsed="false">
      <c r="A43" s="594" t="n">
        <v>4203</v>
      </c>
      <c r="B43" s="458" t="s">
        <v>19985</v>
      </c>
      <c r="C43" s="458" t="n">
        <v>1993</v>
      </c>
      <c r="D43" s="459" t="n">
        <v>34079</v>
      </c>
      <c r="E43" s="458" t="s">
        <v>19986</v>
      </c>
      <c r="F43" s="458" t="s">
        <v>17849</v>
      </c>
      <c r="G43" s="458" t="s">
        <v>1474</v>
      </c>
      <c r="H43" s="458" t="s">
        <v>19987</v>
      </c>
      <c r="I43" s="459" t="n">
        <v>37867</v>
      </c>
      <c r="J43" s="460" t="n">
        <v>9</v>
      </c>
      <c r="K43" s="633" t="s">
        <v>47</v>
      </c>
      <c r="L43" s="458" t="s">
        <v>60</v>
      </c>
      <c r="M43" s="463" t="n">
        <f aca="false">I43-D43</f>
        <v>3788</v>
      </c>
      <c r="N43" s="4"/>
      <c r="O43" s="153"/>
      <c r="P43" s="153"/>
      <c r="Q43" s="153"/>
      <c r="R43" s="153"/>
      <c r="S43" s="153"/>
    </row>
    <row r="44" customFormat="false" ht="15" hidden="false" customHeight="true" outlineLevel="0" collapsed="false">
      <c r="A44" s="602" t="n">
        <v>4303</v>
      </c>
      <c r="B44" s="450" t="s">
        <v>19988</v>
      </c>
      <c r="C44" s="450" t="n">
        <v>2000</v>
      </c>
      <c r="D44" s="451" t="n">
        <v>36882</v>
      </c>
      <c r="E44" s="450" t="s">
        <v>19989</v>
      </c>
      <c r="F44" s="450" t="s">
        <v>5401</v>
      </c>
      <c r="G44" s="450" t="s">
        <v>1474</v>
      </c>
      <c r="H44" s="450" t="s">
        <v>18397</v>
      </c>
      <c r="I44" s="451" t="n">
        <v>37873</v>
      </c>
      <c r="J44" s="452" t="n">
        <v>9</v>
      </c>
      <c r="K44" s="633" t="s">
        <v>47</v>
      </c>
      <c r="L44" s="452" t="s">
        <v>60</v>
      </c>
      <c r="M44" s="455" t="n">
        <f aca="false">I44-D44</f>
        <v>991</v>
      </c>
      <c r="N44" s="4"/>
      <c r="O44" s="326" t="s">
        <v>272</v>
      </c>
      <c r="P44" s="326"/>
      <c r="Q44" s="326"/>
      <c r="R44" s="326"/>
      <c r="S44" s="326"/>
    </row>
    <row r="45" customFormat="false" ht="13.5" hidden="false" customHeight="true" outlineLevel="0" collapsed="false">
      <c r="A45" s="594" t="n">
        <v>4403</v>
      </c>
      <c r="B45" s="458" t="s">
        <v>19990</v>
      </c>
      <c r="C45" s="458" t="n">
        <v>2001</v>
      </c>
      <c r="D45" s="459" t="n">
        <v>37189</v>
      </c>
      <c r="E45" s="458" t="s">
        <v>19991</v>
      </c>
      <c r="F45" s="458" t="s">
        <v>19992</v>
      </c>
      <c r="G45" s="458" t="s">
        <v>125</v>
      </c>
      <c r="H45" s="458" t="s">
        <v>19993</v>
      </c>
      <c r="I45" s="459" t="n">
        <v>37887</v>
      </c>
      <c r="J45" s="460" t="n">
        <v>9</v>
      </c>
      <c r="K45" s="632" t="s">
        <v>50</v>
      </c>
      <c r="L45" s="458" t="s">
        <v>61</v>
      </c>
      <c r="M45" s="463" t="n">
        <f aca="false">I45-D45</f>
        <v>698</v>
      </c>
      <c r="N45" s="4"/>
      <c r="O45" s="326"/>
      <c r="P45" s="326"/>
      <c r="Q45" s="326"/>
      <c r="R45" s="326"/>
      <c r="S45" s="326"/>
    </row>
    <row r="46" customFormat="false" ht="12.75" hidden="false" customHeight="true" outlineLevel="0" collapsed="false">
      <c r="A46" s="602" t="n">
        <v>4503</v>
      </c>
      <c r="B46" s="450" t="s">
        <v>19994</v>
      </c>
      <c r="C46" s="450" t="n">
        <v>2001</v>
      </c>
      <c r="D46" s="451" t="n">
        <v>37035</v>
      </c>
      <c r="E46" s="450" t="s">
        <v>19995</v>
      </c>
      <c r="F46" s="450" t="s">
        <v>19996</v>
      </c>
      <c r="G46" s="450" t="s">
        <v>144</v>
      </c>
      <c r="H46" s="450" t="s">
        <v>14391</v>
      </c>
      <c r="I46" s="451" t="n">
        <v>37887</v>
      </c>
      <c r="J46" s="452" t="n">
        <v>9</v>
      </c>
      <c r="K46" s="633" t="s">
        <v>47</v>
      </c>
      <c r="L46" s="452" t="s">
        <v>60</v>
      </c>
      <c r="M46" s="455" t="n">
        <f aca="false">I46-D46</f>
        <v>852</v>
      </c>
      <c r="N46" s="4"/>
      <c r="O46" s="309" t="s">
        <v>100</v>
      </c>
      <c r="P46" s="416" t="s">
        <v>40</v>
      </c>
      <c r="Q46" s="416"/>
      <c r="R46" s="416"/>
      <c r="S46" s="313" t="s">
        <v>41</v>
      </c>
    </row>
    <row r="47" customFormat="false" ht="12.75" hidden="false" customHeight="true" outlineLevel="0" collapsed="false">
      <c r="A47" s="594" t="n">
        <v>4603</v>
      </c>
      <c r="B47" s="458" t="s">
        <v>19997</v>
      </c>
      <c r="C47" s="458" t="n">
        <v>2000</v>
      </c>
      <c r="D47" s="459" t="n">
        <v>36882</v>
      </c>
      <c r="E47" s="458" t="s">
        <v>19998</v>
      </c>
      <c r="F47" s="458" t="s">
        <v>1080</v>
      </c>
      <c r="G47" s="458" t="s">
        <v>1474</v>
      </c>
      <c r="H47" s="458" t="s">
        <v>18397</v>
      </c>
      <c r="I47" s="459" t="n">
        <v>37900</v>
      </c>
      <c r="J47" s="460" t="n">
        <v>10</v>
      </c>
      <c r="K47" s="634" t="s">
        <v>45</v>
      </c>
      <c r="L47" s="458" t="s">
        <v>58</v>
      </c>
      <c r="M47" s="463" t="n">
        <f aca="false">I47-D47</f>
        <v>1018</v>
      </c>
      <c r="N47" s="4"/>
      <c r="O47" s="314" t="s">
        <v>63</v>
      </c>
      <c r="P47" s="314" t="n">
        <f aca="false">COUNTIF($J$2:$J$476,"1")</f>
        <v>7</v>
      </c>
      <c r="Q47" s="314"/>
      <c r="R47" s="314"/>
      <c r="S47" s="469" t="n">
        <f aca="false">(P47/P59)</f>
        <v>0.0909090909090909</v>
      </c>
    </row>
    <row r="48" customFormat="false" ht="12.75" hidden="false" customHeight="true" outlineLevel="0" collapsed="false">
      <c r="A48" s="602" t="n">
        <v>4703</v>
      </c>
      <c r="B48" s="450" t="s">
        <v>19999</v>
      </c>
      <c r="C48" s="450" t="n">
        <v>2000</v>
      </c>
      <c r="D48" s="451" t="n">
        <v>36882</v>
      </c>
      <c r="E48" s="450" t="s">
        <v>20000</v>
      </c>
      <c r="F48" s="450" t="s">
        <v>699</v>
      </c>
      <c r="G48" s="450" t="s">
        <v>1474</v>
      </c>
      <c r="H48" s="450" t="s">
        <v>18397</v>
      </c>
      <c r="I48" s="451" t="n">
        <v>37903</v>
      </c>
      <c r="J48" s="452" t="n">
        <v>10</v>
      </c>
      <c r="K48" s="631" t="s">
        <v>42</v>
      </c>
      <c r="L48" s="452" t="s">
        <v>60</v>
      </c>
      <c r="M48" s="455" t="n">
        <f aca="false">I48-D48</f>
        <v>1021</v>
      </c>
      <c r="N48" s="4"/>
      <c r="O48" s="282" t="s">
        <v>64</v>
      </c>
      <c r="P48" s="282" t="n">
        <f aca="false">COUNTIF($J$2:$J$476,"2")</f>
        <v>6</v>
      </c>
      <c r="Q48" s="282"/>
      <c r="R48" s="282"/>
      <c r="S48" s="316" t="n">
        <f aca="false">(P48/P59)</f>
        <v>0.0779220779220779</v>
      </c>
    </row>
    <row r="49" customFormat="false" ht="12.75" hidden="false" customHeight="true" outlineLevel="0" collapsed="false">
      <c r="A49" s="594" t="n">
        <v>4803</v>
      </c>
      <c r="B49" s="458" t="s">
        <v>20001</v>
      </c>
      <c r="C49" s="458" t="n">
        <v>2000</v>
      </c>
      <c r="D49" s="459" t="n">
        <v>36882</v>
      </c>
      <c r="E49" s="458" t="s">
        <v>20002</v>
      </c>
      <c r="F49" s="458" t="s">
        <v>5401</v>
      </c>
      <c r="G49" s="458" t="s">
        <v>144</v>
      </c>
      <c r="H49" s="458" t="s">
        <v>18397</v>
      </c>
      <c r="I49" s="459" t="n">
        <v>37903</v>
      </c>
      <c r="J49" s="460" t="n">
        <v>10</v>
      </c>
      <c r="K49" s="633" t="s">
        <v>47</v>
      </c>
      <c r="L49" s="458" t="s">
        <v>60</v>
      </c>
      <c r="M49" s="463" t="n">
        <f aca="false">I49-D49</f>
        <v>1021</v>
      </c>
      <c r="N49" s="4"/>
      <c r="O49" s="283" t="s">
        <v>66</v>
      </c>
      <c r="P49" s="283" t="n">
        <f aca="false">COUNTIF($J$2:$J$476,"3")</f>
        <v>6</v>
      </c>
      <c r="Q49" s="283"/>
      <c r="R49" s="283"/>
      <c r="S49" s="315" t="n">
        <f aca="false">(P49/P59)</f>
        <v>0.0779220779220779</v>
      </c>
      <c r="T49" s="153"/>
    </row>
    <row r="50" customFormat="false" ht="12.75" hidden="false" customHeight="true" outlineLevel="0" collapsed="false">
      <c r="A50" s="602" t="n">
        <v>4903</v>
      </c>
      <c r="B50" s="450" t="s">
        <v>20003</v>
      </c>
      <c r="C50" s="450" t="n">
        <v>2003</v>
      </c>
      <c r="D50" s="451" t="n">
        <v>37789</v>
      </c>
      <c r="E50" s="450" t="s">
        <v>20004</v>
      </c>
      <c r="F50" s="450" t="s">
        <v>20005</v>
      </c>
      <c r="G50" s="450" t="s">
        <v>144</v>
      </c>
      <c r="H50" s="450" t="s">
        <v>119</v>
      </c>
      <c r="I50" s="451" t="n">
        <v>37903</v>
      </c>
      <c r="J50" s="452" t="n">
        <v>10</v>
      </c>
      <c r="K50" s="633" t="s">
        <v>47</v>
      </c>
      <c r="L50" s="452" t="s">
        <v>58</v>
      </c>
      <c r="M50" s="455" t="n">
        <f aca="false">I50-D50</f>
        <v>114</v>
      </c>
      <c r="N50" s="4"/>
      <c r="O50" s="282" t="s">
        <v>67</v>
      </c>
      <c r="P50" s="282" t="n">
        <f aca="false">COUNTIF($J$2:$J$476,"4")</f>
        <v>4</v>
      </c>
      <c r="Q50" s="282"/>
      <c r="R50" s="282"/>
      <c r="S50" s="316" t="n">
        <f aca="false">(P50/P59)</f>
        <v>0.051948051948052</v>
      </c>
      <c r="T50" s="153"/>
    </row>
    <row r="51" customFormat="false" ht="12.75" hidden="false" customHeight="true" outlineLevel="0" collapsed="false">
      <c r="A51" s="594" t="n">
        <v>5003</v>
      </c>
      <c r="B51" s="458" t="s">
        <v>20006</v>
      </c>
      <c r="C51" s="458" t="n">
        <v>2002</v>
      </c>
      <c r="D51" s="459" t="n">
        <v>37515</v>
      </c>
      <c r="E51" s="458" t="s">
        <v>20007</v>
      </c>
      <c r="F51" s="458" t="s">
        <v>20008</v>
      </c>
      <c r="G51" s="458" t="s">
        <v>144</v>
      </c>
      <c r="H51" s="458" t="s">
        <v>119</v>
      </c>
      <c r="I51" s="459" t="n">
        <v>37903</v>
      </c>
      <c r="J51" s="460" t="n">
        <v>10</v>
      </c>
      <c r="K51" s="633" t="s">
        <v>47</v>
      </c>
      <c r="L51" s="458" t="s">
        <v>58</v>
      </c>
      <c r="M51" s="463" t="n">
        <f aca="false">I51-D51</f>
        <v>388</v>
      </c>
      <c r="N51" s="4"/>
      <c r="O51" s="283" t="s">
        <v>68</v>
      </c>
      <c r="P51" s="283" t="n">
        <f aca="false">COUNTIF($J$2:$J$476,"5")</f>
        <v>3</v>
      </c>
      <c r="Q51" s="283"/>
      <c r="R51" s="283"/>
      <c r="S51" s="315" t="n">
        <f aca="false">(P51/P59)</f>
        <v>0.038961038961039</v>
      </c>
      <c r="T51" s="153"/>
    </row>
    <row r="52" customFormat="false" ht="12.75" hidden="false" customHeight="true" outlineLevel="0" collapsed="false">
      <c r="A52" s="602" t="n">
        <v>5103</v>
      </c>
      <c r="B52" s="450" t="s">
        <v>20009</v>
      </c>
      <c r="C52" s="450" t="n">
        <v>2001</v>
      </c>
      <c r="D52" s="451" t="n">
        <v>37160</v>
      </c>
      <c r="E52" s="450" t="s">
        <v>20010</v>
      </c>
      <c r="F52" s="450" t="s">
        <v>8232</v>
      </c>
      <c r="G52" s="450" t="s">
        <v>1474</v>
      </c>
      <c r="H52" s="450" t="s">
        <v>2654</v>
      </c>
      <c r="I52" s="451" t="n">
        <v>37903</v>
      </c>
      <c r="J52" s="452" t="n">
        <v>10</v>
      </c>
      <c r="K52" s="633" t="s">
        <v>47</v>
      </c>
      <c r="L52" s="452" t="s">
        <v>60</v>
      </c>
      <c r="M52" s="455" t="n">
        <f aca="false">I52-D52</f>
        <v>743</v>
      </c>
      <c r="N52" s="4"/>
      <c r="O52" s="282" t="s">
        <v>70</v>
      </c>
      <c r="P52" s="282" t="n">
        <f aca="false">COUNTIF($J$2:$J$476,"6")</f>
        <v>1</v>
      </c>
      <c r="Q52" s="282"/>
      <c r="R52" s="282"/>
      <c r="S52" s="316" t="n">
        <f aca="false">(P52/P59)</f>
        <v>0.012987012987013</v>
      </c>
      <c r="T52" s="153"/>
    </row>
    <row r="53" customFormat="false" ht="12.75" hidden="false" customHeight="true" outlineLevel="0" collapsed="false">
      <c r="A53" s="594" t="n">
        <v>5203</v>
      </c>
      <c r="B53" s="458" t="s">
        <v>20011</v>
      </c>
      <c r="C53" s="458" t="n">
        <v>2001</v>
      </c>
      <c r="D53" s="459" t="n">
        <v>37139</v>
      </c>
      <c r="E53" s="458" t="s">
        <v>20012</v>
      </c>
      <c r="F53" s="458" t="s">
        <v>20013</v>
      </c>
      <c r="G53" s="458" t="s">
        <v>144</v>
      </c>
      <c r="H53" s="458" t="s">
        <v>1791</v>
      </c>
      <c r="I53" s="459" t="n">
        <v>37903</v>
      </c>
      <c r="J53" s="460" t="n">
        <v>10</v>
      </c>
      <c r="K53" s="633" t="s">
        <v>47</v>
      </c>
      <c r="L53" s="458" t="s">
        <v>60</v>
      </c>
      <c r="M53" s="463" t="n">
        <f aca="false">I53-D53</f>
        <v>764</v>
      </c>
      <c r="N53" s="4"/>
      <c r="O53" s="283" t="s">
        <v>72</v>
      </c>
      <c r="P53" s="283" t="n">
        <f aca="false">COUNTIF($J$2:$J$476,"7")</f>
        <v>9</v>
      </c>
      <c r="Q53" s="283"/>
      <c r="R53" s="283"/>
      <c r="S53" s="315" t="n">
        <f aca="false">(P53/P59)</f>
        <v>0.116883116883117</v>
      </c>
      <c r="T53" s="153"/>
    </row>
    <row r="54" customFormat="false" ht="12.75" hidden="false" customHeight="true" outlineLevel="0" collapsed="false">
      <c r="A54" s="602" t="n">
        <v>5303</v>
      </c>
      <c r="B54" s="450" t="s">
        <v>20014</v>
      </c>
      <c r="C54" s="450" t="n">
        <v>2001</v>
      </c>
      <c r="D54" s="451" t="n">
        <v>37238</v>
      </c>
      <c r="E54" s="450" t="s">
        <v>20015</v>
      </c>
      <c r="F54" s="450" t="s">
        <v>8232</v>
      </c>
      <c r="G54" s="450" t="s">
        <v>144</v>
      </c>
      <c r="H54" s="450" t="s">
        <v>2654</v>
      </c>
      <c r="I54" s="451" t="n">
        <v>37903</v>
      </c>
      <c r="J54" s="452" t="n">
        <v>10</v>
      </c>
      <c r="K54" s="633" t="s">
        <v>47</v>
      </c>
      <c r="L54" s="452" t="s">
        <v>60</v>
      </c>
      <c r="M54" s="455" t="n">
        <f aca="false">I54-D54</f>
        <v>665</v>
      </c>
      <c r="N54" s="4"/>
      <c r="O54" s="282" t="s">
        <v>74</v>
      </c>
      <c r="P54" s="282" t="n">
        <f aca="false">COUNTIF($J$2:$J$476,"8")</f>
        <v>5</v>
      </c>
      <c r="Q54" s="282"/>
      <c r="R54" s="282"/>
      <c r="S54" s="316" t="n">
        <f aca="false">(P54/P59)</f>
        <v>0.0649350649350649</v>
      </c>
      <c r="T54" s="153"/>
    </row>
    <row r="55" customFormat="false" ht="12.75" hidden="false" customHeight="true" outlineLevel="0" collapsed="false">
      <c r="A55" s="594" t="n">
        <v>5403</v>
      </c>
      <c r="B55" s="458" t="s">
        <v>20016</v>
      </c>
      <c r="C55" s="458" t="n">
        <v>2001</v>
      </c>
      <c r="D55" s="459" t="n">
        <v>37246</v>
      </c>
      <c r="E55" s="458" t="s">
        <v>20017</v>
      </c>
      <c r="F55" s="458" t="s">
        <v>19706</v>
      </c>
      <c r="G55" s="458" t="s">
        <v>1188</v>
      </c>
      <c r="H55" s="458" t="s">
        <v>1109</v>
      </c>
      <c r="I55" s="459" t="n">
        <v>37908</v>
      </c>
      <c r="J55" s="460" t="n">
        <v>10</v>
      </c>
      <c r="K55" s="631" t="s">
        <v>42</v>
      </c>
      <c r="L55" s="458" t="s">
        <v>58</v>
      </c>
      <c r="M55" s="463" t="n">
        <f aca="false">I55-D55</f>
        <v>662</v>
      </c>
      <c r="N55" s="4"/>
      <c r="O55" s="283" t="s">
        <v>76</v>
      </c>
      <c r="P55" s="283" t="n">
        <f aca="false">COUNTIF($J$2:$J$476,"9")</f>
        <v>4</v>
      </c>
      <c r="Q55" s="283"/>
      <c r="R55" s="283"/>
      <c r="S55" s="315" t="n">
        <f aca="false">(P55/P59)</f>
        <v>0.051948051948052</v>
      </c>
      <c r="T55" s="153"/>
    </row>
    <row r="56" customFormat="false" ht="12.75" hidden="false" customHeight="true" outlineLevel="0" collapsed="false">
      <c r="A56" s="602" t="n">
        <v>5503</v>
      </c>
      <c r="B56" s="450" t="s">
        <v>20018</v>
      </c>
      <c r="C56" s="450" t="n">
        <v>2001</v>
      </c>
      <c r="D56" s="451" t="n">
        <v>37167</v>
      </c>
      <c r="E56" s="450" t="s">
        <v>20019</v>
      </c>
      <c r="F56" s="450" t="s">
        <v>4270</v>
      </c>
      <c r="G56" s="450" t="s">
        <v>144</v>
      </c>
      <c r="H56" s="450" t="s">
        <v>20020</v>
      </c>
      <c r="I56" s="451" t="n">
        <v>37908</v>
      </c>
      <c r="J56" s="452" t="n">
        <v>10</v>
      </c>
      <c r="K56" s="631" t="s">
        <v>42</v>
      </c>
      <c r="L56" s="452" t="s">
        <v>60</v>
      </c>
      <c r="M56" s="455" t="n">
        <f aca="false">I56-D56</f>
        <v>741</v>
      </c>
      <c r="N56" s="4"/>
      <c r="O56" s="282" t="s">
        <v>78</v>
      </c>
      <c r="P56" s="282" t="n">
        <f aca="false">COUNTIF($J$2:$J$476,"10")</f>
        <v>14</v>
      </c>
      <c r="Q56" s="282"/>
      <c r="R56" s="282"/>
      <c r="S56" s="316" t="n">
        <f aca="false">(P56/P59)</f>
        <v>0.181818181818182</v>
      </c>
      <c r="T56" s="153"/>
    </row>
    <row r="57" customFormat="false" ht="12.75" hidden="false" customHeight="true" outlineLevel="0" collapsed="false">
      <c r="A57" s="594" t="n">
        <v>5603</v>
      </c>
      <c r="B57" s="458" t="s">
        <v>20021</v>
      </c>
      <c r="C57" s="458" t="n">
        <v>2000</v>
      </c>
      <c r="D57" s="459" t="n">
        <v>36871</v>
      </c>
      <c r="E57" s="458" t="s">
        <v>20022</v>
      </c>
      <c r="F57" s="458" t="s">
        <v>19977</v>
      </c>
      <c r="G57" s="458" t="s">
        <v>144</v>
      </c>
      <c r="H57" s="458" t="s">
        <v>192</v>
      </c>
      <c r="I57" s="459" t="n">
        <v>37909</v>
      </c>
      <c r="J57" s="460" t="n">
        <v>10</v>
      </c>
      <c r="K57" s="631" t="s">
        <v>42</v>
      </c>
      <c r="L57" s="458" t="s">
        <v>57</v>
      </c>
      <c r="M57" s="463" t="n">
        <f aca="false">I57-D57</f>
        <v>1038</v>
      </c>
      <c r="N57" s="4"/>
      <c r="O57" s="283" t="s">
        <v>80</v>
      </c>
      <c r="P57" s="283" t="n">
        <f aca="false">COUNTIF($J$2:$J$476,"11")</f>
        <v>7</v>
      </c>
      <c r="Q57" s="283"/>
      <c r="R57" s="283"/>
      <c r="S57" s="315" t="n">
        <f aca="false">(P57/P59)</f>
        <v>0.0909090909090909</v>
      </c>
      <c r="T57" s="153"/>
    </row>
    <row r="58" customFormat="false" ht="12.75" hidden="false" customHeight="true" outlineLevel="0" collapsed="false">
      <c r="A58" s="602" t="n">
        <v>5703</v>
      </c>
      <c r="B58" s="450" t="s">
        <v>20023</v>
      </c>
      <c r="C58" s="450" t="n">
        <v>1998</v>
      </c>
      <c r="D58" s="451" t="n">
        <v>36133</v>
      </c>
      <c r="E58" s="450" t="s">
        <v>20024</v>
      </c>
      <c r="F58" s="450" t="s">
        <v>780</v>
      </c>
      <c r="G58" s="450" t="s">
        <v>144</v>
      </c>
      <c r="H58" s="450" t="s">
        <v>1791</v>
      </c>
      <c r="I58" s="451" t="n">
        <v>37909</v>
      </c>
      <c r="J58" s="452" t="n">
        <v>10</v>
      </c>
      <c r="K58" s="631" t="s">
        <v>42</v>
      </c>
      <c r="L58" s="452" t="s">
        <v>60</v>
      </c>
      <c r="M58" s="455" t="n">
        <f aca="false">I58-D58</f>
        <v>1776</v>
      </c>
      <c r="N58" s="4"/>
      <c r="O58" s="336" t="s">
        <v>82</v>
      </c>
      <c r="P58" s="282" t="n">
        <f aca="false">COUNTIF($J$2:$J$476,"12")</f>
        <v>11</v>
      </c>
      <c r="Q58" s="282"/>
      <c r="R58" s="282"/>
      <c r="S58" s="470" t="n">
        <f aca="false">(P58/P59)</f>
        <v>0.142857142857143</v>
      </c>
      <c r="T58" s="153"/>
    </row>
    <row r="59" customFormat="false" ht="12.75" hidden="false" customHeight="true" outlineLevel="0" collapsed="false">
      <c r="A59" s="594" t="n">
        <v>5803</v>
      </c>
      <c r="B59" s="458" t="s">
        <v>20025</v>
      </c>
      <c r="C59" s="458" t="n">
        <v>2001</v>
      </c>
      <c r="D59" s="459" t="n">
        <v>37158</v>
      </c>
      <c r="E59" s="458" t="s">
        <v>20026</v>
      </c>
      <c r="F59" s="458" t="s">
        <v>4270</v>
      </c>
      <c r="G59" s="458" t="s">
        <v>1474</v>
      </c>
      <c r="H59" s="458" t="s">
        <v>20020</v>
      </c>
      <c r="I59" s="459" t="n">
        <v>37915</v>
      </c>
      <c r="J59" s="460" t="n">
        <v>10</v>
      </c>
      <c r="K59" s="631" t="s">
        <v>42</v>
      </c>
      <c r="L59" s="458" t="s">
        <v>60</v>
      </c>
      <c r="M59" s="463" t="n">
        <f aca="false">I59-D59</f>
        <v>757</v>
      </c>
      <c r="N59" s="4"/>
      <c r="O59" s="323" t="s">
        <v>54</v>
      </c>
      <c r="P59" s="418" t="n">
        <f aca="false">SUM(P47:R58)</f>
        <v>77</v>
      </c>
      <c r="Q59" s="418"/>
      <c r="R59" s="418"/>
      <c r="S59" s="325" t="n">
        <f aca="false">SUM(S47:S58)</f>
        <v>1</v>
      </c>
      <c r="T59" s="153"/>
    </row>
    <row r="60" customFormat="false" ht="12.75" hidden="false" customHeight="true" outlineLevel="0" collapsed="false">
      <c r="A60" s="602" t="n">
        <v>5903</v>
      </c>
      <c r="B60" s="450" t="s">
        <v>20027</v>
      </c>
      <c r="C60" s="450" t="n">
        <v>2003</v>
      </c>
      <c r="D60" s="451" t="n">
        <v>37798</v>
      </c>
      <c r="E60" s="450" t="s">
        <v>20028</v>
      </c>
      <c r="F60" s="450" t="s">
        <v>20029</v>
      </c>
      <c r="G60" s="450" t="s">
        <v>144</v>
      </c>
      <c r="H60" s="450" t="s">
        <v>134</v>
      </c>
      <c r="I60" s="451" t="n">
        <v>37915</v>
      </c>
      <c r="J60" s="452" t="n">
        <v>10</v>
      </c>
      <c r="K60" s="631" t="s">
        <v>42</v>
      </c>
      <c r="L60" s="452" t="s">
        <v>58</v>
      </c>
      <c r="M60" s="455" t="n">
        <f aca="false">I60-D60</f>
        <v>117</v>
      </c>
      <c r="N60" s="4"/>
      <c r="O60" s="153"/>
      <c r="P60" s="153"/>
      <c r="Q60" s="153"/>
      <c r="R60" s="153"/>
      <c r="S60" s="153"/>
      <c r="T60" s="153"/>
    </row>
    <row r="61" customFormat="false" ht="13.5" hidden="false" customHeight="true" outlineLevel="0" collapsed="false">
      <c r="A61" s="594" t="n">
        <v>6003</v>
      </c>
      <c r="B61" s="458" t="s">
        <v>20030</v>
      </c>
      <c r="C61" s="458" t="n">
        <v>2002</v>
      </c>
      <c r="D61" s="459" t="n">
        <v>37326</v>
      </c>
      <c r="E61" s="458" t="s">
        <v>20031</v>
      </c>
      <c r="F61" s="458" t="s">
        <v>20032</v>
      </c>
      <c r="G61" s="458" t="s">
        <v>144</v>
      </c>
      <c r="H61" s="458" t="s">
        <v>19774</v>
      </c>
      <c r="I61" s="459" t="n">
        <v>37928</v>
      </c>
      <c r="J61" s="460" t="n">
        <v>11</v>
      </c>
      <c r="K61" s="633" t="s">
        <v>47</v>
      </c>
      <c r="L61" s="458" t="s">
        <v>61</v>
      </c>
      <c r="M61" s="463" t="n">
        <f aca="false">I61-D61</f>
        <v>602</v>
      </c>
      <c r="N61" s="4"/>
      <c r="O61" s="339" t="s">
        <v>335</v>
      </c>
      <c r="P61" s="339"/>
      <c r="Q61" s="339"/>
      <c r="R61" s="339"/>
      <c r="S61" s="339"/>
      <c r="T61" s="339"/>
    </row>
    <row r="62" customFormat="false" ht="12.75" hidden="false" customHeight="true" outlineLevel="0" collapsed="false">
      <c r="A62" s="602" t="n">
        <v>6103</v>
      </c>
      <c r="B62" s="450" t="s">
        <v>20033</v>
      </c>
      <c r="C62" s="450" t="n">
        <v>2002</v>
      </c>
      <c r="D62" s="451" t="n">
        <v>37281</v>
      </c>
      <c r="E62" s="450" t="s">
        <v>20034</v>
      </c>
      <c r="F62" s="450" t="s">
        <v>20035</v>
      </c>
      <c r="G62" s="450" t="s">
        <v>144</v>
      </c>
      <c r="H62" s="450" t="s">
        <v>19774</v>
      </c>
      <c r="I62" s="451" t="n">
        <v>37928</v>
      </c>
      <c r="J62" s="452" t="n">
        <v>11</v>
      </c>
      <c r="K62" s="633" t="s">
        <v>47</v>
      </c>
      <c r="L62" s="452" t="s">
        <v>61</v>
      </c>
      <c r="M62" s="455" t="n">
        <f aca="false">I62-D62</f>
        <v>647</v>
      </c>
      <c r="N62" s="4"/>
      <c r="O62" s="339"/>
      <c r="P62" s="339"/>
      <c r="Q62" s="339"/>
      <c r="R62" s="339"/>
      <c r="S62" s="339"/>
      <c r="T62" s="339"/>
    </row>
    <row r="63" customFormat="false" ht="12.75" hidden="false" customHeight="true" outlineLevel="0" collapsed="false">
      <c r="A63" s="594" t="n">
        <v>6203</v>
      </c>
      <c r="B63" s="458" t="s">
        <v>20036</v>
      </c>
      <c r="C63" s="458" t="n">
        <v>2000</v>
      </c>
      <c r="D63" s="459" t="n">
        <v>36882</v>
      </c>
      <c r="E63" s="458" t="s">
        <v>20037</v>
      </c>
      <c r="F63" s="458" t="s">
        <v>1080</v>
      </c>
      <c r="G63" s="458" t="s">
        <v>144</v>
      </c>
      <c r="H63" s="458" t="s">
        <v>18397</v>
      </c>
      <c r="I63" s="459" t="n">
        <v>37928</v>
      </c>
      <c r="J63" s="460" t="n">
        <v>11</v>
      </c>
      <c r="K63" s="634" t="s">
        <v>45</v>
      </c>
      <c r="L63" s="458" t="s">
        <v>58</v>
      </c>
      <c r="M63" s="463" t="n">
        <f aca="false">I63-D63</f>
        <v>1046</v>
      </c>
      <c r="N63" s="4"/>
      <c r="O63" s="340" t="s">
        <v>38</v>
      </c>
      <c r="P63" s="340"/>
      <c r="Q63" s="340"/>
      <c r="R63" s="340"/>
      <c r="S63" s="341" t="s">
        <v>343</v>
      </c>
      <c r="T63" s="342" t="s">
        <v>41</v>
      </c>
    </row>
    <row r="64" customFormat="false" ht="12.75" hidden="false" customHeight="true" outlineLevel="0" collapsed="false">
      <c r="A64" s="602" t="n">
        <v>6303</v>
      </c>
      <c r="B64" s="450" t="s">
        <v>20038</v>
      </c>
      <c r="C64" s="450" t="n">
        <v>2001</v>
      </c>
      <c r="D64" s="451" t="n">
        <v>36955</v>
      </c>
      <c r="E64" s="450" t="s">
        <v>20039</v>
      </c>
      <c r="F64" s="450" t="s">
        <v>699</v>
      </c>
      <c r="G64" s="450" t="s">
        <v>1474</v>
      </c>
      <c r="H64" s="450" t="s">
        <v>693</v>
      </c>
      <c r="I64" s="451" t="n">
        <v>37939</v>
      </c>
      <c r="J64" s="452" t="n">
        <v>11</v>
      </c>
      <c r="K64" s="633" t="s">
        <v>47</v>
      </c>
      <c r="L64" s="452" t="s">
        <v>60</v>
      </c>
      <c r="M64" s="455" t="n">
        <f aca="false">I64-D64</f>
        <v>984</v>
      </c>
      <c r="N64" s="4"/>
      <c r="O64" s="471" t="s">
        <v>42</v>
      </c>
      <c r="P64" s="471"/>
      <c r="Q64" s="471"/>
      <c r="R64" s="471"/>
      <c r="S64" s="471" t="n">
        <f aca="false">COUNTIF($K$1:$K$494,"I - Extremamente tóxico")</f>
        <v>21</v>
      </c>
      <c r="T64" s="472" t="n">
        <f aca="false">(S64/S76)</f>
        <v>0.272727272727273</v>
      </c>
    </row>
    <row r="65" customFormat="false" ht="12.75" hidden="false" customHeight="true" outlineLevel="0" collapsed="false">
      <c r="A65" s="594" t="n">
        <v>6403</v>
      </c>
      <c r="B65" s="458" t="s">
        <v>20040</v>
      </c>
      <c r="C65" s="458" t="n">
        <v>1995</v>
      </c>
      <c r="D65" s="459" t="n">
        <v>34852</v>
      </c>
      <c r="E65" s="458" t="s">
        <v>20041</v>
      </c>
      <c r="F65" s="458" t="s">
        <v>1387</v>
      </c>
      <c r="G65" s="458" t="s">
        <v>144</v>
      </c>
      <c r="H65" s="458" t="s">
        <v>18974</v>
      </c>
      <c r="I65" s="459" t="n">
        <v>37939</v>
      </c>
      <c r="J65" s="460" t="n">
        <v>11</v>
      </c>
      <c r="K65" s="633" t="s">
        <v>47</v>
      </c>
      <c r="L65" s="458" t="s">
        <v>60</v>
      </c>
      <c r="M65" s="463" t="n">
        <f aca="false">I65-D65</f>
        <v>3087</v>
      </c>
      <c r="N65" s="4"/>
      <c r="O65" s="345" t="s">
        <v>43</v>
      </c>
      <c r="P65" s="345"/>
      <c r="Q65" s="345"/>
      <c r="R65" s="345"/>
      <c r="S65" s="345" t="n">
        <f aca="false">COUNTIF($K$2:$K$476,"Categoria 1 - Produto Extremamente Tóxico")</f>
        <v>0</v>
      </c>
      <c r="T65" s="473" t="n">
        <f aca="false">(S65/S76)</f>
        <v>0</v>
      </c>
    </row>
    <row r="66" customFormat="false" ht="12.75" hidden="false" customHeight="true" outlineLevel="0" collapsed="false">
      <c r="A66" s="602" t="n">
        <v>6503</v>
      </c>
      <c r="B66" s="450" t="s">
        <v>20042</v>
      </c>
      <c r="C66" s="450" t="n">
        <v>2000</v>
      </c>
      <c r="D66" s="451" t="n">
        <v>36769</v>
      </c>
      <c r="E66" s="450" t="s">
        <v>20043</v>
      </c>
      <c r="F66" s="450" t="s">
        <v>18498</v>
      </c>
      <c r="G66" s="450" t="s">
        <v>1474</v>
      </c>
      <c r="H66" s="450" t="s">
        <v>20044</v>
      </c>
      <c r="I66" s="451" t="n">
        <v>37944</v>
      </c>
      <c r="J66" s="452" t="n">
        <v>11</v>
      </c>
      <c r="K66" s="631" t="s">
        <v>42</v>
      </c>
      <c r="L66" s="452" t="s">
        <v>60</v>
      </c>
      <c r="M66" s="455" t="n">
        <f aca="false">I66-D66</f>
        <v>1175</v>
      </c>
      <c r="N66" s="4"/>
      <c r="O66" s="345" t="s">
        <v>44</v>
      </c>
      <c r="P66" s="345"/>
      <c r="Q66" s="345"/>
      <c r="R66" s="345"/>
      <c r="S66" s="345" t="n">
        <f aca="false">COUNTIF($K$2:$K$476,"Categoria 2 - Produto Altamente Tóxico")</f>
        <v>0</v>
      </c>
      <c r="T66" s="473" t="n">
        <f aca="false">(S66/S76)</f>
        <v>0</v>
      </c>
    </row>
    <row r="67" customFormat="false" ht="12.75" hidden="false" customHeight="true" outlineLevel="0" collapsed="false">
      <c r="A67" s="594" t="n">
        <v>6603</v>
      </c>
      <c r="B67" s="458" t="s">
        <v>20045</v>
      </c>
      <c r="C67" s="458" t="n">
        <v>2001</v>
      </c>
      <c r="D67" s="459" t="n">
        <v>37182</v>
      </c>
      <c r="E67" s="458" t="s">
        <v>20046</v>
      </c>
      <c r="F67" s="458" t="s">
        <v>408</v>
      </c>
      <c r="G67" s="458" t="s">
        <v>1188</v>
      </c>
      <c r="H67" s="458" t="s">
        <v>1791</v>
      </c>
      <c r="I67" s="459" t="n">
        <v>37953</v>
      </c>
      <c r="J67" s="460" t="n">
        <v>11</v>
      </c>
      <c r="K67" s="633" t="s">
        <v>47</v>
      </c>
      <c r="L67" s="458" t="s">
        <v>60</v>
      </c>
      <c r="M67" s="463" t="n">
        <f aca="false">I67-D67</f>
        <v>771</v>
      </c>
      <c r="N67" s="4"/>
      <c r="O67" s="349" t="s">
        <v>45</v>
      </c>
      <c r="P67" s="349"/>
      <c r="Q67" s="349"/>
      <c r="R67" s="349"/>
      <c r="S67" s="349" t="n">
        <f aca="false">COUNTIF($K$2:$K$476,"II - Altamente tóxico")</f>
        <v>8</v>
      </c>
      <c r="T67" s="474" t="n">
        <f aca="false">(S67/S76)</f>
        <v>0.103896103896104</v>
      </c>
    </row>
    <row r="68" customFormat="false" ht="12.75" hidden="false" customHeight="true" outlineLevel="0" collapsed="false">
      <c r="A68" s="602" t="n">
        <v>6703</v>
      </c>
      <c r="B68" s="450" t="s">
        <v>20047</v>
      </c>
      <c r="C68" s="450" t="n">
        <v>2001</v>
      </c>
      <c r="D68" s="451" t="n">
        <v>37160</v>
      </c>
      <c r="E68" s="450" t="s">
        <v>20048</v>
      </c>
      <c r="F68" s="450" t="s">
        <v>16764</v>
      </c>
      <c r="G68" s="450" t="s">
        <v>1474</v>
      </c>
      <c r="H68" s="450" t="s">
        <v>184</v>
      </c>
      <c r="I68" s="451" t="n">
        <v>37960</v>
      </c>
      <c r="J68" s="452" t="n">
        <v>12</v>
      </c>
      <c r="K68" s="633" t="s">
        <v>47</v>
      </c>
      <c r="L68" s="452" t="s">
        <v>60</v>
      </c>
      <c r="M68" s="455" t="n">
        <f aca="false">I68-D68</f>
        <v>800</v>
      </c>
      <c r="N68" s="4"/>
      <c r="O68" s="349" t="s">
        <v>46</v>
      </c>
      <c r="P68" s="349"/>
      <c r="Q68" s="349"/>
      <c r="R68" s="349"/>
      <c r="S68" s="349" t="n">
        <f aca="false">COUNTIF($K$2:$K$476,"Categoria 3 - Produto Moderadamente Tóxico")</f>
        <v>0</v>
      </c>
      <c r="T68" s="474" t="n">
        <f aca="false">(S68/S76)</f>
        <v>0</v>
      </c>
    </row>
    <row r="69" customFormat="false" ht="12.75" hidden="false" customHeight="true" outlineLevel="0" collapsed="false">
      <c r="A69" s="594" t="n">
        <v>6803</v>
      </c>
      <c r="B69" s="458" t="s">
        <v>20049</v>
      </c>
      <c r="C69" s="458" t="n">
        <v>2001</v>
      </c>
      <c r="D69" s="459" t="n">
        <v>37182</v>
      </c>
      <c r="E69" s="458" t="s">
        <v>20050</v>
      </c>
      <c r="F69" s="458" t="s">
        <v>408</v>
      </c>
      <c r="G69" s="458" t="s">
        <v>1188</v>
      </c>
      <c r="H69" s="458" t="s">
        <v>19878</v>
      </c>
      <c r="I69" s="459" t="n">
        <v>37960</v>
      </c>
      <c r="J69" s="460" t="n">
        <v>12</v>
      </c>
      <c r="K69" s="633" t="s">
        <v>47</v>
      </c>
      <c r="L69" s="458" t="s">
        <v>60</v>
      </c>
      <c r="M69" s="463" t="n">
        <f aca="false">I69-D69</f>
        <v>778</v>
      </c>
      <c r="N69" s="4"/>
      <c r="O69" s="351" t="s">
        <v>47</v>
      </c>
      <c r="P69" s="351"/>
      <c r="Q69" s="351"/>
      <c r="R69" s="351"/>
      <c r="S69" s="351" t="n">
        <f aca="false">COUNTIF($K$2:$K$476,"III - Medianamente tóxico")</f>
        <v>39</v>
      </c>
      <c r="T69" s="475" t="n">
        <f aca="false">(S69/S76)</f>
        <v>0.506493506493506</v>
      </c>
    </row>
    <row r="70" customFormat="false" ht="12.75" hidden="false" customHeight="true" outlineLevel="0" collapsed="false">
      <c r="A70" s="602" t="n">
        <v>6903</v>
      </c>
      <c r="B70" s="450" t="s">
        <v>20051</v>
      </c>
      <c r="C70" s="450" t="n">
        <v>2000</v>
      </c>
      <c r="D70" s="451" t="n">
        <v>36714</v>
      </c>
      <c r="E70" s="450" t="s">
        <v>20052</v>
      </c>
      <c r="F70" s="450" t="s">
        <v>8232</v>
      </c>
      <c r="G70" s="450" t="s">
        <v>1474</v>
      </c>
      <c r="H70" s="450" t="s">
        <v>16875</v>
      </c>
      <c r="I70" s="451" t="n">
        <v>37966</v>
      </c>
      <c r="J70" s="452" t="n">
        <v>12</v>
      </c>
      <c r="K70" s="633" t="s">
        <v>47</v>
      </c>
      <c r="L70" s="452" t="s">
        <v>58</v>
      </c>
      <c r="M70" s="455" t="n">
        <f aca="false">I70-D70</f>
        <v>1252</v>
      </c>
      <c r="N70" s="4"/>
      <c r="O70" s="351" t="s">
        <v>48</v>
      </c>
      <c r="P70" s="351"/>
      <c r="Q70" s="351"/>
      <c r="R70" s="351"/>
      <c r="S70" s="351" t="n">
        <f aca="false">COUNTIF($K$2:$K$476,"Categoria 4 - Produto Pouco Tóxico")</f>
        <v>0</v>
      </c>
      <c r="T70" s="475" t="n">
        <f aca="false">(S70/S76)</f>
        <v>0</v>
      </c>
    </row>
    <row r="71" customFormat="false" ht="12.75" hidden="false" customHeight="true" outlineLevel="0" collapsed="false">
      <c r="A71" s="594" t="n">
        <v>7003</v>
      </c>
      <c r="B71" s="458" t="s">
        <v>20053</v>
      </c>
      <c r="C71" s="458" t="n">
        <v>2002</v>
      </c>
      <c r="D71" s="459" t="n">
        <v>37470</v>
      </c>
      <c r="E71" s="458" t="s">
        <v>20054</v>
      </c>
      <c r="F71" s="458" t="s">
        <v>408</v>
      </c>
      <c r="G71" s="458" t="s">
        <v>115</v>
      </c>
      <c r="H71" s="458" t="s">
        <v>134</v>
      </c>
      <c r="I71" s="459" t="n">
        <v>37966</v>
      </c>
      <c r="J71" s="460" t="n">
        <v>12</v>
      </c>
      <c r="K71" s="633" t="s">
        <v>47</v>
      </c>
      <c r="L71" s="458" t="s">
        <v>60</v>
      </c>
      <c r="M71" s="463" t="n">
        <f aca="false">I71-D71</f>
        <v>496</v>
      </c>
      <c r="N71" s="4"/>
      <c r="O71" s="351" t="s">
        <v>49</v>
      </c>
      <c r="P71" s="351"/>
      <c r="Q71" s="351"/>
      <c r="R71" s="351"/>
      <c r="S71" s="351" t="n">
        <f aca="false">COUNTIF($K$2:$K$476,"Categoria 5 - Produto Improvável de Causar Dano Agudo")</f>
        <v>0</v>
      </c>
      <c r="T71" s="475" t="n">
        <f aca="false">(S71/S76)</f>
        <v>0</v>
      </c>
    </row>
    <row r="72" customFormat="false" ht="12.75" hidden="false" customHeight="true" outlineLevel="0" collapsed="false">
      <c r="A72" s="602" t="n">
        <v>7103</v>
      </c>
      <c r="B72" s="450" t="s">
        <v>20055</v>
      </c>
      <c r="C72" s="450" t="n">
        <v>1999</v>
      </c>
      <c r="D72" s="451" t="n">
        <v>36234</v>
      </c>
      <c r="E72" s="450" t="s">
        <v>20056</v>
      </c>
      <c r="F72" s="450" t="s">
        <v>4956</v>
      </c>
      <c r="G72" s="450" t="s">
        <v>144</v>
      </c>
      <c r="H72" s="450" t="s">
        <v>6755</v>
      </c>
      <c r="I72" s="451" t="n">
        <v>37971</v>
      </c>
      <c r="J72" s="452" t="n">
        <v>12</v>
      </c>
      <c r="K72" s="633" t="s">
        <v>47</v>
      </c>
      <c r="L72" s="452" t="s">
        <v>58</v>
      </c>
      <c r="M72" s="455" t="n">
        <f aca="false">I72-D72</f>
        <v>1737</v>
      </c>
      <c r="N72" s="4"/>
      <c r="O72" s="353" t="s">
        <v>50</v>
      </c>
      <c r="P72" s="353"/>
      <c r="Q72" s="353"/>
      <c r="R72" s="353"/>
      <c r="S72" s="353" t="n">
        <f aca="false">COUNTIF($K$2:$K$476,"IV - Pouco tóxico")</f>
        <v>9</v>
      </c>
      <c r="T72" s="476" t="n">
        <f aca="false">(S72/S76)</f>
        <v>0.116883116883117</v>
      </c>
    </row>
    <row r="73" customFormat="false" ht="12.75" hidden="false" customHeight="true" outlineLevel="0" collapsed="false">
      <c r="A73" s="594" t="n">
        <v>7203</v>
      </c>
      <c r="B73" s="458" t="s">
        <v>20057</v>
      </c>
      <c r="C73" s="458" t="n">
        <v>1999</v>
      </c>
      <c r="D73" s="459" t="n">
        <v>36250</v>
      </c>
      <c r="E73" s="458" t="s">
        <v>20058</v>
      </c>
      <c r="F73" s="458" t="s">
        <v>4956</v>
      </c>
      <c r="G73" s="458" t="s">
        <v>144</v>
      </c>
      <c r="H73" s="458" t="s">
        <v>6755</v>
      </c>
      <c r="I73" s="459" t="n">
        <v>37971</v>
      </c>
      <c r="J73" s="460" t="n">
        <v>12</v>
      </c>
      <c r="K73" s="633" t="s">
        <v>47</v>
      </c>
      <c r="L73" s="458" t="s">
        <v>58</v>
      </c>
      <c r="M73" s="463" t="n">
        <f aca="false">I73-D73</f>
        <v>1721</v>
      </c>
      <c r="N73" s="4"/>
      <c r="O73" s="353" t="s">
        <v>51</v>
      </c>
      <c r="P73" s="353"/>
      <c r="Q73" s="353"/>
      <c r="R73" s="353"/>
      <c r="S73" s="353" t="n">
        <f aca="false">COUNTIF($K$2:$K$476,"Não classificado - Produto não classificado")</f>
        <v>0</v>
      </c>
      <c r="T73" s="476" t="n">
        <f aca="false">(S73/S76)</f>
        <v>0</v>
      </c>
    </row>
    <row r="74" customFormat="false" ht="12.75" hidden="false" customHeight="true" outlineLevel="0" collapsed="false">
      <c r="A74" s="602" t="n">
        <v>7303</v>
      </c>
      <c r="B74" s="450" t="s">
        <v>20059</v>
      </c>
      <c r="C74" s="450" t="n">
        <v>2001</v>
      </c>
      <c r="D74" s="451" t="n">
        <v>37147</v>
      </c>
      <c r="E74" s="450" t="s">
        <v>20060</v>
      </c>
      <c r="F74" s="450" t="s">
        <v>8232</v>
      </c>
      <c r="G74" s="450" t="s">
        <v>1474</v>
      </c>
      <c r="H74" s="450" t="s">
        <v>2421</v>
      </c>
      <c r="I74" s="451" t="n">
        <v>37971</v>
      </c>
      <c r="J74" s="452" t="n">
        <v>12</v>
      </c>
      <c r="K74" s="633" t="s">
        <v>47</v>
      </c>
      <c r="L74" s="452" t="s">
        <v>58</v>
      </c>
      <c r="M74" s="455" t="n">
        <f aca="false">I74-D74</f>
        <v>824</v>
      </c>
      <c r="N74" s="4"/>
      <c r="O74" s="353" t="s">
        <v>2407</v>
      </c>
      <c r="P74" s="353"/>
      <c r="Q74" s="353"/>
      <c r="R74" s="353"/>
      <c r="S74" s="353" t="n">
        <f aca="false">COUNTIF($K$2:$K$476,"Não determinada devido à natureza do produto (Inimigos naturais)")</f>
        <v>0</v>
      </c>
      <c r="T74" s="476" t="n">
        <f aca="false">(S74/S76)</f>
        <v>0</v>
      </c>
    </row>
    <row r="75" customFormat="false" ht="12.75" hidden="false" customHeight="true" outlineLevel="0" collapsed="false">
      <c r="A75" s="594" t="n">
        <v>7403</v>
      </c>
      <c r="B75" s="458" t="s">
        <v>20061</v>
      </c>
      <c r="C75" s="458" t="n">
        <v>2001</v>
      </c>
      <c r="D75" s="459" t="n">
        <v>37134</v>
      </c>
      <c r="E75" s="458" t="s">
        <v>20062</v>
      </c>
      <c r="F75" s="458" t="s">
        <v>1324</v>
      </c>
      <c r="G75" s="458" t="s">
        <v>1188</v>
      </c>
      <c r="H75" s="458" t="s">
        <v>1791</v>
      </c>
      <c r="I75" s="459" t="n">
        <v>37971</v>
      </c>
      <c r="J75" s="460" t="n">
        <v>12</v>
      </c>
      <c r="K75" s="633" t="s">
        <v>47</v>
      </c>
      <c r="L75" s="458" t="s">
        <v>60</v>
      </c>
      <c r="M75" s="463" t="n">
        <f aca="false">I75-D75</f>
        <v>837</v>
      </c>
      <c r="N75" s="4"/>
      <c r="O75" s="478" t="s">
        <v>53</v>
      </c>
      <c r="P75" s="478"/>
      <c r="Q75" s="478"/>
      <c r="R75" s="478"/>
      <c r="S75" s="478" t="n">
        <f aca="false">COUNTIF($K$2:$K$476,"O perfil toxicológico foi considerado equivalente ao produto técnico de referência")</f>
        <v>0</v>
      </c>
      <c r="T75" s="479" t="n">
        <f aca="false">(S75/S76)</f>
        <v>0</v>
      </c>
    </row>
    <row r="76" customFormat="false" ht="15" hidden="false" customHeight="true" outlineLevel="0" collapsed="false">
      <c r="A76" s="602" t="n">
        <v>7503</v>
      </c>
      <c r="B76" s="450" t="s">
        <v>20063</v>
      </c>
      <c r="C76" s="450" t="n">
        <v>2001</v>
      </c>
      <c r="D76" s="451" t="n">
        <v>37181</v>
      </c>
      <c r="E76" s="450" t="s">
        <v>20064</v>
      </c>
      <c r="F76" s="450" t="s">
        <v>1324</v>
      </c>
      <c r="G76" s="450" t="s">
        <v>115</v>
      </c>
      <c r="H76" s="450" t="s">
        <v>1791</v>
      </c>
      <c r="I76" s="451" t="n">
        <v>37972</v>
      </c>
      <c r="J76" s="452" t="n">
        <v>12</v>
      </c>
      <c r="K76" s="633" t="s">
        <v>47</v>
      </c>
      <c r="L76" s="452" t="s">
        <v>60</v>
      </c>
      <c r="M76" s="455" t="n">
        <f aca="false">I76-D76</f>
        <v>791</v>
      </c>
      <c r="N76" s="4"/>
      <c r="O76" s="419" t="s">
        <v>54</v>
      </c>
      <c r="P76" s="419"/>
      <c r="Q76" s="419"/>
      <c r="R76" s="419"/>
      <c r="S76" s="363" t="n">
        <f aca="false">SUM(S64:S75)</f>
        <v>77</v>
      </c>
      <c r="T76" s="364" t="n">
        <f aca="false">(S76/S76)</f>
        <v>1</v>
      </c>
    </row>
    <row r="77" customFormat="false" ht="12.75" hidden="false" customHeight="true" outlineLevel="0" collapsed="false">
      <c r="A77" s="594" t="n">
        <v>7603</v>
      </c>
      <c r="B77" s="458" t="s">
        <v>20065</v>
      </c>
      <c r="C77" s="458" t="n">
        <v>2002</v>
      </c>
      <c r="D77" s="459" t="n">
        <v>37441</v>
      </c>
      <c r="E77" s="458" t="s">
        <v>20066</v>
      </c>
      <c r="F77" s="458" t="s">
        <v>3924</v>
      </c>
      <c r="G77" s="458" t="s">
        <v>1474</v>
      </c>
      <c r="H77" s="458" t="s">
        <v>192</v>
      </c>
      <c r="I77" s="459" t="n">
        <v>37981</v>
      </c>
      <c r="J77" s="460" t="n">
        <v>12</v>
      </c>
      <c r="K77" s="634" t="s">
        <v>45</v>
      </c>
      <c r="L77" s="458" t="s">
        <v>58</v>
      </c>
      <c r="M77" s="463" t="n">
        <f aca="false">I77-D77</f>
        <v>540</v>
      </c>
      <c r="N77" s="4"/>
      <c r="O77" s="153"/>
      <c r="P77" s="153"/>
      <c r="Q77" s="153"/>
      <c r="R77" s="153"/>
      <c r="S77" s="153"/>
      <c r="T77" s="153"/>
    </row>
    <row r="78" customFormat="false" ht="13.5" hidden="false" customHeight="true" outlineLevel="0" collapsed="false">
      <c r="A78" s="602" t="n">
        <v>7703</v>
      </c>
      <c r="B78" s="450" t="s">
        <v>20067</v>
      </c>
      <c r="C78" s="450" t="n">
        <v>2001</v>
      </c>
      <c r="D78" s="451" t="n">
        <v>37161</v>
      </c>
      <c r="E78" s="450" t="s">
        <v>20068</v>
      </c>
      <c r="F78" s="450" t="s">
        <v>4270</v>
      </c>
      <c r="G78" s="450" t="s">
        <v>144</v>
      </c>
      <c r="H78" s="450" t="s">
        <v>14391</v>
      </c>
      <c r="I78" s="451" t="n">
        <v>37985</v>
      </c>
      <c r="J78" s="452" t="n">
        <v>12</v>
      </c>
      <c r="K78" s="631" t="s">
        <v>42</v>
      </c>
      <c r="L78" s="452" t="s">
        <v>58</v>
      </c>
      <c r="M78" s="455" t="n">
        <f aca="false">I78-D78</f>
        <v>824</v>
      </c>
      <c r="N78" s="4"/>
      <c r="O78" s="339" t="s">
        <v>102</v>
      </c>
      <c r="P78" s="339"/>
      <c r="Q78" s="339"/>
      <c r="R78" s="339"/>
      <c r="S78" s="339"/>
      <c r="T78" s="339"/>
    </row>
    <row r="79" customFormat="false" ht="12.75" hidden="false" customHeight="true" outlineLevel="0" collapsed="false">
      <c r="A79" s="636"/>
      <c r="B79" s="636"/>
      <c r="C79" s="636"/>
      <c r="D79" s="636"/>
      <c r="E79" s="636"/>
      <c r="F79" s="636"/>
      <c r="G79" s="636"/>
      <c r="H79" s="636"/>
      <c r="I79" s="638"/>
      <c r="J79" s="636"/>
      <c r="K79" s="636"/>
      <c r="L79" s="636"/>
      <c r="M79" s="636"/>
      <c r="N79" s="4"/>
      <c r="O79" s="339"/>
      <c r="P79" s="339"/>
      <c r="Q79" s="339"/>
      <c r="R79" s="339"/>
      <c r="S79" s="339"/>
      <c r="T79" s="339"/>
    </row>
    <row r="80" customFormat="false" ht="12.75" hidden="false" customHeight="true" outlineLevel="0" collapsed="false">
      <c r="A80" s="636"/>
      <c r="B80" s="636"/>
      <c r="C80" s="636"/>
      <c r="D80" s="636"/>
      <c r="E80" s="636"/>
      <c r="F80" s="636"/>
      <c r="G80" s="636"/>
      <c r="H80" s="636"/>
      <c r="I80" s="638"/>
      <c r="J80" s="636"/>
      <c r="K80" s="636"/>
      <c r="L80" s="636"/>
      <c r="M80" s="636"/>
      <c r="N80" s="4"/>
      <c r="O80" s="340" t="s">
        <v>38</v>
      </c>
      <c r="P80" s="340"/>
      <c r="Q80" s="340"/>
      <c r="R80" s="340"/>
      <c r="S80" s="374" t="s">
        <v>343</v>
      </c>
      <c r="T80" s="375" t="s">
        <v>41</v>
      </c>
    </row>
    <row r="81" customFormat="false" ht="13.5" hidden="false" customHeight="true" outlineLevel="0" collapsed="false">
      <c r="O81" s="480" t="s">
        <v>57</v>
      </c>
      <c r="P81" s="480"/>
      <c r="Q81" s="480"/>
      <c r="R81" s="480"/>
      <c r="S81" s="536" t="n">
        <f aca="false">COUNTIF($L$2:$L$476,"I - Produto altamente perigoso ao meio ambiente")</f>
        <v>2</v>
      </c>
      <c r="T81" s="377" t="n">
        <f aca="false">(S81/S85)</f>
        <v>0.025974025974026</v>
      </c>
    </row>
    <row r="82" customFormat="false" ht="13.5" hidden="false" customHeight="true" outlineLevel="0" collapsed="false">
      <c r="O82" s="378" t="s">
        <v>58</v>
      </c>
      <c r="P82" s="378"/>
      <c r="Q82" s="378"/>
      <c r="R82" s="378"/>
      <c r="S82" s="537" t="n">
        <f aca="false">COUNTIF($L$2:$L$476,"II - Produto muito perigoso ao meio ambiente")</f>
        <v>19</v>
      </c>
      <c r="T82" s="379" t="n">
        <f aca="false">(S82/S85)</f>
        <v>0.246753246753247</v>
      </c>
    </row>
    <row r="83" customFormat="false" ht="13.5" hidden="false" customHeight="true" outlineLevel="0" collapsed="false">
      <c r="O83" s="380" t="s">
        <v>60</v>
      </c>
      <c r="P83" s="380"/>
      <c r="Q83" s="380"/>
      <c r="R83" s="380"/>
      <c r="S83" s="536" t="n">
        <f aca="false">COUNTIF($L$2:$L$476,"III - Produto perigoso ao meio ambiente")</f>
        <v>49</v>
      </c>
      <c r="T83" s="377" t="n">
        <f aca="false">(S83/S85)</f>
        <v>0.636363636363636</v>
      </c>
    </row>
    <row r="84" customFormat="false" ht="14.25" hidden="false" customHeight="true" outlineLevel="0" collapsed="false">
      <c r="O84" s="378" t="s">
        <v>61</v>
      </c>
      <c r="P84" s="378"/>
      <c r="Q84" s="378"/>
      <c r="R84" s="378"/>
      <c r="S84" s="537" t="n">
        <f aca="false">COUNTIF($L$2:$L$476,"IV - Produto pouco perigoso ao meio ambiente")</f>
        <v>7</v>
      </c>
      <c r="T84" s="379" t="n">
        <f aca="false">(S84/S85)</f>
        <v>0.0909090909090909</v>
      </c>
    </row>
    <row r="85" customFormat="false" ht="12.75" hidden="false" customHeight="true" outlineLevel="0" collapsed="false">
      <c r="O85" s="340" t="s">
        <v>54</v>
      </c>
      <c r="P85" s="340"/>
      <c r="Q85" s="340"/>
      <c r="R85" s="340"/>
      <c r="S85" s="363" t="n">
        <f aca="false">SUM(S81:S84)</f>
        <v>77</v>
      </c>
      <c r="T85" s="364" t="n">
        <f aca="false">(S85/S85)</f>
        <v>1</v>
      </c>
    </row>
    <row r="86" customFormat="false" ht="12.75" hidden="false" customHeight="true" outlineLevel="0" collapsed="false">
      <c r="O86" s="153"/>
      <c r="P86" s="153"/>
      <c r="Q86" s="153"/>
      <c r="R86" s="153"/>
      <c r="S86" s="153"/>
      <c r="T86" s="153"/>
    </row>
    <row r="87" customFormat="false" ht="13.5" hidden="false" customHeight="true" outlineLevel="0" collapsed="false">
      <c r="O87" s="421" t="s">
        <v>425</v>
      </c>
      <c r="P87" s="421"/>
      <c r="Q87" s="421"/>
      <c r="R87" s="421"/>
      <c r="S87" s="153"/>
      <c r="T87" s="153"/>
    </row>
    <row r="88" customFormat="false" ht="12.75" hidden="false" customHeight="true" outlineLevel="0" collapsed="false">
      <c r="O88" s="421"/>
      <c r="P88" s="421"/>
      <c r="Q88" s="421"/>
      <c r="R88" s="421"/>
      <c r="S88" s="153"/>
      <c r="T88" s="153"/>
    </row>
    <row r="89" customFormat="false" ht="12.75" hidden="false" customHeight="true" outlineLevel="0" collapsed="false">
      <c r="O89" s="390" t="s">
        <v>69</v>
      </c>
      <c r="P89" s="422" t="s">
        <v>433</v>
      </c>
      <c r="Q89" s="422"/>
      <c r="R89" s="422"/>
      <c r="S89" s="153"/>
      <c r="T89" s="153"/>
    </row>
    <row r="90" customFormat="false" ht="12.75" hidden="false" customHeight="true" outlineLevel="0" collapsed="false">
      <c r="O90" s="394" t="s">
        <v>1474</v>
      </c>
      <c r="P90" s="481" t="n">
        <f aca="false">AVERAGEIF(G2:G476,"PT",M2:M476)</f>
        <v>1095.7619047619</v>
      </c>
      <c r="Q90" s="481"/>
      <c r="R90" s="481"/>
      <c r="S90" s="153"/>
      <c r="T90" s="153"/>
    </row>
    <row r="91" customFormat="false" ht="12.75" hidden="false" customHeight="true" outlineLevel="0" collapsed="false">
      <c r="O91" s="396" t="s">
        <v>1188</v>
      </c>
      <c r="P91" s="482" t="n">
        <f aca="false">AVERAGEIF(G2:G477,"PTN",M2:M477)</f>
        <v>723.875</v>
      </c>
      <c r="Q91" s="482"/>
      <c r="R91" s="482"/>
      <c r="S91" s="153"/>
      <c r="T91" s="153"/>
    </row>
    <row r="92" customFormat="false" ht="12.75" hidden="false" customHeight="true" outlineLevel="0" collapsed="false">
      <c r="O92" s="394" t="s">
        <v>1174</v>
      </c>
      <c r="P92" s="481" t="e">
        <f aca="false">AVERAGEIF(G2:G476,"PTE",M2:M476)</f>
        <v>#DIV/0!</v>
      </c>
      <c r="Q92" s="481"/>
      <c r="R92" s="481"/>
      <c r="S92" s="153"/>
      <c r="T92" s="153"/>
    </row>
    <row r="93" customFormat="false" ht="12.75" hidden="false" customHeight="true" outlineLevel="0" collapsed="false">
      <c r="O93" s="396" t="s">
        <v>8</v>
      </c>
      <c r="P93" s="482" t="e">
        <f aca="false">AVERAGEIF(G2:G476,"Pré-Mistura",M2:M476)</f>
        <v>#DIV/0!</v>
      </c>
      <c r="Q93" s="482"/>
      <c r="R93" s="482"/>
      <c r="S93" s="153"/>
      <c r="T93" s="153"/>
    </row>
    <row r="94" customFormat="false" ht="12.75" hidden="false" customHeight="true" outlineLevel="0" collapsed="false">
      <c r="O94" s="394" t="s">
        <v>144</v>
      </c>
      <c r="P94" s="481" t="n">
        <f aca="false">AVERAGEIF(G2:G476,"PF",M2:M476)</f>
        <v>1175.225</v>
      </c>
      <c r="Q94" s="481"/>
      <c r="R94" s="481"/>
      <c r="S94" s="153"/>
      <c r="T94" s="153"/>
    </row>
    <row r="95" customFormat="false" ht="12.75" hidden="false" customHeight="true" outlineLevel="0" collapsed="false">
      <c r="O95" s="396" t="s">
        <v>115</v>
      </c>
      <c r="P95" s="482" t="n">
        <f aca="false">AVERAGEIF(G2:G476,"PFN",M2:M476)</f>
        <v>598.333333333333</v>
      </c>
      <c r="Q95" s="482"/>
      <c r="R95" s="482"/>
      <c r="S95" s="153"/>
      <c r="T95" s="153"/>
    </row>
    <row r="96" customFormat="false" ht="12.75" hidden="false" customHeight="true" outlineLevel="0" collapsed="false">
      <c r="O96" s="394" t="s">
        <v>441</v>
      </c>
      <c r="P96" s="481" t="e">
        <f aca="false">AVERAGEIF(G2:G476,"PF/PTE",M2:M476)</f>
        <v>#DIV/0!</v>
      </c>
      <c r="Q96" s="481"/>
      <c r="R96" s="481"/>
      <c r="S96" s="153"/>
      <c r="T96" s="153"/>
    </row>
    <row r="97" customFormat="false" ht="12.75" hidden="false" customHeight="true" outlineLevel="0" collapsed="false">
      <c r="O97" s="396" t="s">
        <v>125</v>
      </c>
      <c r="P97" s="482" t="n">
        <f aca="false">AVERAGEIF(G2:G476,"Bio",M2:M476)</f>
        <v>590.4</v>
      </c>
      <c r="Q97" s="482"/>
      <c r="R97" s="482"/>
    </row>
    <row r="98" customFormat="false" ht="12.75" hidden="false" customHeight="true" outlineLevel="0" collapsed="false">
      <c r="O98" s="394" t="s">
        <v>130</v>
      </c>
      <c r="P98" s="481" t="e">
        <f aca="false">AVERAGEIF(G2:G476,"Bio/Org",M2:M476)</f>
        <v>#DIV/0!</v>
      </c>
      <c r="Q98" s="481"/>
      <c r="R98" s="481"/>
    </row>
    <row r="99" customFormat="false" ht="12.75" hidden="false" customHeight="true" outlineLevel="0" collapsed="false">
      <c r="O99" s="398" t="s">
        <v>86</v>
      </c>
      <c r="P99" s="399" t="n">
        <f aca="false">AVERAGE(M2:M494)</f>
        <v>1046.20779220779</v>
      </c>
      <c r="Q99" s="399"/>
      <c r="R99" s="399"/>
    </row>
  </sheetData>
  <autoFilter ref="A1:M92"/>
  <mergeCells count="76">
    <mergeCell ref="O2:P2"/>
    <mergeCell ref="O14:S15"/>
    <mergeCell ref="O16:S16"/>
    <mergeCell ref="O17:S17"/>
    <mergeCell ref="O18:S18"/>
    <mergeCell ref="O19:S19"/>
    <mergeCell ref="O20:S20"/>
    <mergeCell ref="O21:S21"/>
    <mergeCell ref="O22:S22"/>
    <mergeCell ref="O23:S23"/>
    <mergeCell ref="O24:S24"/>
    <mergeCell ref="O26:S27"/>
    <mergeCell ref="P28:R28"/>
    <mergeCell ref="P29:R29"/>
    <mergeCell ref="P30:R30"/>
    <mergeCell ref="P31:R31"/>
    <mergeCell ref="P32:R32"/>
    <mergeCell ref="P33:R33"/>
    <mergeCell ref="P34:R34"/>
    <mergeCell ref="P35:R35"/>
    <mergeCell ref="P36:R36"/>
    <mergeCell ref="P37:R37"/>
    <mergeCell ref="P38:R38"/>
    <mergeCell ref="P39:R39"/>
    <mergeCell ref="P40:R40"/>
    <mergeCell ref="P41:R41"/>
    <mergeCell ref="P42:R42"/>
    <mergeCell ref="O44:S45"/>
    <mergeCell ref="P46:R46"/>
    <mergeCell ref="P47:R47"/>
    <mergeCell ref="P48:R48"/>
    <mergeCell ref="P49:R49"/>
    <mergeCell ref="P50:R50"/>
    <mergeCell ref="P51:R51"/>
    <mergeCell ref="P52:R52"/>
    <mergeCell ref="P53:R53"/>
    <mergeCell ref="P54:R54"/>
    <mergeCell ref="P55:R55"/>
    <mergeCell ref="P56:R56"/>
    <mergeCell ref="P57:R57"/>
    <mergeCell ref="P58:R58"/>
    <mergeCell ref="P59:R59"/>
    <mergeCell ref="O61:T62"/>
    <mergeCell ref="O63:R63"/>
    <mergeCell ref="O64:R64"/>
    <mergeCell ref="O65:R65"/>
    <mergeCell ref="O66:R66"/>
    <mergeCell ref="O67:R67"/>
    <mergeCell ref="O68:R68"/>
    <mergeCell ref="O69:R69"/>
    <mergeCell ref="O70:R70"/>
    <mergeCell ref="O71:R71"/>
    <mergeCell ref="O72:R72"/>
    <mergeCell ref="O73:R73"/>
    <mergeCell ref="O74:R74"/>
    <mergeCell ref="O75:R75"/>
    <mergeCell ref="O76:R76"/>
    <mergeCell ref="O78:T79"/>
    <mergeCell ref="O80:R80"/>
    <mergeCell ref="O81:R81"/>
    <mergeCell ref="O82:R82"/>
    <mergeCell ref="O83:R83"/>
    <mergeCell ref="O84:R84"/>
    <mergeCell ref="O85:R85"/>
    <mergeCell ref="O87:R88"/>
    <mergeCell ref="P89:R89"/>
    <mergeCell ref="P90:R90"/>
    <mergeCell ref="P91:R91"/>
    <mergeCell ref="P92:R92"/>
    <mergeCell ref="P93:R93"/>
    <mergeCell ref="P94:R94"/>
    <mergeCell ref="P95:R95"/>
    <mergeCell ref="P96:R96"/>
    <mergeCell ref="P97:R97"/>
    <mergeCell ref="P98:R98"/>
    <mergeCell ref="P99:R99"/>
  </mergeCells>
  <conditionalFormatting sqref="I78">
    <cfRule type="expression" priority="2" aboveAverage="0" equalAverage="0" bottom="0" percent="0" rank="0" text="" dxfId="101">
      <formula>LEN(TRIM(I78))&gt;0</formula>
    </cfRule>
  </conditionalFormatting>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9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0" topLeftCell="B1" activePane="topRight" state="frozen"/>
      <selection pane="topLeft" activeCell="A1" activeCellId="0" sqref="A1"/>
      <selection pane="topRight" activeCell="C2" activeCellId="0" sqref="C2"/>
    </sheetView>
  </sheetViews>
  <sheetFormatPr defaultColWidth="14.2890625" defaultRowHeight="12.75" customHeight="false" zeroHeight="false" outlineLevelRow="0" outlineLevelCol="0"/>
  <cols>
    <col collapsed="false" customWidth="true" hidden="false" outlineLevel="0" max="1" min="1" style="0" width="15.58"/>
    <col collapsed="false" customWidth="true" hidden="false" outlineLevel="0" max="2" min="2" style="0" width="28.58"/>
    <col collapsed="false" customWidth="true" hidden="false" outlineLevel="0" max="3" min="3" style="0" width="19.43"/>
    <col collapsed="false" customWidth="true" hidden="false" outlineLevel="0" max="4" min="4" style="0" width="26.14"/>
    <col collapsed="false" customWidth="true" hidden="false" outlineLevel="0" max="5" min="5" style="0" width="40.57"/>
    <col collapsed="false" customWidth="true" hidden="false" outlineLevel="0" max="6" min="6" style="0" width="71.43"/>
    <col collapsed="false" customWidth="true" hidden="false" outlineLevel="0" max="7" min="7" style="0" width="15.42"/>
    <col collapsed="false" customWidth="true" hidden="false" outlineLevel="0" max="8" min="8" style="0" width="31.29"/>
    <col collapsed="false" customWidth="true" hidden="false" outlineLevel="0" max="9" min="9" style="0" width="33.29"/>
    <col collapsed="false" customWidth="true" hidden="false" outlineLevel="0" max="10" min="10" style="0" width="34.85"/>
    <col collapsed="false" customWidth="true" hidden="false" outlineLevel="0" max="11" min="11" style="0" width="57.14"/>
    <col collapsed="false" customWidth="true" hidden="false" outlineLevel="0" max="12" min="12" style="0" width="76.14"/>
    <col collapsed="false" customWidth="true" hidden="false" outlineLevel="0" max="13" min="13" style="0" width="53.43"/>
    <col collapsed="false" customWidth="true" hidden="false" outlineLevel="0" max="14" min="14" style="0" width="9.14"/>
    <col collapsed="false" customWidth="true" hidden="false" outlineLevel="0" max="15" min="15" style="0" width="27.14"/>
    <col collapsed="false" customWidth="true" hidden="false" outlineLevel="0" max="16" min="16" style="0" width="9.85"/>
    <col collapsed="false" customWidth="true" hidden="false" outlineLevel="0" max="17" min="17" style="0" width="3.42"/>
    <col collapsed="false" customWidth="true" hidden="false" outlineLevel="0" max="18" min="18" style="0" width="39"/>
    <col collapsed="false" customWidth="true" hidden="false" outlineLevel="0" max="19" min="19" style="0" width="62.85"/>
    <col collapsed="false" customWidth="true" hidden="false" outlineLevel="0" max="20" min="20" style="0" width="13.71"/>
    <col collapsed="false" customWidth="true" hidden="false" outlineLevel="0" max="26" min="21" style="0" width="8.71"/>
  </cols>
  <sheetData>
    <row r="1" customFormat="false" ht="12.75" hidden="false" customHeight="true" outlineLevel="0" collapsed="false">
      <c r="A1" s="585" t="s">
        <v>92</v>
      </c>
      <c r="B1" s="585" t="s">
        <v>93</v>
      </c>
      <c r="C1" s="585" t="s">
        <v>89</v>
      </c>
      <c r="D1" s="584" t="s">
        <v>94</v>
      </c>
      <c r="E1" s="585" t="s">
        <v>95</v>
      </c>
      <c r="F1" s="585" t="s">
        <v>96</v>
      </c>
      <c r="G1" s="585" t="s">
        <v>97</v>
      </c>
      <c r="H1" s="585" t="s">
        <v>98</v>
      </c>
      <c r="I1" s="584" t="s">
        <v>99</v>
      </c>
      <c r="J1" s="585" t="s">
        <v>62</v>
      </c>
      <c r="K1" s="586" t="s">
        <v>101</v>
      </c>
      <c r="L1" s="586" t="s">
        <v>102</v>
      </c>
      <c r="M1" s="279" t="s">
        <v>103</v>
      </c>
      <c r="N1" s="4"/>
      <c r="O1" s="4"/>
      <c r="P1" s="4"/>
      <c r="Q1" s="4"/>
      <c r="R1" s="4"/>
      <c r="S1" s="4"/>
    </row>
    <row r="2" customFormat="false" ht="12.75" hidden="false" customHeight="true" outlineLevel="0" collapsed="false">
      <c r="A2" s="602" t="n">
        <v>102</v>
      </c>
      <c r="B2" s="450" t="s">
        <v>20069</v>
      </c>
      <c r="C2" s="452" t="n">
        <v>2000</v>
      </c>
      <c r="D2" s="451" t="n">
        <v>36650</v>
      </c>
      <c r="E2" s="450" t="s">
        <v>20070</v>
      </c>
      <c r="F2" s="450" t="s">
        <v>20071</v>
      </c>
      <c r="G2" s="450" t="s">
        <v>1188</v>
      </c>
      <c r="H2" s="450" t="s">
        <v>20072</v>
      </c>
      <c r="I2" s="451" t="n">
        <v>37275</v>
      </c>
      <c r="J2" s="452" t="n">
        <v>1</v>
      </c>
      <c r="K2" s="633" t="s">
        <v>47</v>
      </c>
      <c r="L2" s="452" t="s">
        <v>58</v>
      </c>
      <c r="M2" s="455" t="n">
        <f aca="false">I2-D2</f>
        <v>625</v>
      </c>
      <c r="N2" s="4"/>
      <c r="O2" s="280" t="s">
        <v>19488</v>
      </c>
      <c r="P2" s="280"/>
      <c r="Q2" s="146"/>
      <c r="R2" s="146"/>
      <c r="S2" s="146"/>
    </row>
    <row r="3" customFormat="false" ht="12.75" hidden="false" customHeight="true" outlineLevel="0" collapsed="false">
      <c r="A3" s="594" t="n">
        <v>202</v>
      </c>
      <c r="B3" s="458" t="s">
        <v>20073</v>
      </c>
      <c r="C3" s="460" t="n">
        <v>2000</v>
      </c>
      <c r="D3" s="459" t="n">
        <v>36784</v>
      </c>
      <c r="E3" s="458" t="s">
        <v>20074</v>
      </c>
      <c r="F3" s="458" t="s">
        <v>3924</v>
      </c>
      <c r="G3" s="458" t="s">
        <v>144</v>
      </c>
      <c r="H3" s="458" t="s">
        <v>20075</v>
      </c>
      <c r="I3" s="459" t="n">
        <v>37287</v>
      </c>
      <c r="J3" s="460" t="n">
        <v>1</v>
      </c>
      <c r="K3" s="634" t="s">
        <v>45</v>
      </c>
      <c r="L3" s="458" t="s">
        <v>60</v>
      </c>
      <c r="M3" s="463" t="n">
        <f aca="false">I3-D3</f>
        <v>503</v>
      </c>
      <c r="N3" s="4"/>
      <c r="O3" s="281" t="s">
        <v>1182</v>
      </c>
      <c r="P3" s="281" t="n">
        <f aca="false">COUNTIF($G$2:$G$476,"PT")</f>
        <v>13</v>
      </c>
      <c r="Q3" s="146"/>
      <c r="R3" s="146"/>
      <c r="S3" s="146"/>
    </row>
    <row r="4" customFormat="false" ht="12.75" hidden="false" customHeight="true" outlineLevel="0" collapsed="false">
      <c r="A4" s="602" t="n">
        <v>302</v>
      </c>
      <c r="B4" s="450" t="s">
        <v>20076</v>
      </c>
      <c r="C4" s="452" t="n">
        <v>1999</v>
      </c>
      <c r="D4" s="451" t="n">
        <v>36494</v>
      </c>
      <c r="E4" s="450" t="s">
        <v>20077</v>
      </c>
      <c r="F4" s="450" t="s">
        <v>20078</v>
      </c>
      <c r="G4" s="450" t="s">
        <v>115</v>
      </c>
      <c r="H4" s="450" t="s">
        <v>134</v>
      </c>
      <c r="I4" s="451" t="n">
        <v>37295</v>
      </c>
      <c r="J4" s="452" t="n">
        <v>2</v>
      </c>
      <c r="K4" s="634" t="s">
        <v>45</v>
      </c>
      <c r="L4" s="452" t="s">
        <v>58</v>
      </c>
      <c r="M4" s="455" t="n">
        <f aca="false">I4-D4</f>
        <v>801</v>
      </c>
      <c r="N4" s="4"/>
      <c r="O4" s="282" t="s">
        <v>1188</v>
      </c>
      <c r="P4" s="282" t="n">
        <f aca="false">COUNTIF($G$2:$G$476,"PTN")</f>
        <v>5</v>
      </c>
      <c r="Q4" s="153"/>
      <c r="R4" s="153"/>
      <c r="S4" s="153"/>
    </row>
    <row r="5" customFormat="false" ht="12.75" hidden="false" customHeight="true" outlineLevel="0" collapsed="false">
      <c r="A5" s="594" t="n">
        <v>402</v>
      </c>
      <c r="B5" s="458" t="s">
        <v>20079</v>
      </c>
      <c r="C5" s="460" t="n">
        <v>2000</v>
      </c>
      <c r="D5" s="459" t="n">
        <v>36769</v>
      </c>
      <c r="E5" s="458" t="s">
        <v>20080</v>
      </c>
      <c r="F5" s="458" t="s">
        <v>20081</v>
      </c>
      <c r="G5" s="458" t="s">
        <v>115</v>
      </c>
      <c r="H5" s="458" t="s">
        <v>10901</v>
      </c>
      <c r="I5" s="459" t="n">
        <v>37313</v>
      </c>
      <c r="J5" s="460" t="n">
        <v>2</v>
      </c>
      <c r="K5" s="631" t="s">
        <v>42</v>
      </c>
      <c r="L5" s="458" t="s">
        <v>58</v>
      </c>
      <c r="M5" s="463" t="n">
        <f aca="false">I5-D5</f>
        <v>544</v>
      </c>
      <c r="N5" s="4"/>
      <c r="O5" s="283" t="s">
        <v>1192</v>
      </c>
      <c r="P5" s="283" t="n">
        <f aca="false">COUNTIF($G$2:$G$476,"PTE")</f>
        <v>0</v>
      </c>
      <c r="Q5" s="153"/>
      <c r="R5" s="153"/>
      <c r="S5" s="153"/>
    </row>
    <row r="6" customFormat="false" ht="12.75" hidden="false" customHeight="true" outlineLevel="0" collapsed="false">
      <c r="A6" s="602" t="n">
        <v>502</v>
      </c>
      <c r="B6" s="450" t="s">
        <v>20082</v>
      </c>
      <c r="C6" s="452" t="n">
        <v>2000</v>
      </c>
      <c r="D6" s="451" t="n">
        <v>36769</v>
      </c>
      <c r="E6" s="450" t="s">
        <v>20083</v>
      </c>
      <c r="F6" s="450" t="s">
        <v>20081</v>
      </c>
      <c r="G6" s="450" t="s">
        <v>1188</v>
      </c>
      <c r="H6" s="450" t="s">
        <v>10901</v>
      </c>
      <c r="I6" s="451" t="n">
        <v>37313</v>
      </c>
      <c r="J6" s="452" t="n">
        <v>2</v>
      </c>
      <c r="K6" s="633" t="s">
        <v>47</v>
      </c>
      <c r="L6" s="452" t="s">
        <v>58</v>
      </c>
      <c r="M6" s="455" t="n">
        <f aca="false">I6-D6</f>
        <v>544</v>
      </c>
      <c r="N6" s="4"/>
      <c r="O6" s="282" t="s">
        <v>8</v>
      </c>
      <c r="P6" s="282" t="n">
        <f aca="false">COUNTIF($G$2:$G$476,"Pré-Mistura")</f>
        <v>0</v>
      </c>
      <c r="Q6" s="153"/>
      <c r="R6" s="153"/>
      <c r="S6" s="153"/>
    </row>
    <row r="7" customFormat="false" ht="12.75" hidden="false" customHeight="true" outlineLevel="0" collapsed="false">
      <c r="A7" s="594" t="n">
        <v>602</v>
      </c>
      <c r="B7" s="458" t="s">
        <v>20084</v>
      </c>
      <c r="C7" s="460" t="n">
        <v>1999</v>
      </c>
      <c r="D7" s="459" t="n">
        <v>36234</v>
      </c>
      <c r="E7" s="458" t="s">
        <v>20085</v>
      </c>
      <c r="F7" s="458" t="s">
        <v>180</v>
      </c>
      <c r="G7" s="458" t="s">
        <v>144</v>
      </c>
      <c r="H7" s="458" t="s">
        <v>6755</v>
      </c>
      <c r="I7" s="459" t="n">
        <v>36590</v>
      </c>
      <c r="J7" s="460" t="n">
        <v>3</v>
      </c>
      <c r="K7" s="633" t="s">
        <v>47</v>
      </c>
      <c r="L7" s="458" t="s">
        <v>60</v>
      </c>
      <c r="M7" s="463" t="n">
        <f aca="false">I7-D7</f>
        <v>356</v>
      </c>
      <c r="N7" s="4"/>
      <c r="O7" s="283" t="s">
        <v>110</v>
      </c>
      <c r="P7" s="283" t="n">
        <f aca="false">COUNTIF($G$2:$G$476,"PF")</f>
        <v>23</v>
      </c>
      <c r="Q7" s="153"/>
      <c r="R7" s="153"/>
      <c r="S7" s="153"/>
    </row>
    <row r="8" customFormat="false" ht="12.75" hidden="false" customHeight="true" outlineLevel="0" collapsed="false">
      <c r="A8" s="602" t="n">
        <v>702</v>
      </c>
      <c r="B8" s="450" t="s">
        <v>20086</v>
      </c>
      <c r="C8" s="452" t="n">
        <v>2000</v>
      </c>
      <c r="D8" s="451" t="n">
        <v>36650</v>
      </c>
      <c r="E8" s="450" t="s">
        <v>20087</v>
      </c>
      <c r="F8" s="450" t="s">
        <v>20088</v>
      </c>
      <c r="G8" s="450" t="s">
        <v>1188</v>
      </c>
      <c r="H8" s="450" t="s">
        <v>20072</v>
      </c>
      <c r="I8" s="451" t="n">
        <v>37329</v>
      </c>
      <c r="J8" s="452" t="n">
        <v>3</v>
      </c>
      <c r="K8" s="631" t="s">
        <v>42</v>
      </c>
      <c r="L8" s="452" t="s">
        <v>58</v>
      </c>
      <c r="M8" s="455" t="n">
        <f aca="false">I8-D8</f>
        <v>679</v>
      </c>
      <c r="N8" s="4"/>
      <c r="O8" s="282" t="s">
        <v>115</v>
      </c>
      <c r="P8" s="282" t="n">
        <f aca="false">COUNTIF($G$2:$G$476,"PFN")</f>
        <v>6</v>
      </c>
      <c r="Q8" s="153"/>
      <c r="R8" s="153"/>
      <c r="S8" s="153"/>
    </row>
    <row r="9" customFormat="false" ht="12.75" hidden="false" customHeight="true" outlineLevel="0" collapsed="false">
      <c r="A9" s="594" t="n">
        <v>802</v>
      </c>
      <c r="B9" s="458" t="s">
        <v>20089</v>
      </c>
      <c r="C9" s="460" t="n">
        <v>2000</v>
      </c>
      <c r="D9" s="459" t="n">
        <v>36679</v>
      </c>
      <c r="E9" s="458" t="s">
        <v>20090</v>
      </c>
      <c r="F9" s="458" t="s">
        <v>20091</v>
      </c>
      <c r="G9" s="458" t="s">
        <v>1188</v>
      </c>
      <c r="H9" s="458" t="s">
        <v>20072</v>
      </c>
      <c r="I9" s="459" t="n">
        <v>37331</v>
      </c>
      <c r="J9" s="460" t="n">
        <v>3</v>
      </c>
      <c r="K9" s="633" t="s">
        <v>47</v>
      </c>
      <c r="L9" s="458" t="s">
        <v>60</v>
      </c>
      <c r="M9" s="463" t="n">
        <f aca="false">I9-D9</f>
        <v>652</v>
      </c>
      <c r="N9" s="4"/>
      <c r="O9" s="283" t="s">
        <v>120</v>
      </c>
      <c r="P9" s="283" t="n">
        <f aca="false">COUNTIF($G$2:$G$476,"PF/PTE")</f>
        <v>0</v>
      </c>
      <c r="Q9" s="153"/>
      <c r="R9" s="153"/>
      <c r="S9" s="153"/>
    </row>
    <row r="10" customFormat="false" ht="12.75" hidden="false" customHeight="true" outlineLevel="0" collapsed="false">
      <c r="A10" s="602" t="n">
        <v>902</v>
      </c>
      <c r="B10" s="450" t="s">
        <v>20092</v>
      </c>
      <c r="C10" s="452" t="n">
        <v>2000</v>
      </c>
      <c r="D10" s="451" t="n">
        <v>36714</v>
      </c>
      <c r="E10" s="450" t="s">
        <v>20093</v>
      </c>
      <c r="F10" s="450" t="s">
        <v>10822</v>
      </c>
      <c r="G10" s="450" t="s">
        <v>144</v>
      </c>
      <c r="H10" s="450" t="s">
        <v>192</v>
      </c>
      <c r="I10" s="451" t="n">
        <v>37342</v>
      </c>
      <c r="J10" s="452" t="n">
        <v>3</v>
      </c>
      <c r="K10" s="632" t="s">
        <v>50</v>
      </c>
      <c r="L10" s="452" t="s">
        <v>60</v>
      </c>
      <c r="M10" s="455" t="n">
        <f aca="false">I10-D10</f>
        <v>628</v>
      </c>
      <c r="N10" s="4"/>
      <c r="O10" s="282" t="s">
        <v>125</v>
      </c>
      <c r="P10" s="282" t="n">
        <f aca="false">COUNTIF($G$2:$G$476,"Bio")</f>
        <v>6</v>
      </c>
      <c r="Q10" s="153"/>
      <c r="R10" s="153"/>
      <c r="S10" s="153"/>
    </row>
    <row r="11" customFormat="false" ht="12.75" hidden="false" customHeight="true" outlineLevel="0" collapsed="false">
      <c r="A11" s="594" t="n">
        <v>1002</v>
      </c>
      <c r="B11" s="458" t="s">
        <v>20094</v>
      </c>
      <c r="C11" s="460" t="n">
        <v>2000</v>
      </c>
      <c r="D11" s="459" t="n">
        <v>36714</v>
      </c>
      <c r="E11" s="458" t="s">
        <v>20095</v>
      </c>
      <c r="F11" s="458" t="s">
        <v>780</v>
      </c>
      <c r="G11" s="458" t="s">
        <v>144</v>
      </c>
      <c r="H11" s="458" t="s">
        <v>192</v>
      </c>
      <c r="I11" s="459" t="n">
        <v>37349</v>
      </c>
      <c r="J11" s="460" t="n">
        <v>4</v>
      </c>
      <c r="K11" s="631" t="s">
        <v>42</v>
      </c>
      <c r="L11" s="458" t="s">
        <v>60</v>
      </c>
      <c r="M11" s="463" t="n">
        <f aca="false">I11-D11</f>
        <v>635</v>
      </c>
      <c r="N11" s="4"/>
      <c r="O11" s="284" t="s">
        <v>130</v>
      </c>
      <c r="P11" s="284" t="n">
        <f aca="false">COUNTIF($G$2:$G$476,"Bio/Org")</f>
        <v>0</v>
      </c>
      <c r="Q11" s="153"/>
      <c r="R11" s="153"/>
      <c r="S11" s="153"/>
    </row>
    <row r="12" customFormat="false" ht="12.75" hidden="false" customHeight="true" outlineLevel="0" collapsed="false">
      <c r="A12" s="602" t="n">
        <v>1102</v>
      </c>
      <c r="B12" s="450" t="s">
        <v>20096</v>
      </c>
      <c r="C12" s="452" t="n">
        <v>2000</v>
      </c>
      <c r="D12" s="451" t="n">
        <v>36557</v>
      </c>
      <c r="E12" s="450" t="s">
        <v>20097</v>
      </c>
      <c r="F12" s="450" t="s">
        <v>1262</v>
      </c>
      <c r="G12" s="450" t="s">
        <v>144</v>
      </c>
      <c r="H12" s="450" t="s">
        <v>1791</v>
      </c>
      <c r="I12" s="451" t="n">
        <v>37356</v>
      </c>
      <c r="J12" s="452" t="n">
        <v>4</v>
      </c>
      <c r="K12" s="633" t="s">
        <v>47</v>
      </c>
      <c r="L12" s="452" t="s">
        <v>58</v>
      </c>
      <c r="M12" s="455" t="n">
        <f aca="false">I12-D12</f>
        <v>799</v>
      </c>
      <c r="N12" s="4"/>
      <c r="O12" s="285" t="s">
        <v>140</v>
      </c>
      <c r="P12" s="286" t="n">
        <f aca="false">SUM(P3:P11)</f>
        <v>53</v>
      </c>
      <c r="Q12" s="153"/>
      <c r="R12" s="153"/>
      <c r="S12" s="153"/>
    </row>
    <row r="13" customFormat="false" ht="12.75" hidden="false" customHeight="true" outlineLevel="0" collapsed="false">
      <c r="A13" s="594" t="n">
        <v>1202</v>
      </c>
      <c r="B13" s="458" t="s">
        <v>20098</v>
      </c>
      <c r="C13" s="460" t="n">
        <v>2000</v>
      </c>
      <c r="D13" s="459" t="n">
        <v>36704</v>
      </c>
      <c r="E13" s="458" t="s">
        <v>20099</v>
      </c>
      <c r="F13" s="458" t="s">
        <v>20100</v>
      </c>
      <c r="G13" s="458" t="s">
        <v>125</v>
      </c>
      <c r="H13" s="458" t="s">
        <v>391</v>
      </c>
      <c r="I13" s="459" t="n">
        <v>37372</v>
      </c>
      <c r="J13" s="460" t="n">
        <v>4</v>
      </c>
      <c r="K13" s="632" t="s">
        <v>50</v>
      </c>
      <c r="L13" s="458" t="s">
        <v>61</v>
      </c>
      <c r="M13" s="463" t="n">
        <f aca="false">I13-D13</f>
        <v>668</v>
      </c>
      <c r="N13" s="4"/>
      <c r="O13" s="153"/>
      <c r="P13" s="153"/>
      <c r="Q13" s="153"/>
      <c r="R13" s="287"/>
      <c r="S13" s="287"/>
    </row>
    <row r="14" customFormat="false" ht="13.5" hidden="false" customHeight="true" outlineLevel="0" collapsed="false">
      <c r="A14" s="602" t="n">
        <v>1302</v>
      </c>
      <c r="B14" s="450" t="s">
        <v>20101</v>
      </c>
      <c r="C14" s="452" t="n">
        <v>2000</v>
      </c>
      <c r="D14" s="451" t="n">
        <v>36753</v>
      </c>
      <c r="E14" s="450" t="s">
        <v>20102</v>
      </c>
      <c r="F14" s="450" t="s">
        <v>20103</v>
      </c>
      <c r="G14" s="450" t="s">
        <v>125</v>
      </c>
      <c r="H14" s="450" t="s">
        <v>391</v>
      </c>
      <c r="I14" s="451" t="n">
        <v>37372</v>
      </c>
      <c r="J14" s="452" t="n">
        <v>4</v>
      </c>
      <c r="K14" s="632" t="s">
        <v>50</v>
      </c>
      <c r="L14" s="452" t="s">
        <v>61</v>
      </c>
      <c r="M14" s="455" t="n">
        <f aca="false">I14-D14</f>
        <v>619</v>
      </c>
      <c r="N14" s="4"/>
      <c r="O14" s="411" t="s">
        <v>151</v>
      </c>
      <c r="P14" s="411"/>
      <c r="Q14" s="411"/>
      <c r="R14" s="411"/>
      <c r="S14" s="411"/>
    </row>
    <row r="15" customFormat="false" ht="14.25" hidden="false" customHeight="true" outlineLevel="0" collapsed="false">
      <c r="A15" s="594" t="n">
        <v>1402</v>
      </c>
      <c r="B15" s="458" t="s">
        <v>20104</v>
      </c>
      <c r="C15" s="460" t="n">
        <v>1999</v>
      </c>
      <c r="D15" s="459" t="n">
        <v>36460</v>
      </c>
      <c r="E15" s="458" t="s">
        <v>20105</v>
      </c>
      <c r="F15" s="458" t="s">
        <v>17825</v>
      </c>
      <c r="G15" s="458" t="s">
        <v>144</v>
      </c>
      <c r="H15" s="458" t="s">
        <v>20106</v>
      </c>
      <c r="I15" s="459" t="n">
        <v>37380</v>
      </c>
      <c r="J15" s="460" t="n">
        <v>5</v>
      </c>
      <c r="K15" s="632" t="s">
        <v>50</v>
      </c>
      <c r="L15" s="458" t="s">
        <v>58</v>
      </c>
      <c r="M15" s="463" t="n">
        <f aca="false">I15-D15</f>
        <v>920</v>
      </c>
      <c r="N15" s="4"/>
      <c r="O15" s="411"/>
      <c r="P15" s="411"/>
      <c r="Q15" s="411"/>
      <c r="R15" s="411"/>
      <c r="S15" s="411"/>
    </row>
    <row r="16" customFormat="false" ht="12.75" hidden="false" customHeight="true" outlineLevel="0" collapsed="false">
      <c r="A16" s="602" t="n">
        <v>1502</v>
      </c>
      <c r="B16" s="450" t="s">
        <v>20107</v>
      </c>
      <c r="C16" s="452" t="n">
        <v>1998</v>
      </c>
      <c r="D16" s="451" t="n">
        <v>36128</v>
      </c>
      <c r="E16" s="450" t="s">
        <v>20108</v>
      </c>
      <c r="F16" s="450" t="s">
        <v>699</v>
      </c>
      <c r="G16" s="450" t="s">
        <v>144</v>
      </c>
      <c r="H16" s="450" t="s">
        <v>6755</v>
      </c>
      <c r="I16" s="451" t="n">
        <v>37383</v>
      </c>
      <c r="J16" s="452" t="n">
        <v>5</v>
      </c>
      <c r="K16" s="633" t="s">
        <v>47</v>
      </c>
      <c r="L16" s="452" t="s">
        <v>60</v>
      </c>
      <c r="M16" s="455" t="n">
        <f aca="false">I16-D16</f>
        <v>1255</v>
      </c>
      <c r="N16" s="4"/>
      <c r="O16" s="412" t="s">
        <v>2194</v>
      </c>
      <c r="P16" s="412"/>
      <c r="Q16" s="412"/>
      <c r="R16" s="412"/>
      <c r="S16" s="412"/>
    </row>
    <row r="17" customFormat="false" ht="12.75" hidden="false" customHeight="true" outlineLevel="0" collapsed="false">
      <c r="A17" s="594" t="n">
        <v>1602</v>
      </c>
      <c r="B17" s="458" t="s">
        <v>20109</v>
      </c>
      <c r="C17" s="460" t="n">
        <v>2000</v>
      </c>
      <c r="D17" s="459" t="n">
        <v>36748</v>
      </c>
      <c r="E17" s="458" t="s">
        <v>20110</v>
      </c>
      <c r="F17" s="458" t="s">
        <v>19780</v>
      </c>
      <c r="G17" s="458" t="s">
        <v>144</v>
      </c>
      <c r="H17" s="458" t="s">
        <v>20072</v>
      </c>
      <c r="I17" s="459" t="n">
        <v>37387</v>
      </c>
      <c r="J17" s="460" t="n">
        <v>5</v>
      </c>
      <c r="K17" s="633" t="s">
        <v>47</v>
      </c>
      <c r="L17" s="458" t="s">
        <v>58</v>
      </c>
      <c r="M17" s="463" t="n">
        <f aca="false">I17-D17</f>
        <v>639</v>
      </c>
      <c r="N17" s="4"/>
      <c r="O17" s="413" t="s">
        <v>2198</v>
      </c>
      <c r="P17" s="413"/>
      <c r="Q17" s="413"/>
      <c r="R17" s="413"/>
      <c r="S17" s="413"/>
    </row>
    <row r="18" customFormat="false" ht="12.75" hidden="false" customHeight="true" outlineLevel="0" collapsed="false">
      <c r="A18" s="602" t="n">
        <v>1702</v>
      </c>
      <c r="B18" s="450" t="s">
        <v>20111</v>
      </c>
      <c r="C18" s="452" t="n">
        <v>1994</v>
      </c>
      <c r="D18" s="451" t="n">
        <v>34345</v>
      </c>
      <c r="E18" s="450" t="s">
        <v>20112</v>
      </c>
      <c r="F18" s="450" t="s">
        <v>7411</v>
      </c>
      <c r="G18" s="450" t="s">
        <v>1474</v>
      </c>
      <c r="H18" s="450" t="s">
        <v>18397</v>
      </c>
      <c r="I18" s="451" t="n">
        <v>37387</v>
      </c>
      <c r="J18" s="452" t="n">
        <v>5</v>
      </c>
      <c r="K18" s="632" t="s">
        <v>50</v>
      </c>
      <c r="L18" s="452" t="s">
        <v>58</v>
      </c>
      <c r="M18" s="455" t="n">
        <f aca="false">I18-D18</f>
        <v>3042</v>
      </c>
      <c r="N18" s="4"/>
      <c r="O18" s="414" t="s">
        <v>2203</v>
      </c>
      <c r="P18" s="414"/>
      <c r="Q18" s="414"/>
      <c r="R18" s="414"/>
      <c r="S18" s="414"/>
    </row>
    <row r="19" customFormat="false" ht="12.75" hidden="false" customHeight="true" outlineLevel="0" collapsed="false">
      <c r="A19" s="594" t="n">
        <v>1802</v>
      </c>
      <c r="B19" s="458" t="s">
        <v>20113</v>
      </c>
      <c r="C19" s="460" t="n">
        <v>1998</v>
      </c>
      <c r="D19" s="459" t="n">
        <v>36117</v>
      </c>
      <c r="E19" s="458" t="s">
        <v>20114</v>
      </c>
      <c r="F19" s="458" t="s">
        <v>12222</v>
      </c>
      <c r="G19" s="458" t="s">
        <v>125</v>
      </c>
      <c r="H19" s="458" t="s">
        <v>254</v>
      </c>
      <c r="I19" s="459" t="n">
        <v>37397</v>
      </c>
      <c r="J19" s="460" t="n">
        <v>5</v>
      </c>
      <c r="K19" s="633" t="s">
        <v>47</v>
      </c>
      <c r="L19" s="458" t="s">
        <v>61</v>
      </c>
      <c r="M19" s="463" t="n">
        <f aca="false">I19-D19</f>
        <v>1280</v>
      </c>
      <c r="N19" s="4"/>
      <c r="O19" s="413" t="s">
        <v>2207</v>
      </c>
      <c r="P19" s="413"/>
      <c r="Q19" s="413"/>
      <c r="R19" s="413"/>
      <c r="S19" s="413"/>
    </row>
    <row r="20" customFormat="false" ht="12.75" hidden="false" customHeight="true" outlineLevel="0" collapsed="false">
      <c r="A20" s="602" t="n">
        <v>1902</v>
      </c>
      <c r="B20" s="450" t="s">
        <v>20115</v>
      </c>
      <c r="C20" s="452" t="n">
        <v>1999</v>
      </c>
      <c r="D20" s="451" t="n">
        <v>36441</v>
      </c>
      <c r="E20" s="450" t="s">
        <v>20116</v>
      </c>
      <c r="F20" s="450" t="s">
        <v>13562</v>
      </c>
      <c r="G20" s="450" t="s">
        <v>144</v>
      </c>
      <c r="H20" s="450" t="s">
        <v>10901</v>
      </c>
      <c r="I20" s="451" t="n">
        <v>37413</v>
      </c>
      <c r="J20" s="452" t="n">
        <v>6</v>
      </c>
      <c r="K20" s="633" t="s">
        <v>47</v>
      </c>
      <c r="L20" s="452" t="s">
        <v>60</v>
      </c>
      <c r="M20" s="455" t="n">
        <f aca="false">I20-D20</f>
        <v>972</v>
      </c>
      <c r="N20" s="4"/>
      <c r="O20" s="414" t="s">
        <v>2211</v>
      </c>
      <c r="P20" s="414"/>
      <c r="Q20" s="414"/>
      <c r="R20" s="414"/>
      <c r="S20" s="414"/>
    </row>
    <row r="21" customFormat="false" ht="12.75" hidden="false" customHeight="true" outlineLevel="0" collapsed="false">
      <c r="A21" s="594" t="n">
        <v>2002</v>
      </c>
      <c r="B21" s="458" t="s">
        <v>20117</v>
      </c>
      <c r="C21" s="460" t="n">
        <v>1998</v>
      </c>
      <c r="D21" s="459" t="n">
        <v>36097</v>
      </c>
      <c r="E21" s="458" t="s">
        <v>20118</v>
      </c>
      <c r="F21" s="458" t="s">
        <v>20119</v>
      </c>
      <c r="G21" s="458" t="s">
        <v>1188</v>
      </c>
      <c r="H21" s="458" t="s">
        <v>3339</v>
      </c>
      <c r="I21" s="459" t="n">
        <v>37420</v>
      </c>
      <c r="J21" s="460" t="n">
        <v>6</v>
      </c>
      <c r="K21" s="633" t="s">
        <v>47</v>
      </c>
      <c r="L21" s="458" t="s">
        <v>60</v>
      </c>
      <c r="M21" s="463" t="n">
        <f aca="false">I21-D21</f>
        <v>1323</v>
      </c>
      <c r="N21" s="4"/>
      <c r="O21" s="413" t="s">
        <v>2215</v>
      </c>
      <c r="P21" s="413"/>
      <c r="Q21" s="413"/>
      <c r="R21" s="413"/>
      <c r="S21" s="413"/>
    </row>
    <row r="22" customFormat="false" ht="12.75" hidden="false" customHeight="true" outlineLevel="0" collapsed="false">
      <c r="A22" s="602" t="n">
        <v>2102</v>
      </c>
      <c r="B22" s="450" t="s">
        <v>20120</v>
      </c>
      <c r="C22" s="452" t="n">
        <v>1999</v>
      </c>
      <c r="D22" s="451" t="n">
        <v>36514</v>
      </c>
      <c r="E22" s="450" t="s">
        <v>20121</v>
      </c>
      <c r="F22" s="450" t="s">
        <v>138</v>
      </c>
      <c r="G22" s="450" t="s">
        <v>144</v>
      </c>
      <c r="H22" s="450" t="s">
        <v>19878</v>
      </c>
      <c r="I22" s="451" t="n">
        <v>37427</v>
      </c>
      <c r="J22" s="452" t="n">
        <v>6</v>
      </c>
      <c r="K22" s="633" t="s">
        <v>47</v>
      </c>
      <c r="L22" s="452" t="s">
        <v>60</v>
      </c>
      <c r="M22" s="455" t="n">
        <f aca="false">I22-D22</f>
        <v>913</v>
      </c>
      <c r="N22" s="4"/>
      <c r="O22" s="414" t="s">
        <v>2220</v>
      </c>
      <c r="P22" s="414"/>
      <c r="Q22" s="414"/>
      <c r="R22" s="414"/>
      <c r="S22" s="414"/>
    </row>
    <row r="23" customFormat="false" ht="12.75" hidden="false" customHeight="true" outlineLevel="0" collapsed="false">
      <c r="A23" s="594" t="n">
        <v>2202</v>
      </c>
      <c r="B23" s="458" t="s">
        <v>20122</v>
      </c>
      <c r="C23" s="460" t="n">
        <v>2000</v>
      </c>
      <c r="D23" s="459" t="n">
        <v>36836</v>
      </c>
      <c r="E23" s="458" t="s">
        <v>20123</v>
      </c>
      <c r="F23" s="458" t="s">
        <v>20071</v>
      </c>
      <c r="G23" s="458" t="s">
        <v>115</v>
      </c>
      <c r="H23" s="458" t="s">
        <v>20072</v>
      </c>
      <c r="I23" s="459" t="n">
        <v>37435</v>
      </c>
      <c r="J23" s="460" t="n">
        <v>6</v>
      </c>
      <c r="K23" s="633" t="s">
        <v>47</v>
      </c>
      <c r="L23" s="458" t="s">
        <v>58</v>
      </c>
      <c r="M23" s="463" t="n">
        <f aca="false">I23-D23</f>
        <v>599</v>
      </c>
      <c r="N23" s="4"/>
      <c r="O23" s="413" t="s">
        <v>18107</v>
      </c>
      <c r="P23" s="413"/>
      <c r="Q23" s="413"/>
      <c r="R23" s="413"/>
      <c r="S23" s="413"/>
    </row>
    <row r="24" customFormat="false" ht="12.75" hidden="false" customHeight="true" outlineLevel="0" collapsed="false">
      <c r="A24" s="602" t="n">
        <v>2302</v>
      </c>
      <c r="B24" s="450" t="s">
        <v>20124</v>
      </c>
      <c r="C24" s="452" t="n">
        <v>1999</v>
      </c>
      <c r="D24" s="451" t="n">
        <v>36188</v>
      </c>
      <c r="E24" s="450" t="s">
        <v>20125</v>
      </c>
      <c r="F24" s="450" t="s">
        <v>1097</v>
      </c>
      <c r="G24" s="450" t="s">
        <v>1474</v>
      </c>
      <c r="H24" s="450" t="s">
        <v>6755</v>
      </c>
      <c r="I24" s="451" t="n">
        <v>37446</v>
      </c>
      <c r="J24" s="452" t="n">
        <v>7</v>
      </c>
      <c r="K24" s="632" t="s">
        <v>50</v>
      </c>
      <c r="L24" s="452" t="s">
        <v>60</v>
      </c>
      <c r="M24" s="455" t="n">
        <f aca="false">I24-D24</f>
        <v>1258</v>
      </c>
      <c r="N24" s="4"/>
      <c r="O24" s="415" t="s">
        <v>2229</v>
      </c>
      <c r="P24" s="415"/>
      <c r="Q24" s="415"/>
      <c r="R24" s="415"/>
      <c r="S24" s="415"/>
    </row>
    <row r="25" customFormat="false" ht="12.75" hidden="false" customHeight="true" outlineLevel="0" collapsed="false">
      <c r="A25" s="594" t="n">
        <v>2402</v>
      </c>
      <c r="B25" s="458" t="s">
        <v>20126</v>
      </c>
      <c r="C25" s="460" t="n">
        <v>2000</v>
      </c>
      <c r="D25" s="459" t="n">
        <v>36886</v>
      </c>
      <c r="E25" s="458" t="s">
        <v>20127</v>
      </c>
      <c r="F25" s="458" t="s">
        <v>19735</v>
      </c>
      <c r="G25" s="458" t="s">
        <v>144</v>
      </c>
      <c r="H25" s="458" t="s">
        <v>119</v>
      </c>
      <c r="I25" s="459" t="n">
        <v>37455</v>
      </c>
      <c r="J25" s="460" t="n">
        <v>7</v>
      </c>
      <c r="K25" s="633" t="s">
        <v>47</v>
      </c>
      <c r="L25" s="458" t="s">
        <v>57</v>
      </c>
      <c r="M25" s="463" t="n">
        <f aca="false">I25-D25</f>
        <v>569</v>
      </c>
      <c r="N25" s="4"/>
      <c r="O25" s="153"/>
      <c r="P25" s="153"/>
      <c r="Q25" s="153"/>
      <c r="R25" s="153"/>
      <c r="S25" s="153"/>
    </row>
    <row r="26" customFormat="false" ht="13.5" hidden="false" customHeight="true" outlineLevel="0" collapsed="false">
      <c r="A26" s="602" t="n">
        <v>2502</v>
      </c>
      <c r="B26" s="450" t="s">
        <v>20128</v>
      </c>
      <c r="C26" s="452" t="n">
        <v>2000</v>
      </c>
      <c r="D26" s="451" t="n">
        <v>36805</v>
      </c>
      <c r="E26" s="450" t="s">
        <v>20129</v>
      </c>
      <c r="F26" s="450" t="s">
        <v>699</v>
      </c>
      <c r="G26" s="450" t="s">
        <v>144</v>
      </c>
      <c r="H26" s="450" t="s">
        <v>192</v>
      </c>
      <c r="I26" s="451" t="n">
        <v>37455</v>
      </c>
      <c r="J26" s="452" t="n">
        <v>7</v>
      </c>
      <c r="K26" s="632" t="s">
        <v>50</v>
      </c>
      <c r="L26" s="452" t="s">
        <v>60</v>
      </c>
      <c r="M26" s="455" t="n">
        <f aca="false">I26-D26</f>
        <v>650</v>
      </c>
      <c r="N26" s="4"/>
      <c r="O26" s="326" t="s">
        <v>185</v>
      </c>
      <c r="P26" s="326"/>
      <c r="Q26" s="326"/>
      <c r="R26" s="326"/>
      <c r="S26" s="326"/>
    </row>
    <row r="27" customFormat="false" ht="13.5" hidden="false" customHeight="true" outlineLevel="0" collapsed="false">
      <c r="A27" s="594" t="n">
        <v>2602</v>
      </c>
      <c r="B27" s="458" t="s">
        <v>20130</v>
      </c>
      <c r="C27" s="460" t="n">
        <v>1991</v>
      </c>
      <c r="D27" s="459" t="n">
        <v>33272</v>
      </c>
      <c r="E27" s="458" t="s">
        <v>20131</v>
      </c>
      <c r="F27" s="458" t="s">
        <v>20132</v>
      </c>
      <c r="G27" s="458" t="s">
        <v>115</v>
      </c>
      <c r="H27" s="458" t="s">
        <v>19878</v>
      </c>
      <c r="I27" s="459" t="n">
        <v>37462</v>
      </c>
      <c r="J27" s="460" t="n">
        <v>7</v>
      </c>
      <c r="K27" s="632" t="s">
        <v>50</v>
      </c>
      <c r="L27" s="458" t="s">
        <v>60</v>
      </c>
      <c r="M27" s="463" t="n">
        <f aca="false">I27-D27</f>
        <v>4190</v>
      </c>
      <c r="N27" s="4"/>
      <c r="O27" s="326"/>
      <c r="P27" s="326"/>
      <c r="Q27" s="326"/>
      <c r="R27" s="326"/>
      <c r="S27" s="326"/>
    </row>
    <row r="28" customFormat="false" ht="12.75" hidden="false" customHeight="true" outlineLevel="0" collapsed="false">
      <c r="A28" s="602" t="n">
        <v>2702</v>
      </c>
      <c r="B28" s="450" t="s">
        <v>20133</v>
      </c>
      <c r="C28" s="452" t="n">
        <v>1999</v>
      </c>
      <c r="D28" s="451" t="n">
        <v>36512</v>
      </c>
      <c r="E28" s="450" t="s">
        <v>20134</v>
      </c>
      <c r="F28" s="450" t="s">
        <v>20135</v>
      </c>
      <c r="G28" s="450" t="s">
        <v>115</v>
      </c>
      <c r="H28" s="450" t="s">
        <v>20072</v>
      </c>
      <c r="I28" s="451" t="n">
        <v>37468</v>
      </c>
      <c r="J28" s="452" t="n">
        <v>7</v>
      </c>
      <c r="K28" s="631" t="s">
        <v>42</v>
      </c>
      <c r="L28" s="452" t="s">
        <v>58</v>
      </c>
      <c r="M28" s="455" t="n">
        <f aca="false">I28-D28</f>
        <v>956</v>
      </c>
      <c r="N28" s="4"/>
      <c r="O28" s="309" t="s">
        <v>39</v>
      </c>
      <c r="P28" s="416" t="s">
        <v>40</v>
      </c>
      <c r="Q28" s="416"/>
      <c r="R28" s="416"/>
      <c r="S28" s="313" t="s">
        <v>41</v>
      </c>
    </row>
    <row r="29" customFormat="false" ht="12.75" hidden="false" customHeight="true" outlineLevel="0" collapsed="false">
      <c r="A29" s="594" t="n">
        <v>2802</v>
      </c>
      <c r="B29" s="458" t="s">
        <v>20136</v>
      </c>
      <c r="C29" s="460" t="n">
        <v>1990</v>
      </c>
      <c r="D29" s="459" t="n">
        <v>33227</v>
      </c>
      <c r="E29" s="458" t="s">
        <v>20137</v>
      </c>
      <c r="F29" s="458" t="s">
        <v>20138</v>
      </c>
      <c r="G29" s="458" t="s">
        <v>144</v>
      </c>
      <c r="H29" s="458" t="s">
        <v>20139</v>
      </c>
      <c r="I29" s="459" t="n">
        <v>37468</v>
      </c>
      <c r="J29" s="460" t="n">
        <v>7</v>
      </c>
      <c r="K29" s="633" t="s">
        <v>47</v>
      </c>
      <c r="L29" s="458" t="s">
        <v>58</v>
      </c>
      <c r="M29" s="463" t="n">
        <f aca="false">I29-D29</f>
        <v>4241</v>
      </c>
      <c r="N29" s="4"/>
      <c r="O29" s="283" t="n">
        <v>1990</v>
      </c>
      <c r="P29" s="283" t="n">
        <f aca="false">COUNTIF($C$2:$C$503,"1990")</f>
        <v>1</v>
      </c>
      <c r="Q29" s="283"/>
      <c r="R29" s="283"/>
      <c r="S29" s="315" t="n">
        <f aca="false">P29/P42</f>
        <v>0.0188679245283019</v>
      </c>
    </row>
    <row r="30" customFormat="false" ht="12.75" hidden="false" customHeight="true" outlineLevel="0" collapsed="false">
      <c r="A30" s="602" t="n">
        <v>2902</v>
      </c>
      <c r="B30" s="450" t="s">
        <v>20140</v>
      </c>
      <c r="C30" s="452" t="n">
        <v>1997</v>
      </c>
      <c r="D30" s="451" t="n">
        <v>35782</v>
      </c>
      <c r="E30" s="450" t="s">
        <v>20141</v>
      </c>
      <c r="F30" s="450" t="s">
        <v>20142</v>
      </c>
      <c r="G30" s="450" t="s">
        <v>144</v>
      </c>
      <c r="H30" s="450" t="s">
        <v>1791</v>
      </c>
      <c r="I30" s="451" t="n">
        <v>37468</v>
      </c>
      <c r="J30" s="452" t="n">
        <v>7</v>
      </c>
      <c r="K30" s="631" t="s">
        <v>42</v>
      </c>
      <c r="L30" s="452" t="s">
        <v>60</v>
      </c>
      <c r="M30" s="455" t="n">
        <f aca="false">I30-D30</f>
        <v>1686</v>
      </c>
      <c r="N30" s="4"/>
      <c r="O30" s="282" t="n">
        <v>1991</v>
      </c>
      <c r="P30" s="282" t="n">
        <f aca="false">COUNTIF($C$2:$C$503,"1991")</f>
        <v>1</v>
      </c>
      <c r="Q30" s="282"/>
      <c r="R30" s="282"/>
      <c r="S30" s="316" t="n">
        <f aca="false">P30/P42</f>
        <v>0.0188679245283019</v>
      </c>
    </row>
    <row r="31" customFormat="false" ht="12.75" hidden="false" customHeight="true" outlineLevel="0" collapsed="false">
      <c r="A31" s="594" t="n">
        <v>3002</v>
      </c>
      <c r="B31" s="458" t="s">
        <v>20143</v>
      </c>
      <c r="C31" s="460" t="n">
        <v>1994</v>
      </c>
      <c r="D31" s="459" t="n">
        <v>34522</v>
      </c>
      <c r="E31" s="458" t="s">
        <v>20144</v>
      </c>
      <c r="F31" s="458" t="s">
        <v>4956</v>
      </c>
      <c r="G31" s="458" t="s">
        <v>144</v>
      </c>
      <c r="H31" s="458" t="s">
        <v>10901</v>
      </c>
      <c r="I31" s="459" t="n">
        <v>37469</v>
      </c>
      <c r="J31" s="460" t="n">
        <v>8</v>
      </c>
      <c r="K31" s="633" t="s">
        <v>47</v>
      </c>
      <c r="L31" s="458" t="s">
        <v>58</v>
      </c>
      <c r="M31" s="463" t="n">
        <f aca="false">I31-D31</f>
        <v>2947</v>
      </c>
      <c r="N31" s="4"/>
      <c r="O31" s="283" t="n">
        <v>1992</v>
      </c>
      <c r="P31" s="283" t="n">
        <f aca="false">COUNTIF($C$2:$C$503,"1992")</f>
        <v>0</v>
      </c>
      <c r="Q31" s="283"/>
      <c r="R31" s="283"/>
      <c r="S31" s="315" t="n">
        <f aca="false">P31/P42</f>
        <v>0</v>
      </c>
    </row>
    <row r="32" customFormat="false" ht="12.75" hidden="false" customHeight="true" outlineLevel="0" collapsed="false">
      <c r="A32" s="602" t="n">
        <v>3102</v>
      </c>
      <c r="B32" s="450" t="s">
        <v>20145</v>
      </c>
      <c r="C32" s="452" t="n">
        <v>2000</v>
      </c>
      <c r="D32" s="451" t="n">
        <v>36703</v>
      </c>
      <c r="E32" s="450" t="s">
        <v>20146</v>
      </c>
      <c r="F32" s="450" t="s">
        <v>18243</v>
      </c>
      <c r="G32" s="450" t="s">
        <v>125</v>
      </c>
      <c r="H32" s="450" t="s">
        <v>391</v>
      </c>
      <c r="I32" s="451" t="n">
        <v>37474</v>
      </c>
      <c r="J32" s="452" t="n">
        <v>8</v>
      </c>
      <c r="K32" s="632" t="s">
        <v>50</v>
      </c>
      <c r="L32" s="452" t="s">
        <v>61</v>
      </c>
      <c r="M32" s="455" t="n">
        <f aca="false">I32-D32</f>
        <v>771</v>
      </c>
      <c r="N32" s="4"/>
      <c r="O32" s="282" t="n">
        <v>1993</v>
      </c>
      <c r="P32" s="282" t="n">
        <f aca="false">COUNTIF($C$2:$C$503,"1993")</f>
        <v>0</v>
      </c>
      <c r="Q32" s="282"/>
      <c r="R32" s="282"/>
      <c r="S32" s="316" t="n">
        <f aca="false">P32/P42</f>
        <v>0</v>
      </c>
    </row>
    <row r="33" customFormat="false" ht="12.75" hidden="false" customHeight="true" outlineLevel="0" collapsed="false">
      <c r="A33" s="594" t="n">
        <v>3202</v>
      </c>
      <c r="B33" s="458" t="s">
        <v>20147</v>
      </c>
      <c r="C33" s="460" t="n">
        <v>1999</v>
      </c>
      <c r="D33" s="459" t="n">
        <v>36525</v>
      </c>
      <c r="E33" s="458" t="s">
        <v>20148</v>
      </c>
      <c r="F33" s="458" t="s">
        <v>488</v>
      </c>
      <c r="G33" s="458" t="s">
        <v>144</v>
      </c>
      <c r="H33" s="458" t="s">
        <v>20020</v>
      </c>
      <c r="I33" s="459" t="n">
        <v>37476</v>
      </c>
      <c r="J33" s="460" t="n">
        <v>8</v>
      </c>
      <c r="K33" s="631" t="s">
        <v>42</v>
      </c>
      <c r="L33" s="458" t="s">
        <v>60</v>
      </c>
      <c r="M33" s="463" t="n">
        <f aca="false">I33-D33</f>
        <v>951</v>
      </c>
      <c r="N33" s="4"/>
      <c r="O33" s="283" t="n">
        <v>1994</v>
      </c>
      <c r="P33" s="283" t="n">
        <f aca="false">COUNTIF($C$2:$C$503,"1994")</f>
        <v>4</v>
      </c>
      <c r="Q33" s="283"/>
      <c r="R33" s="283"/>
      <c r="S33" s="315" t="n">
        <f aca="false">P33/P42</f>
        <v>0.0754716981132075</v>
      </c>
    </row>
    <row r="34" customFormat="false" ht="12.75" hidden="false" customHeight="true" outlineLevel="0" collapsed="false">
      <c r="A34" s="602" t="n">
        <v>3302</v>
      </c>
      <c r="B34" s="450" t="s">
        <v>20149</v>
      </c>
      <c r="C34" s="452" t="n">
        <v>1994</v>
      </c>
      <c r="D34" s="451" t="n">
        <v>34662</v>
      </c>
      <c r="E34" s="450" t="s">
        <v>20150</v>
      </c>
      <c r="F34" s="450" t="s">
        <v>1097</v>
      </c>
      <c r="G34" s="450" t="s">
        <v>1474</v>
      </c>
      <c r="H34" s="450" t="s">
        <v>16610</v>
      </c>
      <c r="I34" s="451" t="n">
        <v>37484</v>
      </c>
      <c r="J34" s="452" t="n">
        <v>8</v>
      </c>
      <c r="K34" s="634" t="s">
        <v>45</v>
      </c>
      <c r="L34" s="452" t="s">
        <v>58</v>
      </c>
      <c r="M34" s="455" t="n">
        <f aca="false">I34-D34</f>
        <v>2822</v>
      </c>
      <c r="N34" s="4"/>
      <c r="O34" s="282" t="n">
        <v>1995</v>
      </c>
      <c r="P34" s="282" t="n">
        <f aca="false">COUNTIF($C$2:$C$503,"1995")</f>
        <v>0</v>
      </c>
      <c r="Q34" s="282"/>
      <c r="R34" s="282"/>
      <c r="S34" s="316" t="n">
        <f aca="false">P34/P42</f>
        <v>0</v>
      </c>
    </row>
    <row r="35" customFormat="false" ht="12.75" hidden="false" customHeight="true" outlineLevel="0" collapsed="false">
      <c r="A35" s="594" t="n">
        <v>3402</v>
      </c>
      <c r="B35" s="458" t="s">
        <v>20151</v>
      </c>
      <c r="C35" s="460" t="n">
        <v>2000</v>
      </c>
      <c r="D35" s="459" t="n">
        <v>36866</v>
      </c>
      <c r="E35" s="458" t="s">
        <v>20152</v>
      </c>
      <c r="F35" s="458" t="s">
        <v>7432</v>
      </c>
      <c r="G35" s="458" t="s">
        <v>1474</v>
      </c>
      <c r="H35" s="458" t="s">
        <v>20020</v>
      </c>
      <c r="I35" s="459" t="n">
        <v>37489</v>
      </c>
      <c r="J35" s="460" t="n">
        <v>8</v>
      </c>
      <c r="K35" s="633" t="s">
        <v>47</v>
      </c>
      <c r="L35" s="458" t="s">
        <v>58</v>
      </c>
      <c r="M35" s="463" t="n">
        <f aca="false">I35-D35</f>
        <v>623</v>
      </c>
      <c r="N35" s="4"/>
      <c r="O35" s="283" t="n">
        <v>1996</v>
      </c>
      <c r="P35" s="283" t="n">
        <f aca="false">COUNTIF($C$2:$C$503,"1996")</f>
        <v>0</v>
      </c>
      <c r="Q35" s="283"/>
      <c r="R35" s="283"/>
      <c r="S35" s="315" t="n">
        <f aca="false">P35/P42</f>
        <v>0</v>
      </c>
    </row>
    <row r="36" customFormat="false" ht="12.75" hidden="false" customHeight="true" outlineLevel="0" collapsed="false">
      <c r="A36" s="602" t="n">
        <v>3502</v>
      </c>
      <c r="B36" s="450" t="s">
        <v>20153</v>
      </c>
      <c r="C36" s="452" t="n">
        <v>1998</v>
      </c>
      <c r="D36" s="451" t="n">
        <v>36132</v>
      </c>
      <c r="E36" s="450" t="s">
        <v>20154</v>
      </c>
      <c r="F36" s="450" t="s">
        <v>20155</v>
      </c>
      <c r="G36" s="450" t="s">
        <v>144</v>
      </c>
      <c r="H36" s="450" t="s">
        <v>1791</v>
      </c>
      <c r="I36" s="451" t="n">
        <v>37496</v>
      </c>
      <c r="J36" s="452" t="n">
        <v>8</v>
      </c>
      <c r="K36" s="631" t="s">
        <v>42</v>
      </c>
      <c r="L36" s="452" t="s">
        <v>58</v>
      </c>
      <c r="M36" s="455" t="n">
        <f aca="false">I36-D36</f>
        <v>1364</v>
      </c>
      <c r="N36" s="4"/>
      <c r="O36" s="282" t="n">
        <v>1997</v>
      </c>
      <c r="P36" s="282" t="n">
        <f aca="false">COUNTIF($C$2:$C$503,"1997")</f>
        <v>1</v>
      </c>
      <c r="Q36" s="282"/>
      <c r="R36" s="282"/>
      <c r="S36" s="316" t="n">
        <f aca="false">P36/P42</f>
        <v>0.0188679245283019</v>
      </c>
    </row>
    <row r="37" customFormat="false" ht="15" hidden="false" customHeight="true" outlineLevel="0" collapsed="false">
      <c r="A37" s="594" t="n">
        <v>3602</v>
      </c>
      <c r="B37" s="458" t="s">
        <v>20156</v>
      </c>
      <c r="C37" s="460" t="n">
        <v>1999</v>
      </c>
      <c r="D37" s="459" t="n">
        <v>36426</v>
      </c>
      <c r="E37" s="458" t="s">
        <v>20157</v>
      </c>
      <c r="F37" s="458" t="s">
        <v>7432</v>
      </c>
      <c r="G37" s="458" t="s">
        <v>144</v>
      </c>
      <c r="H37" s="458" t="s">
        <v>20020</v>
      </c>
      <c r="I37" s="459" t="n">
        <v>37504</v>
      </c>
      <c r="J37" s="460" t="n">
        <v>9</v>
      </c>
      <c r="K37" s="631" t="s">
        <v>42</v>
      </c>
      <c r="L37" s="458" t="s">
        <v>58</v>
      </c>
      <c r="M37" s="463" t="n">
        <f aca="false">I37-D37</f>
        <v>1078</v>
      </c>
      <c r="N37" s="4"/>
      <c r="O37" s="283" t="n">
        <v>1998</v>
      </c>
      <c r="P37" s="283" t="n">
        <f aca="false">COUNTIF($C$2:$C$503,"1998")</f>
        <v>5</v>
      </c>
      <c r="Q37" s="283"/>
      <c r="R37" s="283"/>
      <c r="S37" s="315" t="n">
        <f aca="false">P37/P42</f>
        <v>0.0943396226415094</v>
      </c>
    </row>
    <row r="38" customFormat="false" ht="12.75" hidden="false" customHeight="true" outlineLevel="0" collapsed="false">
      <c r="A38" s="602" t="n">
        <v>3702</v>
      </c>
      <c r="B38" s="450" t="s">
        <v>20158</v>
      </c>
      <c r="C38" s="452" t="n">
        <v>2000</v>
      </c>
      <c r="D38" s="451" t="n">
        <v>36644</v>
      </c>
      <c r="E38" s="450" t="s">
        <v>20159</v>
      </c>
      <c r="F38" s="450" t="s">
        <v>699</v>
      </c>
      <c r="G38" s="450" t="s">
        <v>1474</v>
      </c>
      <c r="H38" s="450" t="s">
        <v>10901</v>
      </c>
      <c r="I38" s="451" t="n">
        <v>37510</v>
      </c>
      <c r="J38" s="452" t="n">
        <v>9</v>
      </c>
      <c r="K38" s="632" t="s">
        <v>50</v>
      </c>
      <c r="L38" s="452" t="s">
        <v>60</v>
      </c>
      <c r="M38" s="455" t="n">
        <f aca="false">I38-D38</f>
        <v>866</v>
      </c>
      <c r="N38" s="4"/>
      <c r="O38" s="282" t="n">
        <v>1999</v>
      </c>
      <c r="P38" s="282" t="n">
        <f aca="false">COUNTIF($C$2:$C$503,"1999")</f>
        <v>12</v>
      </c>
      <c r="Q38" s="282"/>
      <c r="R38" s="282"/>
      <c r="S38" s="316" t="n">
        <f aca="false">P38/P42</f>
        <v>0.226415094339623</v>
      </c>
    </row>
    <row r="39" customFormat="false" ht="12.75" hidden="false" customHeight="true" outlineLevel="0" collapsed="false">
      <c r="A39" s="594" t="n">
        <v>3802</v>
      </c>
      <c r="B39" s="458" t="s">
        <v>20160</v>
      </c>
      <c r="C39" s="460" t="n">
        <v>2000</v>
      </c>
      <c r="D39" s="459" t="n">
        <v>36714</v>
      </c>
      <c r="E39" s="458" t="s">
        <v>20161</v>
      </c>
      <c r="F39" s="458" t="s">
        <v>19576</v>
      </c>
      <c r="G39" s="458" t="s">
        <v>144</v>
      </c>
      <c r="H39" s="458" t="s">
        <v>192</v>
      </c>
      <c r="I39" s="459" t="n">
        <v>37515</v>
      </c>
      <c r="J39" s="460" t="n">
        <v>9</v>
      </c>
      <c r="K39" s="633" t="s">
        <v>47</v>
      </c>
      <c r="L39" s="458" t="s">
        <v>60</v>
      </c>
      <c r="M39" s="463" t="n">
        <f aca="false">I39-D39</f>
        <v>801</v>
      </c>
      <c r="N39" s="4"/>
      <c r="O39" s="283" t="n">
        <v>2000</v>
      </c>
      <c r="P39" s="283" t="n">
        <f aca="false">COUNTIF($C$2:$C$503,"2000")</f>
        <v>24</v>
      </c>
      <c r="Q39" s="283"/>
      <c r="R39" s="283"/>
      <c r="S39" s="315" t="n">
        <f aca="false">P39/P42</f>
        <v>0.452830188679245</v>
      </c>
    </row>
    <row r="40" customFormat="false" ht="12.75" hidden="false" customHeight="true" outlineLevel="0" collapsed="false">
      <c r="A40" s="602" t="n">
        <v>3902</v>
      </c>
      <c r="B40" s="450" t="s">
        <v>20162</v>
      </c>
      <c r="C40" s="452" t="n">
        <v>2001</v>
      </c>
      <c r="D40" s="451" t="n">
        <v>36938</v>
      </c>
      <c r="E40" s="450" t="s">
        <v>20163</v>
      </c>
      <c r="F40" s="450" t="s">
        <v>20164</v>
      </c>
      <c r="G40" s="450" t="s">
        <v>115</v>
      </c>
      <c r="H40" s="450" t="s">
        <v>254</v>
      </c>
      <c r="I40" s="451" t="n">
        <v>37529</v>
      </c>
      <c r="J40" s="452" t="n">
        <v>9</v>
      </c>
      <c r="K40" s="634" t="s">
        <v>45</v>
      </c>
      <c r="L40" s="452" t="s">
        <v>60</v>
      </c>
      <c r="M40" s="455" t="n">
        <f aca="false">I40-D40</f>
        <v>591</v>
      </c>
      <c r="N40" s="4"/>
      <c r="O40" s="282" t="n">
        <v>2001</v>
      </c>
      <c r="P40" s="282" t="n">
        <f aca="false">COUNTIF($C$2:$C$503,"2001")</f>
        <v>4</v>
      </c>
      <c r="Q40" s="282"/>
      <c r="R40" s="282"/>
      <c r="S40" s="316" t="n">
        <f aca="false">P40/P42</f>
        <v>0.0754716981132075</v>
      </c>
    </row>
    <row r="41" customFormat="false" ht="12.75" hidden="false" customHeight="true" outlineLevel="0" collapsed="false">
      <c r="A41" s="594" t="n">
        <v>4002</v>
      </c>
      <c r="B41" s="458" t="s">
        <v>20165</v>
      </c>
      <c r="C41" s="460" t="n">
        <v>2000</v>
      </c>
      <c r="D41" s="459" t="n">
        <v>36882</v>
      </c>
      <c r="E41" s="458" t="s">
        <v>20166</v>
      </c>
      <c r="F41" s="458" t="s">
        <v>8232</v>
      </c>
      <c r="G41" s="458" t="s">
        <v>1474</v>
      </c>
      <c r="H41" s="458" t="s">
        <v>18397</v>
      </c>
      <c r="I41" s="459" t="n">
        <v>37552</v>
      </c>
      <c r="J41" s="460" t="n">
        <v>10</v>
      </c>
      <c r="K41" s="633" t="s">
        <v>47</v>
      </c>
      <c r="L41" s="458" t="s">
        <v>60</v>
      </c>
      <c r="M41" s="463" t="n">
        <f aca="false">I41-D41</f>
        <v>670</v>
      </c>
      <c r="N41" s="4"/>
      <c r="O41" s="283" t="n">
        <v>2002</v>
      </c>
      <c r="P41" s="283" t="n">
        <f aca="false">COUNTIF($C$2:$C$503,"2002")</f>
        <v>1</v>
      </c>
      <c r="Q41" s="283"/>
      <c r="R41" s="283"/>
      <c r="S41" s="315" t="n">
        <f aca="false">P41/P42</f>
        <v>0.0188679245283019</v>
      </c>
    </row>
    <row r="42" customFormat="false" ht="12.75" hidden="false" customHeight="true" outlineLevel="0" collapsed="false">
      <c r="A42" s="602" t="n">
        <v>4102</v>
      </c>
      <c r="B42" s="450" t="s">
        <v>20167</v>
      </c>
      <c r="C42" s="452" t="n">
        <v>2000</v>
      </c>
      <c r="D42" s="451" t="n">
        <v>36742</v>
      </c>
      <c r="E42" s="450" t="s">
        <v>20168</v>
      </c>
      <c r="F42" s="450" t="s">
        <v>699</v>
      </c>
      <c r="G42" s="450" t="s">
        <v>1474</v>
      </c>
      <c r="H42" s="450" t="s">
        <v>12073</v>
      </c>
      <c r="I42" s="451" t="n">
        <v>37553</v>
      </c>
      <c r="J42" s="452" t="n">
        <v>10</v>
      </c>
      <c r="K42" s="632" t="s">
        <v>50</v>
      </c>
      <c r="L42" s="452" t="s">
        <v>60</v>
      </c>
      <c r="M42" s="455" t="n">
        <f aca="false">I42-D42</f>
        <v>811</v>
      </c>
      <c r="N42" s="4"/>
      <c r="O42" s="323" t="s">
        <v>56</v>
      </c>
      <c r="P42" s="418" t="n">
        <f aca="false">SUM(P29:R41)</f>
        <v>53</v>
      </c>
      <c r="Q42" s="418"/>
      <c r="R42" s="418"/>
      <c r="S42" s="325" t="n">
        <f aca="false">SUM(S29:S41)</f>
        <v>1</v>
      </c>
    </row>
    <row r="43" customFormat="false" ht="15" hidden="false" customHeight="true" outlineLevel="0" collapsed="false">
      <c r="A43" s="594" t="n">
        <v>4202</v>
      </c>
      <c r="B43" s="458" t="s">
        <v>20169</v>
      </c>
      <c r="C43" s="460" t="n">
        <v>1994</v>
      </c>
      <c r="D43" s="459" t="n">
        <v>34403</v>
      </c>
      <c r="E43" s="458" t="s">
        <v>20170</v>
      </c>
      <c r="F43" s="458" t="s">
        <v>3844</v>
      </c>
      <c r="G43" s="458" t="s">
        <v>1474</v>
      </c>
      <c r="H43" s="458" t="s">
        <v>18397</v>
      </c>
      <c r="I43" s="459" t="n">
        <v>37560</v>
      </c>
      <c r="J43" s="460" t="n">
        <v>10</v>
      </c>
      <c r="K43" s="633" t="s">
        <v>47</v>
      </c>
      <c r="L43" s="458" t="s">
        <v>58</v>
      </c>
      <c r="M43" s="463" t="n">
        <f aca="false">I43-D43</f>
        <v>3157</v>
      </c>
      <c r="N43" s="4"/>
      <c r="O43" s="153"/>
      <c r="P43" s="153"/>
      <c r="Q43" s="153"/>
      <c r="R43" s="153"/>
      <c r="S43" s="153"/>
    </row>
    <row r="44" customFormat="false" ht="15" hidden="false" customHeight="true" outlineLevel="0" collapsed="false">
      <c r="A44" s="602" t="n">
        <v>4302</v>
      </c>
      <c r="B44" s="450" t="s">
        <v>20171</v>
      </c>
      <c r="C44" s="452" t="n">
        <v>2001</v>
      </c>
      <c r="D44" s="451" t="n">
        <v>36937</v>
      </c>
      <c r="E44" s="450" t="s">
        <v>20172</v>
      </c>
      <c r="F44" s="450" t="s">
        <v>699</v>
      </c>
      <c r="G44" s="450" t="s">
        <v>1474</v>
      </c>
      <c r="H44" s="450" t="s">
        <v>2654</v>
      </c>
      <c r="I44" s="451" t="n">
        <v>37561</v>
      </c>
      <c r="J44" s="452" t="n">
        <v>11</v>
      </c>
      <c r="K44" s="632" t="s">
        <v>50</v>
      </c>
      <c r="L44" s="452" t="s">
        <v>60</v>
      </c>
      <c r="M44" s="455" t="n">
        <f aca="false">I44-D44</f>
        <v>624</v>
      </c>
      <c r="N44" s="4"/>
      <c r="O44" s="326" t="s">
        <v>272</v>
      </c>
      <c r="P44" s="326"/>
      <c r="Q44" s="326"/>
      <c r="R44" s="326"/>
      <c r="S44" s="326"/>
    </row>
    <row r="45" customFormat="false" ht="13.5" hidden="false" customHeight="true" outlineLevel="0" collapsed="false">
      <c r="A45" s="594" t="n">
        <v>4402</v>
      </c>
      <c r="B45" s="458" t="s">
        <v>20173</v>
      </c>
      <c r="C45" s="460" t="n">
        <v>1998</v>
      </c>
      <c r="D45" s="459" t="n">
        <v>36025</v>
      </c>
      <c r="E45" s="458" t="s">
        <v>20174</v>
      </c>
      <c r="F45" s="458" t="s">
        <v>18554</v>
      </c>
      <c r="G45" s="458" t="s">
        <v>1474</v>
      </c>
      <c r="H45" s="458" t="s">
        <v>20175</v>
      </c>
      <c r="I45" s="459" t="n">
        <v>37567</v>
      </c>
      <c r="J45" s="460" t="n">
        <v>11</v>
      </c>
      <c r="K45" s="631" t="s">
        <v>42</v>
      </c>
      <c r="L45" s="458" t="s">
        <v>58</v>
      </c>
      <c r="M45" s="463" t="n">
        <f aca="false">I45-D45</f>
        <v>1542</v>
      </c>
      <c r="N45" s="4"/>
      <c r="O45" s="326"/>
      <c r="P45" s="326"/>
      <c r="Q45" s="326"/>
      <c r="R45" s="326"/>
      <c r="S45" s="326"/>
    </row>
    <row r="46" customFormat="false" ht="12.75" hidden="false" customHeight="true" outlineLevel="0" collapsed="false">
      <c r="A46" s="602" t="n">
        <v>4502</v>
      </c>
      <c r="B46" s="450" t="s">
        <v>20176</v>
      </c>
      <c r="C46" s="452" t="n">
        <v>2001</v>
      </c>
      <c r="D46" s="451" t="n">
        <v>36993</v>
      </c>
      <c r="E46" s="450" t="s">
        <v>20177</v>
      </c>
      <c r="F46" s="450" t="s">
        <v>10822</v>
      </c>
      <c r="G46" s="450" t="s">
        <v>1474</v>
      </c>
      <c r="H46" s="450" t="s">
        <v>14391</v>
      </c>
      <c r="I46" s="451" t="n">
        <v>37573</v>
      </c>
      <c r="J46" s="452" t="n">
        <v>11</v>
      </c>
      <c r="K46" s="633" t="s">
        <v>47</v>
      </c>
      <c r="L46" s="452" t="s">
        <v>60</v>
      </c>
      <c r="M46" s="455" t="n">
        <f aca="false">I46-D46</f>
        <v>580</v>
      </c>
      <c r="N46" s="4"/>
      <c r="O46" s="309" t="s">
        <v>100</v>
      </c>
      <c r="P46" s="416" t="s">
        <v>40</v>
      </c>
      <c r="Q46" s="416"/>
      <c r="R46" s="416"/>
      <c r="S46" s="313" t="s">
        <v>41</v>
      </c>
    </row>
    <row r="47" customFormat="false" ht="12.75" hidden="false" customHeight="true" outlineLevel="0" collapsed="false">
      <c r="A47" s="594" t="n">
        <v>4602</v>
      </c>
      <c r="B47" s="458" t="s">
        <v>20178</v>
      </c>
      <c r="C47" s="460" t="n">
        <v>2000</v>
      </c>
      <c r="D47" s="459" t="n">
        <v>36882</v>
      </c>
      <c r="E47" s="458" t="s">
        <v>20179</v>
      </c>
      <c r="F47" s="458" t="s">
        <v>8232</v>
      </c>
      <c r="G47" s="458" t="s">
        <v>144</v>
      </c>
      <c r="H47" s="458" t="s">
        <v>18397</v>
      </c>
      <c r="I47" s="459" t="n">
        <v>37589</v>
      </c>
      <c r="J47" s="460" t="n">
        <v>11</v>
      </c>
      <c r="K47" s="633" t="s">
        <v>47</v>
      </c>
      <c r="L47" s="458" t="s">
        <v>60</v>
      </c>
      <c r="M47" s="463" t="n">
        <f aca="false">I47-D47</f>
        <v>707</v>
      </c>
      <c r="N47" s="4"/>
      <c r="O47" s="314" t="s">
        <v>63</v>
      </c>
      <c r="P47" s="314" t="n">
        <f aca="false">COUNTIF($J$2:$J$476,"1")</f>
        <v>2</v>
      </c>
      <c r="Q47" s="314"/>
      <c r="R47" s="314"/>
      <c r="S47" s="469" t="n">
        <f aca="false">(P47/P59)</f>
        <v>0.0377358490566038</v>
      </c>
    </row>
    <row r="48" customFormat="false" ht="12.75" hidden="false" customHeight="true" outlineLevel="0" collapsed="false">
      <c r="A48" s="602" t="n">
        <v>4702</v>
      </c>
      <c r="B48" s="450" t="s">
        <v>20180</v>
      </c>
      <c r="C48" s="452" t="n">
        <v>1999</v>
      </c>
      <c r="D48" s="451" t="n">
        <v>36525</v>
      </c>
      <c r="E48" s="450" t="s">
        <v>20181</v>
      </c>
      <c r="F48" s="450" t="s">
        <v>19896</v>
      </c>
      <c r="G48" s="450" t="s">
        <v>1474</v>
      </c>
      <c r="H48" s="450" t="s">
        <v>16610</v>
      </c>
      <c r="I48" s="451" t="n">
        <v>37582</v>
      </c>
      <c r="J48" s="452" t="n">
        <v>11</v>
      </c>
      <c r="K48" s="631" t="s">
        <v>42</v>
      </c>
      <c r="L48" s="452" t="s">
        <v>58</v>
      </c>
      <c r="M48" s="455" t="n">
        <f aca="false">I48-D48</f>
        <v>1057</v>
      </c>
      <c r="N48" s="4"/>
      <c r="O48" s="282" t="s">
        <v>64</v>
      </c>
      <c r="P48" s="282" t="n">
        <f aca="false">COUNTIF($J$2:$J$476,"2")</f>
        <v>3</v>
      </c>
      <c r="Q48" s="282"/>
      <c r="R48" s="282"/>
      <c r="S48" s="316" t="n">
        <f aca="false">(P48/P59)</f>
        <v>0.0566037735849057</v>
      </c>
    </row>
    <row r="49" customFormat="false" ht="12.75" hidden="false" customHeight="true" outlineLevel="0" collapsed="false">
      <c r="A49" s="594" t="n">
        <v>4802</v>
      </c>
      <c r="B49" s="458" t="s">
        <v>20182</v>
      </c>
      <c r="C49" s="460" t="n">
        <v>2001</v>
      </c>
      <c r="D49" s="459" t="n">
        <v>36993</v>
      </c>
      <c r="E49" s="458" t="s">
        <v>20183</v>
      </c>
      <c r="F49" s="458" t="s">
        <v>19996</v>
      </c>
      <c r="G49" s="458" t="s">
        <v>1474</v>
      </c>
      <c r="H49" s="458" t="s">
        <v>14391</v>
      </c>
      <c r="I49" s="459" t="n">
        <v>37583</v>
      </c>
      <c r="J49" s="460" t="n">
        <v>11</v>
      </c>
      <c r="K49" s="634" t="s">
        <v>45</v>
      </c>
      <c r="L49" s="458" t="s">
        <v>60</v>
      </c>
      <c r="M49" s="463" t="n">
        <f aca="false">I49-D49</f>
        <v>590</v>
      </c>
      <c r="N49" s="4"/>
      <c r="O49" s="283" t="s">
        <v>66</v>
      </c>
      <c r="P49" s="283" t="n">
        <f aca="false">COUNTIF($J$2:$J$476,"3")</f>
        <v>4</v>
      </c>
      <c r="Q49" s="283"/>
      <c r="R49" s="283"/>
      <c r="S49" s="315" t="n">
        <f aca="false">(P49/P59)</f>
        <v>0.0754716981132075</v>
      </c>
      <c r="T49" s="153"/>
    </row>
    <row r="50" customFormat="false" ht="12.75" hidden="false" customHeight="true" outlineLevel="0" collapsed="false">
      <c r="A50" s="602" t="n">
        <v>4902</v>
      </c>
      <c r="B50" s="450" t="s">
        <v>20184</v>
      </c>
      <c r="C50" s="452" t="n">
        <v>2000</v>
      </c>
      <c r="D50" s="451" t="n">
        <v>36734</v>
      </c>
      <c r="E50" s="450" t="s">
        <v>20185</v>
      </c>
      <c r="F50" s="624" t="s">
        <v>6315</v>
      </c>
      <c r="G50" s="450" t="s">
        <v>125</v>
      </c>
      <c r="H50" s="450" t="s">
        <v>20186</v>
      </c>
      <c r="I50" s="451" t="n">
        <v>37585</v>
      </c>
      <c r="J50" s="452" t="n">
        <v>11</v>
      </c>
      <c r="K50" s="634" t="s">
        <v>45</v>
      </c>
      <c r="L50" s="452" t="s">
        <v>61</v>
      </c>
      <c r="M50" s="455" t="n">
        <f aca="false">I50-D50</f>
        <v>851</v>
      </c>
      <c r="N50" s="4"/>
      <c r="O50" s="282" t="s">
        <v>67</v>
      </c>
      <c r="P50" s="282" t="n">
        <f aca="false">COUNTIF($J$2:$J$476,"4")</f>
        <v>4</v>
      </c>
      <c r="Q50" s="282"/>
      <c r="R50" s="282"/>
      <c r="S50" s="316" t="n">
        <f aca="false">(P50/P59)</f>
        <v>0.0754716981132075</v>
      </c>
      <c r="T50" s="153"/>
    </row>
    <row r="51" customFormat="false" ht="12.75" hidden="false" customHeight="true" outlineLevel="0" collapsed="false">
      <c r="A51" s="594" t="n">
        <v>5002</v>
      </c>
      <c r="B51" s="458" t="s">
        <v>20187</v>
      </c>
      <c r="C51" s="460" t="n">
        <v>1999</v>
      </c>
      <c r="D51" s="459" t="n">
        <v>36188</v>
      </c>
      <c r="E51" s="458" t="s">
        <v>20188</v>
      </c>
      <c r="F51" s="458" t="s">
        <v>1097</v>
      </c>
      <c r="G51" s="458" t="s">
        <v>144</v>
      </c>
      <c r="H51" s="458" t="s">
        <v>6755</v>
      </c>
      <c r="I51" s="459" t="n">
        <v>37595</v>
      </c>
      <c r="J51" s="460" t="n">
        <v>12</v>
      </c>
      <c r="K51" s="631" t="s">
        <v>42</v>
      </c>
      <c r="L51" s="458" t="s">
        <v>60</v>
      </c>
      <c r="M51" s="463" t="n">
        <f aca="false">I51-D51</f>
        <v>1407</v>
      </c>
      <c r="N51" s="4"/>
      <c r="O51" s="283" t="s">
        <v>68</v>
      </c>
      <c r="P51" s="283" t="n">
        <f aca="false">COUNTIF($J$2:$J$476,"5")</f>
        <v>5</v>
      </c>
      <c r="Q51" s="283"/>
      <c r="R51" s="283"/>
      <c r="S51" s="315" t="n">
        <f aca="false">(P51/P59)</f>
        <v>0.0943396226415094</v>
      </c>
      <c r="T51" s="153"/>
    </row>
    <row r="52" customFormat="false" ht="12.75" hidden="false" customHeight="true" outlineLevel="0" collapsed="false">
      <c r="A52" s="602" t="n">
        <v>5102</v>
      </c>
      <c r="B52" s="450" t="s">
        <v>20189</v>
      </c>
      <c r="C52" s="452" t="n">
        <v>2000</v>
      </c>
      <c r="D52" s="451" t="n">
        <v>36829</v>
      </c>
      <c r="E52" s="450" t="s">
        <v>20190</v>
      </c>
      <c r="F52" s="450" t="s">
        <v>3946</v>
      </c>
      <c r="G52" s="450" t="s">
        <v>125</v>
      </c>
      <c r="H52" s="450" t="s">
        <v>19960</v>
      </c>
      <c r="I52" s="451" t="n">
        <v>37603</v>
      </c>
      <c r="J52" s="452" t="n">
        <v>12</v>
      </c>
      <c r="K52" s="634" t="s">
        <v>45</v>
      </c>
      <c r="L52" s="452" t="s">
        <v>61</v>
      </c>
      <c r="M52" s="455" t="n">
        <f aca="false">I52-D52</f>
        <v>774</v>
      </c>
      <c r="N52" s="4"/>
      <c r="O52" s="282" t="s">
        <v>70</v>
      </c>
      <c r="P52" s="282" t="n">
        <f aca="false">COUNTIF($J$2:$J$476,"6")</f>
        <v>4</v>
      </c>
      <c r="Q52" s="282"/>
      <c r="R52" s="282"/>
      <c r="S52" s="316" t="n">
        <f aca="false">(P52/P59)</f>
        <v>0.0754716981132075</v>
      </c>
      <c r="T52" s="153"/>
    </row>
    <row r="53" customFormat="false" ht="12.75" hidden="false" customHeight="true" outlineLevel="0" collapsed="false">
      <c r="A53" s="594" t="n">
        <v>5202</v>
      </c>
      <c r="B53" s="458" t="s">
        <v>20191</v>
      </c>
      <c r="C53" s="460" t="n">
        <v>2002</v>
      </c>
      <c r="D53" s="459" t="n">
        <v>37469</v>
      </c>
      <c r="E53" s="458" t="s">
        <v>20192</v>
      </c>
      <c r="F53" s="458" t="s">
        <v>20193</v>
      </c>
      <c r="G53" s="458" t="s">
        <v>144</v>
      </c>
      <c r="H53" s="458" t="s">
        <v>16610</v>
      </c>
      <c r="I53" s="459" t="n">
        <v>37610</v>
      </c>
      <c r="J53" s="460" t="n">
        <v>12</v>
      </c>
      <c r="K53" s="634" t="s">
        <v>45</v>
      </c>
      <c r="L53" s="458" t="s">
        <v>58</v>
      </c>
      <c r="M53" s="463" t="n">
        <f aca="false">I53-D53</f>
        <v>141</v>
      </c>
      <c r="N53" s="4"/>
      <c r="O53" s="283" t="s">
        <v>72</v>
      </c>
      <c r="P53" s="283" t="n">
        <f aca="false">COUNTIF($J$2:$J$476,"7")</f>
        <v>7</v>
      </c>
      <c r="Q53" s="283"/>
      <c r="R53" s="283"/>
      <c r="S53" s="315" t="n">
        <f aca="false">(P53/P59)</f>
        <v>0.132075471698113</v>
      </c>
      <c r="T53" s="153"/>
    </row>
    <row r="54" customFormat="false" ht="12.75" hidden="false" customHeight="true" outlineLevel="0" collapsed="false">
      <c r="A54" s="602" t="n">
        <v>5302</v>
      </c>
      <c r="B54" s="450" t="s">
        <v>20194</v>
      </c>
      <c r="C54" s="452" t="n">
        <v>1999</v>
      </c>
      <c r="D54" s="451" t="n">
        <v>36525</v>
      </c>
      <c r="E54" s="450" t="s">
        <v>20195</v>
      </c>
      <c r="F54" s="450" t="s">
        <v>1357</v>
      </c>
      <c r="G54" s="450" t="s">
        <v>144</v>
      </c>
      <c r="H54" s="450" t="s">
        <v>16610</v>
      </c>
      <c r="I54" s="451" t="n">
        <v>37618</v>
      </c>
      <c r="J54" s="452" t="n">
        <v>12</v>
      </c>
      <c r="K54" s="634" t="s">
        <v>45</v>
      </c>
      <c r="L54" s="452" t="s">
        <v>60</v>
      </c>
      <c r="M54" s="455" t="n">
        <f aca="false">I54-D54</f>
        <v>1093</v>
      </c>
      <c r="N54" s="4"/>
      <c r="O54" s="282" t="s">
        <v>74</v>
      </c>
      <c r="P54" s="282" t="n">
        <f aca="false">COUNTIF($J$2:$J$476,"8")</f>
        <v>6</v>
      </c>
      <c r="Q54" s="282"/>
      <c r="R54" s="282"/>
      <c r="S54" s="316" t="n">
        <f aca="false">(P54/P59)</f>
        <v>0.113207547169811</v>
      </c>
      <c r="T54" s="153"/>
    </row>
    <row r="55" customFormat="false" ht="12.75" hidden="false" customHeight="true" outlineLevel="0" collapsed="false">
      <c r="A55" s="636"/>
      <c r="B55" s="636"/>
      <c r="C55" s="636"/>
      <c r="D55" s="638"/>
      <c r="E55" s="636"/>
      <c r="F55" s="636"/>
      <c r="G55" s="636"/>
      <c r="H55" s="636"/>
      <c r="I55" s="638"/>
      <c r="J55" s="636"/>
      <c r="K55" s="636"/>
      <c r="L55" s="636"/>
      <c r="M55" s="636"/>
      <c r="N55" s="4"/>
      <c r="O55" s="283" t="s">
        <v>76</v>
      </c>
      <c r="P55" s="283" t="n">
        <f aca="false">COUNTIF($J$2:$J$476,"9")</f>
        <v>4</v>
      </c>
      <c r="Q55" s="283"/>
      <c r="R55" s="283"/>
      <c r="S55" s="315" t="n">
        <f aca="false">(P55/P59)</f>
        <v>0.0754716981132075</v>
      </c>
      <c r="T55" s="153"/>
    </row>
    <row r="56" customFormat="false" ht="12.75" hidden="false" customHeight="true" outlineLevel="0" collapsed="false">
      <c r="A56" s="636"/>
      <c r="B56" s="636"/>
      <c r="C56" s="636"/>
      <c r="D56" s="638"/>
      <c r="E56" s="636"/>
      <c r="F56" s="636"/>
      <c r="G56" s="636"/>
      <c r="H56" s="636"/>
      <c r="I56" s="638"/>
      <c r="J56" s="636"/>
      <c r="K56" s="636"/>
      <c r="L56" s="636"/>
      <c r="M56" s="636"/>
      <c r="N56" s="4"/>
      <c r="O56" s="282" t="s">
        <v>78</v>
      </c>
      <c r="P56" s="282" t="n">
        <f aca="false">COUNTIF($J$2:$J$476,"10")</f>
        <v>3</v>
      </c>
      <c r="Q56" s="282"/>
      <c r="R56" s="282"/>
      <c r="S56" s="316" t="n">
        <f aca="false">(P56/P59)</f>
        <v>0.0566037735849057</v>
      </c>
      <c r="T56" s="153"/>
    </row>
    <row r="57" customFormat="false" ht="12.75" hidden="false" customHeight="true" outlineLevel="0" collapsed="false">
      <c r="A57" s="636"/>
      <c r="B57" s="636"/>
      <c r="C57" s="636"/>
      <c r="D57" s="638"/>
      <c r="E57" s="636"/>
      <c r="F57" s="636"/>
      <c r="G57" s="636"/>
      <c r="H57" s="636"/>
      <c r="I57" s="638"/>
      <c r="J57" s="636"/>
      <c r="K57" s="636"/>
      <c r="L57" s="636"/>
      <c r="M57" s="636"/>
      <c r="N57" s="4"/>
      <c r="O57" s="283" t="s">
        <v>80</v>
      </c>
      <c r="P57" s="283" t="n">
        <f aca="false">COUNTIF($J$2:$J$476,"11")</f>
        <v>7</v>
      </c>
      <c r="Q57" s="283"/>
      <c r="R57" s="283"/>
      <c r="S57" s="315" t="n">
        <f aca="false">(P57/P59)</f>
        <v>0.132075471698113</v>
      </c>
      <c r="T57" s="153"/>
    </row>
    <row r="58" customFormat="false" ht="12.75" hidden="false" customHeight="true" outlineLevel="0" collapsed="false">
      <c r="A58" s="636"/>
      <c r="B58" s="636"/>
      <c r="C58" s="636"/>
      <c r="D58" s="638"/>
      <c r="E58" s="636"/>
      <c r="F58" s="636"/>
      <c r="G58" s="636"/>
      <c r="H58" s="636"/>
      <c r="I58" s="638"/>
      <c r="J58" s="636"/>
      <c r="K58" s="636"/>
      <c r="L58" s="636"/>
      <c r="M58" s="636"/>
      <c r="N58" s="4"/>
      <c r="O58" s="336" t="s">
        <v>82</v>
      </c>
      <c r="P58" s="282" t="n">
        <f aca="false">COUNTIF($J$2:$J$476,"12")</f>
        <v>4</v>
      </c>
      <c r="Q58" s="282"/>
      <c r="R58" s="282"/>
      <c r="S58" s="470" t="n">
        <f aca="false">(P58/P59)</f>
        <v>0.0754716981132075</v>
      </c>
      <c r="T58" s="153"/>
    </row>
    <row r="59" customFormat="false" ht="12.75" hidden="false" customHeight="true" outlineLevel="0" collapsed="false">
      <c r="A59" s="636"/>
      <c r="B59" s="636"/>
      <c r="C59" s="636"/>
      <c r="D59" s="638"/>
      <c r="E59" s="636"/>
      <c r="F59" s="636"/>
      <c r="G59" s="636"/>
      <c r="H59" s="636"/>
      <c r="I59" s="638"/>
      <c r="J59" s="636"/>
      <c r="K59" s="636"/>
      <c r="L59" s="636"/>
      <c r="M59" s="636"/>
      <c r="N59" s="4"/>
      <c r="O59" s="323" t="s">
        <v>54</v>
      </c>
      <c r="P59" s="418" t="n">
        <f aca="false">SUM(P47:R58)</f>
        <v>53</v>
      </c>
      <c r="Q59" s="418"/>
      <c r="R59" s="418"/>
      <c r="S59" s="325" t="n">
        <f aca="false">SUM(S47:S58)</f>
        <v>1</v>
      </c>
      <c r="T59" s="153"/>
    </row>
    <row r="60" customFormat="false" ht="12.75" hidden="false" customHeight="true" outlineLevel="0" collapsed="false">
      <c r="A60" s="636"/>
      <c r="B60" s="636"/>
      <c r="C60" s="636"/>
      <c r="D60" s="638"/>
      <c r="E60" s="636"/>
      <c r="F60" s="636"/>
      <c r="G60" s="636"/>
      <c r="H60" s="636"/>
      <c r="I60" s="638"/>
      <c r="J60" s="636"/>
      <c r="K60" s="636"/>
      <c r="L60" s="636"/>
      <c r="M60" s="636"/>
      <c r="N60" s="4"/>
      <c r="O60" s="153"/>
      <c r="P60" s="153"/>
      <c r="Q60" s="153"/>
      <c r="R60" s="153"/>
      <c r="S60" s="153"/>
      <c r="T60" s="153"/>
    </row>
    <row r="61" customFormat="false" ht="13.5" hidden="false" customHeight="true" outlineLevel="0" collapsed="false">
      <c r="A61" s="636"/>
      <c r="B61" s="636"/>
      <c r="C61" s="636"/>
      <c r="D61" s="638"/>
      <c r="E61" s="636"/>
      <c r="F61" s="636"/>
      <c r="G61" s="636"/>
      <c r="H61" s="636"/>
      <c r="I61" s="638"/>
      <c r="J61" s="636"/>
      <c r="K61" s="636"/>
      <c r="L61" s="636"/>
      <c r="M61" s="636"/>
      <c r="N61" s="4"/>
      <c r="O61" s="339" t="s">
        <v>335</v>
      </c>
      <c r="P61" s="339"/>
      <c r="Q61" s="339"/>
      <c r="R61" s="339"/>
      <c r="S61" s="339"/>
      <c r="T61" s="339"/>
    </row>
    <row r="62" customFormat="false" ht="12.75" hidden="false" customHeight="true" outlineLevel="0" collapsed="false">
      <c r="A62" s="636"/>
      <c r="B62" s="636"/>
      <c r="C62" s="636"/>
      <c r="D62" s="638"/>
      <c r="E62" s="636"/>
      <c r="F62" s="636"/>
      <c r="G62" s="636"/>
      <c r="H62" s="636"/>
      <c r="I62" s="638"/>
      <c r="J62" s="636"/>
      <c r="K62" s="636"/>
      <c r="L62" s="636"/>
      <c r="M62" s="636"/>
      <c r="N62" s="4"/>
      <c r="O62" s="339"/>
      <c r="P62" s="339"/>
      <c r="Q62" s="339"/>
      <c r="R62" s="339"/>
      <c r="S62" s="339"/>
      <c r="T62" s="339"/>
    </row>
    <row r="63" customFormat="false" ht="12.75" hidden="false" customHeight="true" outlineLevel="0" collapsed="false">
      <c r="A63" s="636"/>
      <c r="B63" s="636"/>
      <c r="C63" s="636"/>
      <c r="D63" s="638"/>
      <c r="E63" s="636"/>
      <c r="F63" s="636"/>
      <c r="G63" s="636"/>
      <c r="H63" s="636"/>
      <c r="I63" s="638"/>
      <c r="J63" s="636"/>
      <c r="K63" s="636"/>
      <c r="L63" s="636"/>
      <c r="M63" s="636"/>
      <c r="N63" s="4"/>
      <c r="O63" s="340" t="s">
        <v>38</v>
      </c>
      <c r="P63" s="340"/>
      <c r="Q63" s="340"/>
      <c r="R63" s="340"/>
      <c r="S63" s="341" t="s">
        <v>343</v>
      </c>
      <c r="T63" s="342" t="s">
        <v>41</v>
      </c>
    </row>
    <row r="64" customFormat="false" ht="12.75" hidden="false" customHeight="true" outlineLevel="0" collapsed="false">
      <c r="A64" s="636"/>
      <c r="B64" s="636"/>
      <c r="C64" s="636"/>
      <c r="D64" s="638"/>
      <c r="E64" s="636"/>
      <c r="F64" s="636"/>
      <c r="G64" s="636"/>
      <c r="H64" s="636"/>
      <c r="I64" s="638"/>
      <c r="J64" s="636"/>
      <c r="K64" s="636"/>
      <c r="L64" s="636"/>
      <c r="M64" s="636"/>
      <c r="N64" s="4"/>
      <c r="O64" s="471" t="s">
        <v>42</v>
      </c>
      <c r="P64" s="471"/>
      <c r="Q64" s="471"/>
      <c r="R64" s="471"/>
      <c r="S64" s="471" t="n">
        <f aca="false">COUNTIF($K$1:$K$494,"I - Extremamente tóxico")</f>
        <v>11</v>
      </c>
      <c r="T64" s="472" t="n">
        <f aca="false">(S64/S76)</f>
        <v>0.207547169811321</v>
      </c>
    </row>
    <row r="65" customFormat="false" ht="12.75" hidden="false" customHeight="true" outlineLevel="0" collapsed="false">
      <c r="O65" s="345" t="s">
        <v>43</v>
      </c>
      <c r="P65" s="345"/>
      <c r="Q65" s="345"/>
      <c r="R65" s="345"/>
      <c r="S65" s="345" t="n">
        <f aca="false">COUNTIF($K$2:$K$476,"Categoria 1 - Produto Extremamente Tóxico")</f>
        <v>0</v>
      </c>
      <c r="T65" s="473" t="n">
        <f aca="false">(S65/S76)</f>
        <v>0</v>
      </c>
    </row>
    <row r="66" customFormat="false" ht="12.75" hidden="false" customHeight="true" outlineLevel="0" collapsed="false">
      <c r="O66" s="345" t="s">
        <v>44</v>
      </c>
      <c r="P66" s="345"/>
      <c r="Q66" s="345"/>
      <c r="R66" s="345"/>
      <c r="S66" s="345" t="n">
        <f aca="false">COUNTIF($K$2:$K$476,"Categoria 2 - Produto Altamente Tóxico")</f>
        <v>0</v>
      </c>
      <c r="T66" s="473" t="n">
        <f aca="false">(S66/S76)</f>
        <v>0</v>
      </c>
    </row>
    <row r="67" customFormat="false" ht="12.75" hidden="false" customHeight="true" outlineLevel="0" collapsed="false">
      <c r="O67" s="349" t="s">
        <v>45</v>
      </c>
      <c r="P67" s="349"/>
      <c r="Q67" s="349"/>
      <c r="R67" s="349"/>
      <c r="S67" s="349" t="n">
        <f aca="false">COUNTIF($K$2:$K$476,"II - Altamente tóxico")</f>
        <v>9</v>
      </c>
      <c r="T67" s="474" t="n">
        <f aca="false">(S67/S76)</f>
        <v>0.169811320754717</v>
      </c>
    </row>
    <row r="68" customFormat="false" ht="12.75" hidden="false" customHeight="true" outlineLevel="0" collapsed="false">
      <c r="O68" s="349" t="s">
        <v>46</v>
      </c>
      <c r="P68" s="349"/>
      <c r="Q68" s="349"/>
      <c r="R68" s="349"/>
      <c r="S68" s="349" t="n">
        <f aca="false">COUNTIF($K$2:$K$476,"Categoria 3 - Produto Moderadamente Tóxico")</f>
        <v>0</v>
      </c>
      <c r="T68" s="474" t="n">
        <f aca="false">(S68/S76)</f>
        <v>0</v>
      </c>
    </row>
    <row r="69" customFormat="false" ht="12.75" hidden="false" customHeight="true" outlineLevel="0" collapsed="false">
      <c r="O69" s="351" t="s">
        <v>47</v>
      </c>
      <c r="P69" s="351"/>
      <c r="Q69" s="351"/>
      <c r="R69" s="351"/>
      <c r="S69" s="351" t="n">
        <f aca="false">COUNTIF($K$2:$K$476,"III - Medianamente tóxico")</f>
        <v>21</v>
      </c>
      <c r="T69" s="475" t="n">
        <f aca="false">(S69/S76)</f>
        <v>0.39622641509434</v>
      </c>
    </row>
    <row r="70" customFormat="false" ht="12.75" hidden="false" customHeight="true" outlineLevel="0" collapsed="false">
      <c r="O70" s="351" t="s">
        <v>48</v>
      </c>
      <c r="P70" s="351"/>
      <c r="Q70" s="351"/>
      <c r="R70" s="351"/>
      <c r="S70" s="351" t="n">
        <f aca="false">COUNTIF($K$2:$K$476,"Categoria 4 - Produto Pouco Tóxico")</f>
        <v>0</v>
      </c>
      <c r="T70" s="475" t="n">
        <f aca="false">(S70/S76)</f>
        <v>0</v>
      </c>
    </row>
    <row r="71" customFormat="false" ht="12.75" hidden="false" customHeight="true" outlineLevel="0" collapsed="false">
      <c r="O71" s="351" t="s">
        <v>49</v>
      </c>
      <c r="P71" s="351"/>
      <c r="Q71" s="351"/>
      <c r="R71" s="351"/>
      <c r="S71" s="351" t="n">
        <f aca="false">COUNTIF($K$2:$K$476,"Categoria 5 - Produto Improvável de Causar Dano Agudo")</f>
        <v>0</v>
      </c>
      <c r="T71" s="475" t="n">
        <f aca="false">(S71/S76)</f>
        <v>0</v>
      </c>
    </row>
    <row r="72" customFormat="false" ht="12.75" hidden="false" customHeight="true" outlineLevel="0" collapsed="false">
      <c r="O72" s="353" t="s">
        <v>50</v>
      </c>
      <c r="P72" s="353"/>
      <c r="Q72" s="353"/>
      <c r="R72" s="353"/>
      <c r="S72" s="353" t="n">
        <f aca="false">COUNTIF($K$2:$K$476,"IV - Pouco tóxico")</f>
        <v>12</v>
      </c>
      <c r="T72" s="476" t="n">
        <f aca="false">(S72/S76)</f>
        <v>0.226415094339623</v>
      </c>
    </row>
    <row r="73" customFormat="false" ht="12.75" hidden="false" customHeight="true" outlineLevel="0" collapsed="false">
      <c r="O73" s="353" t="s">
        <v>51</v>
      </c>
      <c r="P73" s="353"/>
      <c r="Q73" s="353"/>
      <c r="R73" s="353"/>
      <c r="S73" s="353" t="n">
        <f aca="false">COUNTIF($K$2:$K$476,"Não classificado - Produto não classificado")</f>
        <v>0</v>
      </c>
      <c r="T73" s="476" t="n">
        <f aca="false">(S73/S76)</f>
        <v>0</v>
      </c>
    </row>
    <row r="74" customFormat="false" ht="12.75" hidden="false" customHeight="true" outlineLevel="0" collapsed="false">
      <c r="O74" s="353" t="s">
        <v>2407</v>
      </c>
      <c r="P74" s="353"/>
      <c r="Q74" s="353"/>
      <c r="R74" s="353"/>
      <c r="S74" s="353" t="n">
        <f aca="false">COUNTIF($K$2:$K$476,"Não determinada devido à natureza do produto (Inimigos naturais)")</f>
        <v>0</v>
      </c>
      <c r="T74" s="476" t="n">
        <f aca="false">(S74/S76)</f>
        <v>0</v>
      </c>
    </row>
    <row r="75" customFormat="false" ht="12.75" hidden="false" customHeight="true" outlineLevel="0" collapsed="false">
      <c r="O75" s="478" t="s">
        <v>53</v>
      </c>
      <c r="P75" s="478"/>
      <c r="Q75" s="478"/>
      <c r="R75" s="478"/>
      <c r="S75" s="478" t="n">
        <f aca="false">COUNTIF($K$2:$K$476,"O perfil toxicológico foi considerado equivalente ao produto técnico de referência")</f>
        <v>0</v>
      </c>
      <c r="T75" s="479" t="n">
        <f aca="false">(S75/S76)</f>
        <v>0</v>
      </c>
    </row>
    <row r="76" customFormat="false" ht="15" hidden="false" customHeight="true" outlineLevel="0" collapsed="false">
      <c r="O76" s="419" t="s">
        <v>54</v>
      </c>
      <c r="P76" s="419"/>
      <c r="Q76" s="419"/>
      <c r="R76" s="419"/>
      <c r="S76" s="363" t="n">
        <f aca="false">SUM(S64:S75)</f>
        <v>53</v>
      </c>
      <c r="T76" s="364" t="n">
        <f aca="false">(S76/S76)</f>
        <v>1</v>
      </c>
    </row>
    <row r="77" customFormat="false" ht="12.75" hidden="false" customHeight="true" outlineLevel="0" collapsed="false">
      <c r="O77" s="153"/>
      <c r="P77" s="153"/>
      <c r="Q77" s="153"/>
      <c r="R77" s="153"/>
      <c r="S77" s="153"/>
      <c r="T77" s="153"/>
    </row>
    <row r="78" customFormat="false" ht="13.5" hidden="false" customHeight="true" outlineLevel="0" collapsed="false">
      <c r="O78" s="339" t="s">
        <v>102</v>
      </c>
      <c r="P78" s="339"/>
      <c r="Q78" s="339"/>
      <c r="R78" s="339"/>
      <c r="S78" s="339"/>
      <c r="T78" s="339"/>
    </row>
    <row r="79" customFormat="false" ht="12.75" hidden="false" customHeight="true" outlineLevel="0" collapsed="false">
      <c r="O79" s="339"/>
      <c r="P79" s="339"/>
      <c r="Q79" s="339"/>
      <c r="R79" s="339"/>
      <c r="S79" s="339"/>
      <c r="T79" s="339"/>
    </row>
    <row r="80" customFormat="false" ht="12.75" hidden="false" customHeight="true" outlineLevel="0" collapsed="false">
      <c r="O80" s="340" t="s">
        <v>38</v>
      </c>
      <c r="P80" s="340"/>
      <c r="Q80" s="340"/>
      <c r="R80" s="340"/>
      <c r="S80" s="374" t="s">
        <v>343</v>
      </c>
      <c r="T80" s="375" t="s">
        <v>41</v>
      </c>
    </row>
    <row r="81" customFormat="false" ht="13.5" hidden="false" customHeight="true" outlineLevel="0" collapsed="false">
      <c r="O81" s="480" t="s">
        <v>57</v>
      </c>
      <c r="P81" s="480"/>
      <c r="Q81" s="480"/>
      <c r="R81" s="480"/>
      <c r="S81" s="536" t="n">
        <f aca="false">COUNTIF($L$2:$L$476,"I - Produto altamente perigoso ao meio ambiente")</f>
        <v>1</v>
      </c>
      <c r="T81" s="377" t="n">
        <f aca="false">(S81/S85)</f>
        <v>0.0188679245283019</v>
      </c>
    </row>
    <row r="82" customFormat="false" ht="13.5" hidden="false" customHeight="true" outlineLevel="0" collapsed="false">
      <c r="O82" s="378" t="s">
        <v>58</v>
      </c>
      <c r="P82" s="378"/>
      <c r="Q82" s="378"/>
      <c r="R82" s="378"/>
      <c r="S82" s="537" t="n">
        <f aca="false">COUNTIF($L$2:$L$476,"II - Produto muito perigoso ao meio ambiente")</f>
        <v>21</v>
      </c>
      <c r="T82" s="379" t="n">
        <f aca="false">(S82/S85)</f>
        <v>0.39622641509434</v>
      </c>
    </row>
    <row r="83" customFormat="false" ht="13.5" hidden="false" customHeight="true" outlineLevel="0" collapsed="false">
      <c r="O83" s="380" t="s">
        <v>60</v>
      </c>
      <c r="P83" s="380"/>
      <c r="Q83" s="380"/>
      <c r="R83" s="380"/>
      <c r="S83" s="536" t="n">
        <f aca="false">COUNTIF($L$2:$L$476,"III - Produto perigoso ao meio ambiente")</f>
        <v>25</v>
      </c>
      <c r="T83" s="377" t="n">
        <f aca="false">(S83/S85)</f>
        <v>0.471698113207547</v>
      </c>
    </row>
    <row r="84" customFormat="false" ht="14.25" hidden="false" customHeight="true" outlineLevel="0" collapsed="false">
      <c r="O84" s="378" t="s">
        <v>61</v>
      </c>
      <c r="P84" s="378"/>
      <c r="Q84" s="378"/>
      <c r="R84" s="378"/>
      <c r="S84" s="537" t="n">
        <f aca="false">COUNTIF($L$2:$L$476,"IV - Produto pouco perigoso ao meio ambiente")</f>
        <v>6</v>
      </c>
      <c r="T84" s="379" t="n">
        <f aca="false">(S84/S85)</f>
        <v>0.113207547169811</v>
      </c>
    </row>
    <row r="85" customFormat="false" ht="12.75" hidden="false" customHeight="true" outlineLevel="0" collapsed="false">
      <c r="O85" s="340" t="s">
        <v>54</v>
      </c>
      <c r="P85" s="340"/>
      <c r="Q85" s="340"/>
      <c r="R85" s="340"/>
      <c r="S85" s="363" t="n">
        <f aca="false">SUM(S81:S84)</f>
        <v>53</v>
      </c>
      <c r="T85" s="364" t="n">
        <f aca="false">(S85/S85)</f>
        <v>1</v>
      </c>
    </row>
    <row r="86" customFormat="false" ht="12.75" hidden="false" customHeight="true" outlineLevel="0" collapsed="false">
      <c r="O86" s="153"/>
      <c r="P86" s="153"/>
      <c r="Q86" s="153"/>
      <c r="R86" s="153"/>
      <c r="S86" s="153"/>
      <c r="T86" s="153"/>
    </row>
    <row r="87" customFormat="false" ht="13.5" hidden="false" customHeight="true" outlineLevel="0" collapsed="false">
      <c r="O87" s="421" t="s">
        <v>425</v>
      </c>
      <c r="P87" s="421"/>
      <c r="Q87" s="421"/>
      <c r="R87" s="421"/>
      <c r="S87" s="153"/>
      <c r="T87" s="153"/>
    </row>
    <row r="88" customFormat="false" ht="12.75" hidden="false" customHeight="true" outlineLevel="0" collapsed="false">
      <c r="O88" s="421"/>
      <c r="P88" s="421"/>
      <c r="Q88" s="421"/>
      <c r="R88" s="421"/>
      <c r="S88" s="153"/>
      <c r="T88" s="153"/>
    </row>
    <row r="89" customFormat="false" ht="12.75" hidden="false" customHeight="true" outlineLevel="0" collapsed="false">
      <c r="O89" s="390" t="s">
        <v>69</v>
      </c>
      <c r="P89" s="422" t="s">
        <v>433</v>
      </c>
      <c r="Q89" s="422"/>
      <c r="R89" s="422"/>
      <c r="S89" s="153"/>
      <c r="T89" s="153"/>
    </row>
    <row r="90" customFormat="false" ht="12.75" hidden="false" customHeight="true" outlineLevel="0" collapsed="false">
      <c r="O90" s="394" t="s">
        <v>1474</v>
      </c>
      <c r="P90" s="481" t="n">
        <f aca="false">AVERAGEIF(G2:G476,"PT",M2:M476)</f>
        <v>1357.07692307692</v>
      </c>
      <c r="Q90" s="481"/>
      <c r="R90" s="481"/>
      <c r="S90" s="153"/>
      <c r="T90" s="153"/>
    </row>
    <row r="91" customFormat="false" ht="12.75" hidden="false" customHeight="true" outlineLevel="0" collapsed="false">
      <c r="O91" s="396" t="s">
        <v>1188</v>
      </c>
      <c r="P91" s="482" t="n">
        <f aca="false">AVERAGEIF(G2:G477,"PTN",M2:M477)</f>
        <v>764.6</v>
      </c>
      <c r="Q91" s="482"/>
      <c r="R91" s="482"/>
      <c r="S91" s="153"/>
      <c r="T91" s="153"/>
    </row>
    <row r="92" customFormat="false" ht="12.75" hidden="false" customHeight="true" outlineLevel="0" collapsed="false">
      <c r="O92" s="394" t="s">
        <v>1174</v>
      </c>
      <c r="P92" s="481" t="e">
        <f aca="false">AVERAGEIF(G2:G476,"PTE",M2:M476)</f>
        <v>#DIV/0!</v>
      </c>
      <c r="Q92" s="481"/>
      <c r="R92" s="481"/>
      <c r="S92" s="153"/>
      <c r="T92" s="153"/>
    </row>
    <row r="93" customFormat="false" ht="12.75" hidden="false" customHeight="true" outlineLevel="0" collapsed="false">
      <c r="O93" s="396" t="s">
        <v>8</v>
      </c>
      <c r="P93" s="482" t="e">
        <f aca="false">AVERAGEIF(G2:G476,"Pré-Mistura",M2:M476)</f>
        <v>#DIV/0!</v>
      </c>
      <c r="Q93" s="482"/>
      <c r="R93" s="482"/>
      <c r="S93" s="153"/>
      <c r="T93" s="153"/>
    </row>
    <row r="94" customFormat="false" ht="12.75" hidden="false" customHeight="true" outlineLevel="0" collapsed="false">
      <c r="O94" s="394" t="s">
        <v>144</v>
      </c>
      <c r="P94" s="481" t="n">
        <f aca="false">AVERAGEIF(G2:G476,"PF",M2:M476)</f>
        <v>1098.04347826087</v>
      </c>
      <c r="Q94" s="481"/>
      <c r="R94" s="481"/>
      <c r="S94" s="153"/>
      <c r="T94" s="153"/>
    </row>
    <row r="95" customFormat="false" ht="12.75" hidden="false" customHeight="true" outlineLevel="0" collapsed="false">
      <c r="O95" s="396" t="s">
        <v>115</v>
      </c>
      <c r="P95" s="482" t="n">
        <f aca="false">AVERAGEIF(G2:G476,"PFN",M2:M476)</f>
        <v>1280.16666666667</v>
      </c>
      <c r="Q95" s="482"/>
      <c r="R95" s="482"/>
      <c r="S95" s="153"/>
      <c r="T95" s="153"/>
    </row>
    <row r="96" customFormat="false" ht="12.75" hidden="false" customHeight="true" outlineLevel="0" collapsed="false">
      <c r="O96" s="394" t="s">
        <v>441</v>
      </c>
      <c r="P96" s="481" t="e">
        <f aca="false">AVERAGEIF(G2:G476,"PF/PTE",M2:M476)</f>
        <v>#DIV/0!</v>
      </c>
      <c r="Q96" s="481"/>
      <c r="R96" s="481"/>
      <c r="S96" s="153"/>
      <c r="T96" s="153"/>
    </row>
    <row r="97" customFormat="false" ht="12.75" hidden="false" customHeight="true" outlineLevel="0" collapsed="false">
      <c r="O97" s="396" t="s">
        <v>125</v>
      </c>
      <c r="P97" s="482" t="n">
        <f aca="false">AVERAGEIF(G2:G476,"Bio",M2:M476)</f>
        <v>827.166666666667</v>
      </c>
      <c r="Q97" s="482"/>
      <c r="R97" s="482"/>
    </row>
    <row r="98" customFormat="false" ht="12.75" hidden="false" customHeight="true" outlineLevel="0" collapsed="false">
      <c r="O98" s="394" t="s">
        <v>130</v>
      </c>
      <c r="P98" s="481" t="e">
        <f aca="false">AVERAGEIF(G2:G476,"Bio/Org",M2:M476)</f>
        <v>#DIV/0!</v>
      </c>
      <c r="Q98" s="481"/>
      <c r="R98" s="481"/>
    </row>
    <row r="99" customFormat="false" ht="12.75" hidden="false" customHeight="true" outlineLevel="0" collapsed="false">
      <c r="O99" s="398" t="s">
        <v>86</v>
      </c>
      <c r="P99" s="399" t="n">
        <f aca="false">AVERAGE(M2:M494)</f>
        <v>1120.07547169811</v>
      </c>
      <c r="Q99" s="399"/>
      <c r="R99" s="399"/>
    </row>
  </sheetData>
  <autoFilter ref="A1:M92"/>
  <mergeCells count="76">
    <mergeCell ref="O2:P2"/>
    <mergeCell ref="O14:S15"/>
    <mergeCell ref="O16:S16"/>
    <mergeCell ref="O17:S17"/>
    <mergeCell ref="O18:S18"/>
    <mergeCell ref="O19:S19"/>
    <mergeCell ref="O20:S20"/>
    <mergeCell ref="O21:S21"/>
    <mergeCell ref="O22:S22"/>
    <mergeCell ref="O23:S23"/>
    <mergeCell ref="O24:S24"/>
    <mergeCell ref="O26:S27"/>
    <mergeCell ref="P28:R28"/>
    <mergeCell ref="P29:R29"/>
    <mergeCell ref="P30:R30"/>
    <mergeCell ref="P31:R31"/>
    <mergeCell ref="P32:R32"/>
    <mergeCell ref="P33:R33"/>
    <mergeCell ref="P34:R34"/>
    <mergeCell ref="P35:R35"/>
    <mergeCell ref="P36:R36"/>
    <mergeCell ref="P37:R37"/>
    <mergeCell ref="P38:R38"/>
    <mergeCell ref="P39:R39"/>
    <mergeCell ref="P40:R40"/>
    <mergeCell ref="P41:R41"/>
    <mergeCell ref="P42:R42"/>
    <mergeCell ref="O44:S45"/>
    <mergeCell ref="P46:R46"/>
    <mergeCell ref="P47:R47"/>
    <mergeCell ref="P48:R48"/>
    <mergeCell ref="P49:R49"/>
    <mergeCell ref="P50:R50"/>
    <mergeCell ref="P51:R51"/>
    <mergeCell ref="P52:R52"/>
    <mergeCell ref="P53:R53"/>
    <mergeCell ref="P54:R54"/>
    <mergeCell ref="P55:R55"/>
    <mergeCell ref="P56:R56"/>
    <mergeCell ref="P57:R57"/>
    <mergeCell ref="P58:R58"/>
    <mergeCell ref="P59:R59"/>
    <mergeCell ref="O61:T62"/>
    <mergeCell ref="O63:R63"/>
    <mergeCell ref="O64:R64"/>
    <mergeCell ref="O65:R65"/>
    <mergeCell ref="O66:R66"/>
    <mergeCell ref="O67:R67"/>
    <mergeCell ref="O68:R68"/>
    <mergeCell ref="O69:R69"/>
    <mergeCell ref="O70:R70"/>
    <mergeCell ref="O71:R71"/>
    <mergeCell ref="O72:R72"/>
    <mergeCell ref="O73:R73"/>
    <mergeCell ref="O74:R74"/>
    <mergeCell ref="O75:R75"/>
    <mergeCell ref="O76:R76"/>
    <mergeCell ref="O78:T79"/>
    <mergeCell ref="O80:R80"/>
    <mergeCell ref="O81:R81"/>
    <mergeCell ref="O82:R82"/>
    <mergeCell ref="O83:R83"/>
    <mergeCell ref="O84:R84"/>
    <mergeCell ref="O85:R85"/>
    <mergeCell ref="O87:R88"/>
    <mergeCell ref="P89:R89"/>
    <mergeCell ref="P90:R90"/>
    <mergeCell ref="P91:R91"/>
    <mergeCell ref="P92:R92"/>
    <mergeCell ref="P93:R93"/>
    <mergeCell ref="P94:R94"/>
    <mergeCell ref="P95:R95"/>
    <mergeCell ref="P96:R96"/>
    <mergeCell ref="P97:R97"/>
    <mergeCell ref="P98:R98"/>
    <mergeCell ref="P99:R99"/>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1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B1" activeCellId="0" sqref="B1"/>
    </sheetView>
  </sheetViews>
  <sheetFormatPr defaultColWidth="14.2890625" defaultRowHeight="12.75" customHeight="false" zeroHeight="false" outlineLevelRow="0" outlineLevelCol="0"/>
  <cols>
    <col collapsed="false" customWidth="true" hidden="false" outlineLevel="0" max="1" min="1" style="0" width="12.85"/>
    <col collapsed="false" customWidth="true" hidden="false" outlineLevel="0" max="2" min="2" style="0" width="28.58"/>
    <col collapsed="false" customWidth="true" hidden="false" outlineLevel="0" max="3" min="3" style="0" width="19.43"/>
    <col collapsed="false" customWidth="true" hidden="false" outlineLevel="0" max="4" min="4" style="0" width="26.14"/>
    <col collapsed="false" customWidth="true" hidden="false" outlineLevel="0" max="5" min="5" style="0" width="40.57"/>
    <col collapsed="false" customWidth="true" hidden="false" outlineLevel="0" max="6" min="6" style="0" width="71.43"/>
    <col collapsed="false" customWidth="true" hidden="false" outlineLevel="0" max="7" min="7" style="0" width="15.42"/>
    <col collapsed="false" customWidth="true" hidden="false" outlineLevel="0" max="8" min="8" style="0" width="31.29"/>
    <col collapsed="false" customWidth="true" hidden="false" outlineLevel="0" max="9" min="9" style="0" width="33.29"/>
    <col collapsed="false" customWidth="true" hidden="false" outlineLevel="0" max="10" min="10" style="0" width="34.85"/>
    <col collapsed="false" customWidth="true" hidden="false" outlineLevel="0" max="11" min="11" style="0" width="57.14"/>
    <col collapsed="false" customWidth="true" hidden="false" outlineLevel="0" max="12" min="12" style="0" width="76.14"/>
    <col collapsed="false" customWidth="true" hidden="false" outlineLevel="0" max="13" min="13" style="0" width="53.43"/>
    <col collapsed="false" customWidth="true" hidden="false" outlineLevel="0" max="14" min="14" style="0" width="9.14"/>
    <col collapsed="false" customWidth="true" hidden="false" outlineLevel="0" max="15" min="15" style="0" width="27.14"/>
    <col collapsed="false" customWidth="true" hidden="false" outlineLevel="0" max="16" min="16" style="0" width="9.85"/>
    <col collapsed="false" customWidth="true" hidden="false" outlineLevel="0" max="17" min="17" style="0" width="3.42"/>
    <col collapsed="false" customWidth="true" hidden="false" outlineLevel="0" max="18" min="18" style="0" width="39"/>
    <col collapsed="false" customWidth="true" hidden="false" outlineLevel="0" max="19" min="19" style="0" width="62.85"/>
    <col collapsed="false" customWidth="true" hidden="false" outlineLevel="0" max="20" min="20" style="0" width="13.71"/>
    <col collapsed="false" customWidth="true" hidden="false" outlineLevel="0" max="26" min="21" style="0" width="8.71"/>
  </cols>
  <sheetData>
    <row r="1" customFormat="false" ht="12.75" hidden="false" customHeight="true" outlineLevel="0" collapsed="false">
      <c r="A1" s="585" t="s">
        <v>92</v>
      </c>
      <c r="B1" s="585" t="s">
        <v>93</v>
      </c>
      <c r="C1" s="585" t="s">
        <v>89</v>
      </c>
      <c r="D1" s="584" t="s">
        <v>94</v>
      </c>
      <c r="E1" s="585" t="s">
        <v>95</v>
      </c>
      <c r="F1" s="585" t="s">
        <v>96</v>
      </c>
      <c r="G1" s="585" t="s">
        <v>97</v>
      </c>
      <c r="H1" s="585" t="s">
        <v>98</v>
      </c>
      <c r="I1" s="584" t="s">
        <v>99</v>
      </c>
      <c r="J1" s="585" t="s">
        <v>62</v>
      </c>
      <c r="K1" s="586" t="s">
        <v>101</v>
      </c>
      <c r="L1" s="586" t="s">
        <v>102</v>
      </c>
      <c r="M1" s="279" t="s">
        <v>103</v>
      </c>
      <c r="N1" s="4"/>
      <c r="O1" s="4"/>
      <c r="P1" s="4"/>
      <c r="Q1" s="4"/>
      <c r="R1" s="4"/>
      <c r="S1" s="4"/>
    </row>
    <row r="2" customFormat="false" ht="12.75" hidden="false" customHeight="true" outlineLevel="0" collapsed="false">
      <c r="A2" s="602" t="n">
        <v>101</v>
      </c>
      <c r="B2" s="450" t="s">
        <v>20196</v>
      </c>
      <c r="C2" s="450" t="n">
        <v>1998</v>
      </c>
      <c r="D2" s="451" t="n">
        <v>35818</v>
      </c>
      <c r="E2" s="450" t="s">
        <v>20197</v>
      </c>
      <c r="F2" s="465" t="s">
        <v>5851</v>
      </c>
      <c r="G2" s="450" t="s">
        <v>144</v>
      </c>
      <c r="H2" s="450" t="s">
        <v>20198</v>
      </c>
      <c r="I2" s="451" t="n">
        <v>36915</v>
      </c>
      <c r="J2" s="452" t="n">
        <v>1</v>
      </c>
      <c r="K2" s="631" t="s">
        <v>42</v>
      </c>
      <c r="L2" s="452" t="s">
        <v>57</v>
      </c>
      <c r="M2" s="455" t="n">
        <f aca="false">I2-D2</f>
        <v>1097</v>
      </c>
      <c r="N2" s="4"/>
      <c r="O2" s="280" t="s">
        <v>19488</v>
      </c>
      <c r="P2" s="280"/>
      <c r="Q2" s="146"/>
      <c r="R2" s="146"/>
      <c r="S2" s="146"/>
    </row>
    <row r="3" customFormat="false" ht="12.75" hidden="false" customHeight="true" outlineLevel="0" collapsed="false">
      <c r="A3" s="594" t="n">
        <v>201</v>
      </c>
      <c r="B3" s="458" t="s">
        <v>20199</v>
      </c>
      <c r="C3" s="458" t="n">
        <v>1998</v>
      </c>
      <c r="D3" s="459" t="n">
        <v>36041</v>
      </c>
      <c r="E3" s="458" t="s">
        <v>20200</v>
      </c>
      <c r="F3" s="457" t="s">
        <v>20201</v>
      </c>
      <c r="G3" s="458" t="s">
        <v>144</v>
      </c>
      <c r="H3" s="458" t="s">
        <v>20202</v>
      </c>
      <c r="I3" s="459" t="n">
        <v>36915</v>
      </c>
      <c r="J3" s="460" t="n">
        <v>1</v>
      </c>
      <c r="K3" s="631" t="s">
        <v>42</v>
      </c>
      <c r="L3" s="458" t="s">
        <v>58</v>
      </c>
      <c r="M3" s="463" t="n">
        <f aca="false">I3-D3</f>
        <v>874</v>
      </c>
      <c r="N3" s="4"/>
      <c r="O3" s="281" t="s">
        <v>1182</v>
      </c>
      <c r="P3" s="281" t="n">
        <f aca="false">COUNTIF($G$2:$G$476,"PT")</f>
        <v>23</v>
      </c>
      <c r="Q3" s="146"/>
      <c r="R3" s="146"/>
      <c r="S3" s="146"/>
    </row>
    <row r="4" customFormat="false" ht="12.75" hidden="false" customHeight="true" outlineLevel="0" collapsed="false">
      <c r="A4" s="602" t="n">
        <v>301</v>
      </c>
      <c r="B4" s="450" t="s">
        <v>20203</v>
      </c>
      <c r="C4" s="450" t="n">
        <v>1998</v>
      </c>
      <c r="D4" s="451" t="n">
        <v>35920</v>
      </c>
      <c r="E4" s="450" t="s">
        <v>20204</v>
      </c>
      <c r="F4" s="465" t="s">
        <v>20205</v>
      </c>
      <c r="G4" s="450" t="s">
        <v>125</v>
      </c>
      <c r="H4" s="450" t="s">
        <v>3832</v>
      </c>
      <c r="I4" s="451" t="n">
        <v>36916</v>
      </c>
      <c r="J4" s="452" t="n">
        <v>1</v>
      </c>
      <c r="K4" s="631" t="s">
        <v>42</v>
      </c>
      <c r="L4" s="452" t="s">
        <v>61</v>
      </c>
      <c r="M4" s="455" t="n">
        <f aca="false">I4-D4</f>
        <v>996</v>
      </c>
      <c r="N4" s="4"/>
      <c r="O4" s="282" t="s">
        <v>1188</v>
      </c>
      <c r="P4" s="282" t="n">
        <f aca="false">COUNTIF($G$2:$G$476,"PTN")</f>
        <v>11</v>
      </c>
      <c r="Q4" s="153"/>
      <c r="R4" s="153"/>
      <c r="S4" s="153"/>
    </row>
    <row r="5" customFormat="false" ht="12.75" hidden="false" customHeight="true" outlineLevel="0" collapsed="false">
      <c r="A5" s="594" t="n">
        <v>401</v>
      </c>
      <c r="B5" s="458" t="s">
        <v>20206</v>
      </c>
      <c r="C5" s="458" t="n">
        <v>1999</v>
      </c>
      <c r="D5" s="459" t="n">
        <v>36372</v>
      </c>
      <c r="E5" s="458" t="s">
        <v>20207</v>
      </c>
      <c r="F5" s="457" t="s">
        <v>20208</v>
      </c>
      <c r="G5" s="458" t="s">
        <v>1188</v>
      </c>
      <c r="H5" s="458" t="s">
        <v>20072</v>
      </c>
      <c r="I5" s="459" t="n">
        <v>36917</v>
      </c>
      <c r="J5" s="460" t="n">
        <v>1</v>
      </c>
      <c r="K5" s="631" t="s">
        <v>42</v>
      </c>
      <c r="L5" s="458" t="s">
        <v>60</v>
      </c>
      <c r="M5" s="463" t="n">
        <f aca="false">I5-D5</f>
        <v>545</v>
      </c>
      <c r="N5" s="4"/>
      <c r="O5" s="283" t="s">
        <v>1192</v>
      </c>
      <c r="P5" s="283" t="n">
        <f aca="false">COUNTIF($G$2:$G$476,"PTE")</f>
        <v>0</v>
      </c>
      <c r="Q5" s="153"/>
      <c r="R5" s="153"/>
      <c r="S5" s="153"/>
    </row>
    <row r="6" customFormat="false" ht="12.75" hidden="false" customHeight="true" outlineLevel="0" collapsed="false">
      <c r="A6" s="602" t="n">
        <v>501</v>
      </c>
      <c r="B6" s="450" t="s">
        <v>20209</v>
      </c>
      <c r="C6" s="450" t="n">
        <v>1999</v>
      </c>
      <c r="D6" s="451" t="n">
        <v>36521</v>
      </c>
      <c r="E6" s="450" t="s">
        <v>20210</v>
      </c>
      <c r="F6" s="465" t="s">
        <v>699</v>
      </c>
      <c r="G6" s="450" t="s">
        <v>8</v>
      </c>
      <c r="H6" s="450" t="s">
        <v>20211</v>
      </c>
      <c r="I6" s="451" t="n">
        <v>36920</v>
      </c>
      <c r="J6" s="452" t="n">
        <v>1</v>
      </c>
      <c r="K6" s="633" t="s">
        <v>47</v>
      </c>
      <c r="L6" s="452" t="s">
        <v>60</v>
      </c>
      <c r="M6" s="455" t="n">
        <f aca="false">I6-D6</f>
        <v>399</v>
      </c>
      <c r="N6" s="4"/>
      <c r="O6" s="282" t="s">
        <v>8</v>
      </c>
      <c r="P6" s="282" t="n">
        <f aca="false">COUNTIF($G$2:$G$476,"Pré-Mistura")</f>
        <v>2</v>
      </c>
      <c r="Q6" s="153"/>
      <c r="R6" s="153"/>
      <c r="S6" s="153"/>
    </row>
    <row r="7" customFormat="false" ht="12.75" hidden="false" customHeight="true" outlineLevel="0" collapsed="false">
      <c r="A7" s="594" t="n">
        <v>601</v>
      </c>
      <c r="B7" s="458" t="s">
        <v>20212</v>
      </c>
      <c r="C7" s="458" t="n">
        <v>1999</v>
      </c>
      <c r="D7" s="459" t="n">
        <v>36513</v>
      </c>
      <c r="E7" s="458" t="s">
        <v>20213</v>
      </c>
      <c r="F7" s="457" t="s">
        <v>20214</v>
      </c>
      <c r="G7" s="458" t="s">
        <v>1188</v>
      </c>
      <c r="H7" s="458" t="s">
        <v>19960</v>
      </c>
      <c r="I7" s="459" t="n">
        <v>36921</v>
      </c>
      <c r="J7" s="460" t="n">
        <v>1</v>
      </c>
      <c r="K7" s="633" t="s">
        <v>47</v>
      </c>
      <c r="L7" s="458" t="s">
        <v>58</v>
      </c>
      <c r="M7" s="463" t="n">
        <f aca="false">I7-D7</f>
        <v>408</v>
      </c>
      <c r="N7" s="4"/>
      <c r="O7" s="283" t="s">
        <v>110</v>
      </c>
      <c r="P7" s="283" t="n">
        <f aca="false">COUNTIF($G$2:$G$476,"PF")</f>
        <v>54</v>
      </c>
      <c r="Q7" s="153"/>
      <c r="R7" s="153"/>
      <c r="S7" s="153"/>
    </row>
    <row r="8" customFormat="false" ht="12.75" hidden="false" customHeight="true" outlineLevel="0" collapsed="false">
      <c r="A8" s="602" t="n">
        <v>701</v>
      </c>
      <c r="B8" s="450" t="s">
        <v>20215</v>
      </c>
      <c r="C8" s="450" t="n">
        <v>1999</v>
      </c>
      <c r="D8" s="451" t="n">
        <v>36525</v>
      </c>
      <c r="E8" s="450" t="s">
        <v>20216</v>
      </c>
      <c r="F8" s="465" t="s">
        <v>9757</v>
      </c>
      <c r="G8" s="450" t="s">
        <v>1474</v>
      </c>
      <c r="H8" s="450" t="s">
        <v>16610</v>
      </c>
      <c r="I8" s="451" t="n">
        <v>36922</v>
      </c>
      <c r="J8" s="452" t="n">
        <v>1</v>
      </c>
      <c r="K8" s="633" t="s">
        <v>47</v>
      </c>
      <c r="L8" s="452" t="s">
        <v>58</v>
      </c>
      <c r="M8" s="455" t="n">
        <f aca="false">I8-D8</f>
        <v>397</v>
      </c>
      <c r="N8" s="4"/>
      <c r="O8" s="282" t="s">
        <v>115</v>
      </c>
      <c r="P8" s="282" t="n">
        <f aca="false">COUNTIF($G$2:$G$476,"PFN")</f>
        <v>14</v>
      </c>
      <c r="Q8" s="153"/>
      <c r="R8" s="153"/>
      <c r="S8" s="153"/>
    </row>
    <row r="9" customFormat="false" ht="12.75" hidden="false" customHeight="true" outlineLevel="0" collapsed="false">
      <c r="A9" s="594" t="n">
        <v>801</v>
      </c>
      <c r="B9" s="458" t="s">
        <v>20217</v>
      </c>
      <c r="C9" s="458" t="n">
        <v>1999</v>
      </c>
      <c r="D9" s="459" t="n">
        <v>36484</v>
      </c>
      <c r="E9" s="458" t="s">
        <v>20218</v>
      </c>
      <c r="F9" s="457" t="s">
        <v>20219</v>
      </c>
      <c r="G9" s="458" t="s">
        <v>144</v>
      </c>
      <c r="H9" s="458" t="s">
        <v>373</v>
      </c>
      <c r="I9" s="459" t="n">
        <v>36922</v>
      </c>
      <c r="J9" s="460" t="n">
        <v>1</v>
      </c>
      <c r="K9" s="633" t="s">
        <v>47</v>
      </c>
      <c r="L9" s="458" t="s">
        <v>60</v>
      </c>
      <c r="M9" s="463" t="n">
        <f aca="false">I9-D9</f>
        <v>438</v>
      </c>
      <c r="N9" s="4"/>
      <c r="O9" s="283" t="s">
        <v>120</v>
      </c>
      <c r="P9" s="283" t="n">
        <f aca="false">COUNTIF($G$2:$G$476,"PF/PTE")</f>
        <v>0</v>
      </c>
      <c r="Q9" s="153"/>
      <c r="R9" s="153"/>
      <c r="S9" s="153"/>
    </row>
    <row r="10" customFormat="false" ht="12.75" hidden="false" customHeight="true" outlineLevel="0" collapsed="false">
      <c r="A10" s="602" t="n">
        <v>901</v>
      </c>
      <c r="B10" s="450" t="s">
        <v>20220</v>
      </c>
      <c r="C10" s="450" t="n">
        <v>1997</v>
      </c>
      <c r="D10" s="451" t="n">
        <v>35728</v>
      </c>
      <c r="E10" s="450" t="s">
        <v>20221</v>
      </c>
      <c r="F10" s="465" t="s">
        <v>20222</v>
      </c>
      <c r="G10" s="450" t="s">
        <v>144</v>
      </c>
      <c r="H10" s="450" t="s">
        <v>134</v>
      </c>
      <c r="I10" s="451" t="n">
        <v>36923</v>
      </c>
      <c r="J10" s="452" t="n">
        <v>2</v>
      </c>
      <c r="K10" s="634" t="s">
        <v>45</v>
      </c>
      <c r="L10" s="452" t="s">
        <v>61</v>
      </c>
      <c r="M10" s="455" t="n">
        <f aca="false">I10-D10</f>
        <v>1195</v>
      </c>
      <c r="N10" s="4"/>
      <c r="O10" s="282" t="s">
        <v>125</v>
      </c>
      <c r="P10" s="282" t="n">
        <f aca="false">COUNTIF($G$2:$G$476,"Bio")</f>
        <v>11</v>
      </c>
      <c r="Q10" s="153"/>
      <c r="R10" s="153"/>
      <c r="S10" s="153"/>
    </row>
    <row r="11" customFormat="false" ht="12.75" hidden="false" customHeight="true" outlineLevel="0" collapsed="false">
      <c r="A11" s="594" t="n">
        <v>1001</v>
      </c>
      <c r="B11" s="458" t="s">
        <v>20223</v>
      </c>
      <c r="C11" s="458" t="n">
        <v>1999</v>
      </c>
      <c r="D11" s="459" t="n">
        <v>36426</v>
      </c>
      <c r="E11" s="458" t="s">
        <v>20224</v>
      </c>
      <c r="F11" s="457" t="s">
        <v>4270</v>
      </c>
      <c r="G11" s="458" t="s">
        <v>1474</v>
      </c>
      <c r="H11" s="458" t="s">
        <v>192</v>
      </c>
      <c r="I11" s="459" t="n">
        <v>36930</v>
      </c>
      <c r="J11" s="460" t="n">
        <v>2</v>
      </c>
      <c r="K11" s="631" t="s">
        <v>42</v>
      </c>
      <c r="L11" s="458" t="s">
        <v>60</v>
      </c>
      <c r="M11" s="463" t="n">
        <f aca="false">I11-D11</f>
        <v>504</v>
      </c>
      <c r="N11" s="4"/>
      <c r="O11" s="284" t="s">
        <v>130</v>
      </c>
      <c r="P11" s="284" t="n">
        <f aca="false">COUNTIF($G$2:$G$476,"Bio/Org")</f>
        <v>0</v>
      </c>
      <c r="Q11" s="153"/>
      <c r="R11" s="153"/>
      <c r="S11" s="153"/>
    </row>
    <row r="12" customFormat="false" ht="12.75" hidden="false" customHeight="true" outlineLevel="0" collapsed="false">
      <c r="A12" s="602" t="n">
        <v>1101</v>
      </c>
      <c r="B12" s="450" t="s">
        <v>20225</v>
      </c>
      <c r="C12" s="450" t="n">
        <v>1999</v>
      </c>
      <c r="D12" s="451" t="n">
        <v>36392</v>
      </c>
      <c r="E12" s="450" t="s">
        <v>20226</v>
      </c>
      <c r="F12" s="465" t="s">
        <v>3924</v>
      </c>
      <c r="G12" s="450" t="s">
        <v>1474</v>
      </c>
      <c r="H12" s="450" t="s">
        <v>192</v>
      </c>
      <c r="I12" s="451" t="n">
        <v>36931</v>
      </c>
      <c r="J12" s="452" t="n">
        <v>2</v>
      </c>
      <c r="K12" s="634" t="s">
        <v>45</v>
      </c>
      <c r="L12" s="452" t="s">
        <v>58</v>
      </c>
      <c r="M12" s="455" t="n">
        <f aca="false">I12-D12</f>
        <v>539</v>
      </c>
      <c r="N12" s="4"/>
      <c r="O12" s="285" t="s">
        <v>140</v>
      </c>
      <c r="P12" s="286" t="n">
        <f aca="false">SUM(P3:P11)</f>
        <v>115</v>
      </c>
      <c r="Q12" s="153"/>
      <c r="R12" s="153"/>
      <c r="S12" s="153"/>
    </row>
    <row r="13" customFormat="false" ht="12.75" hidden="false" customHeight="true" outlineLevel="0" collapsed="false">
      <c r="A13" s="594" t="n">
        <v>1201</v>
      </c>
      <c r="B13" s="458" t="s">
        <v>20227</v>
      </c>
      <c r="C13" s="458" t="n">
        <v>1999</v>
      </c>
      <c r="D13" s="459" t="n">
        <v>36401</v>
      </c>
      <c r="E13" s="458" t="s">
        <v>20228</v>
      </c>
      <c r="F13" s="457" t="s">
        <v>1916</v>
      </c>
      <c r="G13" s="458" t="s">
        <v>144</v>
      </c>
      <c r="H13" s="458" t="s">
        <v>18974</v>
      </c>
      <c r="I13" s="459" t="n">
        <v>36934</v>
      </c>
      <c r="J13" s="460" t="n">
        <v>2</v>
      </c>
      <c r="K13" s="634" t="s">
        <v>45</v>
      </c>
      <c r="L13" s="458" t="s">
        <v>58</v>
      </c>
      <c r="M13" s="463" t="n">
        <f aca="false">I13-D13</f>
        <v>533</v>
      </c>
      <c r="N13" s="4"/>
      <c r="O13" s="153"/>
      <c r="P13" s="153"/>
      <c r="Q13" s="153"/>
      <c r="R13" s="287"/>
      <c r="S13" s="287"/>
    </row>
    <row r="14" customFormat="false" ht="13.5" hidden="false" customHeight="true" outlineLevel="0" collapsed="false">
      <c r="A14" s="602" t="n">
        <v>1301</v>
      </c>
      <c r="B14" s="450" t="s">
        <v>20229</v>
      </c>
      <c r="C14" s="450" t="n">
        <v>1995</v>
      </c>
      <c r="D14" s="451" t="n">
        <v>35014</v>
      </c>
      <c r="E14" s="450" t="s">
        <v>20230</v>
      </c>
      <c r="F14" s="465" t="s">
        <v>19256</v>
      </c>
      <c r="G14" s="450" t="s">
        <v>1474</v>
      </c>
      <c r="H14" s="450" t="s">
        <v>18974</v>
      </c>
      <c r="I14" s="451" t="n">
        <v>36935</v>
      </c>
      <c r="J14" s="452" t="n">
        <v>2</v>
      </c>
      <c r="K14" s="633" t="s">
        <v>47</v>
      </c>
      <c r="L14" s="452" t="s">
        <v>58</v>
      </c>
      <c r="M14" s="455" t="n">
        <f aca="false">I14-D14</f>
        <v>1921</v>
      </c>
      <c r="N14" s="4"/>
      <c r="O14" s="411" t="s">
        <v>151</v>
      </c>
      <c r="P14" s="411"/>
      <c r="Q14" s="411"/>
      <c r="R14" s="411"/>
      <c r="S14" s="411"/>
    </row>
    <row r="15" customFormat="false" ht="14.25" hidden="false" customHeight="true" outlineLevel="0" collapsed="false">
      <c r="A15" s="594" t="n">
        <v>1401</v>
      </c>
      <c r="B15" s="458" t="s">
        <v>20231</v>
      </c>
      <c r="C15" s="458" t="n">
        <v>1998</v>
      </c>
      <c r="D15" s="459" t="n">
        <v>36119</v>
      </c>
      <c r="E15" s="458" t="s">
        <v>20232</v>
      </c>
      <c r="F15" s="457" t="s">
        <v>699</v>
      </c>
      <c r="G15" s="458" t="s">
        <v>144</v>
      </c>
      <c r="H15" s="458" t="s">
        <v>285</v>
      </c>
      <c r="I15" s="459" t="n">
        <v>36936</v>
      </c>
      <c r="J15" s="460" t="n">
        <v>2</v>
      </c>
      <c r="K15" s="632" t="s">
        <v>50</v>
      </c>
      <c r="L15" s="458" t="s">
        <v>60</v>
      </c>
      <c r="M15" s="463" t="n">
        <f aca="false">I15-D15</f>
        <v>817</v>
      </c>
      <c r="N15" s="4"/>
      <c r="O15" s="411"/>
      <c r="P15" s="411"/>
      <c r="Q15" s="411"/>
      <c r="R15" s="411"/>
      <c r="S15" s="411"/>
    </row>
    <row r="16" customFormat="false" ht="12.75" hidden="false" customHeight="true" outlineLevel="0" collapsed="false">
      <c r="A16" s="602" t="n">
        <v>1501</v>
      </c>
      <c r="B16" s="450" t="s">
        <v>20233</v>
      </c>
      <c r="C16" s="450" t="n">
        <v>1998</v>
      </c>
      <c r="D16" s="451" t="n">
        <v>36119</v>
      </c>
      <c r="E16" s="450" t="s">
        <v>20234</v>
      </c>
      <c r="F16" s="465" t="s">
        <v>20235</v>
      </c>
      <c r="G16" s="450" t="s">
        <v>144</v>
      </c>
      <c r="H16" s="450" t="s">
        <v>14391</v>
      </c>
      <c r="I16" s="451" t="n">
        <v>36937</v>
      </c>
      <c r="J16" s="452" t="n">
        <v>2</v>
      </c>
      <c r="K16" s="634" t="s">
        <v>45</v>
      </c>
      <c r="L16" s="452" t="s">
        <v>58</v>
      </c>
      <c r="M16" s="455" t="n">
        <f aca="false">I16-D16</f>
        <v>818</v>
      </c>
      <c r="N16" s="4"/>
      <c r="O16" s="412" t="s">
        <v>2194</v>
      </c>
      <c r="P16" s="412"/>
      <c r="Q16" s="412"/>
      <c r="R16" s="412"/>
      <c r="S16" s="412"/>
    </row>
    <row r="17" customFormat="false" ht="12.75" hidden="false" customHeight="true" outlineLevel="0" collapsed="false">
      <c r="A17" s="594" t="n">
        <v>1601</v>
      </c>
      <c r="B17" s="458" t="s">
        <v>20236</v>
      </c>
      <c r="C17" s="458" t="n">
        <v>1998</v>
      </c>
      <c r="D17" s="459" t="n">
        <v>36124</v>
      </c>
      <c r="E17" s="458" t="s">
        <v>20237</v>
      </c>
      <c r="F17" s="457" t="s">
        <v>19610</v>
      </c>
      <c r="G17" s="458" t="s">
        <v>115</v>
      </c>
      <c r="H17" s="458" t="s">
        <v>1791</v>
      </c>
      <c r="I17" s="459" t="n">
        <v>36943</v>
      </c>
      <c r="J17" s="460" t="n">
        <v>2</v>
      </c>
      <c r="K17" s="633" t="s">
        <v>47</v>
      </c>
      <c r="L17" s="458" t="s">
        <v>58</v>
      </c>
      <c r="M17" s="463" t="n">
        <f aca="false">I17-D17</f>
        <v>819</v>
      </c>
      <c r="N17" s="4"/>
      <c r="O17" s="413" t="s">
        <v>2198</v>
      </c>
      <c r="P17" s="413"/>
      <c r="Q17" s="413"/>
      <c r="R17" s="413"/>
      <c r="S17" s="413"/>
    </row>
    <row r="18" customFormat="false" ht="12.75" hidden="false" customHeight="true" outlineLevel="0" collapsed="false">
      <c r="A18" s="602" t="n">
        <v>1701</v>
      </c>
      <c r="B18" s="450" t="s">
        <v>20238</v>
      </c>
      <c r="C18" s="450" t="n">
        <v>1995</v>
      </c>
      <c r="D18" s="451" t="n">
        <v>34735</v>
      </c>
      <c r="E18" s="450" t="s">
        <v>20239</v>
      </c>
      <c r="F18" s="465" t="s">
        <v>20240</v>
      </c>
      <c r="G18" s="450" t="s">
        <v>1474</v>
      </c>
      <c r="H18" s="450" t="s">
        <v>18974</v>
      </c>
      <c r="I18" s="451" t="n">
        <v>36945</v>
      </c>
      <c r="J18" s="452" t="n">
        <v>2</v>
      </c>
      <c r="K18" s="633" t="s">
        <v>47</v>
      </c>
      <c r="L18" s="452" t="s">
        <v>58</v>
      </c>
      <c r="M18" s="455" t="n">
        <f aca="false">I18-D18</f>
        <v>2210</v>
      </c>
      <c r="N18" s="4"/>
      <c r="O18" s="414" t="s">
        <v>2203</v>
      </c>
      <c r="P18" s="414"/>
      <c r="Q18" s="414"/>
      <c r="R18" s="414"/>
      <c r="S18" s="414"/>
    </row>
    <row r="19" customFormat="false" ht="12.75" hidden="false" customHeight="true" outlineLevel="0" collapsed="false">
      <c r="A19" s="594" t="n">
        <v>1801</v>
      </c>
      <c r="B19" s="458" t="s">
        <v>20241</v>
      </c>
      <c r="C19" s="458" t="n">
        <v>1998</v>
      </c>
      <c r="D19" s="459" t="n">
        <v>36116</v>
      </c>
      <c r="E19" s="458" t="s">
        <v>20242</v>
      </c>
      <c r="F19" s="457" t="s">
        <v>19610</v>
      </c>
      <c r="G19" s="458" t="s">
        <v>1188</v>
      </c>
      <c r="H19" s="458" t="s">
        <v>1791</v>
      </c>
      <c r="I19" s="459" t="n">
        <v>36952</v>
      </c>
      <c r="J19" s="460" t="n">
        <v>3</v>
      </c>
      <c r="K19" s="633" t="s">
        <v>47</v>
      </c>
      <c r="L19" s="458" t="s">
        <v>58</v>
      </c>
      <c r="M19" s="463" t="n">
        <f aca="false">I19-D19</f>
        <v>836</v>
      </c>
      <c r="N19" s="4"/>
      <c r="O19" s="413" t="s">
        <v>2207</v>
      </c>
      <c r="P19" s="413"/>
      <c r="Q19" s="413"/>
      <c r="R19" s="413"/>
      <c r="S19" s="413"/>
    </row>
    <row r="20" customFormat="false" ht="12.75" hidden="false" customHeight="true" outlineLevel="0" collapsed="false">
      <c r="A20" s="602" t="n">
        <v>1901</v>
      </c>
      <c r="B20" s="602" t="s">
        <v>10996</v>
      </c>
      <c r="C20" s="602" t="s">
        <v>10996</v>
      </c>
      <c r="D20" s="557" t="s">
        <v>10996</v>
      </c>
      <c r="E20" s="602" t="s">
        <v>10996</v>
      </c>
      <c r="F20" s="654" t="s">
        <v>10996</v>
      </c>
      <c r="G20" s="602" t="s">
        <v>10996</v>
      </c>
      <c r="H20" s="602" t="s">
        <v>10996</v>
      </c>
      <c r="I20" s="557" t="s">
        <v>10996</v>
      </c>
      <c r="J20" s="282" t="s">
        <v>10996</v>
      </c>
      <c r="K20" s="602" t="s">
        <v>10996</v>
      </c>
      <c r="L20" s="282" t="s">
        <v>10996</v>
      </c>
      <c r="M20" s="282" t="s">
        <v>10996</v>
      </c>
      <c r="N20" s="4"/>
      <c r="O20" s="414" t="s">
        <v>2211</v>
      </c>
      <c r="P20" s="414"/>
      <c r="Q20" s="414"/>
      <c r="R20" s="414"/>
      <c r="S20" s="414"/>
    </row>
    <row r="21" customFormat="false" ht="12.75" hidden="false" customHeight="true" outlineLevel="0" collapsed="false">
      <c r="A21" s="594" t="n">
        <v>2001</v>
      </c>
      <c r="B21" s="458" t="s">
        <v>20243</v>
      </c>
      <c r="C21" s="458" t="n">
        <v>2000</v>
      </c>
      <c r="D21" s="459" t="n">
        <v>36538</v>
      </c>
      <c r="E21" s="458" t="s">
        <v>20244</v>
      </c>
      <c r="F21" s="457" t="s">
        <v>9757</v>
      </c>
      <c r="G21" s="458" t="s">
        <v>144</v>
      </c>
      <c r="H21" s="458" t="s">
        <v>16610</v>
      </c>
      <c r="I21" s="459" t="n">
        <v>36952</v>
      </c>
      <c r="J21" s="460" t="n">
        <v>3</v>
      </c>
      <c r="K21" s="634" t="s">
        <v>45</v>
      </c>
      <c r="L21" s="458" t="s">
        <v>58</v>
      </c>
      <c r="M21" s="463" t="n">
        <f aca="false">I21-D21</f>
        <v>414</v>
      </c>
      <c r="N21" s="4"/>
      <c r="O21" s="413" t="s">
        <v>2215</v>
      </c>
      <c r="P21" s="413"/>
      <c r="Q21" s="413"/>
      <c r="R21" s="413"/>
      <c r="S21" s="413"/>
    </row>
    <row r="22" customFormat="false" ht="12.75" hidden="false" customHeight="true" outlineLevel="0" collapsed="false">
      <c r="A22" s="602" t="n">
        <v>2101</v>
      </c>
      <c r="B22" s="450" t="s">
        <v>20245</v>
      </c>
      <c r="C22" s="450" t="n">
        <v>1998</v>
      </c>
      <c r="D22" s="451" t="n">
        <v>35986</v>
      </c>
      <c r="E22" s="450" t="s">
        <v>20246</v>
      </c>
      <c r="F22" s="465" t="s">
        <v>1693</v>
      </c>
      <c r="G22" s="450" t="s">
        <v>144</v>
      </c>
      <c r="H22" s="450" t="s">
        <v>10901</v>
      </c>
      <c r="I22" s="451" t="n">
        <v>36954</v>
      </c>
      <c r="J22" s="452" t="n">
        <v>3</v>
      </c>
      <c r="K22" s="633" t="s">
        <v>47</v>
      </c>
      <c r="L22" s="452" t="s">
        <v>60</v>
      </c>
      <c r="M22" s="455" t="n">
        <f aca="false">I22-D22</f>
        <v>968</v>
      </c>
      <c r="N22" s="4"/>
      <c r="O22" s="414" t="s">
        <v>2220</v>
      </c>
      <c r="P22" s="414"/>
      <c r="Q22" s="414"/>
      <c r="R22" s="414"/>
      <c r="S22" s="414"/>
    </row>
    <row r="23" customFormat="false" ht="12.75" hidden="false" customHeight="true" outlineLevel="0" collapsed="false">
      <c r="A23" s="594" t="n">
        <v>2201</v>
      </c>
      <c r="B23" s="458" t="s">
        <v>20247</v>
      </c>
      <c r="C23" s="458" t="n">
        <v>1999</v>
      </c>
      <c r="D23" s="459" t="n">
        <v>36454</v>
      </c>
      <c r="E23" s="458" t="s">
        <v>20248</v>
      </c>
      <c r="F23" s="457" t="s">
        <v>20249</v>
      </c>
      <c r="G23" s="458" t="s">
        <v>144</v>
      </c>
      <c r="H23" s="458" t="s">
        <v>1791</v>
      </c>
      <c r="I23" s="459" t="n">
        <v>36956</v>
      </c>
      <c r="J23" s="460" t="n">
        <v>3</v>
      </c>
      <c r="K23" s="633" t="s">
        <v>47</v>
      </c>
      <c r="L23" s="458" t="s">
        <v>60</v>
      </c>
      <c r="M23" s="463" t="n">
        <f aca="false">I23-D23</f>
        <v>502</v>
      </c>
      <c r="N23" s="4"/>
      <c r="O23" s="413" t="s">
        <v>18107</v>
      </c>
      <c r="P23" s="413"/>
      <c r="Q23" s="413"/>
      <c r="R23" s="413"/>
      <c r="S23" s="413"/>
    </row>
    <row r="24" customFormat="false" ht="12.75" hidden="false" customHeight="true" outlineLevel="0" collapsed="false">
      <c r="A24" s="602" t="n">
        <v>2301</v>
      </c>
      <c r="B24" s="450" t="s">
        <v>20250</v>
      </c>
      <c r="C24" s="450" t="n">
        <v>1999</v>
      </c>
      <c r="D24" s="451" t="n">
        <v>36513</v>
      </c>
      <c r="E24" s="450" t="s">
        <v>20251</v>
      </c>
      <c r="F24" s="465" t="s">
        <v>20214</v>
      </c>
      <c r="G24" s="450" t="s">
        <v>115</v>
      </c>
      <c r="H24" s="450" t="s">
        <v>19960</v>
      </c>
      <c r="I24" s="451" t="n">
        <v>36959</v>
      </c>
      <c r="J24" s="452" t="n">
        <v>3</v>
      </c>
      <c r="K24" s="634" t="s">
        <v>45</v>
      </c>
      <c r="L24" s="452" t="s">
        <v>60</v>
      </c>
      <c r="M24" s="455" t="n">
        <f aca="false">I24-D24</f>
        <v>446</v>
      </c>
      <c r="N24" s="4"/>
      <c r="O24" s="415" t="s">
        <v>2229</v>
      </c>
      <c r="P24" s="415"/>
      <c r="Q24" s="415"/>
      <c r="R24" s="415"/>
      <c r="S24" s="415"/>
    </row>
    <row r="25" customFormat="false" ht="12.75" hidden="false" customHeight="true" outlineLevel="0" collapsed="false">
      <c r="A25" s="594" t="n">
        <v>2401</v>
      </c>
      <c r="B25" s="458" t="s">
        <v>20252</v>
      </c>
      <c r="C25" s="458" t="n">
        <v>1998</v>
      </c>
      <c r="D25" s="459" t="n">
        <v>36139</v>
      </c>
      <c r="E25" s="458" t="s">
        <v>20253</v>
      </c>
      <c r="F25" s="457" t="s">
        <v>20254</v>
      </c>
      <c r="G25" s="458" t="s">
        <v>115</v>
      </c>
      <c r="H25" s="458" t="s">
        <v>2421</v>
      </c>
      <c r="I25" s="459" t="n">
        <v>36962</v>
      </c>
      <c r="J25" s="460" t="n">
        <v>3</v>
      </c>
      <c r="K25" s="633" t="s">
        <v>47</v>
      </c>
      <c r="L25" s="458" t="s">
        <v>60</v>
      </c>
      <c r="M25" s="463" t="n">
        <f aca="false">I25-D25</f>
        <v>823</v>
      </c>
      <c r="N25" s="4"/>
      <c r="O25" s="153"/>
      <c r="P25" s="153"/>
      <c r="Q25" s="153"/>
      <c r="R25" s="153"/>
      <c r="S25" s="153"/>
    </row>
    <row r="26" customFormat="false" ht="13.5" hidden="false" customHeight="true" outlineLevel="0" collapsed="false">
      <c r="A26" s="602" t="n">
        <v>2501</v>
      </c>
      <c r="B26" s="450" t="s">
        <v>20255</v>
      </c>
      <c r="C26" s="450" t="n">
        <v>1998</v>
      </c>
      <c r="D26" s="451" t="n">
        <v>35903</v>
      </c>
      <c r="E26" s="450" t="s">
        <v>20256</v>
      </c>
      <c r="F26" s="465" t="s">
        <v>16764</v>
      </c>
      <c r="G26" s="450" t="s">
        <v>144</v>
      </c>
      <c r="H26" s="450" t="s">
        <v>16610</v>
      </c>
      <c r="I26" s="451" t="n">
        <v>36963</v>
      </c>
      <c r="J26" s="452" t="n">
        <v>3</v>
      </c>
      <c r="K26" s="633" t="s">
        <v>47</v>
      </c>
      <c r="L26" s="452" t="s">
        <v>60</v>
      </c>
      <c r="M26" s="455" t="n">
        <f aca="false">I26-D26</f>
        <v>1060</v>
      </c>
      <c r="N26" s="4"/>
      <c r="O26" s="326" t="s">
        <v>185</v>
      </c>
      <c r="P26" s="326"/>
      <c r="Q26" s="326"/>
      <c r="R26" s="326"/>
      <c r="S26" s="326"/>
    </row>
    <row r="27" customFormat="false" ht="13.5" hidden="false" customHeight="true" outlineLevel="0" collapsed="false">
      <c r="A27" s="594" t="n">
        <v>2601</v>
      </c>
      <c r="B27" s="458" t="s">
        <v>20257</v>
      </c>
      <c r="C27" s="458" t="n">
        <v>1999</v>
      </c>
      <c r="D27" s="459" t="n">
        <v>36247</v>
      </c>
      <c r="E27" s="458" t="s">
        <v>20258</v>
      </c>
      <c r="F27" s="457" t="s">
        <v>449</v>
      </c>
      <c r="G27" s="458" t="s">
        <v>144</v>
      </c>
      <c r="H27" s="458" t="s">
        <v>1109</v>
      </c>
      <c r="I27" s="459" t="n">
        <v>36965</v>
      </c>
      <c r="J27" s="460" t="n">
        <v>3</v>
      </c>
      <c r="K27" s="634" t="s">
        <v>45</v>
      </c>
      <c r="L27" s="458" t="s">
        <v>60</v>
      </c>
      <c r="M27" s="463" t="n">
        <f aca="false">I27-D27</f>
        <v>718</v>
      </c>
      <c r="N27" s="4"/>
      <c r="O27" s="326"/>
      <c r="P27" s="326"/>
      <c r="Q27" s="326"/>
      <c r="R27" s="326"/>
      <c r="S27" s="326"/>
    </row>
    <row r="28" customFormat="false" ht="12.75" hidden="false" customHeight="true" outlineLevel="0" collapsed="false">
      <c r="A28" s="602" t="n">
        <v>2701</v>
      </c>
      <c r="B28" s="450" t="s">
        <v>20259</v>
      </c>
      <c r="C28" s="450" t="n">
        <v>1995</v>
      </c>
      <c r="D28" s="451" t="n">
        <v>35051</v>
      </c>
      <c r="E28" s="450" t="s">
        <v>20260</v>
      </c>
      <c r="F28" s="465" t="s">
        <v>20261</v>
      </c>
      <c r="G28" s="450" t="s">
        <v>144</v>
      </c>
      <c r="H28" s="450" t="s">
        <v>254</v>
      </c>
      <c r="I28" s="451" t="n">
        <v>36966</v>
      </c>
      <c r="J28" s="452" t="n">
        <v>3</v>
      </c>
      <c r="K28" s="634" t="s">
        <v>45</v>
      </c>
      <c r="L28" s="452" t="s">
        <v>58</v>
      </c>
      <c r="M28" s="455" t="n">
        <f aca="false">I28-D28</f>
        <v>1915</v>
      </c>
      <c r="N28" s="4"/>
      <c r="O28" s="309" t="s">
        <v>39</v>
      </c>
      <c r="P28" s="416" t="s">
        <v>40</v>
      </c>
      <c r="Q28" s="416"/>
      <c r="R28" s="416"/>
      <c r="S28" s="313" t="s">
        <v>41</v>
      </c>
    </row>
    <row r="29" customFormat="false" ht="12.75" hidden="false" customHeight="true" outlineLevel="0" collapsed="false">
      <c r="A29" s="594" t="n">
        <v>2801</v>
      </c>
      <c r="B29" s="458" t="s">
        <v>20262</v>
      </c>
      <c r="C29" s="458" t="n">
        <v>1996</v>
      </c>
      <c r="D29" s="459" t="n">
        <v>35135</v>
      </c>
      <c r="E29" s="458" t="s">
        <v>20263</v>
      </c>
      <c r="F29" s="457" t="s">
        <v>1097</v>
      </c>
      <c r="G29" s="458" t="s">
        <v>144</v>
      </c>
      <c r="H29" s="458" t="s">
        <v>19987</v>
      </c>
      <c r="I29" s="459" t="n">
        <v>36966</v>
      </c>
      <c r="J29" s="460" t="n">
        <v>3</v>
      </c>
      <c r="K29" s="631" t="s">
        <v>42</v>
      </c>
      <c r="L29" s="458" t="s">
        <v>60</v>
      </c>
      <c r="M29" s="463" t="n">
        <f aca="false">I29-D29</f>
        <v>1831</v>
      </c>
      <c r="N29" s="4"/>
      <c r="O29" s="283" t="n">
        <v>1989</v>
      </c>
      <c r="P29" s="283" t="n">
        <f aca="false">COUNTIF($C$2:$C$503,"1989")</f>
        <v>0</v>
      </c>
      <c r="Q29" s="283"/>
      <c r="R29" s="283"/>
      <c r="S29" s="315" t="n">
        <f aca="false">P29/P42</f>
        <v>0</v>
      </c>
    </row>
    <row r="30" customFormat="false" ht="12.75" hidden="false" customHeight="true" outlineLevel="0" collapsed="false">
      <c r="A30" s="602" t="n">
        <v>2901</v>
      </c>
      <c r="B30" s="450" t="s">
        <v>20264</v>
      </c>
      <c r="C30" s="450" t="n">
        <v>1993</v>
      </c>
      <c r="D30" s="451" t="n">
        <v>34209</v>
      </c>
      <c r="E30" s="450" t="s">
        <v>20265</v>
      </c>
      <c r="F30" s="465" t="s">
        <v>3844</v>
      </c>
      <c r="G30" s="450" t="s">
        <v>144</v>
      </c>
      <c r="H30" s="450" t="s">
        <v>19987</v>
      </c>
      <c r="I30" s="451" t="n">
        <v>36966</v>
      </c>
      <c r="J30" s="452" t="n">
        <v>3</v>
      </c>
      <c r="K30" s="633" t="s">
        <v>47</v>
      </c>
      <c r="L30" s="452" t="s">
        <v>58</v>
      </c>
      <c r="M30" s="455" t="n">
        <f aca="false">I30-D30</f>
        <v>2757</v>
      </c>
      <c r="N30" s="4"/>
      <c r="O30" s="282" t="n">
        <v>1990</v>
      </c>
      <c r="P30" s="282" t="n">
        <f aca="false">COUNTIF($C$2:$C$503,"1990")</f>
        <v>0</v>
      </c>
      <c r="Q30" s="282"/>
      <c r="R30" s="282"/>
      <c r="S30" s="316" t="n">
        <f aca="false">P30/P42</f>
        <v>0</v>
      </c>
    </row>
    <row r="31" customFormat="false" ht="12.75" hidden="false" customHeight="true" outlineLevel="0" collapsed="false">
      <c r="A31" s="594" t="n">
        <v>3001</v>
      </c>
      <c r="B31" s="458" t="s">
        <v>20266</v>
      </c>
      <c r="C31" s="458" t="n">
        <v>1996</v>
      </c>
      <c r="D31" s="459" t="n">
        <v>35310</v>
      </c>
      <c r="E31" s="458" t="s">
        <v>20267</v>
      </c>
      <c r="F31" s="457" t="s">
        <v>20201</v>
      </c>
      <c r="G31" s="458" t="s">
        <v>144</v>
      </c>
      <c r="H31" s="458" t="s">
        <v>20202</v>
      </c>
      <c r="I31" s="459" t="n">
        <v>36966</v>
      </c>
      <c r="J31" s="460" t="n">
        <v>3</v>
      </c>
      <c r="K31" s="633" t="s">
        <v>47</v>
      </c>
      <c r="L31" s="458" t="s">
        <v>60</v>
      </c>
      <c r="M31" s="463" t="n">
        <f aca="false">I31-D31</f>
        <v>1656</v>
      </c>
      <c r="N31" s="4"/>
      <c r="O31" s="283" t="n">
        <v>1991</v>
      </c>
      <c r="P31" s="283" t="n">
        <f aca="false">COUNTIF($C$2:$C$503,"1991")</f>
        <v>1</v>
      </c>
      <c r="Q31" s="283"/>
      <c r="R31" s="283"/>
      <c r="S31" s="315" t="n">
        <f aca="false">P31/P42</f>
        <v>0.0087719298245614</v>
      </c>
    </row>
    <row r="32" customFormat="false" ht="12.75" hidden="false" customHeight="true" outlineLevel="0" collapsed="false">
      <c r="A32" s="602" t="n">
        <v>3101</v>
      </c>
      <c r="B32" s="450" t="s">
        <v>20268</v>
      </c>
      <c r="C32" s="450" t="n">
        <v>1999</v>
      </c>
      <c r="D32" s="451" t="n">
        <v>36392</v>
      </c>
      <c r="E32" s="450" t="s">
        <v>20269</v>
      </c>
      <c r="F32" s="465" t="s">
        <v>3924</v>
      </c>
      <c r="G32" s="450" t="s">
        <v>144</v>
      </c>
      <c r="H32" s="450" t="s">
        <v>192</v>
      </c>
      <c r="I32" s="451" t="n">
        <v>36978</v>
      </c>
      <c r="J32" s="452" t="n">
        <v>3</v>
      </c>
      <c r="K32" s="631" t="s">
        <v>42</v>
      </c>
      <c r="L32" s="452" t="s">
        <v>58</v>
      </c>
      <c r="M32" s="455" t="n">
        <f aca="false">I32-D32</f>
        <v>586</v>
      </c>
      <c r="N32" s="4"/>
      <c r="O32" s="282" t="n">
        <v>1992</v>
      </c>
      <c r="P32" s="282" t="n">
        <f aca="false">COUNTIF($C$2:$C$503,"1992")</f>
        <v>0</v>
      </c>
      <c r="Q32" s="282"/>
      <c r="R32" s="282"/>
      <c r="S32" s="316" t="n">
        <f aca="false">P32/P42</f>
        <v>0</v>
      </c>
    </row>
    <row r="33" customFormat="false" ht="12.75" hidden="false" customHeight="true" outlineLevel="0" collapsed="false">
      <c r="A33" s="594" t="n">
        <v>3201</v>
      </c>
      <c r="B33" s="458" t="s">
        <v>20270</v>
      </c>
      <c r="C33" s="458" t="n">
        <v>1999</v>
      </c>
      <c r="D33" s="459" t="n">
        <v>36411</v>
      </c>
      <c r="E33" s="458" t="s">
        <v>20271</v>
      </c>
      <c r="F33" s="457" t="s">
        <v>20272</v>
      </c>
      <c r="G33" s="458" t="s">
        <v>125</v>
      </c>
      <c r="H33" s="458" t="s">
        <v>14544</v>
      </c>
      <c r="I33" s="459" t="n">
        <v>36978</v>
      </c>
      <c r="J33" s="460" t="n">
        <v>3</v>
      </c>
      <c r="K33" s="632" t="s">
        <v>50</v>
      </c>
      <c r="L33" s="458" t="s">
        <v>61</v>
      </c>
      <c r="M33" s="463" t="n">
        <f aca="false">I33-D33</f>
        <v>567</v>
      </c>
      <c r="N33" s="4"/>
      <c r="O33" s="283" t="n">
        <v>1993</v>
      </c>
      <c r="P33" s="283" t="n">
        <f aca="false">COUNTIF($C$2:$C$503,"1993")</f>
        <v>3</v>
      </c>
      <c r="Q33" s="283"/>
      <c r="R33" s="283"/>
      <c r="S33" s="315" t="n">
        <f aca="false">P33/P42</f>
        <v>0.0263157894736842</v>
      </c>
    </row>
    <row r="34" customFormat="false" ht="12.75" hidden="false" customHeight="true" outlineLevel="0" collapsed="false">
      <c r="A34" s="602" t="n">
        <v>3301</v>
      </c>
      <c r="B34" s="450" t="s">
        <v>20273</v>
      </c>
      <c r="C34" s="450" t="n">
        <v>1999</v>
      </c>
      <c r="D34" s="451" t="n">
        <v>36411</v>
      </c>
      <c r="E34" s="450" t="s">
        <v>20274</v>
      </c>
      <c r="F34" s="465" t="s">
        <v>20275</v>
      </c>
      <c r="G34" s="450" t="s">
        <v>125</v>
      </c>
      <c r="H34" s="450" t="s">
        <v>14544</v>
      </c>
      <c r="I34" s="451" t="n">
        <v>36978</v>
      </c>
      <c r="J34" s="452" t="n">
        <v>3</v>
      </c>
      <c r="K34" s="632" t="s">
        <v>50</v>
      </c>
      <c r="L34" s="452" t="s">
        <v>61</v>
      </c>
      <c r="M34" s="455" t="n">
        <f aca="false">I34-D34</f>
        <v>567</v>
      </c>
      <c r="N34" s="4"/>
      <c r="O34" s="282" t="n">
        <v>1994</v>
      </c>
      <c r="P34" s="282" t="n">
        <f aca="false">COUNTIF($C$2:$C$503,"1994")</f>
        <v>0</v>
      </c>
      <c r="Q34" s="282"/>
      <c r="R34" s="282"/>
      <c r="S34" s="316" t="n">
        <f aca="false">P34/P42</f>
        <v>0</v>
      </c>
    </row>
    <row r="35" customFormat="false" ht="12.75" hidden="false" customHeight="true" outlineLevel="0" collapsed="false">
      <c r="A35" s="594" t="n">
        <v>3401</v>
      </c>
      <c r="B35" s="458" t="s">
        <v>20276</v>
      </c>
      <c r="C35" s="458" t="n">
        <v>1999</v>
      </c>
      <c r="D35" s="459" t="n">
        <v>36263</v>
      </c>
      <c r="E35" s="458" t="s">
        <v>20277</v>
      </c>
      <c r="F35" s="457" t="s">
        <v>20278</v>
      </c>
      <c r="G35" s="458" t="s">
        <v>125</v>
      </c>
      <c r="H35" s="458" t="s">
        <v>391</v>
      </c>
      <c r="I35" s="459" t="n">
        <v>36980</v>
      </c>
      <c r="J35" s="460" t="n">
        <v>3</v>
      </c>
      <c r="K35" s="632" t="s">
        <v>50</v>
      </c>
      <c r="L35" s="458" t="s">
        <v>61</v>
      </c>
      <c r="M35" s="463" t="n">
        <f aca="false">I35-D35</f>
        <v>717</v>
      </c>
      <c r="N35" s="4"/>
      <c r="O35" s="283" t="n">
        <v>1995</v>
      </c>
      <c r="P35" s="283" t="n">
        <f aca="false">COUNTIF($C$2:$C$503,"1995")</f>
        <v>9</v>
      </c>
      <c r="Q35" s="283"/>
      <c r="R35" s="283"/>
      <c r="S35" s="315" t="n">
        <f aca="false">P35/P42</f>
        <v>0.0789473684210526</v>
      </c>
    </row>
    <row r="36" customFormat="false" ht="12.75" hidden="false" customHeight="true" outlineLevel="0" collapsed="false">
      <c r="A36" s="602" t="n">
        <v>3501</v>
      </c>
      <c r="B36" s="450" t="s">
        <v>20279</v>
      </c>
      <c r="C36" s="450" t="n">
        <v>1995</v>
      </c>
      <c r="D36" s="451" t="n">
        <v>34821</v>
      </c>
      <c r="E36" s="450" t="s">
        <v>20280</v>
      </c>
      <c r="F36" s="465" t="s">
        <v>16907</v>
      </c>
      <c r="G36" s="450" t="s">
        <v>144</v>
      </c>
      <c r="H36" s="450" t="s">
        <v>18974</v>
      </c>
      <c r="I36" s="451" t="n">
        <v>36984</v>
      </c>
      <c r="J36" s="452" t="n">
        <v>4</v>
      </c>
      <c r="K36" s="633" t="s">
        <v>47</v>
      </c>
      <c r="L36" s="452" t="s">
        <v>58</v>
      </c>
      <c r="M36" s="455" t="n">
        <f aca="false">I36-D36</f>
        <v>2163</v>
      </c>
      <c r="N36" s="4"/>
      <c r="O36" s="282" t="n">
        <v>1996</v>
      </c>
      <c r="P36" s="282" t="n">
        <f aca="false">COUNTIF($C$2:$C$503,"1996")</f>
        <v>5</v>
      </c>
      <c r="Q36" s="282"/>
      <c r="R36" s="282"/>
      <c r="S36" s="316" t="n">
        <f aca="false">P36/P42</f>
        <v>0.043859649122807</v>
      </c>
    </row>
    <row r="37" customFormat="false" ht="15" hidden="false" customHeight="true" outlineLevel="0" collapsed="false">
      <c r="A37" s="594" t="n">
        <v>3601</v>
      </c>
      <c r="B37" s="458" t="s">
        <v>20281</v>
      </c>
      <c r="C37" s="458" t="n">
        <v>1998</v>
      </c>
      <c r="D37" s="459" t="n">
        <v>35797</v>
      </c>
      <c r="E37" s="458" t="s">
        <v>20282</v>
      </c>
      <c r="F37" s="457" t="s">
        <v>10749</v>
      </c>
      <c r="G37" s="458" t="s">
        <v>125</v>
      </c>
      <c r="H37" s="458" t="s">
        <v>3832</v>
      </c>
      <c r="I37" s="459" t="n">
        <v>36986</v>
      </c>
      <c r="J37" s="460" t="n">
        <v>4</v>
      </c>
      <c r="K37" s="634" t="s">
        <v>45</v>
      </c>
      <c r="L37" s="458" t="s">
        <v>61</v>
      </c>
      <c r="M37" s="463" t="n">
        <f aca="false">I37-D37</f>
        <v>1189</v>
      </c>
      <c r="N37" s="4"/>
      <c r="O37" s="283" t="n">
        <v>1997</v>
      </c>
      <c r="P37" s="283" t="n">
        <f aca="false">COUNTIF($C$2:$C$503,"1997")</f>
        <v>2</v>
      </c>
      <c r="Q37" s="283"/>
      <c r="R37" s="283"/>
      <c r="S37" s="315" t="n">
        <f aca="false">P37/P42</f>
        <v>0.0175438596491228</v>
      </c>
    </row>
    <row r="38" customFormat="false" ht="12.75" hidden="false" customHeight="true" outlineLevel="0" collapsed="false">
      <c r="A38" s="602" t="n">
        <v>3701</v>
      </c>
      <c r="B38" s="450" t="s">
        <v>20283</v>
      </c>
      <c r="C38" s="450" t="n">
        <v>1995</v>
      </c>
      <c r="D38" s="451" t="n">
        <v>34881</v>
      </c>
      <c r="E38" s="450" t="s">
        <v>20284</v>
      </c>
      <c r="F38" s="465" t="s">
        <v>446</v>
      </c>
      <c r="G38" s="450" t="s">
        <v>1474</v>
      </c>
      <c r="H38" s="450" t="s">
        <v>20175</v>
      </c>
      <c r="I38" s="451" t="n">
        <v>36990</v>
      </c>
      <c r="J38" s="452" t="n">
        <v>4</v>
      </c>
      <c r="K38" s="633" t="s">
        <v>47</v>
      </c>
      <c r="L38" s="452" t="s">
        <v>58</v>
      </c>
      <c r="M38" s="455" t="n">
        <f aca="false">I38-D38</f>
        <v>2109</v>
      </c>
      <c r="N38" s="4"/>
      <c r="O38" s="282" t="n">
        <v>1998</v>
      </c>
      <c r="P38" s="282" t="n">
        <f aca="false">COUNTIF($C$2:$C$503,"1998")</f>
        <v>21</v>
      </c>
      <c r="Q38" s="282"/>
      <c r="R38" s="282"/>
      <c r="S38" s="316" t="n">
        <f aca="false">P38/P42</f>
        <v>0.184210526315789</v>
      </c>
    </row>
    <row r="39" customFormat="false" ht="12.75" hidden="false" customHeight="true" outlineLevel="0" collapsed="false">
      <c r="A39" s="594" t="n">
        <v>3801</v>
      </c>
      <c r="B39" s="458"/>
      <c r="C39" s="458" t="n">
        <v>1999</v>
      </c>
      <c r="D39" s="459"/>
      <c r="E39" s="458" t="s">
        <v>20285</v>
      </c>
      <c r="F39" s="457" t="s">
        <v>4270</v>
      </c>
      <c r="G39" s="458" t="s">
        <v>144</v>
      </c>
      <c r="H39" s="458" t="s">
        <v>20198</v>
      </c>
      <c r="I39" s="459" t="n">
        <v>36999</v>
      </c>
      <c r="J39" s="460" t="n">
        <v>4</v>
      </c>
      <c r="K39" s="631" t="s">
        <v>42</v>
      </c>
      <c r="L39" s="458" t="s">
        <v>60</v>
      </c>
      <c r="M39" s="463"/>
      <c r="N39" s="4"/>
      <c r="O39" s="283" t="n">
        <v>1999</v>
      </c>
      <c r="P39" s="283" t="n">
        <f aca="false">COUNTIF($C$2:$C$503,"1999")</f>
        <v>47</v>
      </c>
      <c r="Q39" s="283"/>
      <c r="R39" s="283"/>
      <c r="S39" s="315" t="n">
        <f aca="false">P39/P42</f>
        <v>0.412280701754386</v>
      </c>
    </row>
    <row r="40" customFormat="false" ht="12.75" hidden="false" customHeight="true" outlineLevel="0" collapsed="false">
      <c r="A40" s="602" t="n">
        <v>3901</v>
      </c>
      <c r="B40" s="450" t="s">
        <v>20286</v>
      </c>
      <c r="C40" s="450" t="n">
        <v>1999</v>
      </c>
      <c r="D40" s="451" t="n">
        <v>36230</v>
      </c>
      <c r="E40" s="450" t="s">
        <v>20287</v>
      </c>
      <c r="F40" s="465" t="s">
        <v>19670</v>
      </c>
      <c r="G40" s="450" t="s">
        <v>125</v>
      </c>
      <c r="H40" s="450" t="s">
        <v>391</v>
      </c>
      <c r="I40" s="451" t="n">
        <v>37007</v>
      </c>
      <c r="J40" s="452" t="n">
        <v>4</v>
      </c>
      <c r="K40" s="632" t="s">
        <v>50</v>
      </c>
      <c r="L40" s="452" t="s">
        <v>61</v>
      </c>
      <c r="M40" s="455" t="n">
        <f aca="false">I40-D40</f>
        <v>777</v>
      </c>
      <c r="N40" s="4"/>
      <c r="O40" s="282" t="n">
        <v>2000</v>
      </c>
      <c r="P40" s="282" t="n">
        <f aca="false">COUNTIF($C$2:$C$503,"2000")</f>
        <v>24</v>
      </c>
      <c r="Q40" s="282"/>
      <c r="R40" s="282"/>
      <c r="S40" s="316" t="n">
        <f aca="false">P40/P42</f>
        <v>0.210526315789474</v>
      </c>
    </row>
    <row r="41" customFormat="false" ht="12.75" hidden="false" customHeight="true" outlineLevel="0" collapsed="false">
      <c r="A41" s="594" t="n">
        <v>4001</v>
      </c>
      <c r="B41" s="458" t="s">
        <v>20288</v>
      </c>
      <c r="C41" s="458" t="n">
        <v>1995</v>
      </c>
      <c r="D41" s="459" t="n">
        <v>35051</v>
      </c>
      <c r="E41" s="458" t="s">
        <v>20289</v>
      </c>
      <c r="F41" s="457" t="s">
        <v>5993</v>
      </c>
      <c r="G41" s="458" t="s">
        <v>144</v>
      </c>
      <c r="H41" s="458" t="s">
        <v>254</v>
      </c>
      <c r="I41" s="459" t="n">
        <v>37015</v>
      </c>
      <c r="J41" s="460" t="n">
        <v>5</v>
      </c>
      <c r="K41" s="634" t="s">
        <v>45</v>
      </c>
      <c r="L41" s="458" t="s">
        <v>58</v>
      </c>
      <c r="M41" s="463" t="n">
        <f aca="false">I41-D41</f>
        <v>1964</v>
      </c>
      <c r="N41" s="4"/>
      <c r="O41" s="283" t="n">
        <v>2001</v>
      </c>
      <c r="P41" s="283" t="n">
        <f aca="false">COUNTIF($C$2:$C$503,"2001")</f>
        <v>2</v>
      </c>
      <c r="Q41" s="283"/>
      <c r="R41" s="283"/>
      <c r="S41" s="315" t="n">
        <f aca="false">P41/P42</f>
        <v>0.0175438596491228</v>
      </c>
    </row>
    <row r="42" customFormat="false" ht="12.75" hidden="false" customHeight="true" outlineLevel="0" collapsed="false">
      <c r="A42" s="602" t="n">
        <v>4101</v>
      </c>
      <c r="B42" s="450" t="s">
        <v>20290</v>
      </c>
      <c r="C42" s="450" t="n">
        <v>1999</v>
      </c>
      <c r="D42" s="451" t="n">
        <v>36480</v>
      </c>
      <c r="E42" s="450" t="s">
        <v>20291</v>
      </c>
      <c r="F42" s="465" t="s">
        <v>4956</v>
      </c>
      <c r="G42" s="450" t="s">
        <v>1474</v>
      </c>
      <c r="H42" s="450" t="s">
        <v>10901</v>
      </c>
      <c r="I42" s="451" t="n">
        <v>37015</v>
      </c>
      <c r="J42" s="452" t="n">
        <v>5</v>
      </c>
      <c r="K42" s="633" t="s">
        <v>47</v>
      </c>
      <c r="L42" s="452" t="s">
        <v>58</v>
      </c>
      <c r="M42" s="455" t="n">
        <f aca="false">I42-D42</f>
        <v>535</v>
      </c>
      <c r="N42" s="4"/>
      <c r="O42" s="323" t="s">
        <v>56</v>
      </c>
      <c r="P42" s="418" t="n">
        <f aca="false">SUM(P29:R41)</f>
        <v>114</v>
      </c>
      <c r="Q42" s="418"/>
      <c r="R42" s="418"/>
      <c r="S42" s="325" t="n">
        <f aca="false">SUM(S29:S41)</f>
        <v>1</v>
      </c>
    </row>
    <row r="43" customFormat="false" ht="15" hidden="false" customHeight="true" outlineLevel="0" collapsed="false">
      <c r="A43" s="594" t="n">
        <v>4201</v>
      </c>
      <c r="B43" s="458" t="s">
        <v>20292</v>
      </c>
      <c r="C43" s="458" t="n">
        <v>1999</v>
      </c>
      <c r="D43" s="459" t="n">
        <v>36521</v>
      </c>
      <c r="E43" s="458" t="s">
        <v>20293</v>
      </c>
      <c r="F43" s="457" t="s">
        <v>699</v>
      </c>
      <c r="G43" s="458" t="s">
        <v>144</v>
      </c>
      <c r="H43" s="458" t="s">
        <v>20294</v>
      </c>
      <c r="I43" s="459" t="n">
        <v>37015</v>
      </c>
      <c r="J43" s="460" t="n">
        <v>5</v>
      </c>
      <c r="K43" s="632" t="s">
        <v>50</v>
      </c>
      <c r="L43" s="458" t="s">
        <v>60</v>
      </c>
      <c r="M43" s="463" t="n">
        <f aca="false">I43-D43</f>
        <v>494</v>
      </c>
      <c r="N43" s="4"/>
      <c r="O43" s="153"/>
      <c r="P43" s="153"/>
      <c r="Q43" s="153"/>
      <c r="R43" s="153"/>
      <c r="S43" s="153"/>
    </row>
    <row r="44" customFormat="false" ht="15" hidden="false" customHeight="true" outlineLevel="0" collapsed="false">
      <c r="A44" s="602" t="n">
        <v>4301</v>
      </c>
      <c r="B44" s="450" t="s">
        <v>20295</v>
      </c>
      <c r="C44" s="450" t="n">
        <v>1996</v>
      </c>
      <c r="D44" s="451" t="n">
        <v>35186</v>
      </c>
      <c r="E44" s="450" t="s">
        <v>15109</v>
      </c>
      <c r="F44" s="465" t="s">
        <v>12416</v>
      </c>
      <c r="G44" s="450" t="s">
        <v>144</v>
      </c>
      <c r="H44" s="450" t="s">
        <v>2421</v>
      </c>
      <c r="I44" s="451" t="n">
        <v>37019</v>
      </c>
      <c r="J44" s="452" t="n">
        <v>5</v>
      </c>
      <c r="K44" s="632" t="s">
        <v>50</v>
      </c>
      <c r="L44" s="452" t="s">
        <v>61</v>
      </c>
      <c r="M44" s="455" t="n">
        <f aca="false">I44-D44</f>
        <v>1833</v>
      </c>
      <c r="N44" s="4"/>
      <c r="O44" s="326" t="s">
        <v>272</v>
      </c>
      <c r="P44" s="326"/>
      <c r="Q44" s="326"/>
      <c r="R44" s="326"/>
      <c r="S44" s="326"/>
    </row>
    <row r="45" customFormat="false" ht="13.5" hidden="false" customHeight="true" outlineLevel="0" collapsed="false">
      <c r="A45" s="594" t="n">
        <v>4401</v>
      </c>
      <c r="B45" s="458" t="s">
        <v>20296</v>
      </c>
      <c r="C45" s="458" t="n">
        <v>2000</v>
      </c>
      <c r="D45" s="459" t="n">
        <v>36645</v>
      </c>
      <c r="E45" s="458" t="s">
        <v>20297</v>
      </c>
      <c r="F45" s="457" t="s">
        <v>20298</v>
      </c>
      <c r="G45" s="458" t="s">
        <v>1188</v>
      </c>
      <c r="H45" s="458" t="s">
        <v>134</v>
      </c>
      <c r="I45" s="459" t="n">
        <v>37019</v>
      </c>
      <c r="J45" s="460" t="n">
        <v>5</v>
      </c>
      <c r="K45" s="633" t="s">
        <v>47</v>
      </c>
      <c r="L45" s="458" t="s">
        <v>60</v>
      </c>
      <c r="M45" s="463" t="n">
        <f aca="false">I45-D45</f>
        <v>374</v>
      </c>
      <c r="N45" s="4"/>
      <c r="O45" s="326"/>
      <c r="P45" s="326"/>
      <c r="Q45" s="326"/>
      <c r="R45" s="326"/>
      <c r="S45" s="326"/>
    </row>
    <row r="46" customFormat="false" ht="12.75" hidden="false" customHeight="true" outlineLevel="0" collapsed="false">
      <c r="A46" s="602" t="n">
        <v>4501</v>
      </c>
      <c r="B46" s="450" t="s">
        <v>20299</v>
      </c>
      <c r="C46" s="450" t="n">
        <v>2000</v>
      </c>
      <c r="D46" s="451" t="n">
        <v>36556</v>
      </c>
      <c r="E46" s="450" t="s">
        <v>20300</v>
      </c>
      <c r="F46" s="465" t="s">
        <v>509</v>
      </c>
      <c r="G46" s="450" t="s">
        <v>144</v>
      </c>
      <c r="H46" s="450" t="s">
        <v>20198</v>
      </c>
      <c r="I46" s="451" t="n">
        <v>37019</v>
      </c>
      <c r="J46" s="452" t="n">
        <v>5</v>
      </c>
      <c r="K46" s="633" t="s">
        <v>47</v>
      </c>
      <c r="L46" s="452" t="s">
        <v>58</v>
      </c>
      <c r="M46" s="455" t="n">
        <f aca="false">I46-D46</f>
        <v>463</v>
      </c>
      <c r="N46" s="4"/>
      <c r="O46" s="309" t="s">
        <v>100</v>
      </c>
      <c r="P46" s="416" t="s">
        <v>40</v>
      </c>
      <c r="Q46" s="416"/>
      <c r="R46" s="416"/>
      <c r="S46" s="313" t="s">
        <v>41</v>
      </c>
    </row>
    <row r="47" customFormat="false" ht="12.75" hidden="false" customHeight="true" outlineLevel="0" collapsed="false">
      <c r="A47" s="594" t="n">
        <v>4601</v>
      </c>
      <c r="B47" s="458" t="s">
        <v>20301</v>
      </c>
      <c r="C47" s="458" t="n">
        <v>1997</v>
      </c>
      <c r="D47" s="459" t="n">
        <v>35784</v>
      </c>
      <c r="E47" s="458" t="s">
        <v>20302</v>
      </c>
      <c r="F47" s="457" t="s">
        <v>20303</v>
      </c>
      <c r="G47" s="458" t="s">
        <v>115</v>
      </c>
      <c r="H47" s="458" t="s">
        <v>3339</v>
      </c>
      <c r="I47" s="459" t="n">
        <v>37021</v>
      </c>
      <c r="J47" s="460" t="n">
        <v>5</v>
      </c>
      <c r="K47" s="634" t="s">
        <v>45</v>
      </c>
      <c r="L47" s="458" t="s">
        <v>58</v>
      </c>
      <c r="M47" s="463" t="n">
        <f aca="false">I47-D47</f>
        <v>1237</v>
      </c>
      <c r="N47" s="4"/>
      <c r="O47" s="314" t="s">
        <v>63</v>
      </c>
      <c r="P47" s="314" t="n">
        <f aca="false">COUNTIF($J$2:$J$476,"1")</f>
        <v>8</v>
      </c>
      <c r="Q47" s="314"/>
      <c r="R47" s="314"/>
      <c r="S47" s="469" t="n">
        <f aca="false">(P47/P59)</f>
        <v>0.0695652173913044</v>
      </c>
    </row>
    <row r="48" customFormat="false" ht="12.75" hidden="false" customHeight="true" outlineLevel="0" collapsed="false">
      <c r="A48" s="602" t="n">
        <v>4701</v>
      </c>
      <c r="B48" s="450" t="s">
        <v>20304</v>
      </c>
      <c r="C48" s="450" t="n">
        <v>1999</v>
      </c>
      <c r="D48" s="451" t="n">
        <v>36398</v>
      </c>
      <c r="E48" s="450" t="s">
        <v>20305</v>
      </c>
      <c r="F48" s="465" t="s">
        <v>10662</v>
      </c>
      <c r="G48" s="450" t="s">
        <v>144</v>
      </c>
      <c r="H48" s="450" t="s">
        <v>20020</v>
      </c>
      <c r="I48" s="451" t="n">
        <v>37025</v>
      </c>
      <c r="J48" s="452" t="n">
        <v>5</v>
      </c>
      <c r="K48" s="633" t="s">
        <v>47</v>
      </c>
      <c r="L48" s="452" t="s">
        <v>58</v>
      </c>
      <c r="M48" s="455" t="n">
        <f aca="false">I48-D48</f>
        <v>627</v>
      </c>
      <c r="N48" s="4"/>
      <c r="O48" s="282" t="s">
        <v>64</v>
      </c>
      <c r="P48" s="282" t="n">
        <f aca="false">COUNTIF($J$2:$J$476,"2")</f>
        <v>9</v>
      </c>
      <c r="Q48" s="282"/>
      <c r="R48" s="282"/>
      <c r="S48" s="316" t="n">
        <f aca="false">(P48/P59)</f>
        <v>0.0782608695652174</v>
      </c>
    </row>
    <row r="49" customFormat="false" ht="12.75" hidden="false" customHeight="true" outlineLevel="0" collapsed="false">
      <c r="A49" s="594" t="n">
        <v>4801</v>
      </c>
      <c r="B49" s="458" t="s">
        <v>20306</v>
      </c>
      <c r="C49" s="458" t="n">
        <v>1999</v>
      </c>
      <c r="D49" s="459" t="n">
        <v>36277</v>
      </c>
      <c r="E49" s="458" t="s">
        <v>20307</v>
      </c>
      <c r="F49" s="457" t="s">
        <v>18393</v>
      </c>
      <c r="G49" s="458" t="s">
        <v>144</v>
      </c>
      <c r="H49" s="458" t="s">
        <v>20308</v>
      </c>
      <c r="I49" s="459" t="n">
        <v>37027</v>
      </c>
      <c r="J49" s="460" t="n">
        <v>5</v>
      </c>
      <c r="K49" s="632" t="s">
        <v>50</v>
      </c>
      <c r="L49" s="458" t="s">
        <v>61</v>
      </c>
      <c r="M49" s="463" t="n">
        <f aca="false">I49-D49</f>
        <v>750</v>
      </c>
      <c r="N49" s="4"/>
      <c r="O49" s="283" t="s">
        <v>66</v>
      </c>
      <c r="P49" s="283" t="n">
        <f aca="false">COUNTIF($J$2:$J$476,"3")</f>
        <v>16</v>
      </c>
      <c r="Q49" s="283"/>
      <c r="R49" s="283"/>
      <c r="S49" s="315" t="n">
        <f aca="false">(P49/P59)</f>
        <v>0.139130434782609</v>
      </c>
      <c r="T49" s="153"/>
    </row>
    <row r="50" customFormat="false" ht="12.75" hidden="false" customHeight="true" outlineLevel="0" collapsed="false">
      <c r="A50" s="602" t="n">
        <v>4901</v>
      </c>
      <c r="B50" s="450" t="s">
        <v>20309</v>
      </c>
      <c r="C50" s="450" t="n">
        <v>1999</v>
      </c>
      <c r="D50" s="451" t="n">
        <v>36510</v>
      </c>
      <c r="E50" s="450" t="s">
        <v>20310</v>
      </c>
      <c r="F50" s="465" t="s">
        <v>1097</v>
      </c>
      <c r="G50" s="450" t="s">
        <v>1474</v>
      </c>
      <c r="H50" s="450" t="s">
        <v>12073</v>
      </c>
      <c r="I50" s="451" t="n">
        <v>37027</v>
      </c>
      <c r="J50" s="452" t="n">
        <v>5</v>
      </c>
      <c r="K50" s="634" t="s">
        <v>45</v>
      </c>
      <c r="L50" s="452" t="s">
        <v>60</v>
      </c>
      <c r="M50" s="455" t="n">
        <f aca="false">I50-D50</f>
        <v>517</v>
      </c>
      <c r="N50" s="4"/>
      <c r="O50" s="282" t="s">
        <v>67</v>
      </c>
      <c r="P50" s="282" t="n">
        <f aca="false">COUNTIF($J$2:$J$476,"4")</f>
        <v>5</v>
      </c>
      <c r="Q50" s="282"/>
      <c r="R50" s="282"/>
      <c r="S50" s="316" t="n">
        <f aca="false">(P50/P59)</f>
        <v>0.0434782608695652</v>
      </c>
      <c r="T50" s="153"/>
    </row>
    <row r="51" customFormat="false" ht="12.75" hidden="false" customHeight="true" outlineLevel="0" collapsed="false">
      <c r="A51" s="594" t="n">
        <v>5001</v>
      </c>
      <c r="B51" s="458" t="s">
        <v>20311</v>
      </c>
      <c r="C51" s="458" t="n">
        <v>1996</v>
      </c>
      <c r="D51" s="459" t="n">
        <v>35096</v>
      </c>
      <c r="E51" s="458" t="s">
        <v>20312</v>
      </c>
      <c r="F51" s="457" t="s">
        <v>20313</v>
      </c>
      <c r="G51" s="458" t="s">
        <v>1474</v>
      </c>
      <c r="H51" s="458" t="s">
        <v>254</v>
      </c>
      <c r="I51" s="459" t="n">
        <v>37032</v>
      </c>
      <c r="J51" s="460" t="n">
        <v>5</v>
      </c>
      <c r="K51" s="634" t="s">
        <v>45</v>
      </c>
      <c r="L51" s="458" t="s">
        <v>58</v>
      </c>
      <c r="M51" s="463" t="n">
        <f aca="false">I51-D51</f>
        <v>1936</v>
      </c>
      <c r="N51" s="4"/>
      <c r="O51" s="283" t="s">
        <v>68</v>
      </c>
      <c r="P51" s="283" t="n">
        <f aca="false">COUNTIF($J$2:$J$476,"5")</f>
        <v>15</v>
      </c>
      <c r="Q51" s="283"/>
      <c r="R51" s="283"/>
      <c r="S51" s="315" t="n">
        <f aca="false">(P51/P59)</f>
        <v>0.130434782608696</v>
      </c>
      <c r="T51" s="153"/>
    </row>
    <row r="52" customFormat="false" ht="12.75" hidden="false" customHeight="true" outlineLevel="0" collapsed="false">
      <c r="A52" s="602" t="n">
        <v>5101</v>
      </c>
      <c r="B52" s="602" t="s">
        <v>10996</v>
      </c>
      <c r="C52" s="602" t="s">
        <v>10996</v>
      </c>
      <c r="D52" s="557" t="s">
        <v>10996</v>
      </c>
      <c r="E52" s="602" t="s">
        <v>10996</v>
      </c>
      <c r="F52" s="654" t="s">
        <v>10996</v>
      </c>
      <c r="G52" s="602" t="s">
        <v>10996</v>
      </c>
      <c r="H52" s="602" t="s">
        <v>10996</v>
      </c>
      <c r="I52" s="557" t="s">
        <v>10996</v>
      </c>
      <c r="J52" s="282" t="s">
        <v>10996</v>
      </c>
      <c r="K52" s="602" t="s">
        <v>10996</v>
      </c>
      <c r="L52" s="282" t="s">
        <v>10996</v>
      </c>
      <c r="M52" s="282" t="s">
        <v>10996</v>
      </c>
      <c r="N52" s="4"/>
      <c r="O52" s="282" t="s">
        <v>70</v>
      </c>
      <c r="P52" s="282" t="n">
        <f aca="false">COUNTIF($J$2:$J$476,"6")</f>
        <v>4</v>
      </c>
      <c r="Q52" s="282"/>
      <c r="R52" s="282"/>
      <c r="S52" s="316" t="n">
        <f aca="false">(P52/P59)</f>
        <v>0.0347826086956522</v>
      </c>
      <c r="T52" s="153"/>
    </row>
    <row r="53" customFormat="false" ht="12.75" hidden="false" customHeight="true" outlineLevel="0" collapsed="false">
      <c r="A53" s="594" t="n">
        <v>5201</v>
      </c>
      <c r="B53" s="458" t="s">
        <v>20314</v>
      </c>
      <c r="C53" s="458" t="n">
        <v>1998</v>
      </c>
      <c r="D53" s="459" t="n">
        <v>36119</v>
      </c>
      <c r="E53" s="458" t="s">
        <v>20315</v>
      </c>
      <c r="F53" s="457" t="s">
        <v>699</v>
      </c>
      <c r="G53" s="458" t="s">
        <v>144</v>
      </c>
      <c r="H53" s="458" t="s">
        <v>285</v>
      </c>
      <c r="I53" s="459" t="n">
        <v>37039</v>
      </c>
      <c r="J53" s="460" t="n">
        <v>5</v>
      </c>
      <c r="K53" s="632" t="s">
        <v>50</v>
      </c>
      <c r="L53" s="458" t="s">
        <v>60</v>
      </c>
      <c r="M53" s="463" t="n">
        <f aca="false">I53-D53</f>
        <v>920</v>
      </c>
      <c r="N53" s="4"/>
      <c r="O53" s="283" t="s">
        <v>72</v>
      </c>
      <c r="P53" s="283" t="n">
        <f aca="false">COUNTIF($J$2:$J$476,"7")</f>
        <v>3</v>
      </c>
      <c r="Q53" s="283"/>
      <c r="R53" s="283"/>
      <c r="S53" s="315" t="n">
        <f aca="false">(P53/P59)</f>
        <v>0.0260869565217391</v>
      </c>
      <c r="T53" s="153"/>
    </row>
    <row r="54" customFormat="false" ht="12.75" hidden="false" customHeight="true" outlineLevel="0" collapsed="false">
      <c r="A54" s="602" t="n">
        <v>5301</v>
      </c>
      <c r="B54" s="450" t="s">
        <v>20316</v>
      </c>
      <c r="C54" s="450" t="n">
        <v>1998</v>
      </c>
      <c r="D54" s="451" t="n">
        <v>36119</v>
      </c>
      <c r="E54" s="450" t="s">
        <v>20317</v>
      </c>
      <c r="F54" s="465" t="s">
        <v>699</v>
      </c>
      <c r="G54" s="450" t="s">
        <v>144</v>
      </c>
      <c r="H54" s="450" t="s">
        <v>285</v>
      </c>
      <c r="I54" s="451" t="n">
        <v>37039</v>
      </c>
      <c r="J54" s="452" t="n">
        <v>5</v>
      </c>
      <c r="K54" s="632" t="s">
        <v>50</v>
      </c>
      <c r="L54" s="452" t="s">
        <v>60</v>
      </c>
      <c r="M54" s="455" t="n">
        <f aca="false">I54-D54</f>
        <v>920</v>
      </c>
      <c r="N54" s="4"/>
      <c r="O54" s="282" t="s">
        <v>74</v>
      </c>
      <c r="P54" s="282" t="n">
        <f aca="false">COUNTIF($J$2:$J$476,"8")</f>
        <v>12</v>
      </c>
      <c r="Q54" s="282"/>
      <c r="R54" s="282"/>
      <c r="S54" s="316" t="n">
        <f aca="false">(P54/P59)</f>
        <v>0.104347826086957</v>
      </c>
      <c r="T54" s="153"/>
    </row>
    <row r="55" customFormat="false" ht="12.75" hidden="false" customHeight="true" outlineLevel="0" collapsed="false">
      <c r="A55" s="594" t="n">
        <v>5401</v>
      </c>
      <c r="B55" s="458" t="s">
        <v>20318</v>
      </c>
      <c r="C55" s="458" t="n">
        <v>1998</v>
      </c>
      <c r="D55" s="459" t="n">
        <v>36119</v>
      </c>
      <c r="E55" s="458" t="s">
        <v>20319</v>
      </c>
      <c r="F55" s="457" t="s">
        <v>699</v>
      </c>
      <c r="G55" s="458" t="s">
        <v>144</v>
      </c>
      <c r="H55" s="458" t="s">
        <v>285</v>
      </c>
      <c r="I55" s="459" t="n">
        <v>37039</v>
      </c>
      <c r="J55" s="460" t="n">
        <v>5</v>
      </c>
      <c r="K55" s="632" t="s">
        <v>50</v>
      </c>
      <c r="L55" s="458" t="s">
        <v>60</v>
      </c>
      <c r="M55" s="463" t="n">
        <f aca="false">I55-D55</f>
        <v>920</v>
      </c>
      <c r="N55" s="4"/>
      <c r="O55" s="283" t="s">
        <v>76</v>
      </c>
      <c r="P55" s="283" t="n">
        <f aca="false">COUNTIF($J$2:$J$476,"9")</f>
        <v>14</v>
      </c>
      <c r="Q55" s="283"/>
      <c r="R55" s="283"/>
      <c r="S55" s="315" t="n">
        <f aca="false">(P55/P59)</f>
        <v>0.121739130434783</v>
      </c>
      <c r="T55" s="153"/>
    </row>
    <row r="56" customFormat="false" ht="12.75" hidden="false" customHeight="true" outlineLevel="0" collapsed="false">
      <c r="A56" s="602" t="n">
        <v>5501</v>
      </c>
      <c r="B56" s="450" t="s">
        <v>20320</v>
      </c>
      <c r="C56" s="450" t="n">
        <v>1999</v>
      </c>
      <c r="D56" s="451" t="n">
        <v>36426</v>
      </c>
      <c r="E56" s="450" t="s">
        <v>20321</v>
      </c>
      <c r="F56" s="465" t="s">
        <v>4270</v>
      </c>
      <c r="G56" s="450" t="s">
        <v>144</v>
      </c>
      <c r="H56" s="450" t="s">
        <v>192</v>
      </c>
      <c r="I56" s="451" t="n">
        <v>37041</v>
      </c>
      <c r="J56" s="452" t="n">
        <v>5</v>
      </c>
      <c r="K56" s="633" t="s">
        <v>47</v>
      </c>
      <c r="L56" s="452" t="s">
        <v>60</v>
      </c>
      <c r="M56" s="455" t="n">
        <f aca="false">I56-D56</f>
        <v>615</v>
      </c>
      <c r="N56" s="4"/>
      <c r="O56" s="282" t="s">
        <v>78</v>
      </c>
      <c r="P56" s="282" t="n">
        <f aca="false">COUNTIF($J$2:$J$476,"10")</f>
        <v>6</v>
      </c>
      <c r="Q56" s="282"/>
      <c r="R56" s="282"/>
      <c r="S56" s="316" t="n">
        <f aca="false">(P56/P59)</f>
        <v>0.0521739130434783</v>
      </c>
      <c r="T56" s="153"/>
    </row>
    <row r="57" customFormat="false" ht="12.75" hidden="false" customHeight="true" outlineLevel="0" collapsed="false">
      <c r="A57" s="594" t="n">
        <v>5601</v>
      </c>
      <c r="B57" s="458" t="s">
        <v>20322</v>
      </c>
      <c r="C57" s="458" t="n">
        <v>1993</v>
      </c>
      <c r="D57" s="459" t="n">
        <v>34217</v>
      </c>
      <c r="E57" s="458" t="s">
        <v>20323</v>
      </c>
      <c r="F57" s="457" t="s">
        <v>3101</v>
      </c>
      <c r="G57" s="458" t="s">
        <v>144</v>
      </c>
      <c r="H57" s="458" t="s">
        <v>19960</v>
      </c>
      <c r="I57" s="459" t="n">
        <v>37046</v>
      </c>
      <c r="J57" s="460" t="n">
        <v>6</v>
      </c>
      <c r="K57" s="633" t="s">
        <v>47</v>
      </c>
      <c r="L57" s="458" t="s">
        <v>60</v>
      </c>
      <c r="M57" s="463" t="n">
        <f aca="false">I57-D57</f>
        <v>2829</v>
      </c>
      <c r="N57" s="4"/>
      <c r="O57" s="283" t="s">
        <v>80</v>
      </c>
      <c r="P57" s="283" t="n">
        <f aca="false">COUNTIF($J$2:$J$476,"11")</f>
        <v>9</v>
      </c>
      <c r="Q57" s="283"/>
      <c r="R57" s="283"/>
      <c r="S57" s="315" t="n">
        <f aca="false">(P57/P59)</f>
        <v>0.0782608695652174</v>
      </c>
      <c r="T57" s="153"/>
    </row>
    <row r="58" customFormat="false" ht="12.75" hidden="false" customHeight="true" outlineLevel="0" collapsed="false">
      <c r="A58" s="602" t="n">
        <v>5701</v>
      </c>
      <c r="B58" s="450" t="s">
        <v>20324</v>
      </c>
      <c r="C58" s="450" t="n">
        <v>1999</v>
      </c>
      <c r="D58" s="451" t="n">
        <v>36457</v>
      </c>
      <c r="E58" s="450" t="s">
        <v>20325</v>
      </c>
      <c r="F58" s="465" t="s">
        <v>20326</v>
      </c>
      <c r="G58" s="450" t="s">
        <v>1188</v>
      </c>
      <c r="H58" s="450" t="s">
        <v>134</v>
      </c>
      <c r="I58" s="451" t="n">
        <v>37060</v>
      </c>
      <c r="J58" s="452" t="n">
        <v>6</v>
      </c>
      <c r="K58" s="633" t="s">
        <v>47</v>
      </c>
      <c r="L58" s="452" t="s">
        <v>60</v>
      </c>
      <c r="M58" s="455" t="n">
        <f aca="false">I58-D58</f>
        <v>603</v>
      </c>
      <c r="N58" s="4"/>
      <c r="O58" s="336" t="s">
        <v>82</v>
      </c>
      <c r="P58" s="282" t="n">
        <f aca="false">COUNTIF($J$2:$J$476,"12")</f>
        <v>14</v>
      </c>
      <c r="Q58" s="282"/>
      <c r="R58" s="282"/>
      <c r="S58" s="470" t="n">
        <f aca="false">(P58/P59)</f>
        <v>0.121739130434783</v>
      </c>
      <c r="T58" s="153"/>
    </row>
    <row r="59" customFormat="false" ht="12.75" hidden="false" customHeight="true" outlineLevel="0" collapsed="false">
      <c r="A59" s="594" t="n">
        <v>5801</v>
      </c>
      <c r="B59" s="458" t="s">
        <v>20327</v>
      </c>
      <c r="C59" s="458" t="n">
        <v>1999</v>
      </c>
      <c r="D59" s="459" t="n">
        <v>36516</v>
      </c>
      <c r="E59" s="458" t="s">
        <v>20328</v>
      </c>
      <c r="F59" s="457" t="s">
        <v>20329</v>
      </c>
      <c r="G59" s="458" t="s">
        <v>115</v>
      </c>
      <c r="H59" s="458" t="s">
        <v>20330</v>
      </c>
      <c r="I59" s="459" t="n">
        <v>37068</v>
      </c>
      <c r="J59" s="460" t="n">
        <v>6</v>
      </c>
      <c r="K59" s="633" t="s">
        <v>47</v>
      </c>
      <c r="L59" s="458" t="s">
        <v>60</v>
      </c>
      <c r="M59" s="463" t="n">
        <f aca="false">I59-D59</f>
        <v>552</v>
      </c>
      <c r="N59" s="4"/>
      <c r="O59" s="323" t="s">
        <v>54</v>
      </c>
      <c r="P59" s="418" t="n">
        <f aca="false">SUM(P47:R58)</f>
        <v>115</v>
      </c>
      <c r="Q59" s="418"/>
      <c r="R59" s="418"/>
      <c r="S59" s="325" t="n">
        <f aca="false">SUM(S47:S58)</f>
        <v>1</v>
      </c>
      <c r="T59" s="153"/>
    </row>
    <row r="60" customFormat="false" ht="12.75" hidden="false" customHeight="true" outlineLevel="0" collapsed="false">
      <c r="A60" s="602" t="n">
        <v>5901</v>
      </c>
      <c r="B60" s="450" t="s">
        <v>20331</v>
      </c>
      <c r="C60" s="450" t="n">
        <v>1999</v>
      </c>
      <c r="D60" s="451" t="n">
        <v>36517</v>
      </c>
      <c r="E60" s="450" t="s">
        <v>20332</v>
      </c>
      <c r="F60" s="465" t="s">
        <v>20329</v>
      </c>
      <c r="G60" s="450" t="s">
        <v>1188</v>
      </c>
      <c r="H60" s="450" t="s">
        <v>20330</v>
      </c>
      <c r="I60" s="451" t="n">
        <v>37068</v>
      </c>
      <c r="J60" s="452" t="n">
        <v>6</v>
      </c>
      <c r="K60" s="632" t="s">
        <v>50</v>
      </c>
      <c r="L60" s="452" t="s">
        <v>60</v>
      </c>
      <c r="M60" s="455" t="n">
        <f aca="false">I60-D60</f>
        <v>551</v>
      </c>
      <c r="N60" s="4"/>
      <c r="O60" s="153"/>
      <c r="P60" s="153"/>
      <c r="Q60" s="153"/>
      <c r="R60" s="153"/>
      <c r="S60" s="153"/>
      <c r="T60" s="153"/>
    </row>
    <row r="61" customFormat="false" ht="13.5" hidden="false" customHeight="true" outlineLevel="0" collapsed="false">
      <c r="A61" s="594" t="n">
        <v>6001</v>
      </c>
      <c r="B61" s="458" t="s">
        <v>20333</v>
      </c>
      <c r="C61" s="458" t="n">
        <v>2000</v>
      </c>
      <c r="D61" s="459" t="n">
        <v>36790</v>
      </c>
      <c r="E61" s="458" t="s">
        <v>20334</v>
      </c>
      <c r="F61" s="457" t="s">
        <v>10808</v>
      </c>
      <c r="G61" s="458" t="s">
        <v>125</v>
      </c>
      <c r="H61" s="458" t="s">
        <v>391</v>
      </c>
      <c r="I61" s="459" t="n">
        <v>37090</v>
      </c>
      <c r="J61" s="460" t="n">
        <v>7</v>
      </c>
      <c r="K61" s="632" t="s">
        <v>50</v>
      </c>
      <c r="L61" s="458" t="s">
        <v>61</v>
      </c>
      <c r="M61" s="463" t="n">
        <f aca="false">I61-D61</f>
        <v>300</v>
      </c>
      <c r="N61" s="4"/>
      <c r="O61" s="339" t="s">
        <v>335</v>
      </c>
      <c r="P61" s="339"/>
      <c r="Q61" s="339"/>
      <c r="R61" s="339"/>
      <c r="S61" s="339"/>
      <c r="T61" s="339"/>
    </row>
    <row r="62" customFormat="false" ht="12.75" hidden="false" customHeight="true" outlineLevel="0" collapsed="false">
      <c r="A62" s="602" t="n">
        <v>6101</v>
      </c>
      <c r="B62" s="450" t="s">
        <v>20335</v>
      </c>
      <c r="C62" s="450" t="n">
        <v>1999</v>
      </c>
      <c r="D62" s="451" t="n">
        <v>36414</v>
      </c>
      <c r="E62" s="450" t="s">
        <v>20336</v>
      </c>
      <c r="F62" s="465" t="s">
        <v>7739</v>
      </c>
      <c r="G62" s="450" t="s">
        <v>1474</v>
      </c>
      <c r="H62" s="450" t="s">
        <v>18974</v>
      </c>
      <c r="I62" s="451" t="n">
        <v>37103</v>
      </c>
      <c r="J62" s="452" t="n">
        <v>7</v>
      </c>
      <c r="K62" s="633" t="s">
        <v>47</v>
      </c>
      <c r="L62" s="452" t="s">
        <v>60</v>
      </c>
      <c r="M62" s="455" t="n">
        <f aca="false">I62-D62</f>
        <v>689</v>
      </c>
      <c r="N62" s="4"/>
      <c r="O62" s="339"/>
      <c r="P62" s="339"/>
      <c r="Q62" s="339"/>
      <c r="R62" s="339"/>
      <c r="S62" s="339"/>
      <c r="T62" s="339"/>
    </row>
    <row r="63" customFormat="false" ht="12.75" hidden="false" customHeight="true" outlineLevel="0" collapsed="false">
      <c r="A63" s="594" t="n">
        <v>6201</v>
      </c>
      <c r="B63" s="458" t="s">
        <v>20337</v>
      </c>
      <c r="C63" s="458" t="n">
        <v>2000</v>
      </c>
      <c r="D63" s="459" t="n">
        <v>36850</v>
      </c>
      <c r="E63" s="458" t="s">
        <v>20338</v>
      </c>
      <c r="F63" s="457" t="s">
        <v>1097</v>
      </c>
      <c r="G63" s="458" t="s">
        <v>1474</v>
      </c>
      <c r="H63" s="458" t="s">
        <v>16610</v>
      </c>
      <c r="I63" s="459" t="n">
        <v>37103</v>
      </c>
      <c r="J63" s="460" t="n">
        <v>7</v>
      </c>
      <c r="K63" s="634" t="s">
        <v>45</v>
      </c>
      <c r="L63" s="458" t="s">
        <v>60</v>
      </c>
      <c r="M63" s="463" t="n">
        <f aca="false">I63-D63</f>
        <v>253</v>
      </c>
      <c r="N63" s="4"/>
      <c r="O63" s="340" t="s">
        <v>38</v>
      </c>
      <c r="P63" s="340"/>
      <c r="Q63" s="340"/>
      <c r="R63" s="340"/>
      <c r="S63" s="341" t="s">
        <v>343</v>
      </c>
      <c r="T63" s="342" t="s">
        <v>41</v>
      </c>
    </row>
    <row r="64" customFormat="false" ht="12.75" hidden="false" customHeight="true" outlineLevel="0" collapsed="false">
      <c r="A64" s="602" t="n">
        <v>6301</v>
      </c>
      <c r="B64" s="450" t="s">
        <v>20339</v>
      </c>
      <c r="C64" s="450" t="n">
        <v>1999</v>
      </c>
      <c r="D64" s="451" t="n">
        <v>36280</v>
      </c>
      <c r="E64" s="450" t="s">
        <v>20340</v>
      </c>
      <c r="F64" s="465" t="s">
        <v>365</v>
      </c>
      <c r="G64" s="450" t="s">
        <v>144</v>
      </c>
      <c r="H64" s="450" t="s">
        <v>134</v>
      </c>
      <c r="I64" s="451" t="n">
        <v>37112</v>
      </c>
      <c r="J64" s="452" t="n">
        <v>8</v>
      </c>
      <c r="K64" s="631" t="s">
        <v>42</v>
      </c>
      <c r="L64" s="452" t="s">
        <v>58</v>
      </c>
      <c r="M64" s="455" t="n">
        <f aca="false">I64-D64</f>
        <v>832</v>
      </c>
      <c r="N64" s="4"/>
      <c r="O64" s="471" t="s">
        <v>42</v>
      </c>
      <c r="P64" s="471"/>
      <c r="Q64" s="471"/>
      <c r="R64" s="471"/>
      <c r="S64" s="471" t="n">
        <f aca="false">COUNTIF($K$1:$K$494,"I - Extremamente tóxico")</f>
        <v>17</v>
      </c>
      <c r="T64" s="472" t="n">
        <f aca="false">(S64/S76)</f>
        <v>0.147826086956522</v>
      </c>
    </row>
    <row r="65" customFormat="false" ht="12.75" hidden="false" customHeight="true" outlineLevel="0" collapsed="false">
      <c r="A65" s="594" t="n">
        <v>6401</v>
      </c>
      <c r="B65" s="458" t="s">
        <v>20341</v>
      </c>
      <c r="C65" s="458" t="n">
        <v>1995</v>
      </c>
      <c r="D65" s="459" t="n">
        <v>35015</v>
      </c>
      <c r="E65" s="458" t="s">
        <v>20342</v>
      </c>
      <c r="F65" s="457" t="s">
        <v>19256</v>
      </c>
      <c r="G65" s="458" t="s">
        <v>144</v>
      </c>
      <c r="H65" s="458" t="s">
        <v>18974</v>
      </c>
      <c r="I65" s="459" t="n">
        <v>37112</v>
      </c>
      <c r="J65" s="460" t="n">
        <v>8</v>
      </c>
      <c r="K65" s="633" t="s">
        <v>47</v>
      </c>
      <c r="L65" s="458" t="s">
        <v>58</v>
      </c>
      <c r="M65" s="463" t="n">
        <f aca="false">I65-D65</f>
        <v>2097</v>
      </c>
      <c r="N65" s="4"/>
      <c r="O65" s="345" t="s">
        <v>43</v>
      </c>
      <c r="P65" s="345"/>
      <c r="Q65" s="345"/>
      <c r="R65" s="345"/>
      <c r="S65" s="345" t="n">
        <f aca="false">COUNTIF($K$2:$K$476,"Categoria 1 - Produto Extremamente Tóxico")</f>
        <v>0</v>
      </c>
      <c r="T65" s="473" t="n">
        <f aca="false">(S65/S76)</f>
        <v>0</v>
      </c>
    </row>
    <row r="66" customFormat="false" ht="12.75" hidden="false" customHeight="true" outlineLevel="0" collapsed="false">
      <c r="A66" s="602" t="n">
        <v>6501</v>
      </c>
      <c r="B66" s="450" t="s">
        <v>20343</v>
      </c>
      <c r="C66" s="450" t="n">
        <v>1995</v>
      </c>
      <c r="D66" s="451" t="n">
        <v>34852</v>
      </c>
      <c r="E66" s="450" t="s">
        <v>20344</v>
      </c>
      <c r="F66" s="465" t="s">
        <v>20345</v>
      </c>
      <c r="G66" s="450" t="s">
        <v>144</v>
      </c>
      <c r="H66" s="450" t="s">
        <v>18974</v>
      </c>
      <c r="I66" s="451" t="n">
        <v>37112</v>
      </c>
      <c r="J66" s="452" t="n">
        <v>8</v>
      </c>
      <c r="K66" s="634" t="s">
        <v>45</v>
      </c>
      <c r="L66" s="452" t="s">
        <v>60</v>
      </c>
      <c r="M66" s="455" t="n">
        <f aca="false">I66-D66</f>
        <v>2260</v>
      </c>
      <c r="N66" s="4"/>
      <c r="O66" s="345" t="s">
        <v>44</v>
      </c>
      <c r="P66" s="345"/>
      <c r="Q66" s="345"/>
      <c r="R66" s="345"/>
      <c r="S66" s="345" t="n">
        <f aca="false">COUNTIF($K$2:$K$476,"Categoria 2 - Produto Altamente Tóxico")</f>
        <v>0</v>
      </c>
      <c r="T66" s="473" t="n">
        <f aca="false">(S66/S76)</f>
        <v>0</v>
      </c>
    </row>
    <row r="67" customFormat="false" ht="12.75" hidden="false" customHeight="true" outlineLevel="0" collapsed="false">
      <c r="A67" s="594" t="n">
        <v>6601</v>
      </c>
      <c r="B67" s="458" t="s">
        <v>20346</v>
      </c>
      <c r="C67" s="458" t="n">
        <v>1999</v>
      </c>
      <c r="D67" s="459" t="n">
        <v>36416</v>
      </c>
      <c r="E67" s="458" t="s">
        <v>20347</v>
      </c>
      <c r="F67" s="457" t="s">
        <v>17862</v>
      </c>
      <c r="G67" s="458" t="s">
        <v>144</v>
      </c>
      <c r="H67" s="458" t="s">
        <v>134</v>
      </c>
      <c r="I67" s="459" t="n">
        <v>37113</v>
      </c>
      <c r="J67" s="460" t="n">
        <v>8</v>
      </c>
      <c r="K67" s="634" t="s">
        <v>45</v>
      </c>
      <c r="L67" s="458" t="s">
        <v>60</v>
      </c>
      <c r="M67" s="463" t="n">
        <f aca="false">I67-D67</f>
        <v>697</v>
      </c>
      <c r="N67" s="4"/>
      <c r="O67" s="349" t="s">
        <v>45</v>
      </c>
      <c r="P67" s="349"/>
      <c r="Q67" s="349"/>
      <c r="R67" s="349"/>
      <c r="S67" s="349" t="n">
        <f aca="false">COUNTIF($K$2:$K$476,"II - Altamente tóxico")</f>
        <v>26</v>
      </c>
      <c r="T67" s="474" t="n">
        <f aca="false">(S67/S76)</f>
        <v>0.226086956521739</v>
      </c>
    </row>
    <row r="68" customFormat="false" ht="12.75" hidden="false" customHeight="true" outlineLevel="0" collapsed="false">
      <c r="A68" s="602" t="n">
        <v>6701</v>
      </c>
      <c r="B68" s="450" t="s">
        <v>20348</v>
      </c>
      <c r="C68" s="450" t="n">
        <v>1993</v>
      </c>
      <c r="D68" s="451" t="n">
        <v>33989</v>
      </c>
      <c r="E68" s="450" t="s">
        <v>20349</v>
      </c>
      <c r="F68" s="465" t="s">
        <v>20350</v>
      </c>
      <c r="G68" s="450" t="s">
        <v>144</v>
      </c>
      <c r="H68" s="450" t="s">
        <v>18974</v>
      </c>
      <c r="I68" s="451" t="n">
        <v>37113</v>
      </c>
      <c r="J68" s="452" t="n">
        <v>8</v>
      </c>
      <c r="K68" s="633" t="s">
        <v>47</v>
      </c>
      <c r="L68" s="452" t="s">
        <v>58</v>
      </c>
      <c r="M68" s="455" t="n">
        <f aca="false">I68-D68</f>
        <v>3124</v>
      </c>
      <c r="N68" s="4"/>
      <c r="O68" s="349" t="s">
        <v>46</v>
      </c>
      <c r="P68" s="349"/>
      <c r="Q68" s="349"/>
      <c r="R68" s="349"/>
      <c r="S68" s="349" t="n">
        <f aca="false">COUNTIF($K$2:$K$476,"Categoria 3 - Produto Moderadamente Tóxico")</f>
        <v>0</v>
      </c>
      <c r="T68" s="474" t="n">
        <f aca="false">(S68/S76)</f>
        <v>0</v>
      </c>
    </row>
    <row r="69" customFormat="false" ht="12.75" hidden="false" customHeight="true" outlineLevel="0" collapsed="false">
      <c r="A69" s="594" t="n">
        <v>6801</v>
      </c>
      <c r="B69" s="458" t="s">
        <v>20351</v>
      </c>
      <c r="C69" s="458" t="n">
        <v>1998</v>
      </c>
      <c r="D69" s="459" t="n">
        <v>36126</v>
      </c>
      <c r="E69" s="458" t="s">
        <v>20352</v>
      </c>
      <c r="F69" s="457" t="s">
        <v>18519</v>
      </c>
      <c r="G69" s="458" t="s">
        <v>1474</v>
      </c>
      <c r="H69" s="458" t="s">
        <v>373</v>
      </c>
      <c r="I69" s="459" t="n">
        <v>37116</v>
      </c>
      <c r="J69" s="460" t="n">
        <v>8</v>
      </c>
      <c r="K69" s="631" t="s">
        <v>42</v>
      </c>
      <c r="L69" s="458" t="s">
        <v>58</v>
      </c>
      <c r="M69" s="463" t="n">
        <f aca="false">I69-D69</f>
        <v>990</v>
      </c>
      <c r="N69" s="4"/>
      <c r="O69" s="351" t="s">
        <v>47</v>
      </c>
      <c r="P69" s="351"/>
      <c r="Q69" s="351"/>
      <c r="R69" s="351"/>
      <c r="S69" s="351" t="n">
        <f aca="false">COUNTIF($K$2:$K$476,"III - Medianamente tóxico")</f>
        <v>49</v>
      </c>
      <c r="T69" s="475" t="n">
        <f aca="false">(S69/S76)</f>
        <v>0.426086956521739</v>
      </c>
    </row>
    <row r="70" customFormat="false" ht="12.75" hidden="false" customHeight="true" outlineLevel="0" collapsed="false">
      <c r="A70" s="602" t="n">
        <v>6901</v>
      </c>
      <c r="B70" s="450" t="s">
        <v>20353</v>
      </c>
      <c r="C70" s="450" t="n">
        <v>2000</v>
      </c>
      <c r="D70" s="451" t="n">
        <v>36736</v>
      </c>
      <c r="E70" s="450" t="s">
        <v>20354</v>
      </c>
      <c r="F70" s="465" t="s">
        <v>20355</v>
      </c>
      <c r="G70" s="450" t="s">
        <v>1188</v>
      </c>
      <c r="H70" s="450" t="s">
        <v>119</v>
      </c>
      <c r="I70" s="451" t="n">
        <v>37120</v>
      </c>
      <c r="J70" s="452" t="n">
        <v>8</v>
      </c>
      <c r="K70" s="633" t="s">
        <v>47</v>
      </c>
      <c r="L70" s="452" t="s">
        <v>60</v>
      </c>
      <c r="M70" s="455" t="n">
        <f aca="false">I70-D70</f>
        <v>384</v>
      </c>
      <c r="N70" s="4"/>
      <c r="O70" s="351" t="s">
        <v>48</v>
      </c>
      <c r="P70" s="351"/>
      <c r="Q70" s="351"/>
      <c r="R70" s="351"/>
      <c r="S70" s="351" t="n">
        <f aca="false">COUNTIF($K$2:$K$476,"Categoria 4 - Produto Pouco Tóxico")</f>
        <v>0</v>
      </c>
      <c r="T70" s="475" t="n">
        <f aca="false">(S70/S76)</f>
        <v>0</v>
      </c>
    </row>
    <row r="71" customFormat="false" ht="12.75" hidden="false" customHeight="true" outlineLevel="0" collapsed="false">
      <c r="A71" s="594" t="n">
        <v>7001</v>
      </c>
      <c r="B71" s="458" t="s">
        <v>20356</v>
      </c>
      <c r="C71" s="458" t="n">
        <v>2000</v>
      </c>
      <c r="D71" s="459" t="n">
        <v>36768</v>
      </c>
      <c r="E71" s="458" t="s">
        <v>20357</v>
      </c>
      <c r="F71" s="457" t="s">
        <v>20355</v>
      </c>
      <c r="G71" s="458" t="s">
        <v>115</v>
      </c>
      <c r="H71" s="458" t="s">
        <v>119</v>
      </c>
      <c r="I71" s="459" t="n">
        <v>37123</v>
      </c>
      <c r="J71" s="460" t="n">
        <v>8</v>
      </c>
      <c r="K71" s="633" t="s">
        <v>47</v>
      </c>
      <c r="L71" s="458" t="s">
        <v>60</v>
      </c>
      <c r="M71" s="463" t="n">
        <f aca="false">I71-D71</f>
        <v>355</v>
      </c>
      <c r="N71" s="4"/>
      <c r="O71" s="351" t="s">
        <v>49</v>
      </c>
      <c r="P71" s="351"/>
      <c r="Q71" s="351"/>
      <c r="R71" s="351"/>
      <c r="S71" s="351" t="n">
        <f aca="false">COUNTIF($K$2:$K$476,"Categoria 5 - Produto Improvável de Causar Dano Agudo")</f>
        <v>0</v>
      </c>
      <c r="T71" s="475" t="n">
        <f aca="false">(S71/S76)</f>
        <v>0</v>
      </c>
    </row>
    <row r="72" customFormat="false" ht="12.75" hidden="false" customHeight="true" outlineLevel="0" collapsed="false">
      <c r="A72" s="602" t="n">
        <v>7101</v>
      </c>
      <c r="B72" s="450" t="s">
        <v>20358</v>
      </c>
      <c r="C72" s="450" t="n">
        <v>2000</v>
      </c>
      <c r="D72" s="451" t="n">
        <v>36754</v>
      </c>
      <c r="E72" s="450" t="s">
        <v>20359</v>
      </c>
      <c r="F72" s="465" t="s">
        <v>20360</v>
      </c>
      <c r="G72" s="450" t="s">
        <v>115</v>
      </c>
      <c r="H72" s="450" t="s">
        <v>119</v>
      </c>
      <c r="I72" s="451" t="n">
        <v>37123</v>
      </c>
      <c r="J72" s="452" t="n">
        <v>8</v>
      </c>
      <c r="K72" s="634" t="s">
        <v>45</v>
      </c>
      <c r="L72" s="452" t="s">
        <v>58</v>
      </c>
      <c r="M72" s="455" t="n">
        <f aca="false">I72-D72</f>
        <v>369</v>
      </c>
      <c r="N72" s="4"/>
      <c r="O72" s="353" t="s">
        <v>50</v>
      </c>
      <c r="P72" s="353"/>
      <c r="Q72" s="353"/>
      <c r="R72" s="353"/>
      <c r="S72" s="353" t="n">
        <f aca="false">COUNTIF($K$2:$K$476,"IV - Pouco tóxico")</f>
        <v>23</v>
      </c>
      <c r="T72" s="476" t="n">
        <f aca="false">(S72/S76)</f>
        <v>0.2</v>
      </c>
    </row>
    <row r="73" customFormat="false" ht="12.75" hidden="false" customHeight="true" outlineLevel="0" collapsed="false">
      <c r="A73" s="594" t="n">
        <v>7201</v>
      </c>
      <c r="B73" s="458" t="s">
        <v>20361</v>
      </c>
      <c r="C73" s="458" t="n">
        <v>2000</v>
      </c>
      <c r="D73" s="459" t="n">
        <v>36774</v>
      </c>
      <c r="E73" s="458" t="s">
        <v>20362</v>
      </c>
      <c r="F73" s="457" t="s">
        <v>20363</v>
      </c>
      <c r="G73" s="458" t="s">
        <v>125</v>
      </c>
      <c r="H73" s="458" t="s">
        <v>20364</v>
      </c>
      <c r="I73" s="459" t="n">
        <v>37124</v>
      </c>
      <c r="J73" s="460" t="n">
        <v>8</v>
      </c>
      <c r="K73" s="632" t="s">
        <v>50</v>
      </c>
      <c r="L73" s="458" t="s">
        <v>61</v>
      </c>
      <c r="M73" s="463" t="n">
        <f aca="false">I73-D73</f>
        <v>350</v>
      </c>
      <c r="N73" s="4"/>
      <c r="O73" s="353" t="s">
        <v>51</v>
      </c>
      <c r="P73" s="353"/>
      <c r="Q73" s="353"/>
      <c r="R73" s="353"/>
      <c r="S73" s="353" t="n">
        <f aca="false">COUNTIF($K$2:$K$476,"Não classificado - Produto não classificado")</f>
        <v>0</v>
      </c>
      <c r="T73" s="476" t="n">
        <f aca="false">(S73/S76)</f>
        <v>0</v>
      </c>
    </row>
    <row r="74" customFormat="false" ht="12.75" hidden="false" customHeight="true" outlineLevel="0" collapsed="false">
      <c r="A74" s="602" t="n">
        <v>7301</v>
      </c>
      <c r="B74" s="450" t="s">
        <v>20365</v>
      </c>
      <c r="C74" s="450" t="n">
        <v>2000</v>
      </c>
      <c r="D74" s="451" t="n">
        <v>36850</v>
      </c>
      <c r="E74" s="450" t="s">
        <v>20366</v>
      </c>
      <c r="F74" s="465" t="s">
        <v>699</v>
      </c>
      <c r="G74" s="450" t="s">
        <v>1474</v>
      </c>
      <c r="H74" s="450" t="s">
        <v>16610</v>
      </c>
      <c r="I74" s="451" t="n">
        <v>37131</v>
      </c>
      <c r="J74" s="452" t="n">
        <v>8</v>
      </c>
      <c r="K74" s="632" t="s">
        <v>50</v>
      </c>
      <c r="L74" s="452" t="s">
        <v>60</v>
      </c>
      <c r="M74" s="455" t="n">
        <f aca="false">I74-D74</f>
        <v>281</v>
      </c>
      <c r="N74" s="4"/>
      <c r="O74" s="353" t="s">
        <v>2407</v>
      </c>
      <c r="P74" s="353"/>
      <c r="Q74" s="353"/>
      <c r="R74" s="353"/>
      <c r="S74" s="353" t="n">
        <f aca="false">COUNTIF($K$2:$K$476,"Não determinada devido à natureza do produto (Inimigos naturais)")</f>
        <v>0</v>
      </c>
      <c r="T74" s="476" t="n">
        <f aca="false">(S74/S76)</f>
        <v>0</v>
      </c>
    </row>
    <row r="75" customFormat="false" ht="12.75" hidden="false" customHeight="true" outlineLevel="0" collapsed="false">
      <c r="A75" s="594" t="n">
        <v>7401</v>
      </c>
      <c r="B75" s="458" t="s">
        <v>20367</v>
      </c>
      <c r="C75" s="458" t="n">
        <v>1999</v>
      </c>
      <c r="D75" s="459" t="n">
        <v>36228</v>
      </c>
      <c r="E75" s="458" t="s">
        <v>20368</v>
      </c>
      <c r="F75" s="457" t="s">
        <v>19622</v>
      </c>
      <c r="G75" s="458" t="s">
        <v>144</v>
      </c>
      <c r="H75" s="458" t="s">
        <v>14391</v>
      </c>
      <c r="I75" s="459" t="n">
        <v>37131</v>
      </c>
      <c r="J75" s="460" t="n">
        <v>8</v>
      </c>
      <c r="K75" s="633" t="s">
        <v>47</v>
      </c>
      <c r="L75" s="458" t="s">
        <v>60</v>
      </c>
      <c r="M75" s="463" t="n">
        <f aca="false">I75-D75</f>
        <v>903</v>
      </c>
      <c r="N75" s="4"/>
      <c r="O75" s="478" t="s">
        <v>53</v>
      </c>
      <c r="P75" s="478"/>
      <c r="Q75" s="478"/>
      <c r="R75" s="478"/>
      <c r="S75" s="478" t="n">
        <f aca="false">COUNTIF($K$2:$K$476,"O perfil toxicológico foi considerado equivalente ao produto técnico de referência")</f>
        <v>0</v>
      </c>
      <c r="T75" s="479" t="n">
        <f aca="false">(S75/S76)</f>
        <v>0</v>
      </c>
    </row>
    <row r="76" customFormat="false" ht="15" hidden="false" customHeight="true" outlineLevel="0" collapsed="false">
      <c r="A76" s="602" t="n">
        <v>7501</v>
      </c>
      <c r="B76" s="450" t="s">
        <v>20369</v>
      </c>
      <c r="C76" s="450" t="n">
        <v>1999</v>
      </c>
      <c r="D76" s="451" t="n">
        <v>36246</v>
      </c>
      <c r="E76" s="450" t="s">
        <v>20370</v>
      </c>
      <c r="F76" s="465" t="s">
        <v>19622</v>
      </c>
      <c r="G76" s="450" t="s">
        <v>144</v>
      </c>
      <c r="H76" s="450" t="s">
        <v>134</v>
      </c>
      <c r="I76" s="451" t="n">
        <v>37137</v>
      </c>
      <c r="J76" s="452" t="n">
        <v>9</v>
      </c>
      <c r="K76" s="633" t="s">
        <v>47</v>
      </c>
      <c r="L76" s="452" t="s">
        <v>60</v>
      </c>
      <c r="M76" s="455" t="n">
        <f aca="false">I76-D76</f>
        <v>891</v>
      </c>
      <c r="N76" s="4"/>
      <c r="O76" s="419" t="s">
        <v>54</v>
      </c>
      <c r="P76" s="419"/>
      <c r="Q76" s="419"/>
      <c r="R76" s="419"/>
      <c r="S76" s="363" t="n">
        <f aca="false">SUM(S64:S75)</f>
        <v>115</v>
      </c>
      <c r="T76" s="364" t="n">
        <f aca="false">(S76/S76)</f>
        <v>1</v>
      </c>
    </row>
    <row r="77" customFormat="false" ht="12.75" hidden="false" customHeight="true" outlineLevel="0" collapsed="false">
      <c r="A77" s="594" t="n">
        <v>7601</v>
      </c>
      <c r="B77" s="458" t="s">
        <v>20371</v>
      </c>
      <c r="C77" s="458" t="n">
        <v>1999</v>
      </c>
      <c r="D77" s="459" t="n">
        <v>36489</v>
      </c>
      <c r="E77" s="458" t="s">
        <v>20372</v>
      </c>
      <c r="F77" s="457" t="s">
        <v>20373</v>
      </c>
      <c r="G77" s="458" t="s">
        <v>144</v>
      </c>
      <c r="H77" s="458" t="s">
        <v>20374</v>
      </c>
      <c r="I77" s="459" t="n">
        <v>37140</v>
      </c>
      <c r="J77" s="460" t="n">
        <v>9</v>
      </c>
      <c r="K77" s="631" t="s">
        <v>42</v>
      </c>
      <c r="L77" s="458" t="s">
        <v>58</v>
      </c>
      <c r="M77" s="463" t="n">
        <f aca="false">I77-D77</f>
        <v>651</v>
      </c>
      <c r="N77" s="4"/>
      <c r="O77" s="153"/>
      <c r="P77" s="153"/>
      <c r="Q77" s="153"/>
      <c r="R77" s="153"/>
      <c r="S77" s="153"/>
      <c r="T77" s="153"/>
    </row>
    <row r="78" customFormat="false" ht="13.5" hidden="false" customHeight="true" outlineLevel="0" collapsed="false">
      <c r="A78" s="602" t="n">
        <v>7701</v>
      </c>
      <c r="B78" s="450" t="s">
        <v>20375</v>
      </c>
      <c r="C78" s="450" t="n">
        <v>2000</v>
      </c>
      <c r="D78" s="451" t="n">
        <v>36850</v>
      </c>
      <c r="E78" s="450" t="s">
        <v>20376</v>
      </c>
      <c r="F78" s="465" t="s">
        <v>699</v>
      </c>
      <c r="G78" s="450" t="s">
        <v>144</v>
      </c>
      <c r="H78" s="450" t="s">
        <v>16610</v>
      </c>
      <c r="I78" s="451" t="n">
        <v>37147</v>
      </c>
      <c r="J78" s="452" t="n">
        <v>9</v>
      </c>
      <c r="K78" s="632" t="s">
        <v>50</v>
      </c>
      <c r="L78" s="452" t="s">
        <v>60</v>
      </c>
      <c r="M78" s="455" t="n">
        <f aca="false">I78-D78</f>
        <v>297</v>
      </c>
      <c r="N78" s="4"/>
      <c r="O78" s="339" t="s">
        <v>102</v>
      </c>
      <c r="P78" s="339"/>
      <c r="Q78" s="339"/>
      <c r="R78" s="339"/>
      <c r="S78" s="339"/>
      <c r="T78" s="339"/>
    </row>
    <row r="79" customFormat="false" ht="12.75" hidden="false" customHeight="true" outlineLevel="0" collapsed="false">
      <c r="A79" s="594" t="n">
        <v>7801</v>
      </c>
      <c r="B79" s="458" t="s">
        <v>20377</v>
      </c>
      <c r="C79" s="458" t="n">
        <v>1999</v>
      </c>
      <c r="D79" s="459" t="n">
        <v>36340</v>
      </c>
      <c r="E79" s="458" t="s">
        <v>20378</v>
      </c>
      <c r="F79" s="457" t="s">
        <v>20379</v>
      </c>
      <c r="G79" s="458" t="s">
        <v>144</v>
      </c>
      <c r="H79" s="458" t="s">
        <v>19960</v>
      </c>
      <c r="I79" s="459" t="n">
        <v>37152</v>
      </c>
      <c r="J79" s="460" t="n">
        <v>9</v>
      </c>
      <c r="K79" s="631" t="s">
        <v>42</v>
      </c>
      <c r="L79" s="458" t="s">
        <v>57</v>
      </c>
      <c r="M79" s="463" t="n">
        <f aca="false">I79-D79</f>
        <v>812</v>
      </c>
      <c r="N79" s="4"/>
      <c r="O79" s="339"/>
      <c r="P79" s="339"/>
      <c r="Q79" s="339"/>
      <c r="R79" s="339"/>
      <c r="S79" s="339"/>
      <c r="T79" s="339"/>
    </row>
    <row r="80" customFormat="false" ht="12.75" hidden="false" customHeight="true" outlineLevel="0" collapsed="false">
      <c r="A80" s="602" t="n">
        <v>7901</v>
      </c>
      <c r="B80" s="450" t="s">
        <v>20380</v>
      </c>
      <c r="C80" s="450" t="n">
        <v>1991</v>
      </c>
      <c r="D80" s="451" t="n">
        <v>33453</v>
      </c>
      <c r="E80" s="450" t="s">
        <v>20381</v>
      </c>
      <c r="F80" s="465" t="s">
        <v>20132</v>
      </c>
      <c r="G80" s="450" t="s">
        <v>1188</v>
      </c>
      <c r="H80" s="450" t="s">
        <v>19878</v>
      </c>
      <c r="I80" s="451" t="n">
        <v>37152</v>
      </c>
      <c r="J80" s="452" t="n">
        <v>9</v>
      </c>
      <c r="K80" s="632" t="s">
        <v>50</v>
      </c>
      <c r="L80" s="452" t="s">
        <v>60</v>
      </c>
      <c r="M80" s="455" t="n">
        <f aca="false">I80-D80</f>
        <v>3699</v>
      </c>
      <c r="N80" s="4"/>
      <c r="O80" s="340" t="s">
        <v>38</v>
      </c>
      <c r="P80" s="340"/>
      <c r="Q80" s="340"/>
      <c r="R80" s="340"/>
      <c r="S80" s="374" t="s">
        <v>343</v>
      </c>
      <c r="T80" s="375" t="s">
        <v>41</v>
      </c>
    </row>
    <row r="81" customFormat="false" ht="13.5" hidden="false" customHeight="true" outlineLevel="0" collapsed="false">
      <c r="A81" s="594" t="n">
        <v>8001</v>
      </c>
      <c r="B81" s="458" t="s">
        <v>20382</v>
      </c>
      <c r="C81" s="458" t="n">
        <v>1999</v>
      </c>
      <c r="D81" s="459" t="n">
        <v>36250</v>
      </c>
      <c r="E81" s="458" t="s">
        <v>20383</v>
      </c>
      <c r="F81" s="457" t="s">
        <v>20384</v>
      </c>
      <c r="G81" s="458" t="s">
        <v>125</v>
      </c>
      <c r="H81" s="458" t="s">
        <v>391</v>
      </c>
      <c r="I81" s="459" t="n">
        <v>37155</v>
      </c>
      <c r="J81" s="460" t="n">
        <v>9</v>
      </c>
      <c r="K81" s="655" t="s">
        <v>50</v>
      </c>
      <c r="L81" s="458" t="s">
        <v>61</v>
      </c>
      <c r="M81" s="463" t="n">
        <f aca="false">I81-D81</f>
        <v>905</v>
      </c>
      <c r="N81" s="4"/>
      <c r="O81" s="480" t="s">
        <v>57</v>
      </c>
      <c r="P81" s="480"/>
      <c r="Q81" s="480"/>
      <c r="R81" s="480"/>
      <c r="S81" s="536" t="n">
        <f aca="false">COUNTIF($L$2:$L$476,"I - Produto altamente perigoso ao meio ambiente")</f>
        <v>2</v>
      </c>
      <c r="T81" s="377" t="n">
        <f aca="false">(S81/S85)</f>
        <v>0.0173913043478261</v>
      </c>
    </row>
    <row r="82" customFormat="false" ht="13.5" hidden="false" customHeight="true" outlineLevel="0" collapsed="false">
      <c r="A82" s="602" t="n">
        <v>8101</v>
      </c>
      <c r="B82" s="450" t="s">
        <v>20385</v>
      </c>
      <c r="C82" s="450" t="n">
        <v>1998</v>
      </c>
      <c r="D82" s="451" t="n">
        <v>36078</v>
      </c>
      <c r="E82" s="450" t="s">
        <v>20386</v>
      </c>
      <c r="F82" s="465" t="s">
        <v>20387</v>
      </c>
      <c r="G82" s="450" t="s">
        <v>144</v>
      </c>
      <c r="H82" s="450" t="s">
        <v>134</v>
      </c>
      <c r="I82" s="451" t="n">
        <v>37155</v>
      </c>
      <c r="J82" s="452" t="n">
        <v>9</v>
      </c>
      <c r="K82" s="631" t="s">
        <v>42</v>
      </c>
      <c r="L82" s="452" t="s">
        <v>58</v>
      </c>
      <c r="M82" s="455" t="n">
        <f aca="false">I82-D82</f>
        <v>1077</v>
      </c>
      <c r="N82" s="4"/>
      <c r="O82" s="378" t="s">
        <v>58</v>
      </c>
      <c r="P82" s="378"/>
      <c r="Q82" s="378"/>
      <c r="R82" s="378"/>
      <c r="S82" s="537" t="n">
        <f aca="false">COUNTIF($L$2:$L$476,"II - Produto muito perigoso ao meio ambiente")</f>
        <v>48</v>
      </c>
      <c r="T82" s="379" t="n">
        <f aca="false">(S82/S85)</f>
        <v>0.417391304347826</v>
      </c>
    </row>
    <row r="83" customFormat="false" ht="13.5" hidden="false" customHeight="true" outlineLevel="0" collapsed="false">
      <c r="A83" s="594" t="n">
        <v>8201</v>
      </c>
      <c r="B83" s="458" t="s">
        <v>20388</v>
      </c>
      <c r="C83" s="458" t="n">
        <v>1998</v>
      </c>
      <c r="D83" s="459" t="n">
        <v>36125</v>
      </c>
      <c r="E83" s="458" t="s">
        <v>20389</v>
      </c>
      <c r="F83" s="457" t="s">
        <v>20390</v>
      </c>
      <c r="G83" s="458" t="s">
        <v>144</v>
      </c>
      <c r="H83" s="458" t="s">
        <v>1791</v>
      </c>
      <c r="I83" s="459" t="n">
        <v>37155</v>
      </c>
      <c r="J83" s="460" t="n">
        <v>9</v>
      </c>
      <c r="K83" s="632" t="s">
        <v>50</v>
      </c>
      <c r="L83" s="458" t="s">
        <v>60</v>
      </c>
      <c r="M83" s="463" t="n">
        <f aca="false">I83-D83</f>
        <v>1030</v>
      </c>
      <c r="N83" s="4"/>
      <c r="O83" s="380" t="s">
        <v>60</v>
      </c>
      <c r="P83" s="380"/>
      <c r="Q83" s="380"/>
      <c r="R83" s="380"/>
      <c r="S83" s="536" t="n">
        <f aca="false">COUNTIF($L$2:$L$476,"III - Produto perigoso ao meio ambiente")</f>
        <v>51</v>
      </c>
      <c r="T83" s="377" t="n">
        <f aca="false">(S83/S85)</f>
        <v>0.443478260869565</v>
      </c>
    </row>
    <row r="84" customFormat="false" ht="14.25" hidden="false" customHeight="true" outlineLevel="0" collapsed="false">
      <c r="A84" s="602" t="n">
        <v>8301</v>
      </c>
      <c r="B84" s="450" t="s">
        <v>20391</v>
      </c>
      <c r="C84" s="450" t="n">
        <v>1999</v>
      </c>
      <c r="D84" s="451" t="n">
        <v>36180</v>
      </c>
      <c r="E84" s="450" t="s">
        <v>20392</v>
      </c>
      <c r="F84" s="465" t="s">
        <v>20393</v>
      </c>
      <c r="G84" s="450" t="s">
        <v>144</v>
      </c>
      <c r="H84" s="450" t="s">
        <v>1791</v>
      </c>
      <c r="I84" s="451" t="n">
        <v>37155</v>
      </c>
      <c r="J84" s="452" t="n">
        <v>9</v>
      </c>
      <c r="K84" s="631" t="s">
        <v>42</v>
      </c>
      <c r="L84" s="452" t="s">
        <v>60</v>
      </c>
      <c r="M84" s="455" t="n">
        <f aca="false">I84-D84</f>
        <v>975</v>
      </c>
      <c r="N84" s="4"/>
      <c r="O84" s="378" t="s">
        <v>61</v>
      </c>
      <c r="P84" s="378"/>
      <c r="Q84" s="378"/>
      <c r="R84" s="378"/>
      <c r="S84" s="537" t="n">
        <f aca="false">COUNTIF($L$2:$L$476,"IV - Produto pouco perigoso ao meio ambiente")</f>
        <v>14</v>
      </c>
      <c r="T84" s="379" t="n">
        <f aca="false">(S84/S85)</f>
        <v>0.121739130434783</v>
      </c>
    </row>
    <row r="85" customFormat="false" ht="12.75" hidden="false" customHeight="true" outlineLevel="0" collapsed="false">
      <c r="A85" s="594" t="n">
        <v>8401</v>
      </c>
      <c r="B85" s="458" t="s">
        <v>20394</v>
      </c>
      <c r="C85" s="458" t="n">
        <v>2000</v>
      </c>
      <c r="D85" s="459" t="n">
        <v>36531</v>
      </c>
      <c r="E85" s="458" t="s">
        <v>20395</v>
      </c>
      <c r="F85" s="457" t="s">
        <v>12176</v>
      </c>
      <c r="G85" s="458" t="s">
        <v>1474</v>
      </c>
      <c r="H85" s="458" t="s">
        <v>10901</v>
      </c>
      <c r="I85" s="459" t="n">
        <v>37155</v>
      </c>
      <c r="J85" s="460" t="n">
        <v>9</v>
      </c>
      <c r="K85" s="633" t="s">
        <v>47</v>
      </c>
      <c r="L85" s="458" t="s">
        <v>60</v>
      </c>
      <c r="M85" s="463" t="n">
        <f aca="false">I85-D85</f>
        <v>624</v>
      </c>
      <c r="N85" s="4"/>
      <c r="O85" s="340" t="s">
        <v>54</v>
      </c>
      <c r="P85" s="340"/>
      <c r="Q85" s="340"/>
      <c r="R85" s="340"/>
      <c r="S85" s="363" t="n">
        <f aca="false">SUM(S81:S84)</f>
        <v>115</v>
      </c>
      <c r="T85" s="364" t="n">
        <f aca="false">(S85/S85)</f>
        <v>1</v>
      </c>
    </row>
    <row r="86" customFormat="false" ht="12.75" hidden="false" customHeight="true" outlineLevel="0" collapsed="false">
      <c r="A86" s="602" t="n">
        <v>8501</v>
      </c>
      <c r="B86" s="450" t="s">
        <v>20396</v>
      </c>
      <c r="C86" s="450" t="n">
        <v>2000</v>
      </c>
      <c r="D86" s="451" t="n">
        <v>36800</v>
      </c>
      <c r="E86" s="450" t="s">
        <v>20397</v>
      </c>
      <c r="F86" s="465" t="s">
        <v>1987</v>
      </c>
      <c r="G86" s="450" t="s">
        <v>1188</v>
      </c>
      <c r="H86" s="450" t="s">
        <v>1791</v>
      </c>
      <c r="I86" s="451" t="n">
        <v>37161</v>
      </c>
      <c r="J86" s="452" t="n">
        <v>9</v>
      </c>
      <c r="K86" s="634" t="s">
        <v>45</v>
      </c>
      <c r="L86" s="452" t="s">
        <v>58</v>
      </c>
      <c r="M86" s="455" t="n">
        <f aca="false">I86-D86</f>
        <v>361</v>
      </c>
      <c r="N86" s="4"/>
      <c r="O86" s="153"/>
      <c r="P86" s="153"/>
      <c r="Q86" s="153"/>
      <c r="R86" s="153"/>
      <c r="S86" s="153"/>
      <c r="T86" s="153"/>
    </row>
    <row r="87" customFormat="false" ht="13.5" hidden="false" customHeight="true" outlineLevel="0" collapsed="false">
      <c r="A87" s="594" t="n">
        <v>8601</v>
      </c>
      <c r="B87" s="458" t="s">
        <v>20398</v>
      </c>
      <c r="C87" s="458" t="n">
        <v>2000</v>
      </c>
      <c r="D87" s="459" t="n">
        <v>36800</v>
      </c>
      <c r="E87" s="458" t="s">
        <v>20399</v>
      </c>
      <c r="F87" s="457" t="s">
        <v>3489</v>
      </c>
      <c r="G87" s="458" t="s">
        <v>115</v>
      </c>
      <c r="H87" s="458" t="s">
        <v>1791</v>
      </c>
      <c r="I87" s="459" t="n">
        <v>37161</v>
      </c>
      <c r="J87" s="460" t="n">
        <v>9</v>
      </c>
      <c r="K87" s="634" t="s">
        <v>45</v>
      </c>
      <c r="L87" s="458" t="s">
        <v>58</v>
      </c>
      <c r="M87" s="463" t="n">
        <f aca="false">I87-D87</f>
        <v>361</v>
      </c>
      <c r="N87" s="4"/>
      <c r="O87" s="421" t="s">
        <v>425</v>
      </c>
      <c r="P87" s="421"/>
      <c r="Q87" s="421"/>
      <c r="R87" s="421"/>
      <c r="S87" s="153"/>
      <c r="T87" s="153"/>
    </row>
    <row r="88" customFormat="false" ht="12.75" hidden="false" customHeight="true" outlineLevel="0" collapsed="false">
      <c r="A88" s="602" t="n">
        <v>8701</v>
      </c>
      <c r="B88" s="450" t="s">
        <v>20400</v>
      </c>
      <c r="C88" s="450" t="n">
        <v>1999</v>
      </c>
      <c r="D88" s="451" t="n">
        <v>36234</v>
      </c>
      <c r="E88" s="450" t="s">
        <v>20401</v>
      </c>
      <c r="F88" s="465" t="s">
        <v>180</v>
      </c>
      <c r="G88" s="450" t="s">
        <v>1474</v>
      </c>
      <c r="H88" s="450" t="s">
        <v>6755</v>
      </c>
      <c r="I88" s="451" t="n">
        <v>37162</v>
      </c>
      <c r="J88" s="452" t="n">
        <v>9</v>
      </c>
      <c r="K88" s="633" t="s">
        <v>47</v>
      </c>
      <c r="L88" s="452" t="s">
        <v>60</v>
      </c>
      <c r="M88" s="455" t="n">
        <f aca="false">I88-D88</f>
        <v>928</v>
      </c>
      <c r="N88" s="4"/>
      <c r="O88" s="421"/>
      <c r="P88" s="421"/>
      <c r="Q88" s="421"/>
      <c r="R88" s="421"/>
      <c r="S88" s="153"/>
      <c r="T88" s="153"/>
    </row>
    <row r="89" customFormat="false" ht="12.75" hidden="false" customHeight="true" outlineLevel="0" collapsed="false">
      <c r="A89" s="594" t="n">
        <v>8801</v>
      </c>
      <c r="B89" s="458" t="s">
        <v>20402</v>
      </c>
      <c r="C89" s="458" t="n">
        <v>2000</v>
      </c>
      <c r="D89" s="459" t="n">
        <v>36800</v>
      </c>
      <c r="E89" s="458" t="s">
        <v>20403</v>
      </c>
      <c r="F89" s="457" t="s">
        <v>1987</v>
      </c>
      <c r="G89" s="458" t="s">
        <v>115</v>
      </c>
      <c r="H89" s="458" t="s">
        <v>1791</v>
      </c>
      <c r="I89" s="459" t="n">
        <v>37162</v>
      </c>
      <c r="J89" s="460" t="n">
        <v>9</v>
      </c>
      <c r="K89" s="634" t="s">
        <v>45</v>
      </c>
      <c r="L89" s="458" t="s">
        <v>58</v>
      </c>
      <c r="M89" s="463" t="n">
        <f aca="false">I89-D89</f>
        <v>362</v>
      </c>
      <c r="N89" s="4"/>
      <c r="O89" s="390" t="s">
        <v>69</v>
      </c>
      <c r="P89" s="422" t="s">
        <v>433</v>
      </c>
      <c r="Q89" s="422"/>
      <c r="R89" s="422"/>
      <c r="S89" s="153"/>
      <c r="T89" s="153"/>
    </row>
    <row r="90" customFormat="false" ht="12.75" hidden="false" customHeight="true" outlineLevel="0" collapsed="false">
      <c r="A90" s="602" t="n">
        <v>8901</v>
      </c>
      <c r="B90" s="450" t="s">
        <v>20404</v>
      </c>
      <c r="C90" s="450" t="n">
        <v>1999</v>
      </c>
      <c r="D90" s="451" t="n">
        <v>36513</v>
      </c>
      <c r="E90" s="450" t="s">
        <v>20405</v>
      </c>
      <c r="F90" s="465" t="s">
        <v>20406</v>
      </c>
      <c r="G90" s="450" t="s">
        <v>115</v>
      </c>
      <c r="H90" s="450" t="s">
        <v>134</v>
      </c>
      <c r="I90" s="451" t="n">
        <v>37166</v>
      </c>
      <c r="J90" s="452" t="n">
        <v>10</v>
      </c>
      <c r="K90" s="633" t="s">
        <v>47</v>
      </c>
      <c r="L90" s="452" t="s">
        <v>58</v>
      </c>
      <c r="M90" s="455" t="n">
        <f aca="false">I90-D90</f>
        <v>653</v>
      </c>
      <c r="N90" s="4"/>
      <c r="O90" s="394" t="s">
        <v>1474</v>
      </c>
      <c r="P90" s="481" t="n">
        <f aca="false">AVERAGEIF(G2:G476,"PT",M2:M476)</f>
        <v>951.652173913044</v>
      </c>
      <c r="Q90" s="481"/>
      <c r="R90" s="481"/>
      <c r="S90" s="153"/>
      <c r="T90" s="153"/>
    </row>
    <row r="91" customFormat="false" ht="12.75" hidden="false" customHeight="true" outlineLevel="0" collapsed="false">
      <c r="A91" s="594" t="n">
        <v>9001</v>
      </c>
      <c r="B91" s="458" t="s">
        <v>20407</v>
      </c>
      <c r="C91" s="458" t="n">
        <v>1999</v>
      </c>
      <c r="D91" s="459" t="n">
        <v>36338</v>
      </c>
      <c r="E91" s="458" t="s">
        <v>20408</v>
      </c>
      <c r="F91" s="457" t="s">
        <v>1343</v>
      </c>
      <c r="G91" s="458" t="s">
        <v>1474</v>
      </c>
      <c r="H91" s="458" t="s">
        <v>119</v>
      </c>
      <c r="I91" s="459" t="n">
        <v>37168</v>
      </c>
      <c r="J91" s="460" t="n">
        <v>10</v>
      </c>
      <c r="K91" s="633" t="s">
        <v>47</v>
      </c>
      <c r="L91" s="458" t="s">
        <v>60</v>
      </c>
      <c r="M91" s="463" t="n">
        <f aca="false">I91-D91</f>
        <v>830</v>
      </c>
      <c r="N91" s="4"/>
      <c r="O91" s="396" t="s">
        <v>1188</v>
      </c>
      <c r="P91" s="482" t="n">
        <f aca="false">AVERAGEIF(G2:G477,"PTN",M2:M477)</f>
        <v>825.272727272727</v>
      </c>
      <c r="Q91" s="482"/>
      <c r="R91" s="482"/>
      <c r="S91" s="153"/>
      <c r="T91" s="153"/>
    </row>
    <row r="92" customFormat="false" ht="12.75" hidden="false" customHeight="true" outlineLevel="0" collapsed="false">
      <c r="A92" s="602" t="n">
        <v>9101</v>
      </c>
      <c r="B92" s="450" t="s">
        <v>20409</v>
      </c>
      <c r="C92" s="450" t="n">
        <v>1996</v>
      </c>
      <c r="D92" s="451" t="n">
        <v>35247</v>
      </c>
      <c r="E92" s="450" t="s">
        <v>20410</v>
      </c>
      <c r="F92" s="465" t="s">
        <v>20411</v>
      </c>
      <c r="G92" s="450" t="s">
        <v>125</v>
      </c>
      <c r="H92" s="450" t="s">
        <v>20412</v>
      </c>
      <c r="I92" s="451" t="n">
        <v>37173</v>
      </c>
      <c r="J92" s="452" t="n">
        <v>10</v>
      </c>
      <c r="K92" s="633" t="s">
        <v>47</v>
      </c>
      <c r="L92" s="452" t="s">
        <v>61</v>
      </c>
      <c r="M92" s="455" t="n">
        <f aca="false">I92-D92</f>
        <v>1926</v>
      </c>
      <c r="N92" s="4"/>
      <c r="O92" s="394" t="s">
        <v>1174</v>
      </c>
      <c r="P92" s="481" t="e">
        <f aca="false">AVERAGEIF(G2:G476,"PTE",M2:M476)</f>
        <v>#DIV/0!</v>
      </c>
      <c r="Q92" s="481"/>
      <c r="R92" s="481"/>
      <c r="S92" s="153"/>
      <c r="T92" s="153"/>
    </row>
    <row r="93" customFormat="false" ht="12.75" hidden="false" customHeight="true" outlineLevel="0" collapsed="false">
      <c r="A93" s="594" t="n">
        <v>9201</v>
      </c>
      <c r="B93" s="458" t="s">
        <v>20413</v>
      </c>
      <c r="C93" s="458" t="n">
        <v>1999</v>
      </c>
      <c r="D93" s="459" t="n">
        <v>36415</v>
      </c>
      <c r="E93" s="458" t="s">
        <v>20414</v>
      </c>
      <c r="F93" s="457" t="s">
        <v>7739</v>
      </c>
      <c r="G93" s="458" t="s">
        <v>144</v>
      </c>
      <c r="H93" s="458" t="s">
        <v>18974</v>
      </c>
      <c r="I93" s="459" t="n">
        <v>37175</v>
      </c>
      <c r="J93" s="460" t="n">
        <v>10</v>
      </c>
      <c r="K93" s="631" t="s">
        <v>42</v>
      </c>
      <c r="L93" s="458" t="s">
        <v>58</v>
      </c>
      <c r="M93" s="463" t="n">
        <f aca="false">I93-D93</f>
        <v>760</v>
      </c>
      <c r="N93" s="4"/>
      <c r="O93" s="396" t="s">
        <v>8</v>
      </c>
      <c r="P93" s="482" t="n">
        <f aca="false">AVERAGEIF(G2:G476,"Pré-Mistura",M2:M476)</f>
        <v>762.5</v>
      </c>
      <c r="Q93" s="482"/>
      <c r="R93" s="482"/>
      <c r="S93" s="153"/>
      <c r="T93" s="153"/>
    </row>
    <row r="94" customFormat="false" ht="12.75" hidden="false" customHeight="true" outlineLevel="0" collapsed="false">
      <c r="A94" s="602" t="n">
        <v>9301</v>
      </c>
      <c r="B94" s="450" t="s">
        <v>20415</v>
      </c>
      <c r="C94" s="450" t="n">
        <v>2001</v>
      </c>
      <c r="D94" s="451" t="n">
        <v>36980</v>
      </c>
      <c r="E94" s="450" t="s">
        <v>20416</v>
      </c>
      <c r="F94" s="465" t="s">
        <v>449</v>
      </c>
      <c r="G94" s="450" t="s">
        <v>144</v>
      </c>
      <c r="H94" s="450" t="s">
        <v>1109</v>
      </c>
      <c r="I94" s="451" t="n">
        <v>37181</v>
      </c>
      <c r="J94" s="452" t="n">
        <v>10</v>
      </c>
      <c r="K94" s="633" t="s">
        <v>47</v>
      </c>
      <c r="L94" s="452" t="s">
        <v>58</v>
      </c>
      <c r="M94" s="455" t="n">
        <f aca="false">I94-D94</f>
        <v>201</v>
      </c>
      <c r="N94" s="4"/>
      <c r="O94" s="394" t="s">
        <v>144</v>
      </c>
      <c r="P94" s="481" t="n">
        <f aca="false">AVERAGEIF(G2:G476,"PF",M2:M476)</f>
        <v>1072.64705882353</v>
      </c>
      <c r="Q94" s="481"/>
      <c r="R94" s="481"/>
      <c r="S94" s="153"/>
      <c r="T94" s="153"/>
    </row>
    <row r="95" customFormat="false" ht="12.75" hidden="false" customHeight="true" outlineLevel="0" collapsed="false">
      <c r="A95" s="594" t="n">
        <v>9401</v>
      </c>
      <c r="B95" s="458" t="s">
        <v>20417</v>
      </c>
      <c r="C95" s="458" t="n">
        <v>1999</v>
      </c>
      <c r="D95" s="459" t="n">
        <v>36520</v>
      </c>
      <c r="E95" s="458" t="s">
        <v>20418</v>
      </c>
      <c r="F95" s="457" t="s">
        <v>19803</v>
      </c>
      <c r="G95" s="458" t="s">
        <v>125</v>
      </c>
      <c r="H95" s="458" t="s">
        <v>391</v>
      </c>
      <c r="I95" s="459" t="n">
        <v>37181</v>
      </c>
      <c r="J95" s="460" t="n">
        <v>10</v>
      </c>
      <c r="K95" s="655" t="s">
        <v>50</v>
      </c>
      <c r="L95" s="458" t="s">
        <v>61</v>
      </c>
      <c r="M95" s="463" t="n">
        <f aca="false">I95-D95</f>
        <v>661</v>
      </c>
      <c r="N95" s="4"/>
      <c r="O95" s="396" t="s">
        <v>115</v>
      </c>
      <c r="P95" s="482" t="n">
        <f aca="false">AVERAGEIF(G2:G476,"PFN",M2:M476)</f>
        <v>612.857142857143</v>
      </c>
      <c r="Q95" s="482"/>
      <c r="R95" s="482"/>
      <c r="S95" s="153"/>
      <c r="T95" s="153"/>
    </row>
    <row r="96" customFormat="false" ht="12.75" hidden="false" customHeight="true" outlineLevel="0" collapsed="false">
      <c r="A96" s="602" t="n">
        <v>9501</v>
      </c>
      <c r="B96" s="450" t="s">
        <v>20419</v>
      </c>
      <c r="C96" s="450" t="n">
        <v>1998</v>
      </c>
      <c r="D96" s="451" t="n">
        <v>35933</v>
      </c>
      <c r="E96" s="450" t="s">
        <v>20420</v>
      </c>
      <c r="F96" s="465" t="s">
        <v>2963</v>
      </c>
      <c r="G96" s="450" t="s">
        <v>1474</v>
      </c>
      <c r="H96" s="450" t="s">
        <v>20421</v>
      </c>
      <c r="I96" s="451" t="n">
        <v>37201</v>
      </c>
      <c r="J96" s="452" t="n">
        <v>11</v>
      </c>
      <c r="K96" s="633" t="s">
        <v>47</v>
      </c>
      <c r="L96" s="452" t="s">
        <v>60</v>
      </c>
      <c r="M96" s="455" t="n">
        <f aca="false">I96-D96</f>
        <v>1268</v>
      </c>
      <c r="N96" s="4"/>
      <c r="O96" s="394" t="s">
        <v>441</v>
      </c>
      <c r="P96" s="481" t="e">
        <f aca="false">AVERAGEIF(G2:G476,"PF/PTE",M2:M476)</f>
        <v>#DIV/0!</v>
      </c>
      <c r="Q96" s="481"/>
      <c r="R96" s="481"/>
      <c r="S96" s="153"/>
      <c r="T96" s="153"/>
    </row>
    <row r="97" customFormat="false" ht="12.75" hidden="false" customHeight="true" outlineLevel="0" collapsed="false">
      <c r="A97" s="594" t="n">
        <v>9601</v>
      </c>
      <c r="B97" s="458" t="s">
        <v>20422</v>
      </c>
      <c r="C97" s="458" t="n">
        <v>2001</v>
      </c>
      <c r="D97" s="459" t="n">
        <v>36969</v>
      </c>
      <c r="E97" s="458" t="s">
        <v>20423</v>
      </c>
      <c r="F97" s="457" t="s">
        <v>20424</v>
      </c>
      <c r="G97" s="458" t="s">
        <v>144</v>
      </c>
      <c r="H97" s="458" t="s">
        <v>134</v>
      </c>
      <c r="I97" s="459" t="n">
        <v>37203</v>
      </c>
      <c r="J97" s="460" t="n">
        <v>11</v>
      </c>
      <c r="K97" s="633" t="s">
        <v>47</v>
      </c>
      <c r="L97" s="458" t="s">
        <v>60</v>
      </c>
      <c r="M97" s="463" t="n">
        <f aca="false">I97-D97</f>
        <v>234</v>
      </c>
      <c r="N97" s="4"/>
      <c r="O97" s="396" t="s">
        <v>125</v>
      </c>
      <c r="P97" s="482" t="n">
        <f aca="false">AVERAGEIF(G2:G476,"Bio",M2:M476)</f>
        <v>814.090909090909</v>
      </c>
      <c r="Q97" s="482"/>
      <c r="R97" s="482"/>
    </row>
    <row r="98" customFormat="false" ht="12.75" hidden="false" customHeight="true" outlineLevel="0" collapsed="false">
      <c r="A98" s="602" t="n">
        <v>9701</v>
      </c>
      <c r="B98" s="450" t="s">
        <v>20425</v>
      </c>
      <c r="C98" s="450" t="n">
        <v>2000</v>
      </c>
      <c r="D98" s="451" t="n">
        <v>36596</v>
      </c>
      <c r="E98" s="450" t="s">
        <v>15950</v>
      </c>
      <c r="F98" s="465" t="s">
        <v>1262</v>
      </c>
      <c r="G98" s="450" t="s">
        <v>144</v>
      </c>
      <c r="H98" s="450" t="s">
        <v>1791</v>
      </c>
      <c r="I98" s="451" t="n">
        <v>37207</v>
      </c>
      <c r="J98" s="452" t="n">
        <v>11</v>
      </c>
      <c r="K98" s="631" t="s">
        <v>42</v>
      </c>
      <c r="L98" s="452" t="s">
        <v>58</v>
      </c>
      <c r="M98" s="455" t="n">
        <f aca="false">I98-D98</f>
        <v>611</v>
      </c>
      <c r="N98" s="4"/>
      <c r="O98" s="394" t="s">
        <v>130</v>
      </c>
      <c r="P98" s="481" t="e">
        <f aca="false">AVERAGEIF(G2:G476,"Bio/Org",M2:M476)</f>
        <v>#DIV/0!</v>
      </c>
      <c r="Q98" s="481"/>
      <c r="R98" s="481"/>
    </row>
    <row r="99" customFormat="false" ht="12.75" hidden="false" customHeight="true" outlineLevel="0" collapsed="false">
      <c r="A99" s="594" t="n">
        <v>9801</v>
      </c>
      <c r="B99" s="458" t="s">
        <v>20426</v>
      </c>
      <c r="C99" s="458" t="n">
        <v>1999</v>
      </c>
      <c r="D99" s="459" t="n">
        <v>36493</v>
      </c>
      <c r="E99" s="458" t="s">
        <v>20427</v>
      </c>
      <c r="F99" s="457" t="s">
        <v>401</v>
      </c>
      <c r="G99" s="458" t="s">
        <v>1188</v>
      </c>
      <c r="H99" s="458" t="s">
        <v>134</v>
      </c>
      <c r="I99" s="459" t="n">
        <v>37209</v>
      </c>
      <c r="J99" s="460" t="n">
        <v>11</v>
      </c>
      <c r="K99" s="634" t="s">
        <v>45</v>
      </c>
      <c r="L99" s="458" t="s">
        <v>58</v>
      </c>
      <c r="M99" s="463" t="n">
        <f aca="false">I99-D99</f>
        <v>716</v>
      </c>
      <c r="N99" s="4"/>
      <c r="O99" s="398" t="s">
        <v>86</v>
      </c>
      <c r="P99" s="399" t="n">
        <f aca="false">AVERAGE(M2:M494)</f>
        <v>935.098214285714</v>
      </c>
      <c r="Q99" s="399"/>
      <c r="R99" s="399"/>
    </row>
    <row r="100" customFormat="false" ht="12.75" hidden="false" customHeight="true" outlineLevel="0" collapsed="false">
      <c r="A100" s="602" t="n">
        <v>9901</v>
      </c>
      <c r="B100" s="450" t="s">
        <v>20428</v>
      </c>
      <c r="C100" s="450" t="n">
        <v>1998</v>
      </c>
      <c r="D100" s="451" t="n">
        <v>36128</v>
      </c>
      <c r="E100" s="450" t="s">
        <v>20429</v>
      </c>
      <c r="F100" s="465" t="s">
        <v>699</v>
      </c>
      <c r="G100" s="450" t="s">
        <v>1474</v>
      </c>
      <c r="H100" s="450" t="s">
        <v>6755</v>
      </c>
      <c r="I100" s="451" t="n">
        <v>37217</v>
      </c>
      <c r="J100" s="452" t="n">
        <v>11</v>
      </c>
      <c r="K100" s="655" t="s">
        <v>50</v>
      </c>
      <c r="L100" s="452" t="s">
        <v>60</v>
      </c>
      <c r="M100" s="455" t="n">
        <f aca="false">I100-D100</f>
        <v>1089</v>
      </c>
      <c r="N100" s="4"/>
      <c r="O100" s="4"/>
      <c r="P100" s="4"/>
      <c r="Q100" s="4"/>
      <c r="R100" s="4"/>
    </row>
    <row r="101" customFormat="false" ht="12.75" hidden="false" customHeight="true" outlineLevel="0" collapsed="false">
      <c r="A101" s="594" t="n">
        <v>10001</v>
      </c>
      <c r="B101" s="458" t="s">
        <v>20430</v>
      </c>
      <c r="C101" s="458" t="n">
        <v>2000</v>
      </c>
      <c r="D101" s="459" t="n">
        <v>36663</v>
      </c>
      <c r="E101" s="458" t="s">
        <v>20431</v>
      </c>
      <c r="F101" s="457" t="s">
        <v>780</v>
      </c>
      <c r="G101" s="458" t="s">
        <v>1474</v>
      </c>
      <c r="H101" s="458" t="s">
        <v>192</v>
      </c>
      <c r="I101" s="459" t="n">
        <v>37223</v>
      </c>
      <c r="J101" s="460" t="n">
        <v>11</v>
      </c>
      <c r="K101" s="633" t="s">
        <v>47</v>
      </c>
      <c r="L101" s="458" t="s">
        <v>60</v>
      </c>
      <c r="M101" s="463" t="n">
        <f aca="false">I101-D101</f>
        <v>560</v>
      </c>
      <c r="N101" s="4"/>
      <c r="O101" s="4"/>
      <c r="P101" s="4"/>
      <c r="Q101" s="4"/>
      <c r="R101" s="4"/>
    </row>
    <row r="102" customFormat="false" ht="12.75" hidden="false" customHeight="true" outlineLevel="0" collapsed="false">
      <c r="A102" s="602" t="n">
        <v>10101</v>
      </c>
      <c r="B102" s="450" t="s">
        <v>20432</v>
      </c>
      <c r="C102" s="450" t="n">
        <v>1999</v>
      </c>
      <c r="D102" s="451" t="n">
        <v>36241</v>
      </c>
      <c r="E102" s="450" t="s">
        <v>20433</v>
      </c>
      <c r="F102" s="465" t="s">
        <v>17625</v>
      </c>
      <c r="G102" s="450" t="s">
        <v>144</v>
      </c>
      <c r="H102" s="450" t="s">
        <v>1791</v>
      </c>
      <c r="I102" s="451" t="n">
        <v>37223</v>
      </c>
      <c r="J102" s="452" t="n">
        <v>11</v>
      </c>
      <c r="K102" s="633" t="s">
        <v>47</v>
      </c>
      <c r="L102" s="452" t="s">
        <v>58</v>
      </c>
      <c r="M102" s="455" t="n">
        <f aca="false">I102-D102</f>
        <v>982</v>
      </c>
      <c r="N102" s="4"/>
      <c r="O102" s="4"/>
      <c r="P102" s="4"/>
      <c r="Q102" s="4"/>
      <c r="R102" s="4"/>
    </row>
    <row r="103" customFormat="false" ht="12.75" hidden="false" customHeight="true" outlineLevel="0" collapsed="false">
      <c r="A103" s="594" t="n">
        <v>10201</v>
      </c>
      <c r="B103" s="458" t="s">
        <v>20434</v>
      </c>
      <c r="C103" s="458" t="n">
        <v>2000</v>
      </c>
      <c r="D103" s="459" t="n">
        <v>36663</v>
      </c>
      <c r="E103" s="458" t="s">
        <v>20435</v>
      </c>
      <c r="F103" s="457" t="s">
        <v>16764</v>
      </c>
      <c r="G103" s="458" t="s">
        <v>1474</v>
      </c>
      <c r="H103" s="458" t="s">
        <v>192</v>
      </c>
      <c r="I103" s="459" t="n">
        <v>37223</v>
      </c>
      <c r="J103" s="460" t="n">
        <v>11</v>
      </c>
      <c r="K103" s="633" t="s">
        <v>47</v>
      </c>
      <c r="L103" s="458" t="s">
        <v>60</v>
      </c>
      <c r="M103" s="463" t="n">
        <f aca="false">I103-D103</f>
        <v>560</v>
      </c>
      <c r="N103" s="4"/>
      <c r="O103" s="4"/>
      <c r="P103" s="4"/>
      <c r="Q103" s="4"/>
      <c r="R103" s="4"/>
    </row>
    <row r="104" customFormat="false" ht="12.75" hidden="false" customHeight="true" outlineLevel="0" collapsed="false">
      <c r="A104" s="602" t="n">
        <v>10301</v>
      </c>
      <c r="B104" s="450" t="s">
        <v>20436</v>
      </c>
      <c r="C104" s="450" t="n">
        <v>2000</v>
      </c>
      <c r="D104" s="451" t="n">
        <v>36663</v>
      </c>
      <c r="E104" s="450" t="s">
        <v>20437</v>
      </c>
      <c r="F104" s="465" t="s">
        <v>19576</v>
      </c>
      <c r="G104" s="450" t="s">
        <v>1474</v>
      </c>
      <c r="H104" s="450" t="s">
        <v>192</v>
      </c>
      <c r="I104" s="451" t="n">
        <v>37223</v>
      </c>
      <c r="J104" s="452" t="n">
        <v>11</v>
      </c>
      <c r="K104" s="633" t="s">
        <v>47</v>
      </c>
      <c r="L104" s="452" t="s">
        <v>60</v>
      </c>
      <c r="M104" s="455" t="n">
        <f aca="false">I104-D104</f>
        <v>560</v>
      </c>
      <c r="N104" s="4"/>
      <c r="O104" s="4"/>
      <c r="P104" s="4"/>
      <c r="Q104" s="4"/>
      <c r="R104" s="4"/>
    </row>
    <row r="105" customFormat="false" ht="12.75" hidden="false" customHeight="true" outlineLevel="0" collapsed="false">
      <c r="A105" s="594" t="n">
        <v>10401</v>
      </c>
      <c r="B105" s="458" t="s">
        <v>20438</v>
      </c>
      <c r="C105" s="458" t="n">
        <v>1999</v>
      </c>
      <c r="D105" s="459" t="n">
        <v>36456</v>
      </c>
      <c r="E105" s="458" t="s">
        <v>20439</v>
      </c>
      <c r="F105" s="457" t="s">
        <v>18519</v>
      </c>
      <c r="G105" s="458" t="s">
        <v>144</v>
      </c>
      <c r="H105" s="458" t="s">
        <v>373</v>
      </c>
      <c r="I105" s="459" t="n">
        <v>37228</v>
      </c>
      <c r="J105" s="460" t="n">
        <v>12</v>
      </c>
      <c r="K105" s="634" t="s">
        <v>45</v>
      </c>
      <c r="L105" s="458" t="s">
        <v>58</v>
      </c>
      <c r="M105" s="463" t="n">
        <f aca="false">I105-D105</f>
        <v>772</v>
      </c>
      <c r="N105" s="4"/>
      <c r="O105" s="4"/>
      <c r="P105" s="4"/>
      <c r="Q105" s="4"/>
      <c r="R105" s="4"/>
    </row>
    <row r="106" customFormat="false" ht="12.75" hidden="false" customHeight="true" outlineLevel="0" collapsed="false">
      <c r="A106" s="602" t="n">
        <v>10501</v>
      </c>
      <c r="B106" s="450" t="s">
        <v>20440</v>
      </c>
      <c r="C106" s="450" t="n">
        <v>2000</v>
      </c>
      <c r="D106" s="451" t="n">
        <v>36629</v>
      </c>
      <c r="E106" s="450" t="s">
        <v>20441</v>
      </c>
      <c r="F106" s="465" t="s">
        <v>1196</v>
      </c>
      <c r="G106" s="450" t="s">
        <v>1188</v>
      </c>
      <c r="H106" s="450" t="s">
        <v>134</v>
      </c>
      <c r="I106" s="451" t="n">
        <v>37230</v>
      </c>
      <c r="J106" s="452" t="n">
        <v>12</v>
      </c>
      <c r="K106" s="633" t="s">
        <v>47</v>
      </c>
      <c r="L106" s="452" t="s">
        <v>58</v>
      </c>
      <c r="M106" s="455" t="n">
        <f aca="false">I106-D106</f>
        <v>601</v>
      </c>
      <c r="N106" s="4"/>
      <c r="O106" s="4"/>
      <c r="P106" s="4"/>
      <c r="Q106" s="4"/>
      <c r="R106" s="4"/>
    </row>
    <row r="107" customFormat="false" ht="12.75" hidden="false" customHeight="true" outlineLevel="0" collapsed="false">
      <c r="A107" s="594" t="n">
        <v>10601</v>
      </c>
      <c r="B107" s="458" t="s">
        <v>20442</v>
      </c>
      <c r="C107" s="458" t="n">
        <v>2000</v>
      </c>
      <c r="D107" s="459" t="n">
        <v>36682</v>
      </c>
      <c r="E107" s="458" t="s">
        <v>20443</v>
      </c>
      <c r="F107" s="457" t="s">
        <v>1196</v>
      </c>
      <c r="G107" s="458" t="s">
        <v>115</v>
      </c>
      <c r="H107" s="458" t="s">
        <v>134</v>
      </c>
      <c r="I107" s="459" t="n">
        <v>37231</v>
      </c>
      <c r="J107" s="460" t="n">
        <v>12</v>
      </c>
      <c r="K107" s="634" t="s">
        <v>45</v>
      </c>
      <c r="L107" s="458" t="s">
        <v>58</v>
      </c>
      <c r="M107" s="463" t="n">
        <f aca="false">I107-D107</f>
        <v>549</v>
      </c>
      <c r="N107" s="4"/>
      <c r="O107" s="4"/>
      <c r="P107" s="4"/>
      <c r="Q107" s="4"/>
      <c r="R107" s="4"/>
    </row>
    <row r="108" customFormat="false" ht="12.75" hidden="false" customHeight="true" outlineLevel="0" collapsed="false">
      <c r="A108" s="602" t="n">
        <v>10701</v>
      </c>
      <c r="B108" s="450"/>
      <c r="C108" s="450"/>
      <c r="D108" s="451"/>
      <c r="E108" s="450" t="s">
        <v>20444</v>
      </c>
      <c r="F108" s="465" t="s">
        <v>7739</v>
      </c>
      <c r="G108" s="450" t="s">
        <v>144</v>
      </c>
      <c r="H108" s="450" t="s">
        <v>20445</v>
      </c>
      <c r="I108" s="451" t="n">
        <v>37235</v>
      </c>
      <c r="J108" s="452" t="n">
        <v>12</v>
      </c>
      <c r="K108" s="634" t="s">
        <v>45</v>
      </c>
      <c r="L108" s="452" t="s">
        <v>58</v>
      </c>
      <c r="M108" s="455"/>
      <c r="N108" s="4"/>
      <c r="O108" s="4"/>
      <c r="P108" s="4"/>
      <c r="Q108" s="4"/>
      <c r="R108" s="4"/>
    </row>
    <row r="109" customFormat="false" ht="12.75" hidden="false" customHeight="true" outlineLevel="0" collapsed="false">
      <c r="A109" s="594" t="n">
        <v>10801</v>
      </c>
      <c r="B109" s="458" t="s">
        <v>20446</v>
      </c>
      <c r="C109" s="458" t="n">
        <v>2000</v>
      </c>
      <c r="D109" s="459" t="n">
        <v>36624</v>
      </c>
      <c r="E109" s="458" t="s">
        <v>20447</v>
      </c>
      <c r="F109" s="457" t="s">
        <v>9529</v>
      </c>
      <c r="G109" s="458" t="s">
        <v>144</v>
      </c>
      <c r="H109" s="458" t="s">
        <v>285</v>
      </c>
      <c r="I109" s="459" t="n">
        <v>37236</v>
      </c>
      <c r="J109" s="460" t="n">
        <v>12</v>
      </c>
      <c r="K109" s="634" t="s">
        <v>45</v>
      </c>
      <c r="L109" s="458" t="s">
        <v>58</v>
      </c>
      <c r="M109" s="463" t="n">
        <f aca="false">I109-D109</f>
        <v>612</v>
      </c>
      <c r="N109" s="4"/>
      <c r="O109" s="4"/>
      <c r="P109" s="4"/>
      <c r="Q109" s="4"/>
      <c r="R109" s="4"/>
    </row>
    <row r="110" customFormat="false" ht="12.75" hidden="false" customHeight="true" outlineLevel="0" collapsed="false">
      <c r="A110" s="602" t="n">
        <v>10901</v>
      </c>
      <c r="B110" s="450" t="s">
        <v>20448</v>
      </c>
      <c r="C110" s="450" t="n">
        <v>1998</v>
      </c>
      <c r="D110" s="451" t="n">
        <v>36112</v>
      </c>
      <c r="E110" s="450" t="s">
        <v>20449</v>
      </c>
      <c r="F110" s="465" t="s">
        <v>699</v>
      </c>
      <c r="G110" s="450" t="s">
        <v>8</v>
      </c>
      <c r="H110" s="450" t="s">
        <v>285</v>
      </c>
      <c r="I110" s="451" t="n">
        <v>37238</v>
      </c>
      <c r="J110" s="452" t="n">
        <v>12</v>
      </c>
      <c r="K110" s="633" t="s">
        <v>47</v>
      </c>
      <c r="L110" s="452" t="s">
        <v>60</v>
      </c>
      <c r="M110" s="455" t="n">
        <f aca="false">I110-D110</f>
        <v>1126</v>
      </c>
      <c r="N110" s="4"/>
      <c r="O110" s="4"/>
      <c r="P110" s="4"/>
      <c r="Q110" s="4"/>
      <c r="R110" s="4"/>
    </row>
    <row r="111" customFormat="false" ht="12.75" hidden="false" customHeight="true" outlineLevel="0" collapsed="false">
      <c r="A111" s="594" t="n">
        <v>11001</v>
      </c>
      <c r="B111" s="458" t="s">
        <v>20450</v>
      </c>
      <c r="C111" s="458" t="n">
        <v>2000</v>
      </c>
      <c r="D111" s="459" t="n">
        <v>36886</v>
      </c>
      <c r="E111" s="458" t="s">
        <v>20451</v>
      </c>
      <c r="F111" s="457" t="s">
        <v>699</v>
      </c>
      <c r="G111" s="458" t="s">
        <v>1474</v>
      </c>
      <c r="H111" s="458" t="s">
        <v>119</v>
      </c>
      <c r="I111" s="459" t="n">
        <v>37239</v>
      </c>
      <c r="J111" s="460" t="n">
        <v>12</v>
      </c>
      <c r="K111" s="655" t="s">
        <v>50</v>
      </c>
      <c r="L111" s="458" t="s">
        <v>60</v>
      </c>
      <c r="M111" s="463" t="n">
        <f aca="false">I111-D111</f>
        <v>353</v>
      </c>
      <c r="N111" s="4"/>
      <c r="O111" s="4"/>
      <c r="P111" s="4"/>
      <c r="Q111" s="4"/>
      <c r="R111" s="4"/>
    </row>
    <row r="112" customFormat="false" ht="12.75" hidden="false" customHeight="true" outlineLevel="0" collapsed="false">
      <c r="A112" s="602" t="n">
        <v>11101</v>
      </c>
      <c r="B112" s="450"/>
      <c r="C112" s="450" t="n">
        <v>1999</v>
      </c>
      <c r="D112" s="451"/>
      <c r="E112" s="450" t="s">
        <v>20452</v>
      </c>
      <c r="F112" s="465" t="s">
        <v>569</v>
      </c>
      <c r="G112" s="450" t="s">
        <v>144</v>
      </c>
      <c r="H112" s="450" t="s">
        <v>134</v>
      </c>
      <c r="I112" s="451" t="n">
        <v>37242</v>
      </c>
      <c r="J112" s="452" t="n">
        <v>12</v>
      </c>
      <c r="K112" s="655" t="s">
        <v>50</v>
      </c>
      <c r="L112" s="452" t="s">
        <v>60</v>
      </c>
      <c r="M112" s="455"/>
      <c r="N112" s="4"/>
      <c r="O112" s="4"/>
      <c r="P112" s="4"/>
      <c r="Q112" s="4"/>
      <c r="R112" s="4"/>
    </row>
    <row r="113" customFormat="false" ht="12.75" hidden="false" customHeight="true" outlineLevel="0" collapsed="false">
      <c r="A113" s="594" t="n">
        <v>11201</v>
      </c>
      <c r="B113" s="458" t="s">
        <v>20453</v>
      </c>
      <c r="C113" s="458" t="n">
        <v>1999</v>
      </c>
      <c r="D113" s="459" t="n">
        <v>36467</v>
      </c>
      <c r="E113" s="458" t="s">
        <v>20454</v>
      </c>
      <c r="F113" s="457" t="s">
        <v>668</v>
      </c>
      <c r="G113" s="458" t="s">
        <v>144</v>
      </c>
      <c r="H113" s="458" t="s">
        <v>2421</v>
      </c>
      <c r="I113" s="459" t="n">
        <v>37245</v>
      </c>
      <c r="J113" s="460" t="n">
        <v>12</v>
      </c>
      <c r="K113" s="634" t="s">
        <v>45</v>
      </c>
      <c r="L113" s="458" t="s">
        <v>58</v>
      </c>
      <c r="M113" s="463" t="n">
        <f aca="false">I113-D113</f>
        <v>778</v>
      </c>
    </row>
    <row r="114" customFormat="false" ht="12.75" hidden="false" customHeight="true" outlineLevel="0" collapsed="false">
      <c r="A114" s="602" t="n">
        <v>11301</v>
      </c>
      <c r="B114" s="450" t="s">
        <v>20455</v>
      </c>
      <c r="C114" s="450" t="n">
        <v>1999</v>
      </c>
      <c r="D114" s="451" t="n">
        <v>36494</v>
      </c>
      <c r="E114" s="450" t="s">
        <v>20456</v>
      </c>
      <c r="F114" s="465" t="s">
        <v>401</v>
      </c>
      <c r="G114" s="450" t="s">
        <v>115</v>
      </c>
      <c r="H114" s="450" t="s">
        <v>134</v>
      </c>
      <c r="I114" s="451" t="n">
        <v>37246</v>
      </c>
      <c r="J114" s="452" t="n">
        <v>12</v>
      </c>
      <c r="K114" s="633" t="s">
        <v>47</v>
      </c>
      <c r="L114" s="452" t="s">
        <v>58</v>
      </c>
      <c r="M114" s="455" t="n">
        <f aca="false">I114-D114</f>
        <v>752</v>
      </c>
    </row>
    <row r="115" customFormat="false" ht="12.75" hidden="false" customHeight="true" outlineLevel="0" collapsed="false">
      <c r="A115" s="594" t="n">
        <v>11401</v>
      </c>
      <c r="B115" s="458" t="s">
        <v>20457</v>
      </c>
      <c r="C115" s="458" t="n">
        <v>2000</v>
      </c>
      <c r="D115" s="459" t="n">
        <v>36823</v>
      </c>
      <c r="E115" s="458" t="s">
        <v>20458</v>
      </c>
      <c r="F115" s="457" t="s">
        <v>20459</v>
      </c>
      <c r="G115" s="458" t="s">
        <v>115</v>
      </c>
      <c r="H115" s="458" t="s">
        <v>20072</v>
      </c>
      <c r="I115" s="459" t="n">
        <v>37249</v>
      </c>
      <c r="J115" s="460" t="n">
        <v>12</v>
      </c>
      <c r="K115" s="633" t="s">
        <v>47</v>
      </c>
      <c r="L115" s="458" t="s">
        <v>60</v>
      </c>
      <c r="M115" s="463" t="n">
        <f aca="false">I115-D115</f>
        <v>426</v>
      </c>
    </row>
    <row r="116" customFormat="false" ht="12.75" hidden="false" customHeight="true" outlineLevel="0" collapsed="false">
      <c r="A116" s="602" t="n">
        <v>11501</v>
      </c>
      <c r="B116" s="450" t="s">
        <v>20460</v>
      </c>
      <c r="C116" s="450" t="n">
        <v>1999</v>
      </c>
      <c r="D116" s="451" t="n">
        <v>36375</v>
      </c>
      <c r="E116" s="450" t="s">
        <v>20461</v>
      </c>
      <c r="F116" s="465" t="s">
        <v>19703</v>
      </c>
      <c r="G116" s="450" t="s">
        <v>115</v>
      </c>
      <c r="H116" s="450" t="s">
        <v>19960</v>
      </c>
      <c r="I116" s="451" t="n">
        <v>37251</v>
      </c>
      <c r="J116" s="452" t="n">
        <v>12</v>
      </c>
      <c r="K116" s="633" t="s">
        <v>47</v>
      </c>
      <c r="L116" s="452" t="s">
        <v>58</v>
      </c>
      <c r="M116" s="455" t="n">
        <f aca="false">I116-D116</f>
        <v>876</v>
      </c>
    </row>
    <row r="117" customFormat="false" ht="12.75" hidden="false" customHeight="true" outlineLevel="0" collapsed="false">
      <c r="A117" s="594" t="n">
        <v>11601</v>
      </c>
      <c r="B117" s="458" t="s">
        <v>20462</v>
      </c>
      <c r="C117" s="458" t="n">
        <v>1998</v>
      </c>
      <c r="D117" s="459" t="n">
        <v>35820</v>
      </c>
      <c r="E117" s="458" t="s">
        <v>20463</v>
      </c>
      <c r="F117" s="457" t="s">
        <v>20464</v>
      </c>
      <c r="G117" s="458" t="s">
        <v>144</v>
      </c>
      <c r="H117" s="458" t="s">
        <v>192</v>
      </c>
      <c r="I117" s="459" t="n">
        <v>37252</v>
      </c>
      <c r="J117" s="460" t="n">
        <v>12</v>
      </c>
      <c r="K117" s="631" t="s">
        <v>42</v>
      </c>
      <c r="L117" s="458" t="s">
        <v>58</v>
      </c>
      <c r="M117" s="463" t="n">
        <f aca="false">I117-D117</f>
        <v>1432</v>
      </c>
    </row>
    <row r="118" customFormat="false" ht="12.75" hidden="false" customHeight="true" outlineLevel="0" collapsed="false">
      <c r="A118" s="602" t="n">
        <v>11701</v>
      </c>
      <c r="B118" s="450" t="s">
        <v>20465</v>
      </c>
      <c r="C118" s="450" t="n">
        <v>1995</v>
      </c>
      <c r="D118" s="451" t="n">
        <v>35018</v>
      </c>
      <c r="E118" s="450" t="s">
        <v>20466</v>
      </c>
      <c r="F118" s="465" t="s">
        <v>8232</v>
      </c>
      <c r="G118" s="450" t="s">
        <v>1474</v>
      </c>
      <c r="H118" s="450" t="s">
        <v>16610</v>
      </c>
      <c r="I118" s="451" t="n">
        <v>37253</v>
      </c>
      <c r="J118" s="452" t="n">
        <v>12</v>
      </c>
      <c r="K118" s="633" t="s">
        <v>47</v>
      </c>
      <c r="L118" s="452" t="s">
        <v>58</v>
      </c>
      <c r="M118" s="455" t="n">
        <f aca="false">I118-D118</f>
        <v>2235</v>
      </c>
    </row>
  </sheetData>
  <autoFilter ref="A1:M92"/>
  <mergeCells count="76">
    <mergeCell ref="O2:P2"/>
    <mergeCell ref="O14:S15"/>
    <mergeCell ref="O16:S16"/>
    <mergeCell ref="O17:S17"/>
    <mergeCell ref="O18:S18"/>
    <mergeCell ref="O19:S19"/>
    <mergeCell ref="O20:S20"/>
    <mergeCell ref="O21:S21"/>
    <mergeCell ref="O22:S22"/>
    <mergeCell ref="O23:S23"/>
    <mergeCell ref="O24:S24"/>
    <mergeCell ref="O26:S27"/>
    <mergeCell ref="P28:R28"/>
    <mergeCell ref="P29:R29"/>
    <mergeCell ref="P30:R30"/>
    <mergeCell ref="P31:R31"/>
    <mergeCell ref="P32:R32"/>
    <mergeCell ref="P33:R33"/>
    <mergeCell ref="P34:R34"/>
    <mergeCell ref="P35:R35"/>
    <mergeCell ref="P36:R36"/>
    <mergeCell ref="P37:R37"/>
    <mergeCell ref="P38:R38"/>
    <mergeCell ref="P39:R39"/>
    <mergeCell ref="P40:R40"/>
    <mergeCell ref="P41:R41"/>
    <mergeCell ref="P42:R42"/>
    <mergeCell ref="O44:S45"/>
    <mergeCell ref="P46:R46"/>
    <mergeCell ref="P47:R47"/>
    <mergeCell ref="P48:R48"/>
    <mergeCell ref="P49:R49"/>
    <mergeCell ref="P50:R50"/>
    <mergeCell ref="P51:R51"/>
    <mergeCell ref="P52:R52"/>
    <mergeCell ref="P53:R53"/>
    <mergeCell ref="P54:R54"/>
    <mergeCell ref="P55:R55"/>
    <mergeCell ref="P56:R56"/>
    <mergeCell ref="P57:R57"/>
    <mergeCell ref="P58:R58"/>
    <mergeCell ref="P59:R59"/>
    <mergeCell ref="O61:T62"/>
    <mergeCell ref="O63:R63"/>
    <mergeCell ref="O64:R64"/>
    <mergeCell ref="O65:R65"/>
    <mergeCell ref="O66:R66"/>
    <mergeCell ref="O67:R67"/>
    <mergeCell ref="O68:R68"/>
    <mergeCell ref="O69:R69"/>
    <mergeCell ref="O70:R70"/>
    <mergeCell ref="O71:R71"/>
    <mergeCell ref="O72:R72"/>
    <mergeCell ref="O73:R73"/>
    <mergeCell ref="O74:R74"/>
    <mergeCell ref="O75:R75"/>
    <mergeCell ref="O76:R76"/>
    <mergeCell ref="O78:T79"/>
    <mergeCell ref="O80:R80"/>
    <mergeCell ref="O81:R81"/>
    <mergeCell ref="O82:R82"/>
    <mergeCell ref="O83:R83"/>
    <mergeCell ref="O84:R84"/>
    <mergeCell ref="O85:R85"/>
    <mergeCell ref="O87:R88"/>
    <mergeCell ref="P89:R89"/>
    <mergeCell ref="P90:R90"/>
    <mergeCell ref="P91:R91"/>
    <mergeCell ref="P92:R92"/>
    <mergeCell ref="P93:R93"/>
    <mergeCell ref="P94:R94"/>
    <mergeCell ref="P95:R95"/>
    <mergeCell ref="P96:R96"/>
    <mergeCell ref="P97:R97"/>
    <mergeCell ref="P98:R98"/>
    <mergeCell ref="P99:R99"/>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
  <sheetViews>
    <sheetView showFormulas="false" showGridLines="true" showRowColHeaders="true" showZeros="true" rightToLeft="false" tabSelected="false" showOutlineSymbols="true" defaultGridColor="true" view="normal" topLeftCell="H1" colorId="64" zoomScale="70" zoomScaleNormal="70" zoomScalePageLayoutView="100" workbookViewId="0">
      <selection pane="topLeft" activeCell="AA42" activeCellId="0" sqref="AA42"/>
    </sheetView>
  </sheetViews>
  <sheetFormatPr defaultColWidth="8.4296875" defaultRowHeight="12.75" customHeight="false" zeroHeight="false" outlineLevelRow="0" outlineLevelCol="0"/>
  <sheetData/>
  <printOptions headings="false" gridLines="false" gridLinesSet="true" horizontalCentered="false" verticalCentered="false"/>
  <pageMargins left="0" right="0" top="0" bottom="0" header="0.511811023622047" footer="0.511811023622047"/>
  <pageSetup paperSize="77"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9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B1" activeCellId="0" sqref="B1"/>
    </sheetView>
  </sheetViews>
  <sheetFormatPr defaultColWidth="14.2890625" defaultRowHeight="12.75" customHeight="false" zeroHeight="false" outlineLevelRow="0" outlineLevelCol="0"/>
  <cols>
    <col collapsed="false" customWidth="true" hidden="false" outlineLevel="0" max="1" min="1" style="0" width="12.85"/>
    <col collapsed="false" customWidth="true" hidden="false" outlineLevel="0" max="2" min="2" style="0" width="28.58"/>
    <col collapsed="false" customWidth="true" hidden="false" outlineLevel="0" max="3" min="3" style="0" width="19.43"/>
    <col collapsed="false" customWidth="true" hidden="false" outlineLevel="0" max="4" min="4" style="0" width="26.14"/>
    <col collapsed="false" customWidth="true" hidden="false" outlineLevel="0" max="5" min="5" style="0" width="40.57"/>
    <col collapsed="false" customWidth="true" hidden="false" outlineLevel="0" max="6" min="6" style="0" width="71.43"/>
    <col collapsed="false" customWidth="true" hidden="false" outlineLevel="0" max="7" min="7" style="0" width="15.42"/>
    <col collapsed="false" customWidth="true" hidden="false" outlineLevel="0" max="8" min="8" style="0" width="31.29"/>
    <col collapsed="false" customWidth="true" hidden="false" outlineLevel="0" max="9" min="9" style="0" width="33.29"/>
    <col collapsed="false" customWidth="true" hidden="false" outlineLevel="0" max="10" min="10" style="0" width="34.85"/>
    <col collapsed="false" customWidth="true" hidden="false" outlineLevel="0" max="11" min="11" style="0" width="57.14"/>
    <col collapsed="false" customWidth="true" hidden="false" outlineLevel="0" max="12" min="12" style="0" width="76.14"/>
    <col collapsed="false" customWidth="true" hidden="false" outlineLevel="0" max="13" min="13" style="0" width="53.43"/>
    <col collapsed="false" customWidth="true" hidden="false" outlineLevel="0" max="14" min="14" style="0" width="9.14"/>
    <col collapsed="false" customWidth="true" hidden="false" outlineLevel="0" max="15" min="15" style="0" width="27.14"/>
    <col collapsed="false" customWidth="true" hidden="false" outlineLevel="0" max="16" min="16" style="0" width="9.85"/>
    <col collapsed="false" customWidth="true" hidden="false" outlineLevel="0" max="17" min="17" style="0" width="3.42"/>
    <col collapsed="false" customWidth="true" hidden="false" outlineLevel="0" max="18" min="18" style="0" width="39"/>
    <col collapsed="false" customWidth="true" hidden="false" outlineLevel="0" max="19" min="19" style="0" width="62.85"/>
    <col collapsed="false" customWidth="true" hidden="false" outlineLevel="0" max="20" min="20" style="0" width="13.71"/>
    <col collapsed="false" customWidth="true" hidden="false" outlineLevel="0" max="26" min="21" style="0" width="8.71"/>
  </cols>
  <sheetData>
    <row r="1" customFormat="false" ht="12.75" hidden="false" customHeight="true" outlineLevel="0" collapsed="false">
      <c r="A1" s="585" t="s">
        <v>92</v>
      </c>
      <c r="B1" s="585" t="s">
        <v>93</v>
      </c>
      <c r="C1" s="585" t="s">
        <v>89</v>
      </c>
      <c r="D1" s="584" t="s">
        <v>94</v>
      </c>
      <c r="E1" s="585" t="s">
        <v>95</v>
      </c>
      <c r="F1" s="585" t="s">
        <v>96</v>
      </c>
      <c r="G1" s="585" t="s">
        <v>97</v>
      </c>
      <c r="H1" s="585" t="s">
        <v>98</v>
      </c>
      <c r="I1" s="584" t="s">
        <v>99</v>
      </c>
      <c r="J1" s="585" t="s">
        <v>62</v>
      </c>
      <c r="K1" s="586" t="s">
        <v>101</v>
      </c>
      <c r="L1" s="586" t="s">
        <v>102</v>
      </c>
      <c r="M1" s="279" t="s">
        <v>103</v>
      </c>
      <c r="N1" s="4"/>
      <c r="O1" s="4"/>
      <c r="P1" s="4"/>
      <c r="Q1" s="4"/>
      <c r="R1" s="4"/>
      <c r="S1" s="4"/>
    </row>
    <row r="2" customFormat="false" ht="12.75" hidden="false" customHeight="true" outlineLevel="0" collapsed="false">
      <c r="A2" s="602" t="n">
        <v>100</v>
      </c>
      <c r="B2" s="452"/>
      <c r="C2" s="452" t="n">
        <v>1998</v>
      </c>
      <c r="D2" s="451"/>
      <c r="E2" s="450" t="s">
        <v>20467</v>
      </c>
      <c r="F2" s="450" t="s">
        <v>1916</v>
      </c>
      <c r="G2" s="450" t="s">
        <v>144</v>
      </c>
      <c r="H2" s="453" t="s">
        <v>14391</v>
      </c>
      <c r="I2" s="451" t="n">
        <v>36551</v>
      </c>
      <c r="J2" s="452" t="n">
        <v>1</v>
      </c>
      <c r="K2" s="631" t="s">
        <v>42</v>
      </c>
      <c r="L2" s="452" t="s">
        <v>58</v>
      </c>
      <c r="M2" s="455"/>
      <c r="N2" s="4"/>
      <c r="O2" s="280" t="s">
        <v>19488</v>
      </c>
      <c r="P2" s="280"/>
      <c r="Q2" s="146"/>
      <c r="R2" s="146"/>
      <c r="S2" s="146"/>
    </row>
    <row r="3" customFormat="false" ht="12.75" hidden="false" customHeight="true" outlineLevel="0" collapsed="false">
      <c r="A3" s="594" t="n">
        <v>200</v>
      </c>
      <c r="B3" s="460" t="s">
        <v>20468</v>
      </c>
      <c r="C3" s="460" t="n">
        <v>1998</v>
      </c>
      <c r="D3" s="459" t="n">
        <v>36129</v>
      </c>
      <c r="E3" s="458" t="s">
        <v>20469</v>
      </c>
      <c r="F3" s="458" t="s">
        <v>20470</v>
      </c>
      <c r="G3" s="458" t="s">
        <v>144</v>
      </c>
      <c r="H3" s="461" t="s">
        <v>20330</v>
      </c>
      <c r="I3" s="459" t="n">
        <v>36560</v>
      </c>
      <c r="J3" s="460" t="n">
        <v>2</v>
      </c>
      <c r="K3" s="631" t="s">
        <v>42</v>
      </c>
      <c r="L3" s="458" t="s">
        <v>58</v>
      </c>
      <c r="M3" s="463" t="n">
        <f aca="false">I3-D3</f>
        <v>431</v>
      </c>
      <c r="N3" s="4"/>
      <c r="O3" s="281" t="s">
        <v>1182</v>
      </c>
      <c r="P3" s="281" t="n">
        <f aca="false">COUNTIF($G$2:$G$476,"PT")</f>
        <v>20</v>
      </c>
      <c r="Q3" s="146"/>
      <c r="R3" s="146"/>
      <c r="S3" s="146"/>
    </row>
    <row r="4" customFormat="false" ht="12.75" hidden="false" customHeight="true" outlineLevel="0" collapsed="false">
      <c r="A4" s="602" t="n">
        <v>300</v>
      </c>
      <c r="B4" s="452" t="s">
        <v>20471</v>
      </c>
      <c r="C4" s="452" t="n">
        <v>1997</v>
      </c>
      <c r="D4" s="451" t="n">
        <v>35792</v>
      </c>
      <c r="E4" s="450" t="s">
        <v>20472</v>
      </c>
      <c r="F4" s="450" t="s">
        <v>20473</v>
      </c>
      <c r="G4" s="450" t="s">
        <v>1474</v>
      </c>
      <c r="H4" s="453" t="s">
        <v>2421</v>
      </c>
      <c r="I4" s="451" t="n">
        <v>36565</v>
      </c>
      <c r="J4" s="452" t="n">
        <v>2</v>
      </c>
      <c r="K4" s="633" t="s">
        <v>47</v>
      </c>
      <c r="L4" s="452" t="s">
        <v>60</v>
      </c>
      <c r="M4" s="455" t="n">
        <f aca="false">I4-D4</f>
        <v>773</v>
      </c>
      <c r="N4" s="4"/>
      <c r="O4" s="282" t="s">
        <v>1188</v>
      </c>
      <c r="P4" s="282" t="n">
        <f aca="false">COUNTIF($G$2:$G$476,"PTN")</f>
        <v>9</v>
      </c>
      <c r="Q4" s="153"/>
      <c r="R4" s="153"/>
      <c r="S4" s="153"/>
    </row>
    <row r="5" customFormat="false" ht="12.75" hidden="false" customHeight="true" outlineLevel="0" collapsed="false">
      <c r="A5" s="594" t="n">
        <v>400</v>
      </c>
      <c r="B5" s="460" t="s">
        <v>20474</v>
      </c>
      <c r="C5" s="460" t="n">
        <v>1998</v>
      </c>
      <c r="D5" s="459" t="n">
        <v>36071</v>
      </c>
      <c r="E5" s="458" t="s">
        <v>20475</v>
      </c>
      <c r="F5" s="458" t="s">
        <v>780</v>
      </c>
      <c r="G5" s="458" t="s">
        <v>144</v>
      </c>
      <c r="H5" s="461" t="s">
        <v>14391</v>
      </c>
      <c r="I5" s="459" t="n">
        <v>36571</v>
      </c>
      <c r="J5" s="460" t="n">
        <v>2</v>
      </c>
      <c r="K5" s="633" t="s">
        <v>47</v>
      </c>
      <c r="L5" s="458" t="s">
        <v>60</v>
      </c>
      <c r="M5" s="463" t="n">
        <f aca="false">I5-D5</f>
        <v>500</v>
      </c>
      <c r="N5" s="4"/>
      <c r="O5" s="283" t="s">
        <v>1192</v>
      </c>
      <c r="P5" s="283" t="n">
        <f aca="false">COUNTIF($G$2:$G$476,"PTE")</f>
        <v>0</v>
      </c>
      <c r="Q5" s="153"/>
      <c r="R5" s="153"/>
      <c r="S5" s="153"/>
    </row>
    <row r="6" customFormat="false" ht="12.75" hidden="false" customHeight="true" outlineLevel="0" collapsed="false">
      <c r="A6" s="602" t="n">
        <v>500</v>
      </c>
      <c r="B6" s="452" t="s">
        <v>20476</v>
      </c>
      <c r="C6" s="452" t="n">
        <v>1998</v>
      </c>
      <c r="D6" s="451" t="n">
        <v>35905</v>
      </c>
      <c r="E6" s="450" t="s">
        <v>20477</v>
      </c>
      <c r="F6" s="450" t="s">
        <v>1916</v>
      </c>
      <c r="G6" s="450" t="s">
        <v>1474</v>
      </c>
      <c r="H6" s="453" t="s">
        <v>14391</v>
      </c>
      <c r="I6" s="451" t="n">
        <v>36574</v>
      </c>
      <c r="J6" s="452" t="n">
        <v>2</v>
      </c>
      <c r="K6" s="634" t="s">
        <v>45</v>
      </c>
      <c r="L6" s="452" t="s">
        <v>58</v>
      </c>
      <c r="M6" s="455" t="n">
        <f aca="false">I6-D6</f>
        <v>669</v>
      </c>
      <c r="N6" s="4"/>
      <c r="O6" s="282" t="s">
        <v>8</v>
      </c>
      <c r="P6" s="282" t="n">
        <f aca="false">COUNTIF($G$2:$G$476,"Pré-Mistura")</f>
        <v>0</v>
      </c>
      <c r="Q6" s="153"/>
      <c r="R6" s="153"/>
      <c r="S6" s="153"/>
    </row>
    <row r="7" customFormat="false" ht="12.75" hidden="false" customHeight="true" outlineLevel="0" collapsed="false">
      <c r="A7" s="594" t="n">
        <v>600</v>
      </c>
      <c r="B7" s="460" t="s">
        <v>20478</v>
      </c>
      <c r="C7" s="460" t="n">
        <v>1999</v>
      </c>
      <c r="D7" s="459" t="n">
        <v>36194</v>
      </c>
      <c r="E7" s="458" t="s">
        <v>20479</v>
      </c>
      <c r="F7" s="458" t="s">
        <v>9819</v>
      </c>
      <c r="G7" s="458" t="s">
        <v>144</v>
      </c>
      <c r="H7" s="461" t="s">
        <v>20480</v>
      </c>
      <c r="I7" s="459" t="n">
        <v>36578</v>
      </c>
      <c r="J7" s="460" t="n">
        <v>2</v>
      </c>
      <c r="K7" s="655" t="s">
        <v>50</v>
      </c>
      <c r="L7" s="458" t="s">
        <v>61</v>
      </c>
      <c r="M7" s="463" t="n">
        <f aca="false">I7-D7</f>
        <v>384</v>
      </c>
      <c r="N7" s="4"/>
      <c r="O7" s="283" t="s">
        <v>110</v>
      </c>
      <c r="P7" s="283" t="n">
        <f aca="false">COUNTIF($G$2:$G$476,"PF")</f>
        <v>38</v>
      </c>
      <c r="Q7" s="153"/>
      <c r="R7" s="153"/>
      <c r="S7" s="153"/>
    </row>
    <row r="8" customFormat="false" ht="12.75" hidden="false" customHeight="true" outlineLevel="0" collapsed="false">
      <c r="A8" s="602" t="n">
        <v>700</v>
      </c>
      <c r="B8" s="452" t="s">
        <v>20481</v>
      </c>
      <c r="C8" s="452" t="n">
        <v>1999</v>
      </c>
      <c r="D8" s="451" t="n">
        <v>36255</v>
      </c>
      <c r="E8" s="450" t="s">
        <v>20482</v>
      </c>
      <c r="F8" s="450" t="s">
        <v>20483</v>
      </c>
      <c r="G8" s="450" t="s">
        <v>144</v>
      </c>
      <c r="H8" s="453" t="s">
        <v>20330</v>
      </c>
      <c r="I8" s="451" t="n">
        <v>36578</v>
      </c>
      <c r="J8" s="452" t="n">
        <v>2</v>
      </c>
      <c r="K8" s="631" t="s">
        <v>42</v>
      </c>
      <c r="L8" s="452" t="s">
        <v>58</v>
      </c>
      <c r="M8" s="455" t="n">
        <f aca="false">I8-D8</f>
        <v>323</v>
      </c>
      <c r="N8" s="4"/>
      <c r="O8" s="282" t="s">
        <v>115</v>
      </c>
      <c r="P8" s="282" t="n">
        <f aca="false">COUNTIF($G$2:$G$476,"PFN")</f>
        <v>13</v>
      </c>
      <c r="Q8" s="153"/>
      <c r="R8" s="153"/>
      <c r="S8" s="153"/>
    </row>
    <row r="9" customFormat="false" ht="12.75" hidden="false" customHeight="true" outlineLevel="0" collapsed="false">
      <c r="A9" s="594" t="n">
        <v>800</v>
      </c>
      <c r="B9" s="460" t="s">
        <v>20484</v>
      </c>
      <c r="C9" s="460" t="n">
        <v>1998</v>
      </c>
      <c r="D9" s="459" t="n">
        <v>36129</v>
      </c>
      <c r="E9" s="458" t="s">
        <v>20485</v>
      </c>
      <c r="F9" s="458" t="s">
        <v>20483</v>
      </c>
      <c r="G9" s="458" t="s">
        <v>144</v>
      </c>
      <c r="H9" s="461" t="s">
        <v>20330</v>
      </c>
      <c r="I9" s="459" t="n">
        <v>36578</v>
      </c>
      <c r="J9" s="460" t="n">
        <v>2</v>
      </c>
      <c r="K9" s="631" t="s">
        <v>42</v>
      </c>
      <c r="L9" s="458" t="s">
        <v>58</v>
      </c>
      <c r="M9" s="463" t="n">
        <f aca="false">I9-D9</f>
        <v>449</v>
      </c>
      <c r="N9" s="4"/>
      <c r="O9" s="283" t="s">
        <v>120</v>
      </c>
      <c r="P9" s="283" t="n">
        <f aca="false">COUNTIF($G$2:$G$476,"PF/PTE")</f>
        <v>0</v>
      </c>
      <c r="Q9" s="153"/>
      <c r="R9" s="153"/>
      <c r="S9" s="153"/>
    </row>
    <row r="10" customFormat="false" ht="12.75" hidden="false" customHeight="true" outlineLevel="0" collapsed="false">
      <c r="A10" s="602" t="n">
        <v>900</v>
      </c>
      <c r="B10" s="452" t="s">
        <v>20486</v>
      </c>
      <c r="C10" s="452" t="n">
        <v>1996</v>
      </c>
      <c r="D10" s="451" t="n">
        <v>35376</v>
      </c>
      <c r="E10" s="450" t="s">
        <v>20487</v>
      </c>
      <c r="F10" s="450" t="s">
        <v>699</v>
      </c>
      <c r="G10" s="450" t="s">
        <v>1474</v>
      </c>
      <c r="H10" s="453" t="s">
        <v>693</v>
      </c>
      <c r="I10" s="451" t="n">
        <v>36578</v>
      </c>
      <c r="J10" s="452" t="n">
        <v>2</v>
      </c>
      <c r="K10" s="655" t="s">
        <v>50</v>
      </c>
      <c r="L10" s="452" t="s">
        <v>60</v>
      </c>
      <c r="M10" s="455" t="n">
        <f aca="false">I10-D10</f>
        <v>1202</v>
      </c>
      <c r="N10" s="4"/>
      <c r="O10" s="282" t="s">
        <v>125</v>
      </c>
      <c r="P10" s="282" t="n">
        <f aca="false">COUNTIF($G$2:$G$476,"Bio")</f>
        <v>2</v>
      </c>
      <c r="Q10" s="153"/>
      <c r="R10" s="153"/>
      <c r="S10" s="153"/>
    </row>
    <row r="11" customFormat="false" ht="12.75" hidden="false" customHeight="true" outlineLevel="0" collapsed="false">
      <c r="A11" s="594" t="n">
        <v>1000</v>
      </c>
      <c r="B11" s="460" t="s">
        <v>20488</v>
      </c>
      <c r="C11" s="460" t="n">
        <v>1992</v>
      </c>
      <c r="D11" s="459" t="n">
        <v>33765</v>
      </c>
      <c r="E11" s="458" t="s">
        <v>20489</v>
      </c>
      <c r="F11" s="458" t="s">
        <v>6460</v>
      </c>
      <c r="G11" s="458" t="s">
        <v>1474</v>
      </c>
      <c r="H11" s="461" t="s">
        <v>3339</v>
      </c>
      <c r="I11" s="459" t="n">
        <v>36579</v>
      </c>
      <c r="J11" s="460" t="n">
        <v>2</v>
      </c>
      <c r="K11" s="633" t="s">
        <v>47</v>
      </c>
      <c r="L11" s="458" t="s">
        <v>58</v>
      </c>
      <c r="M11" s="463" t="n">
        <f aca="false">I11-D11</f>
        <v>2814</v>
      </c>
      <c r="N11" s="4"/>
      <c r="O11" s="284" t="s">
        <v>130</v>
      </c>
      <c r="P11" s="284" t="n">
        <f aca="false">COUNTIF($G$2:$G$476,"Bio/Org")</f>
        <v>0</v>
      </c>
      <c r="Q11" s="153"/>
      <c r="R11" s="153"/>
      <c r="S11" s="153"/>
    </row>
    <row r="12" customFormat="false" ht="12.75" hidden="false" customHeight="true" outlineLevel="0" collapsed="false">
      <c r="A12" s="602" t="n">
        <v>1100</v>
      </c>
      <c r="B12" s="452" t="s">
        <v>20490</v>
      </c>
      <c r="C12" s="452" t="n">
        <v>1997</v>
      </c>
      <c r="D12" s="451" t="n">
        <v>35792</v>
      </c>
      <c r="E12" s="450" t="s">
        <v>20491</v>
      </c>
      <c r="F12" s="450" t="s">
        <v>1357</v>
      </c>
      <c r="G12" s="450" t="s">
        <v>144</v>
      </c>
      <c r="H12" s="453" t="s">
        <v>2421</v>
      </c>
      <c r="I12" s="451" t="n">
        <v>36599</v>
      </c>
      <c r="J12" s="452" t="n">
        <v>3</v>
      </c>
      <c r="K12" s="631" t="s">
        <v>42</v>
      </c>
      <c r="L12" s="452" t="s">
        <v>60</v>
      </c>
      <c r="M12" s="455" t="n">
        <f aca="false">I12-D12</f>
        <v>807</v>
      </c>
      <c r="N12" s="4"/>
      <c r="O12" s="285" t="s">
        <v>140</v>
      </c>
      <c r="P12" s="286" t="n">
        <f aca="false">SUM(P3:P11)</f>
        <v>82</v>
      </c>
      <c r="Q12" s="153"/>
      <c r="R12" s="153"/>
      <c r="S12" s="153"/>
    </row>
    <row r="13" customFormat="false" ht="12.75" hidden="false" customHeight="true" outlineLevel="0" collapsed="false">
      <c r="A13" s="594" t="n">
        <v>1200</v>
      </c>
      <c r="B13" s="460" t="s">
        <v>20492</v>
      </c>
      <c r="C13" s="460" t="n">
        <v>1992</v>
      </c>
      <c r="D13" s="459" t="n">
        <v>33938</v>
      </c>
      <c r="E13" s="458" t="s">
        <v>20493</v>
      </c>
      <c r="F13" s="458" t="s">
        <v>20494</v>
      </c>
      <c r="G13" s="458" t="s">
        <v>1474</v>
      </c>
      <c r="H13" s="461" t="s">
        <v>20495</v>
      </c>
      <c r="I13" s="459" t="n">
        <v>36640</v>
      </c>
      <c r="J13" s="460" t="n">
        <v>4</v>
      </c>
      <c r="K13" s="634" t="s">
        <v>45</v>
      </c>
      <c r="L13" s="458" t="s">
        <v>61</v>
      </c>
      <c r="M13" s="463" t="n">
        <f aca="false">I13-D13</f>
        <v>2702</v>
      </c>
      <c r="N13" s="4"/>
      <c r="O13" s="153"/>
      <c r="P13" s="153"/>
      <c r="Q13" s="153"/>
      <c r="R13" s="287"/>
      <c r="S13" s="287"/>
    </row>
    <row r="14" customFormat="false" ht="13.5" hidden="false" customHeight="true" outlineLevel="0" collapsed="false">
      <c r="A14" s="602" t="n">
        <v>1300</v>
      </c>
      <c r="B14" s="452" t="s">
        <v>20496</v>
      </c>
      <c r="C14" s="452" t="n">
        <v>1996</v>
      </c>
      <c r="D14" s="451" t="n">
        <v>35190</v>
      </c>
      <c r="E14" s="450" t="s">
        <v>20497</v>
      </c>
      <c r="F14" s="450" t="s">
        <v>20494</v>
      </c>
      <c r="G14" s="450" t="s">
        <v>1474</v>
      </c>
      <c r="H14" s="453" t="s">
        <v>20495</v>
      </c>
      <c r="I14" s="451" t="n">
        <v>36640</v>
      </c>
      <c r="J14" s="452" t="n">
        <v>4</v>
      </c>
      <c r="K14" s="634" t="s">
        <v>45</v>
      </c>
      <c r="L14" s="452" t="s">
        <v>61</v>
      </c>
      <c r="M14" s="455" t="n">
        <f aca="false">I14-D14</f>
        <v>1450</v>
      </c>
      <c r="N14" s="4"/>
      <c r="O14" s="411" t="s">
        <v>151</v>
      </c>
      <c r="P14" s="411"/>
      <c r="Q14" s="411"/>
      <c r="R14" s="411"/>
      <c r="S14" s="411"/>
    </row>
    <row r="15" customFormat="false" ht="14.25" hidden="false" customHeight="true" outlineLevel="0" collapsed="false">
      <c r="A15" s="594" t="n">
        <v>1400</v>
      </c>
      <c r="B15" s="460" t="s">
        <v>20498</v>
      </c>
      <c r="C15" s="460" t="n">
        <v>1998</v>
      </c>
      <c r="D15" s="459" t="n">
        <v>36043</v>
      </c>
      <c r="E15" s="458" t="s">
        <v>20499</v>
      </c>
      <c r="F15" s="458" t="s">
        <v>9647</v>
      </c>
      <c r="G15" s="458" t="s">
        <v>1474</v>
      </c>
      <c r="H15" s="461" t="s">
        <v>3339</v>
      </c>
      <c r="I15" s="459" t="n">
        <v>36641</v>
      </c>
      <c r="J15" s="460" t="n">
        <v>4</v>
      </c>
      <c r="K15" s="633" t="s">
        <v>47</v>
      </c>
      <c r="L15" s="458" t="s">
        <v>60</v>
      </c>
      <c r="M15" s="463" t="n">
        <f aca="false">I15-D15</f>
        <v>598</v>
      </c>
      <c r="N15" s="4"/>
      <c r="O15" s="411"/>
      <c r="P15" s="411"/>
      <c r="Q15" s="411"/>
      <c r="R15" s="411"/>
      <c r="S15" s="411"/>
    </row>
    <row r="16" customFormat="false" ht="12.75" hidden="false" customHeight="true" outlineLevel="0" collapsed="false">
      <c r="A16" s="602" t="n">
        <v>1500</v>
      </c>
      <c r="B16" s="452" t="s">
        <v>20500</v>
      </c>
      <c r="C16" s="452" t="n">
        <v>1998</v>
      </c>
      <c r="D16" s="451" t="n">
        <v>36044</v>
      </c>
      <c r="E16" s="450" t="s">
        <v>20501</v>
      </c>
      <c r="F16" s="450" t="s">
        <v>705</v>
      </c>
      <c r="G16" s="450" t="s">
        <v>1474</v>
      </c>
      <c r="H16" s="453" t="s">
        <v>3339</v>
      </c>
      <c r="I16" s="451" t="n">
        <v>36641</v>
      </c>
      <c r="J16" s="452" t="n">
        <v>4</v>
      </c>
      <c r="K16" s="633" t="s">
        <v>47</v>
      </c>
      <c r="L16" s="452" t="s">
        <v>60</v>
      </c>
      <c r="M16" s="455" t="n">
        <f aca="false">I16-D16</f>
        <v>597</v>
      </c>
      <c r="N16" s="4"/>
      <c r="O16" s="412" t="s">
        <v>2194</v>
      </c>
      <c r="P16" s="412"/>
      <c r="Q16" s="412"/>
      <c r="R16" s="412"/>
      <c r="S16" s="412"/>
    </row>
    <row r="17" customFormat="false" ht="12.75" hidden="false" customHeight="true" outlineLevel="0" collapsed="false">
      <c r="A17" s="594" t="n">
        <v>1600</v>
      </c>
      <c r="B17" s="460" t="s">
        <v>20502</v>
      </c>
      <c r="C17" s="460" t="n">
        <v>1998</v>
      </c>
      <c r="D17" s="459" t="n">
        <v>36132</v>
      </c>
      <c r="E17" s="458" t="s">
        <v>20503</v>
      </c>
      <c r="F17" s="458" t="s">
        <v>1639</v>
      </c>
      <c r="G17" s="458" t="s">
        <v>1188</v>
      </c>
      <c r="H17" s="461" t="s">
        <v>134</v>
      </c>
      <c r="I17" s="459" t="n">
        <v>36649</v>
      </c>
      <c r="J17" s="460" t="n">
        <v>5</v>
      </c>
      <c r="K17" s="634" t="s">
        <v>45</v>
      </c>
      <c r="L17" s="458" t="s">
        <v>60</v>
      </c>
      <c r="M17" s="463" t="n">
        <f aca="false">I17-D17</f>
        <v>517</v>
      </c>
      <c r="N17" s="4"/>
      <c r="O17" s="413" t="s">
        <v>2198</v>
      </c>
      <c r="P17" s="413"/>
      <c r="Q17" s="413"/>
      <c r="R17" s="413"/>
      <c r="S17" s="413"/>
    </row>
    <row r="18" customFormat="false" ht="12.75" hidden="false" customHeight="true" outlineLevel="0" collapsed="false">
      <c r="A18" s="602" t="n">
        <v>1700</v>
      </c>
      <c r="B18" s="452" t="s">
        <v>20504</v>
      </c>
      <c r="C18" s="452" t="n">
        <v>1998</v>
      </c>
      <c r="D18" s="451" t="n">
        <v>36091</v>
      </c>
      <c r="E18" s="450" t="s">
        <v>20505</v>
      </c>
      <c r="F18" s="450" t="s">
        <v>671</v>
      </c>
      <c r="G18" s="450" t="s">
        <v>144</v>
      </c>
      <c r="H18" s="453" t="s">
        <v>20211</v>
      </c>
      <c r="I18" s="451" t="n">
        <v>36649</v>
      </c>
      <c r="J18" s="452" t="n">
        <v>5</v>
      </c>
      <c r="K18" s="633" t="s">
        <v>47</v>
      </c>
      <c r="L18" s="452" t="s">
        <v>58</v>
      </c>
      <c r="M18" s="455" t="n">
        <f aca="false">I18-D18</f>
        <v>558</v>
      </c>
      <c r="N18" s="4"/>
      <c r="O18" s="414" t="s">
        <v>2203</v>
      </c>
      <c r="P18" s="414"/>
      <c r="Q18" s="414"/>
      <c r="R18" s="414"/>
      <c r="S18" s="414"/>
    </row>
    <row r="19" customFormat="false" ht="12.75" hidden="false" customHeight="true" outlineLevel="0" collapsed="false">
      <c r="A19" s="594" t="n">
        <v>1800</v>
      </c>
      <c r="B19" s="460" t="s">
        <v>20506</v>
      </c>
      <c r="C19" s="460" t="n">
        <v>1999</v>
      </c>
      <c r="D19" s="459" t="n">
        <v>36232</v>
      </c>
      <c r="E19" s="458" t="s">
        <v>20507</v>
      </c>
      <c r="F19" s="458" t="s">
        <v>1639</v>
      </c>
      <c r="G19" s="458" t="s">
        <v>115</v>
      </c>
      <c r="H19" s="461" t="s">
        <v>134</v>
      </c>
      <c r="I19" s="459" t="n">
        <v>36651</v>
      </c>
      <c r="J19" s="460" t="n">
        <v>5</v>
      </c>
      <c r="K19" s="633" t="s">
        <v>47</v>
      </c>
      <c r="L19" s="458" t="s">
        <v>60</v>
      </c>
      <c r="M19" s="463" t="n">
        <f aca="false">I19-D19</f>
        <v>419</v>
      </c>
      <c r="N19" s="4"/>
      <c r="O19" s="413" t="s">
        <v>2207</v>
      </c>
      <c r="P19" s="413"/>
      <c r="Q19" s="413"/>
      <c r="R19" s="413"/>
      <c r="S19" s="413"/>
    </row>
    <row r="20" customFormat="false" ht="12.75" hidden="false" customHeight="true" outlineLevel="0" collapsed="false">
      <c r="A20" s="602" t="n">
        <v>1900</v>
      </c>
      <c r="B20" s="452" t="s">
        <v>20508</v>
      </c>
      <c r="C20" s="452" t="n">
        <v>1995</v>
      </c>
      <c r="D20" s="451" t="n">
        <v>35054</v>
      </c>
      <c r="E20" s="450" t="s">
        <v>20509</v>
      </c>
      <c r="F20" s="450" t="s">
        <v>20510</v>
      </c>
      <c r="G20" s="450" t="s">
        <v>1474</v>
      </c>
      <c r="H20" s="453" t="s">
        <v>18974</v>
      </c>
      <c r="I20" s="451" t="n">
        <v>36661</v>
      </c>
      <c r="J20" s="452" t="n">
        <v>5</v>
      </c>
      <c r="K20" s="633" t="s">
        <v>47</v>
      </c>
      <c r="L20" s="452" t="s">
        <v>60</v>
      </c>
      <c r="M20" s="282" t="s">
        <v>10996</v>
      </c>
      <c r="N20" s="4"/>
      <c r="O20" s="414" t="s">
        <v>2211</v>
      </c>
      <c r="P20" s="414"/>
      <c r="Q20" s="414"/>
      <c r="R20" s="414"/>
      <c r="S20" s="414"/>
    </row>
    <row r="21" customFormat="false" ht="12.75" hidden="false" customHeight="true" outlineLevel="0" collapsed="false">
      <c r="A21" s="594" t="n">
        <v>2000</v>
      </c>
      <c r="B21" s="460" t="s">
        <v>20511</v>
      </c>
      <c r="C21" s="460" t="n">
        <v>1997</v>
      </c>
      <c r="D21" s="459" t="n">
        <v>35791</v>
      </c>
      <c r="E21" s="458" t="s">
        <v>20512</v>
      </c>
      <c r="F21" s="458" t="s">
        <v>20513</v>
      </c>
      <c r="G21" s="458" t="s">
        <v>1188</v>
      </c>
      <c r="H21" s="461" t="s">
        <v>19878</v>
      </c>
      <c r="I21" s="459" t="n">
        <v>36661</v>
      </c>
      <c r="J21" s="460" t="n">
        <v>5</v>
      </c>
      <c r="K21" s="634" t="s">
        <v>45</v>
      </c>
      <c r="L21" s="458" t="s">
        <v>60</v>
      </c>
      <c r="M21" s="463" t="n">
        <f aca="false">I21-D21</f>
        <v>870</v>
      </c>
      <c r="N21" s="4"/>
      <c r="O21" s="413" t="s">
        <v>2215</v>
      </c>
      <c r="P21" s="413"/>
      <c r="Q21" s="413"/>
      <c r="R21" s="413"/>
      <c r="S21" s="413"/>
    </row>
    <row r="22" customFormat="false" ht="12.75" hidden="false" customHeight="true" outlineLevel="0" collapsed="false">
      <c r="A22" s="602" t="n">
        <v>2100</v>
      </c>
      <c r="B22" s="452" t="s">
        <v>20514</v>
      </c>
      <c r="C22" s="452" t="n">
        <v>1998</v>
      </c>
      <c r="D22" s="451" t="n">
        <v>36037</v>
      </c>
      <c r="E22" s="450" t="s">
        <v>20515</v>
      </c>
      <c r="F22" s="450" t="s">
        <v>1211</v>
      </c>
      <c r="G22" s="450" t="s">
        <v>1188</v>
      </c>
      <c r="H22" s="453" t="s">
        <v>2421</v>
      </c>
      <c r="I22" s="451" t="n">
        <v>36661</v>
      </c>
      <c r="J22" s="452" t="n">
        <v>5</v>
      </c>
      <c r="K22" s="631" t="s">
        <v>42</v>
      </c>
      <c r="L22" s="452" t="s">
        <v>60</v>
      </c>
      <c r="M22" s="455" t="n">
        <f aca="false">I22-D22</f>
        <v>624</v>
      </c>
      <c r="N22" s="4"/>
      <c r="O22" s="414" t="s">
        <v>2220</v>
      </c>
      <c r="P22" s="414"/>
      <c r="Q22" s="414"/>
      <c r="R22" s="414"/>
      <c r="S22" s="414"/>
    </row>
    <row r="23" customFormat="false" ht="12.75" hidden="false" customHeight="true" outlineLevel="0" collapsed="false">
      <c r="A23" s="594" t="n">
        <v>2200</v>
      </c>
      <c r="B23" s="460" t="s">
        <v>20516</v>
      </c>
      <c r="C23" s="460" t="n">
        <v>1998</v>
      </c>
      <c r="D23" s="459" t="n">
        <v>36030</v>
      </c>
      <c r="E23" s="458" t="s">
        <v>20517</v>
      </c>
      <c r="F23" s="458" t="s">
        <v>19863</v>
      </c>
      <c r="G23" s="458" t="s">
        <v>115</v>
      </c>
      <c r="H23" s="461" t="s">
        <v>1791</v>
      </c>
      <c r="I23" s="459" t="n">
        <v>36661</v>
      </c>
      <c r="J23" s="460" t="n">
        <v>5</v>
      </c>
      <c r="K23" s="631" t="s">
        <v>42</v>
      </c>
      <c r="L23" s="458" t="s">
        <v>60</v>
      </c>
      <c r="M23" s="463" t="n">
        <f aca="false">I23-D23</f>
        <v>631</v>
      </c>
      <c r="N23" s="4"/>
      <c r="O23" s="413" t="s">
        <v>18107</v>
      </c>
      <c r="P23" s="413"/>
      <c r="Q23" s="413"/>
      <c r="R23" s="413"/>
      <c r="S23" s="413"/>
    </row>
    <row r="24" customFormat="false" ht="12.75" hidden="false" customHeight="true" outlineLevel="0" collapsed="false">
      <c r="A24" s="602" t="n">
        <v>2300</v>
      </c>
      <c r="B24" s="452" t="s">
        <v>20518</v>
      </c>
      <c r="C24" s="452" t="n">
        <v>1996</v>
      </c>
      <c r="D24" s="451" t="n">
        <v>35230</v>
      </c>
      <c r="E24" s="450" t="s">
        <v>20519</v>
      </c>
      <c r="F24" s="450" t="s">
        <v>9092</v>
      </c>
      <c r="G24" s="450" t="s">
        <v>144</v>
      </c>
      <c r="H24" s="453" t="s">
        <v>10901</v>
      </c>
      <c r="I24" s="451" t="n">
        <v>36676</v>
      </c>
      <c r="J24" s="452" t="n">
        <v>5</v>
      </c>
      <c r="K24" s="634" t="s">
        <v>45</v>
      </c>
      <c r="L24" s="452" t="s">
        <v>60</v>
      </c>
      <c r="M24" s="455" t="n">
        <f aca="false">I24-D24</f>
        <v>1446</v>
      </c>
      <c r="N24" s="4"/>
      <c r="O24" s="415" t="s">
        <v>2229</v>
      </c>
      <c r="P24" s="415"/>
      <c r="Q24" s="415"/>
      <c r="R24" s="415"/>
      <c r="S24" s="415"/>
    </row>
    <row r="25" customFormat="false" ht="12.75" hidden="false" customHeight="true" outlineLevel="0" collapsed="false">
      <c r="A25" s="594" t="n">
        <v>2400</v>
      </c>
      <c r="B25" s="460" t="s">
        <v>20520</v>
      </c>
      <c r="C25" s="460" t="n">
        <v>1998</v>
      </c>
      <c r="D25" s="459" t="n">
        <v>36078</v>
      </c>
      <c r="E25" s="458" t="s">
        <v>20521</v>
      </c>
      <c r="F25" s="458" t="s">
        <v>5709</v>
      </c>
      <c r="G25" s="458" t="s">
        <v>144</v>
      </c>
      <c r="H25" s="461" t="s">
        <v>20020</v>
      </c>
      <c r="I25" s="459" t="n">
        <v>36676</v>
      </c>
      <c r="J25" s="460" t="n">
        <v>5</v>
      </c>
      <c r="K25" s="633" t="s">
        <v>47</v>
      </c>
      <c r="L25" s="458" t="s">
        <v>58</v>
      </c>
      <c r="M25" s="463" t="n">
        <f aca="false">I25-D25</f>
        <v>598</v>
      </c>
      <c r="N25" s="4"/>
      <c r="O25" s="153"/>
      <c r="P25" s="153"/>
      <c r="Q25" s="153"/>
      <c r="R25" s="153"/>
      <c r="S25" s="153"/>
    </row>
    <row r="26" customFormat="false" ht="13.5" hidden="false" customHeight="true" outlineLevel="0" collapsed="false">
      <c r="A26" s="602" t="n">
        <v>2500</v>
      </c>
      <c r="B26" s="452" t="s">
        <v>20522</v>
      </c>
      <c r="C26" s="452" t="n">
        <v>1998</v>
      </c>
      <c r="D26" s="451" t="n">
        <v>36105</v>
      </c>
      <c r="E26" s="450" t="s">
        <v>20523</v>
      </c>
      <c r="F26" s="450" t="s">
        <v>699</v>
      </c>
      <c r="G26" s="450" t="s">
        <v>144</v>
      </c>
      <c r="H26" s="453" t="s">
        <v>693</v>
      </c>
      <c r="I26" s="451" t="n">
        <v>36686</v>
      </c>
      <c r="J26" s="452" t="n">
        <v>6</v>
      </c>
      <c r="K26" s="633" t="s">
        <v>47</v>
      </c>
      <c r="L26" s="452" t="s">
        <v>60</v>
      </c>
      <c r="M26" s="455" t="n">
        <f aca="false">I26-D26</f>
        <v>581</v>
      </c>
      <c r="N26" s="4"/>
      <c r="O26" s="326" t="s">
        <v>185</v>
      </c>
      <c r="P26" s="326"/>
      <c r="Q26" s="326"/>
      <c r="R26" s="326"/>
      <c r="S26" s="326"/>
    </row>
    <row r="27" customFormat="false" ht="13.5" hidden="false" customHeight="true" outlineLevel="0" collapsed="false">
      <c r="A27" s="594" t="n">
        <v>2600</v>
      </c>
      <c r="B27" s="460" t="s">
        <v>20524</v>
      </c>
      <c r="C27" s="460" t="n">
        <v>1999</v>
      </c>
      <c r="D27" s="459" t="n">
        <v>36323</v>
      </c>
      <c r="E27" s="458" t="s">
        <v>20525</v>
      </c>
      <c r="F27" s="458" t="s">
        <v>1080</v>
      </c>
      <c r="G27" s="458" t="s">
        <v>144</v>
      </c>
      <c r="H27" s="461" t="s">
        <v>134</v>
      </c>
      <c r="I27" s="459" t="n">
        <v>36686</v>
      </c>
      <c r="J27" s="460" t="n">
        <v>6</v>
      </c>
      <c r="K27" s="633" t="s">
        <v>47</v>
      </c>
      <c r="L27" s="458" t="s">
        <v>58</v>
      </c>
      <c r="M27" s="463" t="n">
        <f aca="false">I27-D27</f>
        <v>363</v>
      </c>
      <c r="N27" s="4"/>
      <c r="O27" s="326"/>
      <c r="P27" s="326"/>
      <c r="Q27" s="326"/>
      <c r="R27" s="326"/>
      <c r="S27" s="326"/>
    </row>
    <row r="28" customFormat="false" ht="12.75" hidden="false" customHeight="true" outlineLevel="0" collapsed="false">
      <c r="A28" s="602" t="n">
        <v>2700</v>
      </c>
      <c r="B28" s="452" t="s">
        <v>20526</v>
      </c>
      <c r="C28" s="452" t="n">
        <v>1999</v>
      </c>
      <c r="D28" s="451" t="n">
        <v>36377</v>
      </c>
      <c r="E28" s="450" t="s">
        <v>20527</v>
      </c>
      <c r="F28" s="450" t="s">
        <v>365</v>
      </c>
      <c r="G28" s="450" t="s">
        <v>144</v>
      </c>
      <c r="H28" s="453" t="s">
        <v>134</v>
      </c>
      <c r="I28" s="451" t="n">
        <v>36686</v>
      </c>
      <c r="J28" s="452" t="n">
        <v>6</v>
      </c>
      <c r="K28" s="655" t="s">
        <v>50</v>
      </c>
      <c r="L28" s="452" t="s">
        <v>60</v>
      </c>
      <c r="M28" s="455" t="n">
        <f aca="false">I28-D28</f>
        <v>309</v>
      </c>
      <c r="N28" s="4"/>
      <c r="O28" s="309" t="s">
        <v>39</v>
      </c>
      <c r="P28" s="416" t="s">
        <v>40</v>
      </c>
      <c r="Q28" s="416"/>
      <c r="R28" s="416"/>
      <c r="S28" s="313" t="s">
        <v>41</v>
      </c>
    </row>
    <row r="29" customFormat="false" ht="12.75" hidden="false" customHeight="true" outlineLevel="0" collapsed="false">
      <c r="A29" s="594" t="n">
        <v>2800</v>
      </c>
      <c r="B29" s="460" t="s">
        <v>20528</v>
      </c>
      <c r="C29" s="460" t="n">
        <v>1997</v>
      </c>
      <c r="D29" s="459" t="n">
        <v>35792</v>
      </c>
      <c r="E29" s="458" t="s">
        <v>20529</v>
      </c>
      <c r="F29" s="458" t="s">
        <v>20530</v>
      </c>
      <c r="G29" s="458" t="s">
        <v>144</v>
      </c>
      <c r="H29" s="461" t="s">
        <v>2421</v>
      </c>
      <c r="I29" s="459" t="n">
        <v>36697</v>
      </c>
      <c r="J29" s="460" t="n">
        <v>6</v>
      </c>
      <c r="K29" s="634" t="s">
        <v>45</v>
      </c>
      <c r="L29" s="458" t="s">
        <v>60</v>
      </c>
      <c r="M29" s="463" t="n">
        <f aca="false">I29-D29</f>
        <v>905</v>
      </c>
      <c r="N29" s="4"/>
      <c r="O29" s="283" t="n">
        <v>1988</v>
      </c>
      <c r="P29" s="283" t="n">
        <f aca="false">COUNTIF($C$2:$C$503,"1988")</f>
        <v>0</v>
      </c>
      <c r="Q29" s="283"/>
      <c r="R29" s="283"/>
      <c r="S29" s="315" t="n">
        <f aca="false">P29/P42</f>
        <v>0</v>
      </c>
    </row>
    <row r="30" customFormat="false" ht="12.75" hidden="false" customHeight="true" outlineLevel="0" collapsed="false">
      <c r="A30" s="602" t="n">
        <v>2900</v>
      </c>
      <c r="B30" s="452" t="s">
        <v>20531</v>
      </c>
      <c r="C30" s="452" t="n">
        <v>1998</v>
      </c>
      <c r="D30" s="451" t="n">
        <v>36139</v>
      </c>
      <c r="E30" s="450" t="s">
        <v>20532</v>
      </c>
      <c r="F30" s="450" t="s">
        <v>20473</v>
      </c>
      <c r="G30" s="450" t="s">
        <v>115</v>
      </c>
      <c r="H30" s="453" t="s">
        <v>2421</v>
      </c>
      <c r="I30" s="451" t="n">
        <v>36700</v>
      </c>
      <c r="J30" s="452" t="n">
        <v>6</v>
      </c>
      <c r="K30" s="633" t="s">
        <v>47</v>
      </c>
      <c r="L30" s="452" t="s">
        <v>60</v>
      </c>
      <c r="M30" s="455" t="n">
        <f aca="false">I30-D30</f>
        <v>561</v>
      </c>
      <c r="N30" s="4"/>
      <c r="O30" s="282" t="n">
        <v>1989</v>
      </c>
      <c r="P30" s="282" t="n">
        <f aca="false">COUNTIF($C$2:$C$503,"1989")</f>
        <v>0</v>
      </c>
      <c r="Q30" s="282"/>
      <c r="R30" s="282"/>
      <c r="S30" s="316" t="n">
        <f aca="false">P30/P42</f>
        <v>0</v>
      </c>
    </row>
    <row r="31" customFormat="false" ht="12.75" hidden="false" customHeight="true" outlineLevel="0" collapsed="false">
      <c r="A31" s="594" t="n">
        <v>3000</v>
      </c>
      <c r="B31" s="283"/>
      <c r="C31" s="460" t="n">
        <v>1998</v>
      </c>
      <c r="D31" s="595"/>
      <c r="E31" s="460" t="s">
        <v>19251</v>
      </c>
      <c r="F31" s="460" t="s">
        <v>20473</v>
      </c>
      <c r="G31" s="460" t="s">
        <v>115</v>
      </c>
      <c r="H31" s="461" t="s">
        <v>2421</v>
      </c>
      <c r="I31" s="459" t="n">
        <v>36700</v>
      </c>
      <c r="J31" s="460" t="n">
        <v>6</v>
      </c>
      <c r="K31" s="633" t="s">
        <v>47</v>
      </c>
      <c r="L31" s="458" t="s">
        <v>60</v>
      </c>
      <c r="M31" s="463"/>
      <c r="N31" s="4"/>
      <c r="O31" s="283" t="n">
        <v>1990</v>
      </c>
      <c r="P31" s="283" t="n">
        <f aca="false">COUNTIF($C$2:$C$503,"1990")</f>
        <v>1</v>
      </c>
      <c r="Q31" s="283"/>
      <c r="R31" s="283"/>
      <c r="S31" s="315" t="n">
        <f aca="false">P31/P42</f>
        <v>0.0123456790123457</v>
      </c>
    </row>
    <row r="32" customFormat="false" ht="12.75" hidden="false" customHeight="true" outlineLevel="0" collapsed="false">
      <c r="A32" s="602" t="n">
        <v>3100</v>
      </c>
      <c r="B32" s="452" t="s">
        <v>20533</v>
      </c>
      <c r="C32" s="452" t="n">
        <v>1995</v>
      </c>
      <c r="D32" s="451" t="n">
        <v>34747</v>
      </c>
      <c r="E32" s="450" t="s">
        <v>20534</v>
      </c>
      <c r="F32" s="450" t="s">
        <v>19302</v>
      </c>
      <c r="G32" s="450" t="s">
        <v>1474</v>
      </c>
      <c r="H32" s="453" t="s">
        <v>20139</v>
      </c>
      <c r="I32" s="451" t="n">
        <v>36706</v>
      </c>
      <c r="J32" s="452" t="n">
        <v>6</v>
      </c>
      <c r="K32" s="633" t="s">
        <v>47</v>
      </c>
      <c r="L32" s="452" t="s">
        <v>60</v>
      </c>
      <c r="M32" s="455" t="n">
        <f aca="false">I32-D32</f>
        <v>1959</v>
      </c>
      <c r="N32" s="4"/>
      <c r="O32" s="282" t="n">
        <v>1991</v>
      </c>
      <c r="P32" s="282" t="n">
        <f aca="false">COUNTIF($C$2:$C$503,"1991")</f>
        <v>0</v>
      </c>
      <c r="Q32" s="282"/>
      <c r="R32" s="282"/>
      <c r="S32" s="316" t="n">
        <f aca="false">P32/P42</f>
        <v>0</v>
      </c>
    </row>
    <row r="33" customFormat="false" ht="12.75" hidden="false" customHeight="true" outlineLevel="0" collapsed="false">
      <c r="A33" s="594" t="n">
        <v>3200</v>
      </c>
      <c r="B33" s="460" t="s">
        <v>20535</v>
      </c>
      <c r="C33" s="460" t="n">
        <v>1999</v>
      </c>
      <c r="D33" s="459" t="n">
        <v>36490</v>
      </c>
      <c r="E33" s="458" t="s">
        <v>20536</v>
      </c>
      <c r="F33" s="458" t="s">
        <v>1243</v>
      </c>
      <c r="G33" s="458" t="s">
        <v>144</v>
      </c>
      <c r="H33" s="461" t="s">
        <v>20330</v>
      </c>
      <c r="I33" s="459" t="n">
        <v>36710</v>
      </c>
      <c r="J33" s="460" t="n">
        <v>7</v>
      </c>
      <c r="K33" s="633" t="s">
        <v>47</v>
      </c>
      <c r="L33" s="458" t="s">
        <v>60</v>
      </c>
      <c r="M33" s="463" t="n">
        <f aca="false">I33-D33</f>
        <v>220</v>
      </c>
      <c r="N33" s="4"/>
      <c r="O33" s="283" t="n">
        <v>1992</v>
      </c>
      <c r="P33" s="283" t="n">
        <f aca="false">COUNTIF($C$2:$C$503,"1992")</f>
        <v>4</v>
      </c>
      <c r="Q33" s="283"/>
      <c r="R33" s="283"/>
      <c r="S33" s="315" t="n">
        <f aca="false">P33/P42</f>
        <v>0.0493827160493827</v>
      </c>
    </row>
    <row r="34" customFormat="false" ht="12.75" hidden="false" customHeight="true" outlineLevel="0" collapsed="false">
      <c r="A34" s="602" t="n">
        <v>3300</v>
      </c>
      <c r="B34" s="452" t="s">
        <v>20537</v>
      </c>
      <c r="C34" s="452" t="n">
        <v>1999</v>
      </c>
      <c r="D34" s="451" t="n">
        <v>36477</v>
      </c>
      <c r="E34" s="450" t="s">
        <v>20538</v>
      </c>
      <c r="F34" s="450" t="s">
        <v>20008</v>
      </c>
      <c r="G34" s="450" t="s">
        <v>144</v>
      </c>
      <c r="H34" s="453" t="s">
        <v>20330</v>
      </c>
      <c r="I34" s="451" t="n">
        <v>36711</v>
      </c>
      <c r="J34" s="452" t="n">
        <v>7</v>
      </c>
      <c r="K34" s="655" t="s">
        <v>50</v>
      </c>
      <c r="L34" s="452" t="s">
        <v>58</v>
      </c>
      <c r="M34" s="455" t="n">
        <f aca="false">I34-D34</f>
        <v>234</v>
      </c>
      <c r="N34" s="4"/>
      <c r="O34" s="282" t="n">
        <v>1993</v>
      </c>
      <c r="P34" s="282" t="n">
        <f aca="false">COUNTIF($C$2:$C$503,"1993")</f>
        <v>1</v>
      </c>
      <c r="Q34" s="282"/>
      <c r="R34" s="282"/>
      <c r="S34" s="316" t="n">
        <f aca="false">P34/P42</f>
        <v>0.0123456790123457</v>
      </c>
    </row>
    <row r="35" customFormat="false" ht="12.75" hidden="false" customHeight="true" outlineLevel="0" collapsed="false">
      <c r="A35" s="594" t="n">
        <v>3400</v>
      </c>
      <c r="B35" s="460" t="s">
        <v>20539</v>
      </c>
      <c r="C35" s="460" t="n">
        <v>1997</v>
      </c>
      <c r="D35" s="459" t="n">
        <v>35792</v>
      </c>
      <c r="E35" s="458" t="s">
        <v>20540</v>
      </c>
      <c r="F35" s="458" t="s">
        <v>1211</v>
      </c>
      <c r="G35" s="458" t="s">
        <v>115</v>
      </c>
      <c r="H35" s="461" t="s">
        <v>2421</v>
      </c>
      <c r="I35" s="459" t="n">
        <v>36714</v>
      </c>
      <c r="J35" s="460" t="n">
        <v>7</v>
      </c>
      <c r="K35" s="634" t="s">
        <v>45</v>
      </c>
      <c r="L35" s="458" t="s">
        <v>60</v>
      </c>
      <c r="M35" s="463" t="n">
        <f aca="false">I35-D35</f>
        <v>922</v>
      </c>
      <c r="N35" s="4"/>
      <c r="O35" s="283" t="n">
        <v>1994</v>
      </c>
      <c r="P35" s="283" t="n">
        <f aca="false">COUNTIF($C$2:$C$503,"1994")</f>
        <v>1</v>
      </c>
      <c r="Q35" s="283"/>
      <c r="R35" s="283"/>
      <c r="S35" s="315" t="n">
        <f aca="false">P35/P42</f>
        <v>0.0123456790123457</v>
      </c>
    </row>
    <row r="36" customFormat="false" ht="12.75" hidden="false" customHeight="true" outlineLevel="0" collapsed="false">
      <c r="A36" s="602" t="n">
        <v>3500</v>
      </c>
      <c r="B36" s="452" t="s">
        <v>20541</v>
      </c>
      <c r="C36" s="452" t="n">
        <v>1997</v>
      </c>
      <c r="D36" s="451" t="n">
        <v>35792</v>
      </c>
      <c r="E36" s="450" t="s">
        <v>20542</v>
      </c>
      <c r="F36" s="450" t="s">
        <v>1211</v>
      </c>
      <c r="G36" s="450" t="s">
        <v>115</v>
      </c>
      <c r="H36" s="453" t="s">
        <v>2421</v>
      </c>
      <c r="I36" s="451" t="n">
        <v>36714</v>
      </c>
      <c r="J36" s="452" t="n">
        <v>7</v>
      </c>
      <c r="K36" s="634" t="s">
        <v>45</v>
      </c>
      <c r="L36" s="452" t="s">
        <v>60</v>
      </c>
      <c r="M36" s="455" t="n">
        <f aca="false">I36-D36</f>
        <v>922</v>
      </c>
      <c r="N36" s="4"/>
      <c r="O36" s="282" t="n">
        <v>1995</v>
      </c>
      <c r="P36" s="282" t="n">
        <f aca="false">COUNTIF($C$2:$C$503,"1995")</f>
        <v>4</v>
      </c>
      <c r="Q36" s="282"/>
      <c r="R36" s="282"/>
      <c r="S36" s="316" t="n">
        <f aca="false">P36/P42</f>
        <v>0.0493827160493827</v>
      </c>
    </row>
    <row r="37" customFormat="false" ht="15" hidden="false" customHeight="true" outlineLevel="0" collapsed="false">
      <c r="A37" s="594" t="n">
        <v>3600</v>
      </c>
      <c r="B37" s="460" t="s">
        <v>20543</v>
      </c>
      <c r="C37" s="460" t="n">
        <v>1995</v>
      </c>
      <c r="D37" s="459" t="n">
        <v>35049</v>
      </c>
      <c r="E37" s="458" t="s">
        <v>20544</v>
      </c>
      <c r="F37" s="458" t="s">
        <v>467</v>
      </c>
      <c r="G37" s="458" t="s">
        <v>144</v>
      </c>
      <c r="H37" s="461" t="s">
        <v>254</v>
      </c>
      <c r="I37" s="459" t="n">
        <v>36727</v>
      </c>
      <c r="J37" s="460" t="n">
        <v>7</v>
      </c>
      <c r="K37" s="633" t="s">
        <v>47</v>
      </c>
      <c r="L37" s="458" t="s">
        <v>60</v>
      </c>
      <c r="M37" s="463" t="n">
        <f aca="false">I37-D37</f>
        <v>1678</v>
      </c>
      <c r="N37" s="4"/>
      <c r="O37" s="283" t="n">
        <v>1996</v>
      </c>
      <c r="P37" s="283" t="n">
        <f aca="false">COUNTIF($C$2:$C$503,"1996")</f>
        <v>5</v>
      </c>
      <c r="Q37" s="283"/>
      <c r="R37" s="283"/>
      <c r="S37" s="315" t="n">
        <f aca="false">P37/P42</f>
        <v>0.0617283950617284</v>
      </c>
    </row>
    <row r="38" customFormat="false" ht="12.75" hidden="false" customHeight="true" outlineLevel="0" collapsed="false">
      <c r="A38" s="602" t="n">
        <v>3700</v>
      </c>
      <c r="B38" s="452" t="s">
        <v>20545</v>
      </c>
      <c r="C38" s="452" t="n">
        <v>1995</v>
      </c>
      <c r="D38" s="451" t="n">
        <v>35051</v>
      </c>
      <c r="E38" s="450" t="s">
        <v>20546</v>
      </c>
      <c r="F38" s="450" t="s">
        <v>20547</v>
      </c>
      <c r="G38" s="450" t="s">
        <v>144</v>
      </c>
      <c r="H38" s="453" t="s">
        <v>254</v>
      </c>
      <c r="I38" s="451" t="n">
        <v>36727</v>
      </c>
      <c r="J38" s="452" t="n">
        <v>7</v>
      </c>
      <c r="K38" s="631" t="s">
        <v>42</v>
      </c>
      <c r="L38" s="452" t="s">
        <v>58</v>
      </c>
      <c r="M38" s="455" t="n">
        <f aca="false">I38-D38</f>
        <v>1676</v>
      </c>
      <c r="N38" s="4"/>
      <c r="O38" s="282" t="n">
        <v>1997</v>
      </c>
      <c r="P38" s="282" t="n">
        <f aca="false">COUNTIF($C$2:$C$503,"1997")</f>
        <v>11</v>
      </c>
      <c r="Q38" s="282"/>
      <c r="R38" s="282"/>
      <c r="S38" s="316" t="n">
        <f aca="false">P38/P42</f>
        <v>0.135802469135802</v>
      </c>
    </row>
    <row r="39" customFormat="false" ht="12.75" hidden="false" customHeight="true" outlineLevel="0" collapsed="false">
      <c r="A39" s="594" t="n">
        <v>3800</v>
      </c>
      <c r="B39" s="460" t="s">
        <v>20548</v>
      </c>
      <c r="C39" s="460" t="n">
        <v>1999</v>
      </c>
      <c r="D39" s="459" t="n">
        <v>36463</v>
      </c>
      <c r="E39" s="458" t="s">
        <v>20549</v>
      </c>
      <c r="F39" s="458" t="s">
        <v>3444</v>
      </c>
      <c r="G39" s="458" t="s">
        <v>1188</v>
      </c>
      <c r="H39" s="461" t="s">
        <v>18974</v>
      </c>
      <c r="I39" s="459" t="n">
        <v>36733</v>
      </c>
      <c r="J39" s="460" t="n">
        <v>7</v>
      </c>
      <c r="K39" s="655" t="s">
        <v>50</v>
      </c>
      <c r="L39" s="458" t="s">
        <v>58</v>
      </c>
      <c r="M39" s="463" t="n">
        <f aca="false">I39-D39</f>
        <v>270</v>
      </c>
      <c r="N39" s="4"/>
      <c r="O39" s="283" t="n">
        <v>1998</v>
      </c>
      <c r="P39" s="283" t="n">
        <f aca="false">COUNTIF($C$2:$C$503,"1998")</f>
        <v>24</v>
      </c>
      <c r="Q39" s="283"/>
      <c r="R39" s="283"/>
      <c r="S39" s="315" t="n">
        <f aca="false">P39/P42</f>
        <v>0.296296296296296</v>
      </c>
    </row>
    <row r="40" customFormat="false" ht="12.75" hidden="false" customHeight="true" outlineLevel="0" collapsed="false">
      <c r="A40" s="602" t="n">
        <v>3900</v>
      </c>
      <c r="B40" s="452" t="s">
        <v>20550</v>
      </c>
      <c r="C40" s="452" t="n">
        <v>1999</v>
      </c>
      <c r="D40" s="451" t="n">
        <v>36463</v>
      </c>
      <c r="E40" s="450" t="s">
        <v>20551</v>
      </c>
      <c r="F40" s="450" t="s">
        <v>3444</v>
      </c>
      <c r="G40" s="450" t="s">
        <v>115</v>
      </c>
      <c r="H40" s="453" t="s">
        <v>18974</v>
      </c>
      <c r="I40" s="451" t="n">
        <v>36733</v>
      </c>
      <c r="J40" s="452" t="n">
        <v>7</v>
      </c>
      <c r="K40" s="655" t="s">
        <v>50</v>
      </c>
      <c r="L40" s="452" t="s">
        <v>58</v>
      </c>
      <c r="M40" s="455" t="n">
        <f aca="false">I40-D40</f>
        <v>270</v>
      </c>
      <c r="N40" s="4"/>
      <c r="O40" s="282" t="n">
        <v>1999</v>
      </c>
      <c r="P40" s="282" t="n">
        <f aca="false">COUNTIF($C$2:$C$503,"1999")</f>
        <v>29</v>
      </c>
      <c r="Q40" s="282"/>
      <c r="R40" s="282"/>
      <c r="S40" s="316" t="n">
        <f aca="false">P40/P42</f>
        <v>0.358024691358025</v>
      </c>
    </row>
    <row r="41" customFormat="false" ht="12.75" hidden="false" customHeight="true" outlineLevel="0" collapsed="false">
      <c r="A41" s="594" t="n">
        <v>4000</v>
      </c>
      <c r="B41" s="460" t="s">
        <v>20552</v>
      </c>
      <c r="C41" s="460" t="n">
        <v>1999</v>
      </c>
      <c r="D41" s="459" t="n">
        <v>36463</v>
      </c>
      <c r="E41" s="458" t="s">
        <v>20553</v>
      </c>
      <c r="F41" s="458" t="s">
        <v>3444</v>
      </c>
      <c r="G41" s="458" t="s">
        <v>115</v>
      </c>
      <c r="H41" s="461" t="s">
        <v>18974</v>
      </c>
      <c r="I41" s="459" t="n">
        <v>36733</v>
      </c>
      <c r="J41" s="460" t="n">
        <v>7</v>
      </c>
      <c r="K41" s="655" t="s">
        <v>50</v>
      </c>
      <c r="L41" s="458" t="s">
        <v>58</v>
      </c>
      <c r="M41" s="463" t="n">
        <f aca="false">I41-D41</f>
        <v>270</v>
      </c>
      <c r="N41" s="4"/>
      <c r="O41" s="283" t="n">
        <v>2000</v>
      </c>
      <c r="P41" s="283" t="n">
        <f aca="false">COUNTIF($C$2:$C$503,"2000")</f>
        <v>1</v>
      </c>
      <c r="Q41" s="283"/>
      <c r="R41" s="283"/>
      <c r="S41" s="315" t="n">
        <f aca="false">P41/P42</f>
        <v>0.0123456790123457</v>
      </c>
    </row>
    <row r="42" customFormat="false" ht="12.75" hidden="false" customHeight="true" outlineLevel="0" collapsed="false">
      <c r="A42" s="602" t="n">
        <v>4100</v>
      </c>
      <c r="B42" s="452" t="s">
        <v>20554</v>
      </c>
      <c r="C42" s="452" t="n">
        <v>1998</v>
      </c>
      <c r="D42" s="451" t="n">
        <v>36139</v>
      </c>
      <c r="E42" s="450" t="s">
        <v>20555</v>
      </c>
      <c r="F42" s="450" t="s">
        <v>20556</v>
      </c>
      <c r="G42" s="450" t="s">
        <v>1188</v>
      </c>
      <c r="H42" s="453" t="s">
        <v>2421</v>
      </c>
      <c r="I42" s="451" t="n">
        <v>36739</v>
      </c>
      <c r="J42" s="452" t="n">
        <v>8</v>
      </c>
      <c r="K42" s="633" t="s">
        <v>47</v>
      </c>
      <c r="L42" s="452" t="s">
        <v>60</v>
      </c>
      <c r="M42" s="455" t="n">
        <f aca="false">I42-D42</f>
        <v>600</v>
      </c>
      <c r="N42" s="4"/>
      <c r="O42" s="323" t="s">
        <v>56</v>
      </c>
      <c r="P42" s="418" t="n">
        <f aca="false">SUM(P29:R41)</f>
        <v>81</v>
      </c>
      <c r="Q42" s="418"/>
      <c r="R42" s="418"/>
      <c r="S42" s="325" t="n">
        <f aca="false">SUM(S29:S41)</f>
        <v>1</v>
      </c>
    </row>
    <row r="43" customFormat="false" ht="15" hidden="false" customHeight="true" outlineLevel="0" collapsed="false">
      <c r="A43" s="594" t="n">
        <v>4200</v>
      </c>
      <c r="B43" s="460" t="s">
        <v>20557</v>
      </c>
      <c r="C43" s="460" t="n">
        <v>1999</v>
      </c>
      <c r="D43" s="459" t="n">
        <v>36298</v>
      </c>
      <c r="E43" s="458" t="s">
        <v>20558</v>
      </c>
      <c r="F43" s="458" t="s">
        <v>19703</v>
      </c>
      <c r="G43" s="458" t="s">
        <v>1188</v>
      </c>
      <c r="H43" s="461" t="s">
        <v>19960</v>
      </c>
      <c r="I43" s="459" t="n">
        <v>36739</v>
      </c>
      <c r="J43" s="460" t="n">
        <v>8</v>
      </c>
      <c r="K43" s="634" t="s">
        <v>45</v>
      </c>
      <c r="L43" s="458" t="s">
        <v>60</v>
      </c>
      <c r="M43" s="463" t="n">
        <f aca="false">I43-D43</f>
        <v>441</v>
      </c>
      <c r="N43" s="4"/>
      <c r="O43" s="153"/>
      <c r="P43" s="153"/>
      <c r="Q43" s="153"/>
      <c r="R43" s="153"/>
      <c r="S43" s="153"/>
    </row>
    <row r="44" customFormat="false" ht="15" hidden="false" customHeight="true" outlineLevel="0" collapsed="false">
      <c r="A44" s="602" t="n">
        <v>4300</v>
      </c>
      <c r="B44" s="452" t="s">
        <v>20559</v>
      </c>
      <c r="C44" s="452" t="n">
        <v>1998</v>
      </c>
      <c r="D44" s="451" t="n">
        <v>36119</v>
      </c>
      <c r="E44" s="450" t="s">
        <v>20560</v>
      </c>
      <c r="F44" s="450" t="s">
        <v>20561</v>
      </c>
      <c r="G44" s="450" t="s">
        <v>1188</v>
      </c>
      <c r="H44" s="453" t="s">
        <v>373</v>
      </c>
      <c r="I44" s="451" t="n">
        <v>36739</v>
      </c>
      <c r="J44" s="452" t="n">
        <v>8</v>
      </c>
      <c r="K44" s="655" t="s">
        <v>50</v>
      </c>
      <c r="L44" s="452" t="s">
        <v>60</v>
      </c>
      <c r="M44" s="455" t="n">
        <f aca="false">I44-D44</f>
        <v>620</v>
      </c>
      <c r="N44" s="4"/>
      <c r="O44" s="326" t="s">
        <v>272</v>
      </c>
      <c r="P44" s="326"/>
      <c r="Q44" s="326"/>
      <c r="R44" s="326"/>
      <c r="S44" s="326"/>
    </row>
    <row r="45" customFormat="false" ht="13.5" hidden="false" customHeight="true" outlineLevel="0" collapsed="false">
      <c r="A45" s="594" t="n">
        <v>4400</v>
      </c>
      <c r="B45" s="460" t="s">
        <v>20562</v>
      </c>
      <c r="C45" s="460" t="n">
        <v>1999</v>
      </c>
      <c r="D45" s="459" t="n">
        <v>36175</v>
      </c>
      <c r="E45" s="458" t="s">
        <v>20563</v>
      </c>
      <c r="F45" s="458" t="s">
        <v>509</v>
      </c>
      <c r="G45" s="458" t="s">
        <v>144</v>
      </c>
      <c r="H45" s="461" t="s">
        <v>20198</v>
      </c>
      <c r="I45" s="459" t="n">
        <v>36746</v>
      </c>
      <c r="J45" s="460" t="n">
        <v>8</v>
      </c>
      <c r="K45" s="633" t="s">
        <v>47</v>
      </c>
      <c r="L45" s="458" t="s">
        <v>58</v>
      </c>
      <c r="M45" s="463" t="n">
        <f aca="false">I45-D45</f>
        <v>571</v>
      </c>
      <c r="N45" s="4"/>
      <c r="O45" s="326"/>
      <c r="P45" s="326"/>
      <c r="Q45" s="326"/>
      <c r="R45" s="326"/>
      <c r="S45" s="326"/>
    </row>
    <row r="46" customFormat="false" ht="12.75" hidden="false" customHeight="true" outlineLevel="0" collapsed="false">
      <c r="A46" s="602" t="n">
        <v>4500</v>
      </c>
      <c r="B46" s="452" t="s">
        <v>20564</v>
      </c>
      <c r="C46" s="452" t="n">
        <v>1992</v>
      </c>
      <c r="D46" s="451" t="n">
        <v>33916</v>
      </c>
      <c r="E46" s="450" t="s">
        <v>20565</v>
      </c>
      <c r="F46" s="450" t="s">
        <v>20350</v>
      </c>
      <c r="G46" s="450" t="s">
        <v>1474</v>
      </c>
      <c r="H46" s="453" t="s">
        <v>18974</v>
      </c>
      <c r="I46" s="451" t="n">
        <v>36748</v>
      </c>
      <c r="J46" s="452" t="n">
        <v>8</v>
      </c>
      <c r="K46" s="633" t="s">
        <v>47</v>
      </c>
      <c r="L46" s="452" t="s">
        <v>58</v>
      </c>
      <c r="M46" s="455" t="n">
        <f aca="false">I46-D46</f>
        <v>2832</v>
      </c>
      <c r="N46" s="4"/>
      <c r="O46" s="309" t="s">
        <v>100</v>
      </c>
      <c r="P46" s="416" t="s">
        <v>40</v>
      </c>
      <c r="Q46" s="416"/>
      <c r="R46" s="416"/>
      <c r="S46" s="313" t="s">
        <v>41</v>
      </c>
    </row>
    <row r="47" customFormat="false" ht="12.75" hidden="false" customHeight="true" outlineLevel="0" collapsed="false">
      <c r="A47" s="594" t="n">
        <v>4600</v>
      </c>
      <c r="B47" s="460" t="s">
        <v>20566</v>
      </c>
      <c r="C47" s="460" t="n">
        <v>1997</v>
      </c>
      <c r="D47" s="459" t="n">
        <v>35783</v>
      </c>
      <c r="E47" s="458" t="s">
        <v>20567</v>
      </c>
      <c r="F47" s="458" t="s">
        <v>20303</v>
      </c>
      <c r="G47" s="458" t="s">
        <v>1188</v>
      </c>
      <c r="H47" s="461" t="s">
        <v>3339</v>
      </c>
      <c r="I47" s="459" t="n">
        <v>36759</v>
      </c>
      <c r="J47" s="460" t="n">
        <v>8</v>
      </c>
      <c r="K47" s="633" t="s">
        <v>47</v>
      </c>
      <c r="L47" s="458" t="s">
        <v>60</v>
      </c>
      <c r="M47" s="463" t="n">
        <f aca="false">I47-D47</f>
        <v>976</v>
      </c>
      <c r="N47" s="4"/>
      <c r="O47" s="314" t="s">
        <v>63</v>
      </c>
      <c r="P47" s="314" t="n">
        <f aca="false">COUNTIF($J$2:$J$476,"1")</f>
        <v>1</v>
      </c>
      <c r="Q47" s="314"/>
      <c r="R47" s="314"/>
      <c r="S47" s="469" t="n">
        <f aca="false">(P47/P59)</f>
        <v>0.0121951219512195</v>
      </c>
    </row>
    <row r="48" customFormat="false" ht="12.75" hidden="false" customHeight="true" outlineLevel="0" collapsed="false">
      <c r="A48" s="602" t="n">
        <v>4700</v>
      </c>
      <c r="B48" s="452" t="s">
        <v>20568</v>
      </c>
      <c r="C48" s="452" t="n">
        <v>1998</v>
      </c>
      <c r="D48" s="451" t="n">
        <v>36126</v>
      </c>
      <c r="E48" s="450" t="s">
        <v>20569</v>
      </c>
      <c r="F48" s="450" t="s">
        <v>7411</v>
      </c>
      <c r="G48" s="450" t="s">
        <v>144</v>
      </c>
      <c r="H48" s="453" t="s">
        <v>1791</v>
      </c>
      <c r="I48" s="451" t="n">
        <v>36774</v>
      </c>
      <c r="J48" s="452" t="n">
        <v>9</v>
      </c>
      <c r="K48" s="655" t="s">
        <v>50</v>
      </c>
      <c r="L48" s="452" t="s">
        <v>60</v>
      </c>
      <c r="M48" s="455" t="n">
        <f aca="false">I48-D48</f>
        <v>648</v>
      </c>
      <c r="N48" s="4"/>
      <c r="O48" s="282" t="s">
        <v>64</v>
      </c>
      <c r="P48" s="282" t="n">
        <f aca="false">COUNTIF($J$2:$J$476,"2")</f>
        <v>9</v>
      </c>
      <c r="Q48" s="282"/>
      <c r="R48" s="282"/>
      <c r="S48" s="316" t="n">
        <f aca="false">(P48/P59)</f>
        <v>0.109756097560976</v>
      </c>
    </row>
    <row r="49" customFormat="false" ht="12.75" hidden="false" customHeight="true" outlineLevel="0" collapsed="false">
      <c r="A49" s="594" t="n">
        <v>4800</v>
      </c>
      <c r="B49" s="460" t="s">
        <v>20570</v>
      </c>
      <c r="C49" s="460" t="n">
        <v>1992</v>
      </c>
      <c r="D49" s="459" t="n">
        <v>33948</v>
      </c>
      <c r="E49" s="458" t="s">
        <v>20571</v>
      </c>
      <c r="F49" s="458" t="s">
        <v>20572</v>
      </c>
      <c r="G49" s="458" t="s">
        <v>1474</v>
      </c>
      <c r="H49" s="461" t="s">
        <v>20211</v>
      </c>
      <c r="I49" s="459" t="n">
        <v>36788</v>
      </c>
      <c r="J49" s="460" t="n">
        <v>9</v>
      </c>
      <c r="K49" s="655" t="s">
        <v>50</v>
      </c>
      <c r="L49" s="458" t="s">
        <v>58</v>
      </c>
      <c r="M49" s="463" t="n">
        <f aca="false">I49-D49</f>
        <v>2840</v>
      </c>
      <c r="N49" s="4"/>
      <c r="O49" s="283" t="s">
        <v>66</v>
      </c>
      <c r="P49" s="283" t="n">
        <f aca="false">COUNTIF($J$2:$J$476,"3")</f>
        <v>1</v>
      </c>
      <c r="Q49" s="283"/>
      <c r="R49" s="283"/>
      <c r="S49" s="315" t="n">
        <f aca="false">(P49/P59)</f>
        <v>0.0121951219512195</v>
      </c>
      <c r="T49" s="153"/>
    </row>
    <row r="50" customFormat="false" ht="12.75" hidden="false" customHeight="true" outlineLevel="0" collapsed="false">
      <c r="A50" s="602" t="n">
        <v>4900</v>
      </c>
      <c r="B50" s="452" t="s">
        <v>20573</v>
      </c>
      <c r="C50" s="452" t="n">
        <v>1999</v>
      </c>
      <c r="D50" s="451" t="n">
        <v>36459</v>
      </c>
      <c r="E50" s="450" t="s">
        <v>20574</v>
      </c>
      <c r="F50" s="450" t="s">
        <v>20561</v>
      </c>
      <c r="G50" s="450" t="s">
        <v>115</v>
      </c>
      <c r="H50" s="453" t="s">
        <v>373</v>
      </c>
      <c r="I50" s="451" t="n">
        <v>36790</v>
      </c>
      <c r="J50" s="452" t="n">
        <v>9</v>
      </c>
      <c r="K50" s="634" t="s">
        <v>45</v>
      </c>
      <c r="L50" s="452" t="s">
        <v>58</v>
      </c>
      <c r="M50" s="455" t="n">
        <f aca="false">I50-D50</f>
        <v>331</v>
      </c>
      <c r="N50" s="4"/>
      <c r="O50" s="282" t="s">
        <v>67</v>
      </c>
      <c r="P50" s="282" t="n">
        <f aca="false">COUNTIF($J$2:$J$476,"4")</f>
        <v>4</v>
      </c>
      <c r="Q50" s="282"/>
      <c r="R50" s="282"/>
      <c r="S50" s="316" t="n">
        <f aca="false">(P50/P59)</f>
        <v>0.0487804878048781</v>
      </c>
      <c r="T50" s="153"/>
    </row>
    <row r="51" customFormat="false" ht="12.75" hidden="false" customHeight="true" outlineLevel="0" collapsed="false">
      <c r="A51" s="594" t="n">
        <v>5000</v>
      </c>
      <c r="B51" s="460" t="s">
        <v>20575</v>
      </c>
      <c r="C51" s="460" t="n">
        <v>1998</v>
      </c>
      <c r="D51" s="459" t="n">
        <v>36035</v>
      </c>
      <c r="E51" s="458" t="s">
        <v>20576</v>
      </c>
      <c r="F51" s="458" t="s">
        <v>5282</v>
      </c>
      <c r="G51" s="458" t="s">
        <v>115</v>
      </c>
      <c r="H51" s="461" t="s">
        <v>134</v>
      </c>
      <c r="I51" s="459" t="n">
        <v>36794</v>
      </c>
      <c r="J51" s="460" t="n">
        <v>9</v>
      </c>
      <c r="K51" s="655" t="s">
        <v>50</v>
      </c>
      <c r="L51" s="458" t="s">
        <v>60</v>
      </c>
      <c r="M51" s="463" t="n">
        <f aca="false">I51-D51</f>
        <v>759</v>
      </c>
      <c r="N51" s="4"/>
      <c r="O51" s="283" t="s">
        <v>68</v>
      </c>
      <c r="P51" s="283" t="n">
        <f aca="false">COUNTIF($J$2:$J$476,"5")</f>
        <v>9</v>
      </c>
      <c r="Q51" s="283"/>
      <c r="R51" s="283"/>
      <c r="S51" s="315" t="n">
        <f aca="false">(P51/P59)</f>
        <v>0.109756097560976</v>
      </c>
      <c r="T51" s="153"/>
    </row>
    <row r="52" customFormat="false" ht="12.75" hidden="false" customHeight="true" outlineLevel="0" collapsed="false">
      <c r="A52" s="602" t="n">
        <v>5100</v>
      </c>
      <c r="B52" s="452" t="s">
        <v>20577</v>
      </c>
      <c r="C52" s="452" t="n">
        <v>1999</v>
      </c>
      <c r="D52" s="451" t="n">
        <v>36191</v>
      </c>
      <c r="E52" s="450" t="s">
        <v>20578</v>
      </c>
      <c r="F52" s="450" t="s">
        <v>18393</v>
      </c>
      <c r="G52" s="450" t="s">
        <v>144</v>
      </c>
      <c r="H52" s="453" t="s">
        <v>18394</v>
      </c>
      <c r="I52" s="451" t="n">
        <v>36805</v>
      </c>
      <c r="J52" s="452" t="n">
        <v>10</v>
      </c>
      <c r="K52" s="655" t="s">
        <v>50</v>
      </c>
      <c r="L52" s="452" t="s">
        <v>61</v>
      </c>
      <c r="M52" s="455" t="n">
        <f aca="false">I52-D52</f>
        <v>614</v>
      </c>
      <c r="N52" s="4"/>
      <c r="O52" s="282" t="s">
        <v>70</v>
      </c>
      <c r="P52" s="282" t="n">
        <f aca="false">COUNTIF($J$2:$J$476,"6")</f>
        <v>7</v>
      </c>
      <c r="Q52" s="282"/>
      <c r="R52" s="282"/>
      <c r="S52" s="316" t="n">
        <f aca="false">(P52/P59)</f>
        <v>0.0853658536585366</v>
      </c>
      <c r="T52" s="153"/>
    </row>
    <row r="53" customFormat="false" ht="12.75" hidden="false" customHeight="true" outlineLevel="0" collapsed="false">
      <c r="A53" s="594" t="n">
        <v>5200</v>
      </c>
      <c r="B53" s="460" t="s">
        <v>20579</v>
      </c>
      <c r="C53" s="460" t="n">
        <v>1999</v>
      </c>
      <c r="D53" s="459" t="n">
        <v>36448</v>
      </c>
      <c r="E53" s="458" t="s">
        <v>20580</v>
      </c>
      <c r="F53" s="458" t="s">
        <v>20581</v>
      </c>
      <c r="G53" s="458" t="s">
        <v>144</v>
      </c>
      <c r="H53" s="461" t="s">
        <v>1791</v>
      </c>
      <c r="I53" s="459" t="n">
        <v>36808</v>
      </c>
      <c r="J53" s="460" t="n">
        <v>10</v>
      </c>
      <c r="K53" s="631" t="s">
        <v>42</v>
      </c>
      <c r="L53" s="458" t="s">
        <v>58</v>
      </c>
      <c r="M53" s="463" t="n">
        <f aca="false">I53-D53</f>
        <v>360</v>
      </c>
      <c r="N53" s="4"/>
      <c r="O53" s="283" t="s">
        <v>72</v>
      </c>
      <c r="P53" s="283" t="n">
        <f aca="false">COUNTIF($J$2:$J$476,"7")</f>
        <v>9</v>
      </c>
      <c r="Q53" s="283"/>
      <c r="R53" s="283"/>
      <c r="S53" s="315" t="n">
        <f aca="false">(P53/P59)</f>
        <v>0.109756097560976</v>
      </c>
      <c r="T53" s="153"/>
    </row>
    <row r="54" customFormat="false" ht="12.75" hidden="false" customHeight="true" outlineLevel="0" collapsed="false">
      <c r="A54" s="602" t="n">
        <v>5300</v>
      </c>
      <c r="B54" s="452" t="s">
        <v>20582</v>
      </c>
      <c r="C54" s="452" t="n">
        <v>1999</v>
      </c>
      <c r="D54" s="451" t="n">
        <v>36311</v>
      </c>
      <c r="E54" s="450" t="s">
        <v>20583</v>
      </c>
      <c r="F54" s="450" t="s">
        <v>9647</v>
      </c>
      <c r="G54" s="450" t="s">
        <v>144</v>
      </c>
      <c r="H54" s="453" t="s">
        <v>1109</v>
      </c>
      <c r="I54" s="451" t="n">
        <v>36809</v>
      </c>
      <c r="J54" s="452" t="n">
        <v>10</v>
      </c>
      <c r="K54" s="655" t="s">
        <v>50</v>
      </c>
      <c r="L54" s="452" t="s">
        <v>60</v>
      </c>
      <c r="M54" s="455" t="n">
        <f aca="false">I54-D54</f>
        <v>498</v>
      </c>
      <c r="N54" s="4"/>
      <c r="O54" s="282" t="s">
        <v>74</v>
      </c>
      <c r="P54" s="282" t="n">
        <f aca="false">COUNTIF($J$2:$J$476,"8")</f>
        <v>6</v>
      </c>
      <c r="Q54" s="282"/>
      <c r="R54" s="282"/>
      <c r="S54" s="316" t="n">
        <f aca="false">(P54/P59)</f>
        <v>0.0731707317073171</v>
      </c>
      <c r="T54" s="153"/>
    </row>
    <row r="55" customFormat="false" ht="12.75" hidden="false" customHeight="true" outlineLevel="0" collapsed="false">
      <c r="A55" s="594" t="n">
        <v>5400</v>
      </c>
      <c r="B55" s="460" t="s">
        <v>20584</v>
      </c>
      <c r="C55" s="460" t="n">
        <v>1997</v>
      </c>
      <c r="D55" s="459" t="n">
        <v>35764</v>
      </c>
      <c r="E55" s="458" t="s">
        <v>20585</v>
      </c>
      <c r="F55" s="458" t="s">
        <v>18365</v>
      </c>
      <c r="G55" s="458" t="s">
        <v>144</v>
      </c>
      <c r="H55" s="461" t="s">
        <v>13028</v>
      </c>
      <c r="I55" s="459" t="n">
        <v>36812</v>
      </c>
      <c r="J55" s="460" t="n">
        <v>10</v>
      </c>
      <c r="K55" s="655" t="s">
        <v>50</v>
      </c>
      <c r="L55" s="458" t="s">
        <v>60</v>
      </c>
      <c r="M55" s="463" t="n">
        <f aca="false">I55-D55</f>
        <v>1048</v>
      </c>
      <c r="N55" s="4"/>
      <c r="O55" s="283" t="s">
        <v>76</v>
      </c>
      <c r="P55" s="283" t="n">
        <f aca="false">COUNTIF($J$2:$J$476,"9")</f>
        <v>4</v>
      </c>
      <c r="Q55" s="283"/>
      <c r="R55" s="283"/>
      <c r="S55" s="315" t="n">
        <f aca="false">(P55/P59)</f>
        <v>0.0487804878048781</v>
      </c>
      <c r="T55" s="153"/>
    </row>
    <row r="56" customFormat="false" ht="12.75" hidden="false" customHeight="true" outlineLevel="0" collapsed="false">
      <c r="A56" s="602" t="n">
        <v>5500</v>
      </c>
      <c r="B56" s="452" t="s">
        <v>20586</v>
      </c>
      <c r="C56" s="452" t="n">
        <v>1999</v>
      </c>
      <c r="D56" s="451" t="n">
        <v>36287</v>
      </c>
      <c r="E56" s="450" t="s">
        <v>20587</v>
      </c>
      <c r="F56" s="450" t="s">
        <v>3190</v>
      </c>
      <c r="G56" s="450" t="s">
        <v>1474</v>
      </c>
      <c r="H56" s="453" t="s">
        <v>20072</v>
      </c>
      <c r="I56" s="451" t="n">
        <v>36823</v>
      </c>
      <c r="J56" s="452" t="n">
        <v>10</v>
      </c>
      <c r="K56" s="633" t="s">
        <v>47</v>
      </c>
      <c r="L56" s="452" t="s">
        <v>60</v>
      </c>
      <c r="M56" s="455" t="n">
        <f aca="false">I56-D56</f>
        <v>536</v>
      </c>
      <c r="N56" s="4"/>
      <c r="O56" s="282" t="s">
        <v>78</v>
      </c>
      <c r="P56" s="282" t="n">
        <f aca="false">COUNTIF($J$2:$J$476,"10")</f>
        <v>10</v>
      </c>
      <c r="Q56" s="282"/>
      <c r="R56" s="282"/>
      <c r="S56" s="316" t="n">
        <f aca="false">(P56/P59)</f>
        <v>0.121951219512195</v>
      </c>
      <c r="T56" s="153"/>
    </row>
    <row r="57" customFormat="false" ht="12.75" hidden="false" customHeight="true" outlineLevel="0" collapsed="false">
      <c r="A57" s="594" t="n">
        <v>5600</v>
      </c>
      <c r="B57" s="460" t="s">
        <v>20588</v>
      </c>
      <c r="C57" s="460" t="n">
        <v>1996</v>
      </c>
      <c r="D57" s="459" t="n">
        <v>35095</v>
      </c>
      <c r="E57" s="458" t="s">
        <v>20589</v>
      </c>
      <c r="F57" s="458" t="s">
        <v>20261</v>
      </c>
      <c r="G57" s="458" t="s">
        <v>1474</v>
      </c>
      <c r="H57" s="461" t="s">
        <v>254</v>
      </c>
      <c r="I57" s="459" t="n">
        <v>36823</v>
      </c>
      <c r="J57" s="460" t="n">
        <v>10</v>
      </c>
      <c r="K57" s="634" t="s">
        <v>45</v>
      </c>
      <c r="L57" s="458" t="s">
        <v>58</v>
      </c>
      <c r="M57" s="463" t="n">
        <f aca="false">I57-D57</f>
        <v>1728</v>
      </c>
      <c r="N57" s="4"/>
      <c r="O57" s="283" t="s">
        <v>80</v>
      </c>
      <c r="P57" s="283" t="n">
        <f aca="false">COUNTIF($J$2:$J$476,"11")</f>
        <v>9</v>
      </c>
      <c r="Q57" s="283"/>
      <c r="R57" s="283"/>
      <c r="S57" s="315" t="n">
        <f aca="false">(P57/P59)</f>
        <v>0.109756097560976</v>
      </c>
      <c r="T57" s="153"/>
    </row>
    <row r="58" customFormat="false" ht="12.75" hidden="false" customHeight="true" outlineLevel="0" collapsed="false">
      <c r="A58" s="602" t="n">
        <v>5700</v>
      </c>
      <c r="B58" s="452" t="s">
        <v>20590</v>
      </c>
      <c r="C58" s="452" t="n">
        <v>1997</v>
      </c>
      <c r="D58" s="451" t="n">
        <v>35791</v>
      </c>
      <c r="E58" s="450" t="s">
        <v>20591</v>
      </c>
      <c r="F58" s="450" t="s">
        <v>20513</v>
      </c>
      <c r="G58" s="450" t="s">
        <v>115</v>
      </c>
      <c r="H58" s="453" t="s">
        <v>19878</v>
      </c>
      <c r="I58" s="451" t="n">
        <v>36824</v>
      </c>
      <c r="J58" s="452" t="n">
        <v>10</v>
      </c>
      <c r="K58" s="634" t="s">
        <v>45</v>
      </c>
      <c r="L58" s="452" t="s">
        <v>60</v>
      </c>
      <c r="M58" s="455" t="n">
        <f aca="false">I58-D58</f>
        <v>1033</v>
      </c>
      <c r="N58" s="4"/>
      <c r="O58" s="336" t="s">
        <v>82</v>
      </c>
      <c r="P58" s="282" t="n">
        <f aca="false">COUNTIF($J$2:$J$476,"12")</f>
        <v>13</v>
      </c>
      <c r="Q58" s="282"/>
      <c r="R58" s="282"/>
      <c r="S58" s="470" t="n">
        <f aca="false">(P58/P59)</f>
        <v>0.158536585365854</v>
      </c>
      <c r="T58" s="153"/>
    </row>
    <row r="59" customFormat="false" ht="12.75" hidden="false" customHeight="true" outlineLevel="0" collapsed="false">
      <c r="A59" s="594" t="n">
        <v>5800</v>
      </c>
      <c r="B59" s="460" t="s">
        <v>20592</v>
      </c>
      <c r="C59" s="460" t="n">
        <v>1998</v>
      </c>
      <c r="D59" s="459" t="n">
        <v>35856</v>
      </c>
      <c r="E59" s="458" t="s">
        <v>20593</v>
      </c>
      <c r="F59" s="458" t="s">
        <v>16645</v>
      </c>
      <c r="G59" s="458" t="s">
        <v>1474</v>
      </c>
      <c r="H59" s="461" t="s">
        <v>16875</v>
      </c>
      <c r="I59" s="459" t="n">
        <v>36825</v>
      </c>
      <c r="J59" s="460" t="n">
        <v>10</v>
      </c>
      <c r="K59" s="633" t="s">
        <v>47</v>
      </c>
      <c r="L59" s="458" t="s">
        <v>60</v>
      </c>
      <c r="M59" s="463" t="n">
        <f aca="false">I59-D59</f>
        <v>969</v>
      </c>
      <c r="N59" s="4"/>
      <c r="O59" s="323" t="s">
        <v>54</v>
      </c>
      <c r="P59" s="418" t="n">
        <f aca="false">SUM(P47:R58)</f>
        <v>82</v>
      </c>
      <c r="Q59" s="418"/>
      <c r="R59" s="418"/>
      <c r="S59" s="325" t="n">
        <f aca="false">SUM(S47:S58)</f>
        <v>1</v>
      </c>
      <c r="T59" s="153"/>
    </row>
    <row r="60" customFormat="false" ht="12.75" hidden="false" customHeight="true" outlineLevel="0" collapsed="false">
      <c r="A60" s="602" t="n">
        <v>5900</v>
      </c>
      <c r="B60" s="452" t="s">
        <v>20594</v>
      </c>
      <c r="C60" s="452" t="n">
        <v>1999</v>
      </c>
      <c r="D60" s="451" t="n">
        <v>36268</v>
      </c>
      <c r="E60" s="450" t="s">
        <v>20595</v>
      </c>
      <c r="F60" s="450" t="s">
        <v>20596</v>
      </c>
      <c r="G60" s="450" t="s">
        <v>1474</v>
      </c>
      <c r="H60" s="453" t="s">
        <v>20597</v>
      </c>
      <c r="I60" s="451" t="n">
        <v>36825</v>
      </c>
      <c r="J60" s="452" t="n">
        <v>10</v>
      </c>
      <c r="K60" s="633" t="s">
        <v>47</v>
      </c>
      <c r="L60" s="452" t="s">
        <v>58</v>
      </c>
      <c r="M60" s="455" t="n">
        <f aca="false">I60-D60</f>
        <v>557</v>
      </c>
      <c r="N60" s="4"/>
      <c r="O60" s="153"/>
      <c r="P60" s="153"/>
      <c r="Q60" s="153"/>
      <c r="R60" s="153"/>
      <c r="S60" s="153"/>
      <c r="T60" s="153"/>
    </row>
    <row r="61" customFormat="false" ht="13.5" hidden="false" customHeight="true" outlineLevel="0" collapsed="false">
      <c r="A61" s="594" t="n">
        <v>6000</v>
      </c>
      <c r="B61" s="460" t="s">
        <v>20598</v>
      </c>
      <c r="C61" s="460" t="n">
        <v>1998</v>
      </c>
      <c r="D61" s="459" t="n">
        <v>35921</v>
      </c>
      <c r="E61" s="458" t="s">
        <v>20599</v>
      </c>
      <c r="F61" s="458" t="s">
        <v>20600</v>
      </c>
      <c r="G61" s="458" t="s">
        <v>1474</v>
      </c>
      <c r="H61" s="461" t="s">
        <v>3832</v>
      </c>
      <c r="I61" s="459" t="n">
        <v>36825</v>
      </c>
      <c r="J61" s="460" t="n">
        <v>10</v>
      </c>
      <c r="K61" s="655" t="s">
        <v>50</v>
      </c>
      <c r="L61" s="458" t="s">
        <v>61</v>
      </c>
      <c r="M61" s="463" t="n">
        <f aca="false">I61-D61</f>
        <v>904</v>
      </c>
      <c r="N61" s="4"/>
      <c r="O61" s="339" t="s">
        <v>335</v>
      </c>
      <c r="P61" s="339"/>
      <c r="Q61" s="339"/>
      <c r="R61" s="339"/>
      <c r="S61" s="339"/>
      <c r="T61" s="339"/>
    </row>
    <row r="62" customFormat="false" ht="12.75" hidden="false" customHeight="true" outlineLevel="0" collapsed="false">
      <c r="A62" s="602" t="n">
        <v>6100</v>
      </c>
      <c r="B62" s="452" t="s">
        <v>20601</v>
      </c>
      <c r="C62" s="452" t="n">
        <v>1999</v>
      </c>
      <c r="D62" s="451" t="n">
        <v>36168</v>
      </c>
      <c r="E62" s="450" t="s">
        <v>20602</v>
      </c>
      <c r="F62" s="450" t="s">
        <v>2560</v>
      </c>
      <c r="G62" s="450" t="s">
        <v>1188</v>
      </c>
      <c r="H62" s="453" t="s">
        <v>20211</v>
      </c>
      <c r="I62" s="451" t="n">
        <v>36838</v>
      </c>
      <c r="J62" s="452" t="n">
        <v>11</v>
      </c>
      <c r="K62" s="633" t="s">
        <v>47</v>
      </c>
      <c r="L62" s="452" t="s">
        <v>58</v>
      </c>
      <c r="M62" s="455" t="n">
        <f aca="false">I62-D62</f>
        <v>670</v>
      </c>
      <c r="N62" s="4"/>
      <c r="O62" s="339"/>
      <c r="P62" s="339"/>
      <c r="Q62" s="339"/>
      <c r="R62" s="339"/>
      <c r="S62" s="339"/>
      <c r="T62" s="339"/>
    </row>
    <row r="63" customFormat="false" ht="12.75" hidden="false" customHeight="true" outlineLevel="0" collapsed="false">
      <c r="A63" s="594" t="n">
        <v>6200</v>
      </c>
      <c r="B63" s="460" t="s">
        <v>20603</v>
      </c>
      <c r="C63" s="460" t="n">
        <v>1997</v>
      </c>
      <c r="D63" s="459" t="n">
        <v>35795</v>
      </c>
      <c r="E63" s="458" t="s">
        <v>20604</v>
      </c>
      <c r="F63" s="458" t="s">
        <v>20222</v>
      </c>
      <c r="G63" s="458" t="s">
        <v>1474</v>
      </c>
      <c r="H63" s="461" t="s">
        <v>134</v>
      </c>
      <c r="I63" s="459" t="n">
        <v>36838</v>
      </c>
      <c r="J63" s="460" t="n">
        <v>11</v>
      </c>
      <c r="K63" s="633" t="s">
        <v>47</v>
      </c>
      <c r="L63" s="458" t="s">
        <v>61</v>
      </c>
      <c r="M63" s="463" t="n">
        <f aca="false">I63-D63</f>
        <v>1043</v>
      </c>
      <c r="N63" s="4"/>
      <c r="O63" s="340" t="s">
        <v>38</v>
      </c>
      <c r="P63" s="340"/>
      <c r="Q63" s="340"/>
      <c r="R63" s="340"/>
      <c r="S63" s="341" t="s">
        <v>343</v>
      </c>
      <c r="T63" s="342" t="s">
        <v>41</v>
      </c>
    </row>
    <row r="64" customFormat="false" ht="12.75" hidden="false" customHeight="true" outlineLevel="0" collapsed="false">
      <c r="A64" s="602" t="n">
        <v>6300</v>
      </c>
      <c r="B64" s="452" t="s">
        <v>20605</v>
      </c>
      <c r="C64" s="452" t="n">
        <v>1997</v>
      </c>
      <c r="D64" s="451" t="n">
        <v>35521</v>
      </c>
      <c r="E64" s="450" t="s">
        <v>20606</v>
      </c>
      <c r="F64" s="450" t="s">
        <v>168</v>
      </c>
      <c r="G64" s="450" t="s">
        <v>144</v>
      </c>
      <c r="H64" s="453" t="s">
        <v>20211</v>
      </c>
      <c r="I64" s="451" t="n">
        <v>36847</v>
      </c>
      <c r="J64" s="452" t="n">
        <v>11</v>
      </c>
      <c r="K64" s="634" t="s">
        <v>45</v>
      </c>
      <c r="L64" s="452" t="s">
        <v>58</v>
      </c>
      <c r="M64" s="455" t="n">
        <f aca="false">I64-D64</f>
        <v>1326</v>
      </c>
      <c r="N64" s="4"/>
      <c r="O64" s="471" t="s">
        <v>42</v>
      </c>
      <c r="P64" s="471"/>
      <c r="Q64" s="471"/>
      <c r="R64" s="471"/>
      <c r="S64" s="471" t="n">
        <f aca="false">COUNTIF($K$1:$K$494,"I - Extremamente tóxico")</f>
        <v>9</v>
      </c>
      <c r="T64" s="472" t="n">
        <f aca="false">(S64/S76)</f>
        <v>0.109756097560976</v>
      </c>
    </row>
    <row r="65" customFormat="false" ht="12.75" hidden="false" customHeight="true" outlineLevel="0" collapsed="false">
      <c r="A65" s="594" t="n">
        <v>6400</v>
      </c>
      <c r="B65" s="460" t="s">
        <v>20607</v>
      </c>
      <c r="C65" s="460" t="n">
        <v>1999</v>
      </c>
      <c r="D65" s="459" t="n">
        <v>36453</v>
      </c>
      <c r="E65" s="458" t="s">
        <v>20608</v>
      </c>
      <c r="F65" s="458" t="s">
        <v>5241</v>
      </c>
      <c r="G65" s="458" t="s">
        <v>144</v>
      </c>
      <c r="H65" s="461" t="s">
        <v>1791</v>
      </c>
      <c r="I65" s="459" t="n">
        <v>36850</v>
      </c>
      <c r="J65" s="460" t="n">
        <v>11</v>
      </c>
      <c r="K65" s="633" t="s">
        <v>47</v>
      </c>
      <c r="L65" s="458" t="s">
        <v>60</v>
      </c>
      <c r="M65" s="463" t="n">
        <f aca="false">I65-D65</f>
        <v>397</v>
      </c>
      <c r="N65" s="4"/>
      <c r="O65" s="345" t="s">
        <v>43</v>
      </c>
      <c r="P65" s="345"/>
      <c r="Q65" s="345"/>
      <c r="R65" s="345"/>
      <c r="S65" s="345" t="n">
        <f aca="false">COUNTIF($K$2:$K$476,"Categoria 1 - Produto Extremamente Tóxico")</f>
        <v>0</v>
      </c>
      <c r="T65" s="473" t="n">
        <f aca="false">(S65/S76)</f>
        <v>0</v>
      </c>
    </row>
    <row r="66" customFormat="false" ht="12.75" hidden="false" customHeight="true" outlineLevel="0" collapsed="false">
      <c r="A66" s="602" t="n">
        <v>6500</v>
      </c>
      <c r="B66" s="452" t="s">
        <v>20609</v>
      </c>
      <c r="C66" s="452" t="n">
        <v>1996</v>
      </c>
      <c r="D66" s="451" t="n">
        <v>35339</v>
      </c>
      <c r="E66" s="450" t="s">
        <v>20610</v>
      </c>
      <c r="F66" s="450" t="s">
        <v>113</v>
      </c>
      <c r="G66" s="450" t="s">
        <v>144</v>
      </c>
      <c r="H66" s="453" t="s">
        <v>14391</v>
      </c>
      <c r="I66" s="451" t="n">
        <v>36850</v>
      </c>
      <c r="J66" s="452" t="n">
        <v>11</v>
      </c>
      <c r="K66" s="633" t="s">
        <v>47</v>
      </c>
      <c r="L66" s="452" t="s">
        <v>60</v>
      </c>
      <c r="M66" s="455" t="n">
        <f aca="false">I66-D66</f>
        <v>1511</v>
      </c>
      <c r="N66" s="4"/>
      <c r="O66" s="345" t="s">
        <v>44</v>
      </c>
      <c r="P66" s="345"/>
      <c r="Q66" s="345"/>
      <c r="R66" s="345"/>
      <c r="S66" s="345" t="n">
        <f aca="false">COUNTIF($K$2:$K$476,"Categoria 2 - Produto Altamente Tóxico")</f>
        <v>0</v>
      </c>
      <c r="T66" s="473" t="n">
        <f aca="false">(S66/S76)</f>
        <v>0</v>
      </c>
    </row>
    <row r="67" customFormat="false" ht="12.75" hidden="false" customHeight="true" outlineLevel="0" collapsed="false">
      <c r="A67" s="594" t="n">
        <v>6600</v>
      </c>
      <c r="B67" s="460" t="s">
        <v>20611</v>
      </c>
      <c r="C67" s="460" t="n">
        <v>1999</v>
      </c>
      <c r="D67" s="459" t="n">
        <v>36374</v>
      </c>
      <c r="E67" s="458" t="s">
        <v>20612</v>
      </c>
      <c r="F67" s="458" t="s">
        <v>20613</v>
      </c>
      <c r="G67" s="458" t="s">
        <v>125</v>
      </c>
      <c r="H67" s="461" t="s">
        <v>14544</v>
      </c>
      <c r="I67" s="459" t="n">
        <v>36851</v>
      </c>
      <c r="J67" s="460" t="n">
        <v>11</v>
      </c>
      <c r="K67" s="655" t="s">
        <v>50</v>
      </c>
      <c r="L67" s="458" t="s">
        <v>61</v>
      </c>
      <c r="M67" s="463" t="n">
        <f aca="false">I67-D67</f>
        <v>477</v>
      </c>
      <c r="N67" s="4"/>
      <c r="O67" s="349" t="s">
        <v>45</v>
      </c>
      <c r="P67" s="349"/>
      <c r="Q67" s="349"/>
      <c r="R67" s="349"/>
      <c r="S67" s="349" t="n">
        <f aca="false">COUNTIF($K$2:$K$476,"II - Altamente tóxico")</f>
        <v>17</v>
      </c>
      <c r="T67" s="474" t="n">
        <f aca="false">(S67/S76)</f>
        <v>0.207317073170732</v>
      </c>
    </row>
    <row r="68" customFormat="false" ht="12.75" hidden="false" customHeight="true" outlineLevel="0" collapsed="false">
      <c r="A68" s="602" t="n">
        <v>6700</v>
      </c>
      <c r="B68" s="452"/>
      <c r="C68" s="452" t="n">
        <v>2000</v>
      </c>
      <c r="D68" s="451"/>
      <c r="E68" s="450" t="s">
        <v>20614</v>
      </c>
      <c r="F68" s="450" t="s">
        <v>5241</v>
      </c>
      <c r="G68" s="450" t="s">
        <v>144</v>
      </c>
      <c r="H68" s="453" t="s">
        <v>1791</v>
      </c>
      <c r="I68" s="451" t="n">
        <v>36852</v>
      </c>
      <c r="J68" s="452" t="n">
        <v>11</v>
      </c>
      <c r="K68" s="633" t="s">
        <v>47</v>
      </c>
      <c r="L68" s="452" t="s">
        <v>60</v>
      </c>
      <c r="M68" s="455"/>
      <c r="N68" s="4"/>
      <c r="O68" s="349" t="s">
        <v>46</v>
      </c>
      <c r="P68" s="349"/>
      <c r="Q68" s="349"/>
      <c r="R68" s="349"/>
      <c r="S68" s="349" t="n">
        <f aca="false">COUNTIF($K$2:$K$476,"Categoria 3 - Produto Moderadamente Tóxico")</f>
        <v>0</v>
      </c>
      <c r="T68" s="474" t="n">
        <f aca="false">(S68/S76)</f>
        <v>0</v>
      </c>
    </row>
    <row r="69" customFormat="false" ht="12.75" hidden="false" customHeight="true" outlineLevel="0" collapsed="false">
      <c r="A69" s="594" t="n">
        <v>6800</v>
      </c>
      <c r="B69" s="460" t="s">
        <v>20615</v>
      </c>
      <c r="C69" s="460" t="n">
        <v>1994</v>
      </c>
      <c r="D69" s="459" t="n">
        <v>34638</v>
      </c>
      <c r="E69" s="458" t="s">
        <v>20616</v>
      </c>
      <c r="F69" s="458" t="s">
        <v>650</v>
      </c>
      <c r="G69" s="458" t="s">
        <v>144</v>
      </c>
      <c r="H69" s="461" t="s">
        <v>18397</v>
      </c>
      <c r="I69" s="459" t="n">
        <v>36853</v>
      </c>
      <c r="J69" s="460" t="n">
        <v>11</v>
      </c>
      <c r="K69" s="655" t="s">
        <v>50</v>
      </c>
      <c r="L69" s="458" t="s">
        <v>60</v>
      </c>
      <c r="M69" s="463" t="n">
        <f aca="false">I69-D69</f>
        <v>2215</v>
      </c>
      <c r="N69" s="4"/>
      <c r="O69" s="351" t="s">
        <v>47</v>
      </c>
      <c r="P69" s="351"/>
      <c r="Q69" s="351"/>
      <c r="R69" s="351"/>
      <c r="S69" s="351" t="n">
        <f aca="false">COUNTIF($K$2:$K$476,"III - Medianamente tóxico")</f>
        <v>34</v>
      </c>
      <c r="T69" s="475" t="n">
        <f aca="false">(S69/S76)</f>
        <v>0.414634146341463</v>
      </c>
    </row>
    <row r="70" customFormat="false" ht="12.75" hidden="false" customHeight="true" outlineLevel="0" collapsed="false">
      <c r="A70" s="602" t="n">
        <v>6900</v>
      </c>
      <c r="B70" s="452"/>
      <c r="C70" s="452"/>
      <c r="D70" s="451"/>
      <c r="E70" s="450" t="s">
        <v>20617</v>
      </c>
      <c r="F70" s="450" t="s">
        <v>19256</v>
      </c>
      <c r="G70" s="450" t="s">
        <v>144</v>
      </c>
      <c r="H70" s="453" t="s">
        <v>134</v>
      </c>
      <c r="I70" s="451" t="n">
        <v>36853</v>
      </c>
      <c r="J70" s="452" t="n">
        <v>11</v>
      </c>
      <c r="K70" s="655" t="s">
        <v>50</v>
      </c>
      <c r="L70" s="452" t="s">
        <v>58</v>
      </c>
      <c r="M70" s="455"/>
      <c r="N70" s="4"/>
      <c r="O70" s="351" t="s">
        <v>48</v>
      </c>
      <c r="P70" s="351"/>
      <c r="Q70" s="351"/>
      <c r="R70" s="351"/>
      <c r="S70" s="351" t="n">
        <f aca="false">COUNTIF($K$2:$K$476,"Categoria 4 - Produto Pouco Tóxico")</f>
        <v>0</v>
      </c>
      <c r="T70" s="475" t="n">
        <f aca="false">(S70/S76)</f>
        <v>0</v>
      </c>
    </row>
    <row r="71" customFormat="false" ht="12.75" hidden="false" customHeight="true" outlineLevel="0" collapsed="false">
      <c r="A71" s="594" t="n">
        <v>7000</v>
      </c>
      <c r="B71" s="460" t="s">
        <v>20618</v>
      </c>
      <c r="C71" s="460" t="n">
        <v>1999</v>
      </c>
      <c r="D71" s="459" t="n">
        <v>36309</v>
      </c>
      <c r="E71" s="458" t="s">
        <v>6705</v>
      </c>
      <c r="F71" s="458" t="s">
        <v>20619</v>
      </c>
      <c r="G71" s="458" t="s">
        <v>1474</v>
      </c>
      <c r="H71" s="461" t="s">
        <v>134</v>
      </c>
      <c r="I71" s="459" t="n">
        <v>36868</v>
      </c>
      <c r="J71" s="460" t="n">
        <v>12</v>
      </c>
      <c r="K71" s="633" t="s">
        <v>47</v>
      </c>
      <c r="L71" s="458" t="s">
        <v>58</v>
      </c>
      <c r="M71" s="463" t="n">
        <f aca="false">I71-D71</f>
        <v>559</v>
      </c>
      <c r="N71" s="4"/>
      <c r="O71" s="351" t="s">
        <v>49</v>
      </c>
      <c r="P71" s="351"/>
      <c r="Q71" s="351"/>
      <c r="R71" s="351"/>
      <c r="S71" s="351" t="n">
        <f aca="false">COUNTIF($K$2:$K$476,"Categoria 5 - Produto Improvável de Causar Dano Agudo")</f>
        <v>0</v>
      </c>
      <c r="T71" s="475" t="n">
        <f aca="false">(S71/S76)</f>
        <v>0</v>
      </c>
    </row>
    <row r="72" customFormat="false" ht="12.75" hidden="false" customHeight="true" outlineLevel="0" collapsed="false">
      <c r="A72" s="602" t="n">
        <v>7100</v>
      </c>
      <c r="B72" s="452" t="s">
        <v>20620</v>
      </c>
      <c r="C72" s="452" t="n">
        <v>1999</v>
      </c>
      <c r="D72" s="451" t="n">
        <v>36333</v>
      </c>
      <c r="E72" s="450" t="s">
        <v>20621</v>
      </c>
      <c r="F72" s="450" t="s">
        <v>509</v>
      </c>
      <c r="G72" s="450" t="s">
        <v>144</v>
      </c>
      <c r="H72" s="453" t="s">
        <v>373</v>
      </c>
      <c r="I72" s="451" t="n">
        <v>36868</v>
      </c>
      <c r="J72" s="452" t="n">
        <v>12</v>
      </c>
      <c r="K72" s="633" t="s">
        <v>47</v>
      </c>
      <c r="L72" s="452" t="s">
        <v>58</v>
      </c>
      <c r="M72" s="455" t="n">
        <f aca="false">I72-D72</f>
        <v>535</v>
      </c>
      <c r="N72" s="4"/>
      <c r="O72" s="353" t="s">
        <v>50</v>
      </c>
      <c r="P72" s="353"/>
      <c r="Q72" s="353"/>
      <c r="R72" s="353"/>
      <c r="S72" s="353" t="n">
        <f aca="false">COUNTIF($K$2:$K$476,"IV - Pouco tóxico")</f>
        <v>22</v>
      </c>
      <c r="T72" s="476" t="n">
        <f aca="false">(S72/S76)</f>
        <v>0.268292682926829</v>
      </c>
    </row>
    <row r="73" customFormat="false" ht="12.75" hidden="false" customHeight="true" outlineLevel="0" collapsed="false">
      <c r="A73" s="594" t="n">
        <v>7200</v>
      </c>
      <c r="B73" s="460" t="s">
        <v>20622</v>
      </c>
      <c r="C73" s="460" t="n">
        <v>1990</v>
      </c>
      <c r="D73" s="459" t="n">
        <v>33025</v>
      </c>
      <c r="E73" s="458" t="s">
        <v>20623</v>
      </c>
      <c r="F73" s="458" t="s">
        <v>20138</v>
      </c>
      <c r="G73" s="458" t="s">
        <v>1474</v>
      </c>
      <c r="H73" s="461" t="s">
        <v>20139</v>
      </c>
      <c r="I73" s="459" t="n">
        <v>36871</v>
      </c>
      <c r="J73" s="460" t="n">
        <v>12</v>
      </c>
      <c r="K73" s="655" t="s">
        <v>50</v>
      </c>
      <c r="L73" s="458" t="s">
        <v>58</v>
      </c>
      <c r="M73" s="463" t="n">
        <f aca="false">I73-D73</f>
        <v>3846</v>
      </c>
      <c r="N73" s="4"/>
      <c r="O73" s="353" t="s">
        <v>51</v>
      </c>
      <c r="P73" s="353"/>
      <c r="Q73" s="353"/>
      <c r="R73" s="353"/>
      <c r="S73" s="353" t="n">
        <f aca="false">COUNTIF($K$2:$K$476,"Não classificado - Produto não classificado")</f>
        <v>0</v>
      </c>
      <c r="T73" s="476" t="n">
        <f aca="false">(S73/S76)</f>
        <v>0</v>
      </c>
    </row>
    <row r="74" customFormat="false" ht="12.75" hidden="false" customHeight="true" outlineLevel="0" collapsed="false">
      <c r="A74" s="602" t="n">
        <v>7300</v>
      </c>
      <c r="B74" s="452" t="s">
        <v>20624</v>
      </c>
      <c r="C74" s="452" t="n">
        <v>1998</v>
      </c>
      <c r="D74" s="451" t="n">
        <v>36127</v>
      </c>
      <c r="E74" s="450" t="s">
        <v>20625</v>
      </c>
      <c r="F74" s="450" t="s">
        <v>20626</v>
      </c>
      <c r="G74" s="450" t="s">
        <v>144</v>
      </c>
      <c r="H74" s="453" t="s">
        <v>134</v>
      </c>
      <c r="I74" s="451" t="n">
        <v>36871</v>
      </c>
      <c r="J74" s="452" t="n">
        <v>12</v>
      </c>
      <c r="K74" s="634" t="s">
        <v>45</v>
      </c>
      <c r="L74" s="452" t="s">
        <v>58</v>
      </c>
      <c r="M74" s="455" t="n">
        <f aca="false">I74-D74</f>
        <v>744</v>
      </c>
      <c r="N74" s="4"/>
      <c r="O74" s="353" t="s">
        <v>2407</v>
      </c>
      <c r="P74" s="353"/>
      <c r="Q74" s="353"/>
      <c r="R74" s="353"/>
      <c r="S74" s="353" t="n">
        <f aca="false">COUNTIF($K$2:$K$476,"Não determinada devido à natureza do produto (Inimigos naturais)")</f>
        <v>0</v>
      </c>
      <c r="T74" s="476" t="n">
        <f aca="false">(S74/S76)</f>
        <v>0</v>
      </c>
    </row>
    <row r="75" customFormat="false" ht="12.75" hidden="false" customHeight="true" outlineLevel="0" collapsed="false">
      <c r="A75" s="594" t="n">
        <v>7400</v>
      </c>
      <c r="B75" s="460" t="s">
        <v>20627</v>
      </c>
      <c r="C75" s="460" t="n">
        <v>1999</v>
      </c>
      <c r="D75" s="459" t="n">
        <v>36393</v>
      </c>
      <c r="E75" s="458" t="s">
        <v>20628</v>
      </c>
      <c r="F75" s="458" t="s">
        <v>569</v>
      </c>
      <c r="G75" s="458" t="s">
        <v>144</v>
      </c>
      <c r="H75" s="461" t="s">
        <v>134</v>
      </c>
      <c r="I75" s="459" t="n">
        <v>36875</v>
      </c>
      <c r="J75" s="460" t="n">
        <v>12</v>
      </c>
      <c r="K75" s="632" t="s">
        <v>50</v>
      </c>
      <c r="L75" s="458" t="s">
        <v>60</v>
      </c>
      <c r="M75" s="463" t="n">
        <f aca="false">I75-D75</f>
        <v>482</v>
      </c>
      <c r="N75" s="4"/>
      <c r="O75" s="478" t="s">
        <v>53</v>
      </c>
      <c r="P75" s="478"/>
      <c r="Q75" s="478"/>
      <c r="R75" s="478"/>
      <c r="S75" s="478" t="n">
        <f aca="false">COUNTIF($K$2:$K$476,"O perfil toxicológico foi considerado equivalente ao produto técnico de referência")</f>
        <v>0</v>
      </c>
      <c r="T75" s="479" t="n">
        <f aca="false">(S75/S76)</f>
        <v>0</v>
      </c>
    </row>
    <row r="76" customFormat="false" ht="15" hidden="false" customHeight="true" outlineLevel="0" collapsed="false">
      <c r="A76" s="602" t="n">
        <v>7500</v>
      </c>
      <c r="B76" s="452" t="s">
        <v>20629</v>
      </c>
      <c r="C76" s="452" t="n">
        <v>1999</v>
      </c>
      <c r="D76" s="451" t="n">
        <v>36404</v>
      </c>
      <c r="E76" s="450" t="s">
        <v>20630</v>
      </c>
      <c r="F76" s="450" t="s">
        <v>19803</v>
      </c>
      <c r="G76" s="450" t="s">
        <v>125</v>
      </c>
      <c r="H76" s="453" t="s">
        <v>1109</v>
      </c>
      <c r="I76" s="451" t="n">
        <v>36875</v>
      </c>
      <c r="J76" s="452" t="n">
        <v>12</v>
      </c>
      <c r="K76" s="632" t="s">
        <v>50</v>
      </c>
      <c r="L76" s="452" t="s">
        <v>61</v>
      </c>
      <c r="M76" s="455" t="n">
        <f aca="false">I76-D76</f>
        <v>471</v>
      </c>
      <c r="N76" s="4"/>
      <c r="O76" s="419" t="s">
        <v>54</v>
      </c>
      <c r="P76" s="419"/>
      <c r="Q76" s="419"/>
      <c r="R76" s="419"/>
      <c r="S76" s="363" t="n">
        <f aca="false">SUM(S64:S75)</f>
        <v>82</v>
      </c>
      <c r="T76" s="364" t="n">
        <f aca="false">(S76/S76)</f>
        <v>1</v>
      </c>
    </row>
    <row r="77" customFormat="false" ht="12.75" hidden="false" customHeight="true" outlineLevel="0" collapsed="false">
      <c r="A77" s="594" t="n">
        <v>7600</v>
      </c>
      <c r="B77" s="460" t="s">
        <v>20631</v>
      </c>
      <c r="C77" s="460" t="n">
        <v>1993</v>
      </c>
      <c r="D77" s="459" t="n">
        <v>34177</v>
      </c>
      <c r="E77" s="458" t="s">
        <v>20632</v>
      </c>
      <c r="F77" s="458" t="s">
        <v>20464</v>
      </c>
      <c r="G77" s="458" t="s">
        <v>144</v>
      </c>
      <c r="H77" s="461" t="s">
        <v>18974</v>
      </c>
      <c r="I77" s="459" t="n">
        <v>36878</v>
      </c>
      <c r="J77" s="460" t="n">
        <v>12</v>
      </c>
      <c r="K77" s="633" t="s">
        <v>47</v>
      </c>
      <c r="L77" s="458" t="s">
        <v>58</v>
      </c>
      <c r="M77" s="463" t="n">
        <f aca="false">I77-D77</f>
        <v>2701</v>
      </c>
      <c r="N77" s="4"/>
      <c r="O77" s="153"/>
      <c r="P77" s="153"/>
      <c r="Q77" s="153"/>
      <c r="R77" s="153"/>
      <c r="S77" s="153"/>
      <c r="T77" s="153"/>
    </row>
    <row r="78" customFormat="false" ht="13.5" hidden="false" customHeight="true" outlineLevel="0" collapsed="false">
      <c r="A78" s="602" t="n">
        <v>7700</v>
      </c>
      <c r="B78" s="452"/>
      <c r="C78" s="452" t="n">
        <v>1999</v>
      </c>
      <c r="D78" s="451"/>
      <c r="E78" s="450" t="s">
        <v>20633</v>
      </c>
      <c r="F78" s="450" t="s">
        <v>19751</v>
      </c>
      <c r="G78" s="450" t="s">
        <v>144</v>
      </c>
      <c r="H78" s="453" t="s">
        <v>134</v>
      </c>
      <c r="I78" s="451" t="n">
        <v>36878</v>
      </c>
      <c r="J78" s="452" t="n">
        <v>12</v>
      </c>
      <c r="K78" s="633" t="s">
        <v>47</v>
      </c>
      <c r="L78" s="452" t="s">
        <v>58</v>
      </c>
      <c r="M78" s="455"/>
      <c r="N78" s="4"/>
      <c r="O78" s="339" t="s">
        <v>102</v>
      </c>
      <c r="P78" s="339"/>
      <c r="Q78" s="339"/>
      <c r="R78" s="339"/>
      <c r="S78" s="339"/>
      <c r="T78" s="339"/>
    </row>
    <row r="79" customFormat="false" ht="12.75" hidden="false" customHeight="true" outlineLevel="0" collapsed="false">
      <c r="A79" s="594" t="n">
        <v>7800</v>
      </c>
      <c r="B79" s="460" t="s">
        <v>20634</v>
      </c>
      <c r="C79" s="460" t="n">
        <v>1999</v>
      </c>
      <c r="D79" s="459" t="n">
        <v>36376</v>
      </c>
      <c r="E79" s="458" t="s">
        <v>20635</v>
      </c>
      <c r="F79" s="458" t="s">
        <v>20636</v>
      </c>
      <c r="G79" s="458" t="s">
        <v>115</v>
      </c>
      <c r="H79" s="461" t="s">
        <v>19960</v>
      </c>
      <c r="I79" s="459" t="n">
        <v>36878</v>
      </c>
      <c r="J79" s="460" t="n">
        <v>12</v>
      </c>
      <c r="K79" s="633" t="s">
        <v>47</v>
      </c>
      <c r="L79" s="458" t="s">
        <v>58</v>
      </c>
      <c r="M79" s="463" t="n">
        <f aca="false">I79-D79</f>
        <v>502</v>
      </c>
      <c r="N79" s="4"/>
      <c r="O79" s="339"/>
      <c r="P79" s="339"/>
      <c r="Q79" s="339"/>
      <c r="R79" s="339"/>
      <c r="S79" s="339"/>
      <c r="T79" s="339"/>
    </row>
    <row r="80" customFormat="false" ht="12.75" hidden="false" customHeight="true" outlineLevel="0" collapsed="false">
      <c r="A80" s="602" t="n">
        <v>7900</v>
      </c>
      <c r="B80" s="452" t="s">
        <v>20637</v>
      </c>
      <c r="C80" s="452" t="n">
        <v>1999</v>
      </c>
      <c r="D80" s="451" t="n">
        <v>36195</v>
      </c>
      <c r="E80" s="450" t="s">
        <v>20638</v>
      </c>
      <c r="F80" s="450" t="s">
        <v>2560</v>
      </c>
      <c r="G80" s="450" t="s">
        <v>115</v>
      </c>
      <c r="H80" s="453" t="s">
        <v>20211</v>
      </c>
      <c r="I80" s="451" t="n">
        <v>36882</v>
      </c>
      <c r="J80" s="452" t="n">
        <v>12</v>
      </c>
      <c r="K80" s="632" t="s">
        <v>50</v>
      </c>
      <c r="L80" s="452" t="s">
        <v>60</v>
      </c>
      <c r="M80" s="455" t="n">
        <f aca="false">I80-D80</f>
        <v>687</v>
      </c>
      <c r="N80" s="4"/>
      <c r="O80" s="340" t="s">
        <v>38</v>
      </c>
      <c r="P80" s="340"/>
      <c r="Q80" s="340"/>
      <c r="R80" s="340"/>
      <c r="S80" s="374" t="s">
        <v>343</v>
      </c>
      <c r="T80" s="375" t="s">
        <v>41</v>
      </c>
    </row>
    <row r="81" customFormat="false" ht="13.5" hidden="false" customHeight="true" outlineLevel="0" collapsed="false">
      <c r="A81" s="594" t="n">
        <v>8000</v>
      </c>
      <c r="B81" s="460" t="s">
        <v>20639</v>
      </c>
      <c r="C81" s="460" t="n">
        <v>1998</v>
      </c>
      <c r="D81" s="459" t="n">
        <v>36068</v>
      </c>
      <c r="E81" s="458" t="s">
        <v>20640</v>
      </c>
      <c r="F81" s="458" t="s">
        <v>379</v>
      </c>
      <c r="G81" s="458" t="s">
        <v>144</v>
      </c>
      <c r="H81" s="461" t="s">
        <v>19303</v>
      </c>
      <c r="I81" s="459" t="n">
        <v>36882</v>
      </c>
      <c r="J81" s="460" t="n">
        <v>12</v>
      </c>
      <c r="K81" s="633" t="s">
        <v>47</v>
      </c>
      <c r="L81" s="458" t="s">
        <v>60</v>
      </c>
      <c r="M81" s="463" t="n">
        <f aca="false">I81-D81</f>
        <v>814</v>
      </c>
      <c r="N81" s="4"/>
      <c r="O81" s="480" t="s">
        <v>57</v>
      </c>
      <c r="P81" s="480"/>
      <c r="Q81" s="480"/>
      <c r="R81" s="480"/>
      <c r="S81" s="536" t="n">
        <f aca="false">COUNTIF($L$2:$L$476,"I - Produto altamente perigoso ao meio ambiente")</f>
        <v>0</v>
      </c>
      <c r="T81" s="377" t="n">
        <f aca="false">(S81/S85)</f>
        <v>0</v>
      </c>
    </row>
    <row r="82" customFormat="false" ht="13.5" hidden="false" customHeight="true" outlineLevel="0" collapsed="false">
      <c r="A82" s="602" t="n">
        <v>8100</v>
      </c>
      <c r="B82" s="452" t="s">
        <v>20641</v>
      </c>
      <c r="C82" s="452" t="n">
        <v>1999</v>
      </c>
      <c r="D82" s="451" t="n">
        <v>36504</v>
      </c>
      <c r="E82" s="450" t="s">
        <v>20642</v>
      </c>
      <c r="F82" s="450" t="s">
        <v>16434</v>
      </c>
      <c r="G82" s="450" t="s">
        <v>144</v>
      </c>
      <c r="H82" s="453" t="s">
        <v>20211</v>
      </c>
      <c r="I82" s="451" t="n">
        <v>36882</v>
      </c>
      <c r="J82" s="452" t="n">
        <v>12</v>
      </c>
      <c r="K82" s="634" t="s">
        <v>45</v>
      </c>
      <c r="L82" s="452" t="s">
        <v>58</v>
      </c>
      <c r="M82" s="455" t="n">
        <f aca="false">I82-D82</f>
        <v>378</v>
      </c>
      <c r="N82" s="4"/>
      <c r="O82" s="378" t="s">
        <v>58</v>
      </c>
      <c r="P82" s="378"/>
      <c r="Q82" s="378"/>
      <c r="R82" s="378"/>
      <c r="S82" s="537" t="n">
        <f aca="false">COUNTIF($L$2:$L$476,"II - Produto muito perigoso ao meio ambiente")</f>
        <v>33</v>
      </c>
      <c r="T82" s="379" t="n">
        <f aca="false">(S82/S85)</f>
        <v>0.402439024390244</v>
      </c>
    </row>
    <row r="83" customFormat="false" ht="13.5" hidden="false" customHeight="true" outlineLevel="0" collapsed="false">
      <c r="A83" s="594" t="n">
        <v>8200</v>
      </c>
      <c r="B83" s="460" t="s">
        <v>20643</v>
      </c>
      <c r="C83" s="460" t="n">
        <v>1998</v>
      </c>
      <c r="D83" s="459" t="n">
        <v>36119</v>
      </c>
      <c r="E83" s="458" t="s">
        <v>20644</v>
      </c>
      <c r="F83" s="458" t="s">
        <v>20645</v>
      </c>
      <c r="G83" s="458" t="s">
        <v>144</v>
      </c>
      <c r="H83" s="461" t="s">
        <v>134</v>
      </c>
      <c r="I83" s="459" t="n">
        <v>36889</v>
      </c>
      <c r="J83" s="460" t="n">
        <v>12</v>
      </c>
      <c r="K83" s="634" t="s">
        <v>45</v>
      </c>
      <c r="L83" s="458" t="s">
        <v>58</v>
      </c>
      <c r="M83" s="463" t="n">
        <f aca="false">I83-D83</f>
        <v>770</v>
      </c>
      <c r="N83" s="4"/>
      <c r="O83" s="380" t="s">
        <v>60</v>
      </c>
      <c r="P83" s="380"/>
      <c r="Q83" s="380"/>
      <c r="R83" s="380"/>
      <c r="S83" s="536" t="n">
        <f aca="false">COUNTIF($L$2:$L$476,"III - Produto perigoso ao meio ambiente")</f>
        <v>41</v>
      </c>
      <c r="T83" s="377" t="n">
        <f aca="false">(S83/S85)</f>
        <v>0.5</v>
      </c>
    </row>
    <row r="84" customFormat="false" ht="14.25" hidden="false" customHeight="true" outlineLevel="0" collapsed="false">
      <c r="A84" s="4"/>
      <c r="B84" s="4"/>
      <c r="C84" s="4"/>
      <c r="D84" s="638"/>
      <c r="E84" s="4"/>
      <c r="F84" s="4"/>
      <c r="G84" s="4"/>
      <c r="H84" s="4"/>
      <c r="I84" s="638"/>
      <c r="J84" s="4"/>
      <c r="K84" s="4"/>
      <c r="L84" s="4"/>
      <c r="M84" s="4"/>
      <c r="N84" s="4"/>
      <c r="O84" s="378" t="s">
        <v>61</v>
      </c>
      <c r="P84" s="378"/>
      <c r="Q84" s="378"/>
      <c r="R84" s="378"/>
      <c r="S84" s="537" t="n">
        <f aca="false">COUNTIF($L$2:$L$476,"IV - Produto pouco perigoso ao meio ambiente")</f>
        <v>8</v>
      </c>
      <c r="T84" s="379" t="n">
        <f aca="false">(S84/S85)</f>
        <v>0.0975609756097561</v>
      </c>
    </row>
    <row r="85" customFormat="false" ht="12.75" hidden="false" customHeight="true" outlineLevel="0" collapsed="false">
      <c r="A85" s="4"/>
      <c r="B85" s="4"/>
      <c r="C85" s="4"/>
      <c r="D85" s="638"/>
      <c r="E85" s="4"/>
      <c r="F85" s="4"/>
      <c r="G85" s="4"/>
      <c r="H85" s="4"/>
      <c r="I85" s="638"/>
      <c r="J85" s="4"/>
      <c r="K85" s="4"/>
      <c r="L85" s="4"/>
      <c r="M85" s="4"/>
      <c r="N85" s="4"/>
      <c r="O85" s="340" t="s">
        <v>54</v>
      </c>
      <c r="P85" s="340"/>
      <c r="Q85" s="340"/>
      <c r="R85" s="340"/>
      <c r="S85" s="363" t="n">
        <f aca="false">SUM(S81:S84)</f>
        <v>82</v>
      </c>
      <c r="T85" s="364" t="n">
        <f aca="false">(S85/S85)</f>
        <v>1</v>
      </c>
    </row>
    <row r="86" customFormat="false" ht="12.75" hidden="false" customHeight="true" outlineLevel="0" collapsed="false">
      <c r="A86" s="4"/>
      <c r="B86" s="4"/>
      <c r="C86" s="4"/>
      <c r="D86" s="638"/>
      <c r="E86" s="4"/>
      <c r="F86" s="4"/>
      <c r="G86" s="4"/>
      <c r="H86" s="4"/>
      <c r="I86" s="638"/>
      <c r="J86" s="4"/>
      <c r="K86" s="4"/>
      <c r="L86" s="4"/>
      <c r="M86" s="4"/>
      <c r="N86" s="4"/>
      <c r="O86" s="153"/>
      <c r="P86" s="153"/>
      <c r="Q86" s="153"/>
      <c r="R86" s="153"/>
      <c r="S86" s="153"/>
      <c r="T86" s="153"/>
    </row>
    <row r="87" customFormat="false" ht="13.5" hidden="false" customHeight="true" outlineLevel="0" collapsed="false">
      <c r="A87" s="4"/>
      <c r="B87" s="4"/>
      <c r="C87" s="4"/>
      <c r="D87" s="638"/>
      <c r="E87" s="4"/>
      <c r="F87" s="4"/>
      <c r="G87" s="4"/>
      <c r="H87" s="4"/>
      <c r="I87" s="638"/>
      <c r="J87" s="4"/>
      <c r="K87" s="4"/>
      <c r="L87" s="4"/>
      <c r="M87" s="4"/>
      <c r="N87" s="4"/>
      <c r="O87" s="421" t="s">
        <v>425</v>
      </c>
      <c r="P87" s="421"/>
      <c r="Q87" s="421"/>
      <c r="R87" s="421"/>
      <c r="S87" s="153"/>
      <c r="T87" s="153"/>
    </row>
    <row r="88" customFormat="false" ht="12.75" hidden="false" customHeight="true" outlineLevel="0" collapsed="false">
      <c r="A88" s="4"/>
      <c r="B88" s="4"/>
      <c r="C88" s="4"/>
      <c r="D88" s="638"/>
      <c r="E88" s="4"/>
      <c r="F88" s="4"/>
      <c r="G88" s="4"/>
      <c r="H88" s="4"/>
      <c r="I88" s="638"/>
      <c r="J88" s="4"/>
      <c r="K88" s="4"/>
      <c r="L88" s="4"/>
      <c r="M88" s="4"/>
      <c r="N88" s="4"/>
      <c r="O88" s="421"/>
      <c r="P88" s="421"/>
      <c r="Q88" s="421"/>
      <c r="R88" s="421"/>
      <c r="S88" s="153"/>
      <c r="T88" s="153"/>
    </row>
    <row r="89" customFormat="false" ht="12.75" hidden="false" customHeight="true" outlineLevel="0" collapsed="false">
      <c r="A89" s="4"/>
      <c r="B89" s="4"/>
      <c r="C89" s="4"/>
      <c r="D89" s="638"/>
      <c r="E89" s="4"/>
      <c r="F89" s="4"/>
      <c r="G89" s="4"/>
      <c r="H89" s="4"/>
      <c r="I89" s="638"/>
      <c r="J89" s="4"/>
      <c r="K89" s="4"/>
      <c r="L89" s="4"/>
      <c r="M89" s="4"/>
      <c r="N89" s="4"/>
      <c r="O89" s="390" t="s">
        <v>69</v>
      </c>
      <c r="P89" s="422" t="s">
        <v>433</v>
      </c>
      <c r="Q89" s="422"/>
      <c r="R89" s="422"/>
      <c r="S89" s="153"/>
      <c r="T89" s="153"/>
    </row>
    <row r="90" customFormat="false" ht="12.75" hidden="false" customHeight="true" outlineLevel="0" collapsed="false">
      <c r="A90" s="4"/>
      <c r="B90" s="4"/>
      <c r="C90" s="4"/>
      <c r="D90" s="638"/>
      <c r="E90" s="4"/>
      <c r="F90" s="4"/>
      <c r="G90" s="4"/>
      <c r="H90" s="4"/>
      <c r="I90" s="638"/>
      <c r="J90" s="4"/>
      <c r="K90" s="4"/>
      <c r="L90" s="4"/>
      <c r="M90" s="4"/>
      <c r="N90" s="4"/>
      <c r="O90" s="394" t="s">
        <v>1474</v>
      </c>
      <c r="P90" s="481" t="n">
        <f aca="false">AVERAGEIF(G2:G476,"PT",M2:M476)</f>
        <v>1504.10526315789</v>
      </c>
      <c r="Q90" s="481"/>
      <c r="R90" s="481"/>
      <c r="S90" s="153"/>
      <c r="T90" s="153"/>
    </row>
    <row r="91" customFormat="false" ht="12.75" hidden="false" customHeight="true" outlineLevel="0" collapsed="false">
      <c r="A91" s="4"/>
      <c r="B91" s="4"/>
      <c r="C91" s="4"/>
      <c r="D91" s="638"/>
      <c r="E91" s="4"/>
      <c r="F91" s="4"/>
      <c r="G91" s="4"/>
      <c r="H91" s="4"/>
      <c r="I91" s="638"/>
      <c r="J91" s="4"/>
      <c r="K91" s="4"/>
      <c r="L91" s="4"/>
      <c r="M91" s="4"/>
      <c r="N91" s="4"/>
      <c r="O91" s="396" t="s">
        <v>1188</v>
      </c>
      <c r="P91" s="482" t="n">
        <f aca="false">AVERAGEIF(G2:G477,"PTN",M2:M477)</f>
        <v>620.888888888889</v>
      </c>
      <c r="Q91" s="482"/>
      <c r="R91" s="482"/>
      <c r="S91" s="153"/>
      <c r="T91" s="153"/>
    </row>
    <row r="92" customFormat="false" ht="12.75" hidden="false" customHeight="true" outlineLevel="0" collapsed="false">
      <c r="A92" s="636"/>
      <c r="B92" s="636"/>
      <c r="C92" s="636"/>
      <c r="D92" s="638"/>
      <c r="E92" s="4"/>
      <c r="F92" s="4"/>
      <c r="G92" s="4"/>
      <c r="H92" s="4"/>
      <c r="I92" s="638"/>
      <c r="J92" s="4"/>
      <c r="K92" s="4"/>
      <c r="L92" s="4"/>
      <c r="M92" s="653"/>
      <c r="N92" s="4"/>
      <c r="O92" s="394" t="s">
        <v>1174</v>
      </c>
      <c r="P92" s="481" t="e">
        <f aca="false">AVERAGEIF(G2:G476,"PTE",M2:M476)</f>
        <v>#DIV/0!</v>
      </c>
      <c r="Q92" s="481"/>
      <c r="R92" s="481"/>
      <c r="S92" s="153"/>
      <c r="T92" s="153"/>
    </row>
    <row r="93" customFormat="false" ht="12.75" hidden="false" customHeight="true" outlineLevel="0" collapsed="false">
      <c r="A93" s="636"/>
      <c r="B93" s="636"/>
      <c r="C93" s="636"/>
      <c r="D93" s="638"/>
      <c r="E93" s="4"/>
      <c r="F93" s="4"/>
      <c r="G93" s="4"/>
      <c r="H93" s="4"/>
      <c r="I93" s="638"/>
      <c r="J93" s="4"/>
      <c r="K93" s="4"/>
      <c r="L93" s="4"/>
      <c r="M93" s="653"/>
      <c r="N93" s="4"/>
      <c r="O93" s="396" t="s">
        <v>8</v>
      </c>
      <c r="P93" s="482" t="e">
        <f aca="false">AVERAGEIF(G2:G476,"Pré-Mistura",M2:M476)</f>
        <v>#DIV/0!</v>
      </c>
      <c r="Q93" s="482"/>
      <c r="R93" s="482"/>
      <c r="S93" s="153"/>
      <c r="T93" s="153"/>
    </row>
    <row r="94" customFormat="false" ht="12.75" hidden="false" customHeight="true" outlineLevel="0" collapsed="false">
      <c r="A94" s="636"/>
      <c r="B94" s="636"/>
      <c r="C94" s="636"/>
      <c r="D94" s="638"/>
      <c r="E94" s="4"/>
      <c r="F94" s="4"/>
      <c r="G94" s="4"/>
      <c r="H94" s="4"/>
      <c r="I94" s="638"/>
      <c r="J94" s="4"/>
      <c r="K94" s="4"/>
      <c r="L94" s="4"/>
      <c r="M94" s="653"/>
      <c r="N94" s="4"/>
      <c r="O94" s="394" t="s">
        <v>144</v>
      </c>
      <c r="P94" s="481" t="n">
        <f aca="false">AVERAGEIF(G2:G476,"PF",M2:M476)</f>
        <v>796.294117647059</v>
      </c>
      <c r="Q94" s="481"/>
      <c r="R94" s="481"/>
      <c r="S94" s="153"/>
      <c r="T94" s="153"/>
    </row>
    <row r="95" customFormat="false" ht="12.75" hidden="false" customHeight="true" outlineLevel="0" collapsed="false">
      <c r="A95" s="636"/>
      <c r="B95" s="636"/>
      <c r="C95" s="636"/>
      <c r="D95" s="638"/>
      <c r="E95" s="4"/>
      <c r="F95" s="4"/>
      <c r="G95" s="4"/>
      <c r="H95" s="4"/>
      <c r="I95" s="638"/>
      <c r="J95" s="4"/>
      <c r="K95" s="4"/>
      <c r="L95" s="4"/>
      <c r="M95" s="653"/>
      <c r="N95" s="4"/>
      <c r="O95" s="396" t="s">
        <v>115</v>
      </c>
      <c r="P95" s="482" t="n">
        <f aca="false">AVERAGEIF(G2:G476,"PFN",M2:M476)</f>
        <v>608.916666666667</v>
      </c>
      <c r="Q95" s="482"/>
      <c r="R95" s="482"/>
      <c r="S95" s="153"/>
      <c r="T95" s="153"/>
    </row>
    <row r="96" customFormat="false" ht="12.75" hidden="false" customHeight="true" outlineLevel="0" collapsed="false">
      <c r="A96" s="636"/>
      <c r="B96" s="636"/>
      <c r="C96" s="636"/>
      <c r="D96" s="638"/>
      <c r="E96" s="4"/>
      <c r="F96" s="4"/>
      <c r="G96" s="4"/>
      <c r="H96" s="4"/>
      <c r="I96" s="638"/>
      <c r="J96" s="4"/>
      <c r="K96" s="4"/>
      <c r="L96" s="4"/>
      <c r="M96" s="653"/>
      <c r="N96" s="4"/>
      <c r="O96" s="394" t="s">
        <v>441</v>
      </c>
      <c r="P96" s="481" t="e">
        <f aca="false">AVERAGEIF(G2:G476,"PF/PTE",M2:M476)</f>
        <v>#DIV/0!</v>
      </c>
      <c r="Q96" s="481"/>
      <c r="R96" s="481"/>
      <c r="S96" s="153"/>
      <c r="T96" s="153"/>
    </row>
    <row r="97" customFormat="false" ht="12.75" hidden="false" customHeight="true" outlineLevel="0" collapsed="false">
      <c r="O97" s="396" t="s">
        <v>125</v>
      </c>
      <c r="P97" s="482" t="n">
        <f aca="false">AVERAGEIF(G2:G476,"Bio",M2:M476)</f>
        <v>474</v>
      </c>
      <c r="Q97" s="482"/>
      <c r="R97" s="482"/>
    </row>
    <row r="98" customFormat="false" ht="12.75" hidden="false" customHeight="true" outlineLevel="0" collapsed="false">
      <c r="O98" s="394" t="s">
        <v>130</v>
      </c>
      <c r="P98" s="481" t="e">
        <f aca="false">AVERAGEIF(G2:G476,"Bio/Org",M2:M476)</f>
        <v>#DIV/0!</v>
      </c>
      <c r="Q98" s="481"/>
      <c r="R98" s="481"/>
    </row>
    <row r="99" customFormat="false" ht="12.75" hidden="false" customHeight="true" outlineLevel="0" collapsed="false">
      <c r="O99" s="398" t="s">
        <v>86</v>
      </c>
      <c r="P99" s="399" t="n">
        <f aca="false">AVERAGE(M2:M494)</f>
        <v>914.407894736842</v>
      </c>
      <c r="Q99" s="399"/>
      <c r="R99" s="399"/>
    </row>
  </sheetData>
  <autoFilter ref="A1:M92"/>
  <mergeCells count="76">
    <mergeCell ref="O2:P2"/>
    <mergeCell ref="O14:S15"/>
    <mergeCell ref="O16:S16"/>
    <mergeCell ref="O17:S17"/>
    <mergeCell ref="O18:S18"/>
    <mergeCell ref="O19:S19"/>
    <mergeCell ref="O20:S20"/>
    <mergeCell ref="O21:S21"/>
    <mergeCell ref="O22:S22"/>
    <mergeCell ref="O23:S23"/>
    <mergeCell ref="O24:S24"/>
    <mergeCell ref="O26:S27"/>
    <mergeCell ref="P28:R28"/>
    <mergeCell ref="P29:R29"/>
    <mergeCell ref="P30:R30"/>
    <mergeCell ref="P31:R31"/>
    <mergeCell ref="P32:R32"/>
    <mergeCell ref="P33:R33"/>
    <mergeCell ref="P34:R34"/>
    <mergeCell ref="P35:R35"/>
    <mergeCell ref="P36:R36"/>
    <mergeCell ref="P37:R37"/>
    <mergeCell ref="P38:R38"/>
    <mergeCell ref="P39:R39"/>
    <mergeCell ref="P40:R40"/>
    <mergeCell ref="P41:R41"/>
    <mergeCell ref="P42:R42"/>
    <mergeCell ref="O44:S45"/>
    <mergeCell ref="P46:R46"/>
    <mergeCell ref="P47:R47"/>
    <mergeCell ref="P48:R48"/>
    <mergeCell ref="P49:R49"/>
    <mergeCell ref="P50:R50"/>
    <mergeCell ref="P51:R51"/>
    <mergeCell ref="P52:R52"/>
    <mergeCell ref="P53:R53"/>
    <mergeCell ref="P54:R54"/>
    <mergeCell ref="P55:R55"/>
    <mergeCell ref="P56:R56"/>
    <mergeCell ref="P57:R57"/>
    <mergeCell ref="P58:R58"/>
    <mergeCell ref="P59:R59"/>
    <mergeCell ref="O61:T62"/>
    <mergeCell ref="O63:R63"/>
    <mergeCell ref="O64:R64"/>
    <mergeCell ref="O65:R65"/>
    <mergeCell ref="O66:R66"/>
    <mergeCell ref="O67:R67"/>
    <mergeCell ref="O68:R68"/>
    <mergeCell ref="O69:R69"/>
    <mergeCell ref="O70:R70"/>
    <mergeCell ref="O71:R71"/>
    <mergeCell ref="O72:R72"/>
    <mergeCell ref="O73:R73"/>
    <mergeCell ref="O74:R74"/>
    <mergeCell ref="O75:R75"/>
    <mergeCell ref="O76:R76"/>
    <mergeCell ref="O78:T79"/>
    <mergeCell ref="O80:R80"/>
    <mergeCell ref="O81:R81"/>
    <mergeCell ref="O82:R82"/>
    <mergeCell ref="O83:R83"/>
    <mergeCell ref="O84:R84"/>
    <mergeCell ref="O85:R85"/>
    <mergeCell ref="O87:R88"/>
    <mergeCell ref="P89:R89"/>
    <mergeCell ref="P90:R90"/>
    <mergeCell ref="P91:R91"/>
    <mergeCell ref="P92:R92"/>
    <mergeCell ref="P93:R93"/>
    <mergeCell ref="P94:R94"/>
    <mergeCell ref="P95:R95"/>
    <mergeCell ref="P96:R96"/>
    <mergeCell ref="P97:R97"/>
    <mergeCell ref="P98:R98"/>
    <mergeCell ref="P99:R99"/>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S12" activeCellId="0" sqref="S12"/>
    </sheetView>
  </sheetViews>
  <sheetFormatPr defaultColWidth="8.4296875" defaultRowHeight="12.75" customHeight="false" zeroHeight="false" outlineLevelRow="0" outlineLevelCol="0"/>
  <sheetData/>
  <printOptions headings="false" gridLines="false" gridLinesSet="true" horizontalCentered="false" verticalCentered="false"/>
  <pageMargins left="0" right="0" top="0" bottom="0" header="0.511811023622047" footer="0.511811023622047"/>
  <pageSetup paperSize="77"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
  <sheetViews>
    <sheetView showFormulas="false" showGridLines="true" showRowColHeaders="true" showZeros="true" rightToLeft="false" tabSelected="false" showOutlineSymbols="true" defaultGridColor="true" view="normal" topLeftCell="A1" colorId="64" zoomScale="48" zoomScaleNormal="48" zoomScalePageLayoutView="100" workbookViewId="0">
      <selection pane="topLeft" activeCell="Q51" activeCellId="0" sqref="Q51"/>
    </sheetView>
  </sheetViews>
  <sheetFormatPr defaultColWidth="8.4296875" defaultRowHeight="12.75" customHeight="false" zeroHeight="false" outlineLevelRow="0" outlineLevelCol="0"/>
  <sheetData/>
  <printOptions headings="false" gridLines="false" gridLinesSet="true" horizontalCentered="false" verticalCentered="false"/>
  <pageMargins left="0" right="0" top="0" bottom="0" header="0.511811023622047" footer="0.511811023622047"/>
  <pageSetup paperSize="77"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
  <sheetViews>
    <sheetView showFormulas="false" showGridLines="true" showRowColHeaders="true" showZeros="true" rightToLeft="false" tabSelected="false" showOutlineSymbols="true" defaultGridColor="true" view="normal" topLeftCell="A1" colorId="64" zoomScale="62" zoomScaleNormal="62" zoomScalePageLayoutView="100" workbookViewId="0">
      <selection pane="topLeft" activeCell="AD46" activeCellId="0" sqref="AD46"/>
    </sheetView>
  </sheetViews>
  <sheetFormatPr defaultColWidth="8.4296875" defaultRowHeight="12.75" customHeight="false" zeroHeight="false" outlineLevelRow="0" outlineLevelCol="0"/>
  <sheetData/>
  <printOptions headings="false" gridLines="false" gridLinesSet="true" horizontalCentered="false" verticalCentered="false"/>
  <pageMargins left="0" right="0" top="0" bottom="0" header="0.511811023622047" footer="0.511811023622047"/>
  <pageSetup paperSize="77"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T9"/>
  <sheetViews>
    <sheetView showFormulas="false" showGridLines="true" showRowColHeaders="true" showZeros="true" rightToLeft="false" tabSelected="false" showOutlineSymbols="true" defaultGridColor="true" view="normal" topLeftCell="A13" colorId="64" zoomScale="85" zoomScaleNormal="85" zoomScalePageLayoutView="100" workbookViewId="0">
      <selection pane="topLeft" activeCell="T32" activeCellId="0" sqref="T32"/>
    </sheetView>
  </sheetViews>
  <sheetFormatPr defaultColWidth="8.4296875" defaultRowHeight="12.75" customHeight="false" zeroHeight="false" outlineLevelRow="0" outlineLevelCol="0"/>
  <sheetData>
    <row r="9" customFormat="false" ht="12.75" hidden="false" customHeight="false" outlineLevel="0" collapsed="false">
      <c r="T9" s="0" t="s">
        <v>35</v>
      </c>
    </row>
  </sheetData>
  <printOptions headings="false" gridLines="false" gridLinesSet="true" horizontalCentered="false" verticalCentered="false"/>
  <pageMargins left="0" right="0" top="0" bottom="0" header="0.511811023622047" footer="0.511811023622047"/>
  <pageSetup paperSize="77"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
  <sheetViews>
    <sheetView showFormulas="false" showGridLines="true" showRowColHeaders="true" showZeros="true" rightToLeft="false" tabSelected="false" showOutlineSymbols="true" defaultGridColor="true" view="normal" topLeftCell="S49" colorId="64" zoomScale="70" zoomScaleNormal="70" zoomScalePageLayoutView="100" workbookViewId="0">
      <selection pane="topLeft" activeCell="AK73" activeCellId="0" sqref="AK73"/>
    </sheetView>
  </sheetViews>
  <sheetFormatPr defaultColWidth="8.4296875" defaultRowHeight="12.75" customHeight="false" zeroHeight="false" outlineLevelRow="0" outlineLevelCol="0"/>
  <sheetData/>
  <printOptions headings="false" gridLines="false" gridLinesSet="true" horizontalCentered="false" verticalCentered="false"/>
  <pageMargins left="0" right="0" top="0" bottom="0" header="0.511811023622047" footer="0.511811023622047"/>
  <pageSetup paperSize="77"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D2E5D884479A141B16174EC0F1F1CC1" ma:contentTypeVersion="6" ma:contentTypeDescription="Crie um novo documento." ma:contentTypeScope="" ma:versionID="32e1bce2e4c10b6876b95ed6d6d6934e">
  <xsd:schema xmlns:xsd="http://www.w3.org/2001/XMLSchema" xmlns:xs="http://www.w3.org/2001/XMLSchema" xmlns:p="http://schemas.microsoft.com/office/2006/metadata/properties" xmlns:ns2="9a337e85-c28d-4b24-a850-389bc36ff254" xmlns:ns3="ead7234e-375c-4b05-9cb5-b24224857d1e" targetNamespace="http://schemas.microsoft.com/office/2006/metadata/properties" ma:root="true" ma:fieldsID="ee6634d921098f37cb2f2dcc7cdc902c" ns2:_="" ns3:_="">
    <xsd:import namespace="9a337e85-c28d-4b24-a850-389bc36ff254"/>
    <xsd:import namespace="ead7234e-375c-4b05-9cb5-b24224857d1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337e85-c28d-4b24-a850-389bc36ff2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ad7234e-375c-4b05-9cb5-b24224857d1e" elementFormDefault="qualified">
    <xsd:import namespace="http://schemas.microsoft.com/office/2006/documentManagement/types"/>
    <xsd:import namespace="http://schemas.microsoft.com/office/infopath/2007/PartnerControls"/>
    <xsd:element name="SharedWithUsers" ma:index="11"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C8CFDE-4FF8-47E7-86D1-7578000D9B8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C17E9CD-313F-4285-A547-C6ACC8D62A84}">
  <ds:schemaRefs>
    <ds:schemaRef ds:uri="http://schemas.microsoft.com/sharepoint/v3/contenttype/forms"/>
  </ds:schemaRefs>
</ds:datastoreItem>
</file>

<file path=customXml/itemProps3.xml><?xml version="1.0" encoding="utf-8"?>
<ds:datastoreItem xmlns:ds="http://schemas.openxmlformats.org/officeDocument/2006/customXml" ds:itemID="{F3A8D778-0D11-4C53-9744-DAA665586C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337e85-c28d-4b24-a850-389bc36ff254"/>
    <ds:schemaRef ds:uri="ead7234e-375c-4b05-9cb5-b24224857d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1</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2020-06-12T02:32:57Z</dcterms:created>
  <dc:creator>Soraia Pinho</dc:creator>
  <dc:description/>
  <dc:language>pt-BR</dc:language>
  <cp:lastModifiedBy/>
  <dcterms:modified xsi:type="dcterms:W3CDTF">2026-08-14T12:05:48Z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0x010100FD2E5D884479A141B16174EC0F1F1CC1</vt:lpwstr>
  </property>
  <property fmtid="{D5CDD505-2E9C-101B-9397-08002B2CF9AE}" pid="3" name="Order">
    <vt:r8>400</vt:r8>
  </property>
</Properties>
</file>